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8195" windowHeight="13065"/>
  </bookViews>
  <sheets>
    <sheet name="ul3" sheetId="1" r:id="rId1"/>
  </sheets>
  <calcPr calcId="125725"/>
</workbook>
</file>

<file path=xl/calcChain.xml><?xml version="1.0" encoding="utf-8"?>
<calcChain xmlns="http://schemas.openxmlformats.org/spreadsheetml/2006/main">
  <c r="Y1189" i="1"/>
  <c r="Y1188"/>
  <c r="Y1187"/>
  <c r="Y1186"/>
  <c r="Y1185"/>
  <c r="Y1184"/>
  <c r="Y1183"/>
  <c r="Y1182"/>
  <c r="Y1181"/>
  <c r="Y1180"/>
  <c r="Y1179"/>
  <c r="Y1178"/>
  <c r="Y1177"/>
  <c r="Y1176"/>
  <c r="Y1175"/>
  <c r="Y1174"/>
  <c r="Y1173"/>
  <c r="Y1172"/>
  <c r="Y1171"/>
  <c r="Y1170"/>
  <c r="Y1169"/>
  <c r="Y1168"/>
  <c r="Y1167"/>
  <c r="Y1166"/>
  <c r="Y1165"/>
  <c r="Y1164"/>
  <c r="Y1163"/>
  <c r="Y1162"/>
  <c r="Y1161"/>
  <c r="Y1160"/>
  <c r="Y1159"/>
  <c r="Y1158"/>
  <c r="Y1157"/>
  <c r="Y1156"/>
  <c r="Y1155"/>
  <c r="Y1154"/>
  <c r="Y1153"/>
  <c r="Y1152"/>
  <c r="Y1151"/>
  <c r="Y1150"/>
  <c r="Y1149"/>
  <c r="Y1148"/>
  <c r="Y1147"/>
  <c r="Y1146"/>
  <c r="Y1145"/>
  <c r="Y1144"/>
  <c r="Y1143"/>
  <c r="Y1142"/>
  <c r="Y1141"/>
  <c r="Y1140"/>
  <c r="Y1139"/>
  <c r="Y1138"/>
  <c r="Y1137"/>
  <c r="Y1136"/>
  <c r="Y1135"/>
  <c r="Y1134"/>
  <c r="Y1133"/>
  <c r="Y1132"/>
  <c r="Y1131"/>
  <c r="Y1130"/>
  <c r="Y1129"/>
  <c r="Y1128"/>
  <c r="Y1127"/>
  <c r="Y1126"/>
  <c r="Y1125"/>
  <c r="Y1124"/>
  <c r="Y1123"/>
  <c r="Y1122"/>
  <c r="Y1121"/>
  <c r="Y1120"/>
  <c r="Y1119"/>
  <c r="Y1118"/>
  <c r="Y1117"/>
  <c r="Y1116"/>
  <c r="Y1115"/>
  <c r="Y1114"/>
  <c r="Y1113"/>
  <c r="Y1112"/>
  <c r="Y1111"/>
  <c r="Y1110"/>
  <c r="Y1109"/>
  <c r="Y1108"/>
  <c r="Y1107"/>
  <c r="Y1106"/>
  <c r="Y1105"/>
  <c r="Y1104"/>
  <c r="Y1103"/>
  <c r="Y1102"/>
  <c r="Y1101"/>
  <c r="Y1100"/>
  <c r="Y1099"/>
  <c r="Y1098"/>
  <c r="Y1097"/>
  <c r="Y1096"/>
  <c r="Y1095"/>
  <c r="Y1094"/>
  <c r="Y1093"/>
  <c r="Y1092"/>
  <c r="Y1091"/>
  <c r="Y1090"/>
  <c r="Y1089"/>
  <c r="Y1088"/>
  <c r="Y1087"/>
  <c r="Y1086"/>
  <c r="Y1085"/>
  <c r="Y1084"/>
  <c r="Y1083"/>
  <c r="Y1082"/>
  <c r="Y1081"/>
  <c r="Y1080"/>
  <c r="Y1079"/>
  <c r="Y1078"/>
  <c r="Y1077"/>
  <c r="Y1076"/>
  <c r="Y1075"/>
  <c r="Y1074"/>
  <c r="Y1073"/>
  <c r="Y1072"/>
  <c r="Y1071"/>
  <c r="Y1070"/>
  <c r="Y1069"/>
  <c r="Y1068"/>
  <c r="Y1067"/>
  <c r="Y1066"/>
  <c r="Y1065"/>
  <c r="Y1064"/>
  <c r="Y1063"/>
  <c r="Y1062"/>
  <c r="Y1061"/>
  <c r="Y1060"/>
  <c r="Y1059"/>
  <c r="Y1058"/>
  <c r="Y1057"/>
  <c r="Y1056"/>
  <c r="Y1055"/>
  <c r="Y1054"/>
  <c r="Y1053"/>
  <c r="Y1052"/>
  <c r="Y1051"/>
  <c r="Y1050"/>
  <c r="Y1049"/>
  <c r="Y1048"/>
  <c r="Y1047"/>
  <c r="Y1046"/>
  <c r="Y1045"/>
  <c r="Y1044"/>
  <c r="Y1043"/>
  <c r="Y1042"/>
  <c r="Y1041"/>
  <c r="Y1040"/>
  <c r="Y1039"/>
  <c r="Y1038"/>
  <c r="Y1037"/>
  <c r="Y1036"/>
  <c r="Y1035"/>
  <c r="Y1034"/>
  <c r="Y1033"/>
  <c r="Y1032"/>
  <c r="Y1031"/>
  <c r="Y1030"/>
  <c r="Y1029"/>
  <c r="Y1028"/>
  <c r="Y1027"/>
  <c r="Y1026"/>
  <c r="Y1025"/>
  <c r="Y1024"/>
  <c r="Y1023"/>
  <c r="Y1022"/>
  <c r="Y1021"/>
  <c r="Y1020"/>
  <c r="Y1019"/>
  <c r="Y1018"/>
  <c r="Y1017"/>
  <c r="Y1016"/>
  <c r="Y1015"/>
  <c r="Y1014"/>
  <c r="Y1013"/>
  <c r="Y1012"/>
  <c r="Y1011"/>
  <c r="Y1010"/>
  <c r="Y1009"/>
  <c r="Y1008"/>
  <c r="Y1007"/>
  <c r="Y1006"/>
  <c r="Y1005"/>
  <c r="Y1004"/>
  <c r="Y1003"/>
  <c r="Y1002"/>
  <c r="Y1001"/>
  <c r="Y1000"/>
  <c r="Y999"/>
  <c r="Y998"/>
  <c r="Y997"/>
  <c r="Y996"/>
  <c r="Y995"/>
  <c r="Y994"/>
  <c r="Y993"/>
  <c r="Y992"/>
  <c r="Y991"/>
  <c r="Y990"/>
  <c r="Y989"/>
  <c r="Y988"/>
  <c r="Y987"/>
  <c r="Y986"/>
  <c r="Y985"/>
  <c r="Y984"/>
  <c r="Y983"/>
  <c r="Y982"/>
  <c r="Y981"/>
  <c r="Y980"/>
  <c r="Y979"/>
  <c r="Y978"/>
  <c r="Y977"/>
  <c r="Y976"/>
  <c r="Y975"/>
  <c r="Y974"/>
  <c r="Y973"/>
  <c r="Y972"/>
  <c r="Y971"/>
  <c r="Y970"/>
  <c r="Y969"/>
  <c r="Y968"/>
  <c r="Y967"/>
  <c r="Y966"/>
  <c r="Y965"/>
  <c r="Y964"/>
  <c r="Y963"/>
  <c r="Y962"/>
  <c r="Y961"/>
  <c r="Y960"/>
  <c r="Y959"/>
  <c r="Y958"/>
  <c r="Y957"/>
  <c r="Y956"/>
  <c r="Y955"/>
  <c r="Y954"/>
  <c r="Y953"/>
  <c r="Y952"/>
  <c r="Y951"/>
  <c r="Y950"/>
  <c r="Y949"/>
  <c r="Y948"/>
  <c r="Y947"/>
  <c r="Y946"/>
  <c r="Y945"/>
  <c r="Y944"/>
  <c r="Y943"/>
  <c r="Y942"/>
  <c r="Y941"/>
  <c r="Y940"/>
  <c r="Y939"/>
  <c r="Y938"/>
  <c r="Y937"/>
  <c r="Y936"/>
  <c r="Y935"/>
  <c r="Y934"/>
  <c r="Y933"/>
  <c r="Y932"/>
  <c r="Y931"/>
  <c r="Y930"/>
  <c r="Y929"/>
  <c r="Y928"/>
  <c r="Y927"/>
  <c r="Y926"/>
  <c r="Y925"/>
  <c r="Y924"/>
  <c r="Y923"/>
  <c r="Y922"/>
  <c r="Y921"/>
  <c r="Y920"/>
  <c r="Y919"/>
  <c r="Y918"/>
  <c r="Y917"/>
  <c r="Y916"/>
  <c r="Y915"/>
  <c r="Y914"/>
  <c r="Y913"/>
  <c r="Y912"/>
  <c r="Y911"/>
  <c r="Y910"/>
  <c r="Y909"/>
  <c r="Y908"/>
  <c r="Y907"/>
  <c r="Y906"/>
  <c r="Y905"/>
  <c r="Y904"/>
  <c r="Y903"/>
  <c r="Y902"/>
  <c r="Y901"/>
  <c r="Y900"/>
  <c r="Y899"/>
  <c r="Y898"/>
  <c r="Y897"/>
  <c r="Y896"/>
  <c r="Y895"/>
  <c r="Y894"/>
  <c r="Y893"/>
  <c r="Y892"/>
  <c r="Y891"/>
  <c r="Y890"/>
  <c r="Y889"/>
  <c r="Y888"/>
  <c r="Y887"/>
  <c r="Y886"/>
  <c r="Y885"/>
  <c r="Y884"/>
  <c r="Y883"/>
  <c r="Y882"/>
  <c r="Y881"/>
  <c r="Y880"/>
  <c r="Y879"/>
  <c r="Y878"/>
  <c r="Y877"/>
  <c r="Y876"/>
  <c r="Y875"/>
  <c r="Y874"/>
  <c r="Y873"/>
  <c r="Y872"/>
  <c r="Y871"/>
  <c r="Y870"/>
  <c r="Y869"/>
  <c r="Y868"/>
  <c r="Y867"/>
  <c r="Y866"/>
  <c r="Y865"/>
  <c r="Y864"/>
  <c r="Y863"/>
  <c r="Y862"/>
  <c r="Y861"/>
  <c r="Y860"/>
  <c r="Y859"/>
  <c r="Y858"/>
  <c r="Y857"/>
  <c r="Y856"/>
  <c r="Y855"/>
  <c r="Y854"/>
  <c r="Y853"/>
  <c r="Y852"/>
  <c r="Y851"/>
  <c r="Y850"/>
  <c r="Y849"/>
  <c r="Y848"/>
  <c r="Y847"/>
  <c r="Y846"/>
  <c r="Y845"/>
  <c r="Y844"/>
  <c r="Y843"/>
  <c r="Y842"/>
  <c r="Y841"/>
  <c r="Y840"/>
  <c r="Y839"/>
  <c r="Y838"/>
  <c r="Y837"/>
  <c r="Y836"/>
  <c r="Y835"/>
  <c r="Y834"/>
  <c r="Y833"/>
  <c r="Y832"/>
  <c r="Y831"/>
  <c r="Y830"/>
  <c r="Y829"/>
  <c r="Y828"/>
  <c r="Y827"/>
  <c r="Y826"/>
  <c r="Y825"/>
  <c r="Y824"/>
  <c r="Y823"/>
  <c r="Y822"/>
  <c r="Y821"/>
  <c r="Y820"/>
  <c r="Y819"/>
  <c r="Y818"/>
  <c r="Y817"/>
  <c r="Y816"/>
  <c r="Y815"/>
  <c r="Y814"/>
  <c r="Y813"/>
  <c r="Y812"/>
  <c r="Y811"/>
  <c r="Y810"/>
  <c r="Y809"/>
  <c r="Y808"/>
  <c r="Y807"/>
  <c r="Y806"/>
  <c r="Y805"/>
  <c r="Y804"/>
  <c r="Y803"/>
  <c r="Y802"/>
  <c r="Y801"/>
  <c r="Y800"/>
  <c r="Y799"/>
  <c r="Y798"/>
  <c r="Y797"/>
  <c r="Y796"/>
  <c r="Y795"/>
  <c r="Y794"/>
  <c r="Y793"/>
  <c r="Y792"/>
  <c r="Y791"/>
  <c r="Y790"/>
  <c r="Y789"/>
  <c r="Y788"/>
  <c r="Y787"/>
  <c r="Y786"/>
  <c r="Y785"/>
  <c r="Y784"/>
  <c r="Y783"/>
  <c r="Y782"/>
  <c r="Y781"/>
  <c r="Y780"/>
  <c r="Y779"/>
  <c r="Y778"/>
  <c r="Y777"/>
  <c r="Y776"/>
  <c r="Y775"/>
  <c r="Y774"/>
  <c r="Y773"/>
  <c r="Y772"/>
  <c r="Y771"/>
  <c r="Y770"/>
  <c r="Y769"/>
  <c r="Y768"/>
  <c r="Y767"/>
  <c r="Y766"/>
  <c r="Y765"/>
  <c r="Y764"/>
  <c r="Y763"/>
  <c r="Y762"/>
  <c r="Y761"/>
  <c r="Y760"/>
  <c r="Y759"/>
  <c r="Y758"/>
  <c r="Y757"/>
  <c r="Y756"/>
  <c r="Y755"/>
  <c r="Y754"/>
  <c r="Y753"/>
  <c r="Y752"/>
  <c r="Y751"/>
  <c r="Y750"/>
  <c r="Y749"/>
  <c r="Y748"/>
  <c r="Y747"/>
  <c r="Y746"/>
  <c r="Y745"/>
  <c r="Y744"/>
  <c r="Y743"/>
  <c r="Y742"/>
  <c r="Y741"/>
  <c r="Y740"/>
  <c r="Y739"/>
  <c r="Y738"/>
  <c r="Y737"/>
  <c r="Y736"/>
  <c r="Y735"/>
  <c r="Y734"/>
  <c r="Y733"/>
  <c r="Y732"/>
  <c r="Y731"/>
  <c r="Y730"/>
  <c r="Y729"/>
  <c r="Y728"/>
  <c r="Y727"/>
  <c r="Y726"/>
  <c r="Y725"/>
  <c r="Y724"/>
  <c r="Y723"/>
  <c r="Y722"/>
  <c r="Y721"/>
  <c r="Y720"/>
  <c r="Y719"/>
  <c r="Y718"/>
  <c r="Y717"/>
  <c r="Y716"/>
  <c r="Y715"/>
  <c r="Y714"/>
  <c r="Y713"/>
  <c r="Y712"/>
  <c r="Y711"/>
  <c r="Y710"/>
  <c r="Y709"/>
  <c r="Y708"/>
  <c r="Y707"/>
  <c r="Y706"/>
  <c r="Y705"/>
  <c r="Y704"/>
  <c r="Y703"/>
  <c r="Y702"/>
  <c r="Y701"/>
  <c r="Y700"/>
  <c r="Y699"/>
  <c r="Y698"/>
  <c r="Y697"/>
  <c r="Y696"/>
  <c r="Y695"/>
  <c r="Y694"/>
  <c r="Y693"/>
  <c r="Y692"/>
  <c r="Y691"/>
  <c r="Y690"/>
  <c r="Y689"/>
  <c r="Y688"/>
  <c r="Y687"/>
  <c r="Y686"/>
  <c r="Y685"/>
  <c r="Y684"/>
  <c r="Y683"/>
  <c r="Y682"/>
  <c r="Y681"/>
  <c r="Y680"/>
  <c r="Y679"/>
  <c r="Y678"/>
  <c r="Y677"/>
  <c r="Y676"/>
  <c r="Y675"/>
  <c r="Y674"/>
  <c r="Y673"/>
  <c r="Y672"/>
  <c r="Y671"/>
  <c r="Y670"/>
  <c r="Y669"/>
  <c r="Y668"/>
  <c r="Y667"/>
  <c r="Y666"/>
  <c r="Y665"/>
  <c r="Y664"/>
  <c r="Y663"/>
  <c r="Y662"/>
  <c r="Y661"/>
  <c r="Y660"/>
  <c r="Y659"/>
  <c r="Y658"/>
  <c r="Y657"/>
  <c r="Y656"/>
  <c r="Y655"/>
  <c r="Y654"/>
  <c r="Y653"/>
  <c r="Y652"/>
  <c r="Y651"/>
  <c r="Y650"/>
  <c r="Y649"/>
  <c r="Y648"/>
  <c r="Y647"/>
  <c r="Y646"/>
  <c r="Y645"/>
  <c r="Y644"/>
  <c r="Y643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2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  <c r="Y1"/>
  <c r="U1189"/>
  <c r="U1188"/>
  <c r="U1187"/>
  <c r="U1186"/>
  <c r="U1185"/>
  <c r="U1184"/>
  <c r="U1183"/>
  <c r="U1182"/>
  <c r="U1181"/>
  <c r="U1180"/>
  <c r="U1179"/>
  <c r="U1178"/>
  <c r="U1177"/>
  <c r="U1176"/>
  <c r="U1175"/>
  <c r="U1174"/>
  <c r="U1173"/>
  <c r="U1172"/>
  <c r="U1171"/>
  <c r="U1170"/>
  <c r="U1169"/>
  <c r="U1168"/>
  <c r="U1167"/>
  <c r="U1166"/>
  <c r="U1165"/>
  <c r="U1164"/>
  <c r="U1163"/>
  <c r="U1162"/>
  <c r="U1161"/>
  <c r="U1160"/>
  <c r="U1159"/>
  <c r="U1158"/>
  <c r="U1157"/>
  <c r="U1156"/>
  <c r="U1155"/>
  <c r="U1154"/>
  <c r="U1153"/>
  <c r="U1152"/>
  <c r="U1151"/>
  <c r="U1150"/>
  <c r="U1149"/>
  <c r="U1148"/>
  <c r="U1147"/>
  <c r="U1146"/>
  <c r="U1145"/>
  <c r="U1144"/>
  <c r="U1143"/>
  <c r="U1142"/>
  <c r="U1141"/>
  <c r="U1140"/>
  <c r="U1139"/>
  <c r="U1138"/>
  <c r="U1137"/>
  <c r="U1136"/>
  <c r="U1135"/>
  <c r="U1134"/>
  <c r="U1133"/>
  <c r="U1132"/>
  <c r="U1131"/>
  <c r="U1130"/>
  <c r="U1129"/>
  <c r="U1128"/>
  <c r="U1127"/>
  <c r="U1126"/>
  <c r="U1125"/>
  <c r="U1124"/>
  <c r="U1123"/>
  <c r="U1122"/>
  <c r="U1121"/>
  <c r="U1120"/>
  <c r="U1119"/>
  <c r="U1118"/>
  <c r="U1117"/>
  <c r="U1116"/>
  <c r="U1115"/>
  <c r="U1114"/>
  <c r="U1113"/>
  <c r="U1112"/>
  <c r="U1111"/>
  <c r="U1110"/>
  <c r="U1109"/>
  <c r="U1108"/>
  <c r="U1107"/>
  <c r="U1106"/>
  <c r="U1105"/>
  <c r="U1104"/>
  <c r="U1103"/>
  <c r="U1102"/>
  <c r="U1101"/>
  <c r="U1100"/>
  <c r="U1099"/>
  <c r="U1098"/>
  <c r="U1097"/>
  <c r="U1096"/>
  <c r="U1095"/>
  <c r="U1094"/>
  <c r="U1093"/>
  <c r="U1092"/>
  <c r="U1091"/>
  <c r="U1090"/>
  <c r="U1089"/>
  <c r="U1088"/>
  <c r="U1087"/>
  <c r="U1086"/>
  <c r="U1085"/>
  <c r="U1084"/>
  <c r="U1083"/>
  <c r="U1082"/>
  <c r="U1081"/>
  <c r="U1080"/>
  <c r="U1079"/>
  <c r="U1078"/>
  <c r="U1077"/>
  <c r="U1076"/>
  <c r="U1075"/>
  <c r="U1074"/>
  <c r="U1073"/>
  <c r="U1072"/>
  <c r="U1071"/>
  <c r="U1070"/>
  <c r="U1069"/>
  <c r="U1068"/>
  <c r="U1067"/>
  <c r="U1066"/>
  <c r="U1065"/>
  <c r="U1064"/>
  <c r="U1063"/>
  <c r="U1062"/>
  <c r="U1061"/>
  <c r="U1060"/>
  <c r="U1059"/>
  <c r="U1058"/>
  <c r="U1057"/>
  <c r="U1056"/>
  <c r="U1055"/>
  <c r="U1054"/>
  <c r="U1053"/>
  <c r="U1052"/>
  <c r="U1051"/>
  <c r="U1050"/>
  <c r="U1049"/>
  <c r="U1048"/>
  <c r="U1047"/>
  <c r="U1046"/>
  <c r="U1045"/>
  <c r="U1044"/>
  <c r="U1043"/>
  <c r="U1042"/>
  <c r="U1041"/>
  <c r="U1040"/>
  <c r="U1039"/>
  <c r="U1038"/>
  <c r="U1037"/>
  <c r="U1036"/>
  <c r="U1035"/>
  <c r="U1034"/>
  <c r="U1033"/>
  <c r="U1032"/>
  <c r="U1031"/>
  <c r="U1030"/>
  <c r="U1029"/>
  <c r="U1028"/>
  <c r="U1027"/>
  <c r="U1026"/>
  <c r="U1025"/>
  <c r="U1024"/>
  <c r="U1023"/>
  <c r="U1022"/>
  <c r="U1021"/>
  <c r="U1020"/>
  <c r="U1019"/>
  <c r="U1018"/>
  <c r="U1017"/>
  <c r="U1016"/>
  <c r="U1015"/>
  <c r="U1014"/>
  <c r="U1013"/>
  <c r="U1012"/>
  <c r="U1011"/>
  <c r="U1010"/>
  <c r="U1009"/>
  <c r="U1008"/>
  <c r="U1007"/>
  <c r="U1006"/>
  <c r="U1005"/>
  <c r="U1004"/>
  <c r="U1003"/>
  <c r="U1002"/>
  <c r="U1001"/>
  <c r="U1000"/>
  <c r="U999"/>
  <c r="U998"/>
  <c r="U997"/>
  <c r="U996"/>
  <c r="U995"/>
  <c r="U994"/>
  <c r="U993"/>
  <c r="U992"/>
  <c r="U991"/>
  <c r="U990"/>
  <c r="U989"/>
  <c r="U988"/>
  <c r="U987"/>
  <c r="U986"/>
  <c r="U985"/>
  <c r="U984"/>
  <c r="U983"/>
  <c r="U982"/>
  <c r="U981"/>
  <c r="U980"/>
  <c r="U979"/>
  <c r="U978"/>
  <c r="U977"/>
  <c r="U976"/>
  <c r="U975"/>
  <c r="U974"/>
  <c r="U973"/>
  <c r="U972"/>
  <c r="U971"/>
  <c r="U970"/>
  <c r="U969"/>
  <c r="U968"/>
  <c r="U967"/>
  <c r="U966"/>
  <c r="U965"/>
  <c r="U964"/>
  <c r="U963"/>
  <c r="U962"/>
  <c r="U961"/>
  <c r="U960"/>
  <c r="U959"/>
  <c r="U958"/>
  <c r="U957"/>
  <c r="U956"/>
  <c r="U955"/>
  <c r="U954"/>
  <c r="U953"/>
  <c r="U952"/>
  <c r="U951"/>
  <c r="U950"/>
  <c r="U949"/>
  <c r="U948"/>
  <c r="U947"/>
  <c r="U946"/>
  <c r="U945"/>
  <c r="U944"/>
  <c r="U943"/>
  <c r="U942"/>
  <c r="U941"/>
  <c r="U940"/>
  <c r="U939"/>
  <c r="U938"/>
  <c r="U937"/>
  <c r="U936"/>
  <c r="U935"/>
  <c r="U934"/>
  <c r="U933"/>
  <c r="U932"/>
  <c r="U931"/>
  <c r="U930"/>
  <c r="N1189"/>
  <c r="N1188"/>
  <c r="N1187"/>
  <c r="N1186"/>
  <c r="N1185"/>
  <c r="N1184"/>
  <c r="N1183"/>
  <c r="N1182"/>
  <c r="N1181"/>
  <c r="N1180"/>
  <c r="N1179"/>
  <c r="N1178"/>
  <c r="N1177"/>
  <c r="N1176"/>
  <c r="N1175"/>
  <c r="N1174"/>
  <c r="N1173"/>
  <c r="N1172"/>
  <c r="N1171"/>
  <c r="N1170"/>
  <c r="N1169"/>
  <c r="N1168"/>
  <c r="N1167"/>
  <c r="N1166"/>
  <c r="N1165"/>
  <c r="N1164"/>
  <c r="N1163"/>
  <c r="N1162"/>
  <c r="N1161"/>
  <c r="N1160"/>
  <c r="N1159"/>
  <c r="N1158"/>
  <c r="N1157"/>
  <c r="N1156"/>
  <c r="N1155"/>
  <c r="N1154"/>
  <c r="N1153"/>
  <c r="N1152"/>
  <c r="N1151"/>
  <c r="N1150"/>
  <c r="N1149"/>
  <c r="N1148"/>
  <c r="N1147"/>
  <c r="N1146"/>
  <c r="N1145"/>
  <c r="N1144"/>
  <c r="N1143"/>
  <c r="N1142"/>
  <c r="N1141"/>
  <c r="N1140"/>
  <c r="N1139"/>
  <c r="N1138"/>
  <c r="N1137"/>
  <c r="N1136"/>
  <c r="N1135"/>
  <c r="N1134"/>
  <c r="N1133"/>
  <c r="N1132"/>
  <c r="N1131"/>
  <c r="N1130"/>
  <c r="N1129"/>
  <c r="N1128"/>
  <c r="N1127"/>
  <c r="N1126"/>
  <c r="N1125"/>
  <c r="N1124"/>
  <c r="N1123"/>
  <c r="N1122"/>
  <c r="N1121"/>
  <c r="N1120"/>
  <c r="N1119"/>
  <c r="N1118"/>
  <c r="N1117"/>
  <c r="N1116"/>
  <c r="N1115"/>
  <c r="N1114"/>
  <c r="N1113"/>
  <c r="N1112"/>
  <c r="N1111"/>
  <c r="N1110"/>
  <c r="N1109"/>
  <c r="N1108"/>
  <c r="N1107"/>
  <c r="N1106"/>
  <c r="N1105"/>
  <c r="N1104"/>
  <c r="N1103"/>
  <c r="N1102"/>
  <c r="N1101"/>
  <c r="N1100"/>
  <c r="N1099"/>
  <c r="N1098"/>
  <c r="N1097"/>
  <c r="N1096"/>
  <c r="N1095"/>
  <c r="N1094"/>
  <c r="N1093"/>
  <c r="N1092"/>
  <c r="N1091"/>
  <c r="N1090"/>
  <c r="N1089"/>
  <c r="N1088"/>
  <c r="N1087"/>
  <c r="N1086"/>
  <c r="N1085"/>
  <c r="N1084"/>
  <c r="N1083"/>
  <c r="N1082"/>
  <c r="N1081"/>
  <c r="N1080"/>
  <c r="N1079"/>
  <c r="N1078"/>
  <c r="N1077"/>
  <c r="N1076"/>
  <c r="N1075"/>
  <c r="N1074"/>
  <c r="N1073"/>
  <c r="N1072"/>
  <c r="N1071"/>
  <c r="N1070"/>
  <c r="N1069"/>
  <c r="N1068"/>
  <c r="N1067"/>
  <c r="N1066"/>
  <c r="N1065"/>
  <c r="N1064"/>
  <c r="N1063"/>
  <c r="N1062"/>
  <c r="N1061"/>
  <c r="N1060"/>
  <c r="N1059"/>
  <c r="N1058"/>
  <c r="N1057"/>
  <c r="N1056"/>
  <c r="N1055"/>
  <c r="N1054"/>
  <c r="N1053"/>
  <c r="N1052"/>
  <c r="N1051"/>
  <c r="N1050"/>
  <c r="N1049"/>
  <c r="N1048"/>
  <c r="N1047"/>
  <c r="N1046"/>
  <c r="N1045"/>
  <c r="N1044"/>
  <c r="N1043"/>
  <c r="N1042"/>
  <c r="N1041"/>
  <c r="N1040"/>
  <c r="N1039"/>
  <c r="N1038"/>
  <c r="N1037"/>
  <c r="N1036"/>
  <c r="N1035"/>
  <c r="N1034"/>
  <c r="N1033"/>
  <c r="N1032"/>
  <c r="N1031"/>
  <c r="N1030"/>
  <c r="N1029"/>
  <c r="N1028"/>
  <c r="N1027"/>
  <c r="N1026"/>
  <c r="N1025"/>
  <c r="N1024"/>
  <c r="N1023"/>
  <c r="N1022"/>
  <c r="N1021"/>
  <c r="N1020"/>
  <c r="N1019"/>
  <c r="N1018"/>
  <c r="N1017"/>
  <c r="N1016"/>
  <c r="N1015"/>
  <c r="N1014"/>
  <c r="N1013"/>
  <c r="N1012"/>
  <c r="N1011"/>
  <c r="N1010"/>
  <c r="N1009"/>
  <c r="N1008"/>
  <c r="N1007"/>
  <c r="N1006"/>
  <c r="N1005"/>
  <c r="N1004"/>
  <c r="N1003"/>
  <c r="N1002"/>
  <c r="N1001"/>
  <c r="N1000"/>
  <c r="N999"/>
  <c r="N998"/>
  <c r="N997"/>
  <c r="N996"/>
  <c r="N995"/>
  <c r="N994"/>
  <c r="N993"/>
  <c r="N992"/>
  <c r="N991"/>
  <c r="N990"/>
  <c r="N989"/>
  <c r="N988"/>
  <c r="N987"/>
  <c r="N986"/>
  <c r="N985"/>
  <c r="N984"/>
  <c r="N983"/>
  <c r="N982"/>
  <c r="N981"/>
  <c r="N980"/>
  <c r="N979"/>
  <c r="N978"/>
  <c r="N977"/>
  <c r="N976"/>
  <c r="N975"/>
  <c r="N974"/>
  <c r="N973"/>
  <c r="N972"/>
  <c r="N971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N1"/>
  <c r="X1189"/>
  <c r="X1188"/>
  <c r="X1187"/>
  <c r="X1186"/>
  <c r="X1185"/>
  <c r="X1184"/>
  <c r="X1183"/>
  <c r="X1182"/>
  <c r="X1181"/>
  <c r="X1180"/>
  <c r="X1179"/>
  <c r="X1178"/>
  <c r="X1177"/>
  <c r="X1176"/>
  <c r="X1175"/>
  <c r="X1174"/>
  <c r="X1173"/>
  <c r="X1172"/>
  <c r="X1171"/>
  <c r="X1170"/>
  <c r="X1169"/>
  <c r="X1168"/>
  <c r="X1167"/>
  <c r="X1166"/>
  <c r="X1165"/>
  <c r="X1164"/>
  <c r="X1163"/>
  <c r="X1162"/>
  <c r="X1161"/>
  <c r="X1160"/>
  <c r="X1159"/>
  <c r="X1158"/>
  <c r="X1157"/>
  <c r="X1156"/>
  <c r="X1155"/>
  <c r="X1154"/>
  <c r="X1153"/>
  <c r="X1152"/>
  <c r="X1151"/>
  <c r="X1150"/>
  <c r="X1149"/>
  <c r="X1148"/>
  <c r="X1147"/>
  <c r="X1146"/>
  <c r="X1145"/>
  <c r="X1144"/>
  <c r="X1143"/>
  <c r="X1142"/>
  <c r="X1141"/>
  <c r="X1140"/>
  <c r="X1139"/>
  <c r="X1138"/>
  <c r="X1137"/>
  <c r="X1136"/>
  <c r="X1135"/>
  <c r="X1134"/>
  <c r="X1133"/>
  <c r="X1132"/>
  <c r="X1131"/>
  <c r="X1130"/>
  <c r="X1129"/>
  <c r="X1128"/>
  <c r="X1127"/>
  <c r="X1126"/>
  <c r="X1125"/>
  <c r="X1124"/>
  <c r="X1123"/>
  <c r="X1122"/>
  <c r="X1121"/>
  <c r="X1120"/>
  <c r="X1119"/>
  <c r="X1118"/>
  <c r="X1117"/>
  <c r="X1116"/>
  <c r="X1115"/>
  <c r="X1114"/>
  <c r="X1113"/>
  <c r="X1112"/>
  <c r="X1111"/>
  <c r="X1110"/>
  <c r="X1109"/>
  <c r="X1108"/>
  <c r="X1107"/>
  <c r="X1106"/>
  <c r="X1105"/>
  <c r="X1104"/>
  <c r="X1103"/>
  <c r="X1102"/>
  <c r="X1101"/>
  <c r="X1100"/>
  <c r="X1099"/>
  <c r="X1098"/>
  <c r="X1097"/>
  <c r="X1096"/>
  <c r="X1095"/>
  <c r="X1094"/>
  <c r="X1093"/>
  <c r="X1092"/>
  <c r="X1091"/>
  <c r="X1090"/>
  <c r="X1089"/>
  <c r="X1088"/>
  <c r="X1087"/>
  <c r="X1086"/>
  <c r="X1085"/>
  <c r="X1084"/>
  <c r="X1083"/>
  <c r="X1082"/>
  <c r="X1081"/>
  <c r="X1080"/>
  <c r="X1079"/>
  <c r="X1078"/>
  <c r="X1077"/>
  <c r="X1076"/>
  <c r="X1075"/>
  <c r="X1074"/>
  <c r="X1073"/>
  <c r="X1072"/>
  <c r="X1071"/>
  <c r="X1070"/>
  <c r="X1069"/>
  <c r="X1068"/>
  <c r="X1067"/>
  <c r="X1066"/>
  <c r="X1065"/>
  <c r="X1064"/>
  <c r="X1063"/>
  <c r="X1062"/>
  <c r="X1061"/>
  <c r="X1060"/>
  <c r="X1059"/>
  <c r="X1058"/>
  <c r="X1057"/>
  <c r="X1056"/>
  <c r="X1055"/>
  <c r="X1054"/>
  <c r="X1053"/>
  <c r="X1052"/>
  <c r="X1051"/>
  <c r="X1050"/>
  <c r="X1049"/>
  <c r="X1048"/>
  <c r="X1047"/>
  <c r="X1046"/>
  <c r="X1045"/>
  <c r="X1044"/>
  <c r="X1043"/>
  <c r="X1042"/>
  <c r="X1041"/>
  <c r="X1040"/>
  <c r="X1039"/>
  <c r="X1038"/>
  <c r="X1037"/>
  <c r="X1036"/>
  <c r="X1035"/>
  <c r="X1034"/>
  <c r="X1033"/>
  <c r="X1032"/>
  <c r="X1031"/>
  <c r="X1030"/>
  <c r="X1029"/>
  <c r="X1028"/>
  <c r="X1027"/>
  <c r="X1026"/>
  <c r="X1025"/>
  <c r="X1024"/>
  <c r="X1023"/>
  <c r="X1022"/>
  <c r="X1021"/>
  <c r="X1020"/>
  <c r="X1019"/>
  <c r="X1018"/>
  <c r="X1017"/>
  <c r="X1016"/>
  <c r="X1015"/>
  <c r="X1014"/>
  <c r="X1013"/>
  <c r="X1012"/>
  <c r="X1011"/>
  <c r="X1010"/>
  <c r="X1009"/>
  <c r="X1008"/>
  <c r="X1007"/>
  <c r="X1006"/>
  <c r="X1005"/>
  <c r="X1004"/>
  <c r="X1003"/>
  <c r="X1002"/>
  <c r="X1001"/>
  <c r="X1000"/>
  <c r="X999"/>
  <c r="X998"/>
  <c r="X997"/>
  <c r="X996"/>
  <c r="X995"/>
  <c r="X994"/>
  <c r="X993"/>
  <c r="X992"/>
  <c r="X991"/>
  <c r="X990"/>
  <c r="X989"/>
  <c r="X988"/>
  <c r="X987"/>
  <c r="X986"/>
  <c r="X985"/>
  <c r="X984"/>
  <c r="X983"/>
  <c r="X982"/>
  <c r="X981"/>
  <c r="X980"/>
  <c r="X979"/>
  <c r="X978"/>
  <c r="X977"/>
  <c r="X976"/>
  <c r="X975"/>
  <c r="X974"/>
  <c r="X973"/>
  <c r="X972"/>
  <c r="X971"/>
  <c r="X970"/>
  <c r="X969"/>
  <c r="X968"/>
  <c r="X967"/>
  <c r="X966"/>
  <c r="X965"/>
  <c r="X964"/>
  <c r="X963"/>
  <c r="X962"/>
  <c r="X961"/>
  <c r="X960"/>
  <c r="X959"/>
  <c r="X958"/>
  <c r="X957"/>
  <c r="X956"/>
  <c r="X955"/>
  <c r="X954"/>
  <c r="X953"/>
  <c r="X952"/>
  <c r="X951"/>
  <c r="X950"/>
  <c r="X949"/>
  <c r="X948"/>
  <c r="X947"/>
  <c r="X946"/>
  <c r="X945"/>
  <c r="X944"/>
  <c r="X943"/>
  <c r="X942"/>
  <c r="X941"/>
  <c r="X940"/>
  <c r="X939"/>
  <c r="X938"/>
  <c r="X937"/>
  <c r="X936"/>
  <c r="X935"/>
  <c r="X934"/>
  <c r="X933"/>
  <c r="X932"/>
  <c r="X931"/>
  <c r="X930"/>
  <c r="X929"/>
  <c r="X928"/>
  <c r="X927"/>
  <c r="X926"/>
  <c r="X925"/>
  <c r="X924"/>
  <c r="X923"/>
  <c r="X922"/>
  <c r="X921"/>
  <c r="X920"/>
  <c r="X919"/>
  <c r="X918"/>
  <c r="X917"/>
  <c r="X916"/>
  <c r="X915"/>
  <c r="X914"/>
  <c r="X913"/>
  <c r="X912"/>
  <c r="X911"/>
  <c r="X910"/>
  <c r="X909"/>
  <c r="X908"/>
  <c r="X907"/>
  <c r="X906"/>
  <c r="X905"/>
  <c r="X904"/>
  <c r="X903"/>
  <c r="X902"/>
  <c r="X901"/>
  <c r="X900"/>
  <c r="X899"/>
  <c r="X898"/>
  <c r="X897"/>
  <c r="X896"/>
  <c r="X895"/>
  <c r="X894"/>
  <c r="X893"/>
  <c r="X892"/>
  <c r="X891"/>
  <c r="X890"/>
  <c r="X889"/>
  <c r="X888"/>
  <c r="X887"/>
  <c r="X886"/>
  <c r="X885"/>
  <c r="X884"/>
  <c r="X883"/>
  <c r="X882"/>
  <c r="X881"/>
  <c r="X880"/>
  <c r="X879"/>
  <c r="X878"/>
  <c r="X877"/>
  <c r="X876"/>
  <c r="X875"/>
  <c r="X874"/>
  <c r="X873"/>
  <c r="X872"/>
  <c r="X871"/>
  <c r="X870"/>
  <c r="X869"/>
  <c r="X868"/>
  <c r="X867"/>
  <c r="X866"/>
  <c r="X865"/>
  <c r="X864"/>
  <c r="X863"/>
  <c r="X862"/>
  <c r="X861"/>
  <c r="X860"/>
  <c r="X859"/>
  <c r="X858"/>
  <c r="X857"/>
  <c r="X856"/>
  <c r="X855"/>
  <c r="X854"/>
  <c r="X853"/>
  <c r="X852"/>
  <c r="X851"/>
  <c r="X850"/>
  <c r="X849"/>
  <c r="X848"/>
  <c r="X847"/>
  <c r="X846"/>
  <c r="X845"/>
  <c r="X844"/>
  <c r="X843"/>
  <c r="X842"/>
  <c r="X841"/>
  <c r="X840"/>
  <c r="X839"/>
  <c r="X838"/>
  <c r="X837"/>
  <c r="X836"/>
  <c r="X835"/>
  <c r="X834"/>
  <c r="X833"/>
  <c r="X832"/>
  <c r="X831"/>
  <c r="X830"/>
  <c r="X829"/>
  <c r="X828"/>
  <c r="X827"/>
  <c r="X826"/>
  <c r="X825"/>
  <c r="X824"/>
  <c r="X823"/>
  <c r="X822"/>
  <c r="X821"/>
  <c r="X820"/>
  <c r="X819"/>
  <c r="X818"/>
  <c r="X817"/>
  <c r="X816"/>
  <c r="X815"/>
  <c r="X814"/>
  <c r="X813"/>
  <c r="X812"/>
  <c r="X811"/>
  <c r="X810"/>
  <c r="X809"/>
  <c r="X808"/>
  <c r="X807"/>
  <c r="X806"/>
  <c r="X805"/>
  <c r="X804"/>
  <c r="X803"/>
  <c r="X802"/>
  <c r="X801"/>
  <c r="X800"/>
  <c r="X799"/>
  <c r="X798"/>
  <c r="X797"/>
  <c r="X796"/>
  <c r="X795"/>
  <c r="X794"/>
  <c r="X793"/>
  <c r="X792"/>
  <c r="X791"/>
  <c r="X790"/>
  <c r="X789"/>
  <c r="X788"/>
  <c r="X787"/>
  <c r="X786"/>
  <c r="X785"/>
  <c r="X784"/>
  <c r="X783"/>
  <c r="X782"/>
  <c r="X781"/>
  <c r="X780"/>
  <c r="X779"/>
  <c r="X778"/>
  <c r="X777"/>
  <c r="X776"/>
  <c r="X775"/>
  <c r="X774"/>
  <c r="X773"/>
  <c r="X772"/>
  <c r="X771"/>
  <c r="X770"/>
  <c r="X769"/>
  <c r="X768"/>
  <c r="X767"/>
  <c r="X766"/>
  <c r="X765"/>
  <c r="X764"/>
  <c r="X763"/>
  <c r="X762"/>
  <c r="X761"/>
  <c r="X760"/>
  <c r="X759"/>
  <c r="X758"/>
  <c r="X757"/>
  <c r="X756"/>
  <c r="X755"/>
  <c r="X754"/>
  <c r="X753"/>
  <c r="X752"/>
  <c r="X751"/>
  <c r="X750"/>
  <c r="X749"/>
  <c r="X748"/>
  <c r="X747"/>
  <c r="X746"/>
  <c r="X745"/>
  <c r="X744"/>
  <c r="X743"/>
  <c r="X742"/>
  <c r="X741"/>
  <c r="X740"/>
  <c r="X739"/>
  <c r="X738"/>
  <c r="X737"/>
  <c r="X736"/>
  <c r="X735"/>
  <c r="X734"/>
  <c r="X733"/>
  <c r="X732"/>
  <c r="X731"/>
  <c r="X730"/>
  <c r="X729"/>
  <c r="X728"/>
  <c r="X727"/>
  <c r="X726"/>
  <c r="X725"/>
  <c r="X724"/>
  <c r="X723"/>
  <c r="X722"/>
  <c r="X721"/>
  <c r="X720"/>
  <c r="X719"/>
  <c r="X718"/>
  <c r="X717"/>
  <c r="X716"/>
  <c r="X715"/>
  <c r="X714"/>
  <c r="X713"/>
  <c r="X712"/>
  <c r="X711"/>
  <c r="X710"/>
  <c r="X709"/>
  <c r="X708"/>
  <c r="X707"/>
  <c r="X706"/>
  <c r="X705"/>
  <c r="X704"/>
  <c r="X703"/>
  <c r="X702"/>
  <c r="X701"/>
  <c r="X700"/>
  <c r="X699"/>
  <c r="X698"/>
  <c r="X697"/>
  <c r="X696"/>
  <c r="X695"/>
  <c r="X694"/>
  <c r="X693"/>
  <c r="X692"/>
  <c r="X691"/>
  <c r="X690"/>
  <c r="X689"/>
  <c r="X688"/>
  <c r="X687"/>
  <c r="X686"/>
  <c r="X685"/>
  <c r="X684"/>
  <c r="X683"/>
  <c r="X682"/>
  <c r="X681"/>
  <c r="X680"/>
  <c r="X679"/>
  <c r="X678"/>
  <c r="X677"/>
  <c r="X676"/>
  <c r="X675"/>
  <c r="X674"/>
  <c r="X673"/>
  <c r="X672"/>
  <c r="X671"/>
  <c r="X670"/>
  <c r="X669"/>
  <c r="X668"/>
  <c r="X667"/>
  <c r="X666"/>
  <c r="X665"/>
  <c r="X664"/>
  <c r="X663"/>
  <c r="X662"/>
  <c r="X661"/>
  <c r="X660"/>
  <c r="X659"/>
  <c r="X658"/>
  <c r="X657"/>
  <c r="X656"/>
  <c r="X655"/>
  <c r="X654"/>
  <c r="X653"/>
  <c r="X652"/>
  <c r="X651"/>
  <c r="X650"/>
  <c r="X649"/>
  <c r="X648"/>
  <c r="X647"/>
  <c r="X646"/>
  <c r="X645"/>
  <c r="X644"/>
  <c r="X643"/>
  <c r="X642"/>
  <c r="X641"/>
  <c r="X640"/>
  <c r="X639"/>
  <c r="X638"/>
  <c r="X637"/>
  <c r="X636"/>
  <c r="X635"/>
  <c r="X634"/>
  <c r="X633"/>
  <c r="X632"/>
  <c r="X631"/>
  <c r="X630"/>
  <c r="X629"/>
  <c r="X628"/>
  <c r="X627"/>
  <c r="X626"/>
  <c r="X625"/>
  <c r="X624"/>
  <c r="X623"/>
  <c r="X622"/>
  <c r="X621"/>
  <c r="X620"/>
  <c r="X619"/>
  <c r="X618"/>
  <c r="X617"/>
  <c r="X616"/>
  <c r="X615"/>
  <c r="X614"/>
  <c r="X613"/>
  <c r="X612"/>
  <c r="X611"/>
  <c r="X610"/>
  <c r="X609"/>
  <c r="X608"/>
  <c r="X607"/>
  <c r="X606"/>
  <c r="X605"/>
  <c r="X604"/>
  <c r="X603"/>
  <c r="X602"/>
  <c r="X601"/>
  <c r="X600"/>
  <c r="X599"/>
  <c r="X598"/>
  <c r="X597"/>
  <c r="X596"/>
  <c r="X595"/>
  <c r="X594"/>
  <c r="X593"/>
  <c r="X592"/>
  <c r="X591"/>
  <c r="X590"/>
  <c r="X589"/>
  <c r="X588"/>
  <c r="X587"/>
  <c r="X586"/>
  <c r="X585"/>
  <c r="X584"/>
  <c r="X583"/>
  <c r="X582"/>
  <c r="X581"/>
  <c r="X580"/>
  <c r="X579"/>
  <c r="X578"/>
  <c r="X577"/>
  <c r="X576"/>
  <c r="X575"/>
  <c r="X574"/>
  <c r="X573"/>
  <c r="X572"/>
  <c r="X571"/>
  <c r="X570"/>
  <c r="X569"/>
  <c r="X568"/>
  <c r="X567"/>
  <c r="X566"/>
  <c r="X565"/>
  <c r="X564"/>
  <c r="X563"/>
  <c r="X562"/>
  <c r="X561"/>
  <c r="X560"/>
  <c r="X559"/>
  <c r="X558"/>
  <c r="X557"/>
  <c r="X556"/>
  <c r="X555"/>
  <c r="X554"/>
  <c r="X553"/>
  <c r="X552"/>
  <c r="X551"/>
  <c r="X550"/>
  <c r="X549"/>
  <c r="X548"/>
  <c r="X547"/>
  <c r="X546"/>
  <c r="X545"/>
  <c r="X544"/>
  <c r="X543"/>
  <c r="X542"/>
  <c r="X541"/>
  <c r="X540"/>
  <c r="X539"/>
  <c r="X538"/>
  <c r="X537"/>
  <c r="X536"/>
  <c r="X535"/>
  <c r="X534"/>
  <c r="X533"/>
  <c r="X532"/>
  <c r="X531"/>
  <c r="X530"/>
  <c r="X529"/>
  <c r="X528"/>
  <c r="X527"/>
  <c r="X526"/>
  <c r="X525"/>
  <c r="X524"/>
  <c r="X523"/>
  <c r="X522"/>
  <c r="X521"/>
  <c r="X520"/>
  <c r="X519"/>
  <c r="X518"/>
  <c r="X517"/>
  <c r="X516"/>
  <c r="X515"/>
  <c r="X514"/>
  <c r="X513"/>
  <c r="X512"/>
  <c r="X511"/>
  <c r="X510"/>
  <c r="X509"/>
  <c r="X508"/>
  <c r="X507"/>
  <c r="X506"/>
  <c r="X505"/>
  <c r="X504"/>
  <c r="X503"/>
  <c r="X502"/>
  <c r="X501"/>
  <c r="X500"/>
  <c r="X499"/>
  <c r="X498"/>
  <c r="X497"/>
  <c r="X496"/>
  <c r="X495"/>
  <c r="X494"/>
  <c r="X493"/>
  <c r="X492"/>
  <c r="X491"/>
  <c r="X490"/>
  <c r="X489"/>
  <c r="X488"/>
  <c r="X487"/>
  <c r="X486"/>
  <c r="X485"/>
  <c r="X484"/>
  <c r="X483"/>
  <c r="X482"/>
  <c r="X481"/>
  <c r="X480"/>
  <c r="X479"/>
  <c r="X478"/>
  <c r="X477"/>
  <c r="X476"/>
  <c r="X475"/>
  <c r="X474"/>
  <c r="X473"/>
  <c r="X472"/>
  <c r="X471"/>
  <c r="X470"/>
  <c r="X469"/>
  <c r="X468"/>
  <c r="X467"/>
  <c r="X466"/>
  <c r="X465"/>
  <c r="X464"/>
  <c r="X463"/>
  <c r="X462"/>
  <c r="X461"/>
  <c r="X460"/>
  <c r="X459"/>
  <c r="X458"/>
  <c r="X457"/>
  <c r="X456"/>
  <c r="X455"/>
  <c r="X454"/>
  <c r="X453"/>
  <c r="X452"/>
  <c r="X451"/>
  <c r="X450"/>
  <c r="X449"/>
  <c r="X448"/>
  <c r="X447"/>
  <c r="X446"/>
  <c r="X445"/>
  <c r="X444"/>
  <c r="X443"/>
  <c r="X442"/>
  <c r="X441"/>
  <c r="X440"/>
  <c r="X439"/>
  <c r="X438"/>
  <c r="X437"/>
  <c r="X436"/>
  <c r="X435"/>
  <c r="X434"/>
  <c r="X433"/>
  <c r="X432"/>
  <c r="X431"/>
  <c r="X430"/>
  <c r="X429"/>
  <c r="X428"/>
  <c r="X427"/>
  <c r="X426"/>
  <c r="X425"/>
  <c r="X424"/>
  <c r="X423"/>
  <c r="X422"/>
  <c r="X421"/>
  <c r="X420"/>
  <c r="X419"/>
  <c r="X418"/>
  <c r="X417"/>
  <c r="X416"/>
  <c r="X415"/>
  <c r="X414"/>
  <c r="X413"/>
  <c r="X412"/>
  <c r="X411"/>
  <c r="X410"/>
  <c r="X409"/>
  <c r="X408"/>
  <c r="X407"/>
  <c r="X406"/>
  <c r="X405"/>
  <c r="X404"/>
  <c r="X403"/>
  <c r="X402"/>
  <c r="X401"/>
  <c r="X400"/>
  <c r="X399"/>
  <c r="X398"/>
  <c r="X397"/>
  <c r="X396"/>
  <c r="X395"/>
  <c r="X394"/>
  <c r="X393"/>
  <c r="X392"/>
  <c r="X391"/>
  <c r="X390"/>
  <c r="X389"/>
  <c r="X388"/>
  <c r="X387"/>
  <c r="X386"/>
  <c r="X385"/>
  <c r="X384"/>
  <c r="X383"/>
  <c r="X382"/>
  <c r="X381"/>
  <c r="X380"/>
  <c r="X379"/>
  <c r="X378"/>
  <c r="X377"/>
  <c r="X376"/>
  <c r="X375"/>
  <c r="X374"/>
  <c r="X373"/>
  <c r="X372"/>
  <c r="X371"/>
  <c r="X370"/>
  <c r="X369"/>
  <c r="X368"/>
  <c r="X367"/>
  <c r="X366"/>
  <c r="X365"/>
  <c r="X364"/>
  <c r="X363"/>
  <c r="X362"/>
  <c r="X361"/>
  <c r="X360"/>
  <c r="X359"/>
  <c r="X358"/>
  <c r="X357"/>
  <c r="X356"/>
  <c r="X355"/>
  <c r="X354"/>
  <c r="X353"/>
  <c r="X352"/>
  <c r="X351"/>
  <c r="X350"/>
  <c r="X349"/>
  <c r="X348"/>
  <c r="X347"/>
  <c r="X346"/>
  <c r="X345"/>
  <c r="X344"/>
  <c r="X343"/>
  <c r="X342"/>
  <c r="X341"/>
  <c r="X340"/>
  <c r="X339"/>
  <c r="X338"/>
  <c r="X337"/>
  <c r="X336"/>
  <c r="X335"/>
  <c r="X334"/>
  <c r="X333"/>
  <c r="X332"/>
  <c r="X331"/>
  <c r="X330"/>
  <c r="X329"/>
  <c r="X328"/>
  <c r="X327"/>
  <c r="X326"/>
  <c r="X325"/>
  <c r="X324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X2"/>
  <c r="X1"/>
  <c r="Z1189"/>
  <c r="Z1188"/>
  <c r="Z1187"/>
  <c r="Z1186"/>
  <c r="Z1185"/>
  <c r="Z1184"/>
  <c r="Z1183"/>
  <c r="Z1182"/>
  <c r="Z1181"/>
  <c r="Z1180"/>
  <c r="Z1179"/>
  <c r="Z1178"/>
  <c r="Z1177"/>
  <c r="Z1176"/>
  <c r="Z1175"/>
  <c r="Z1174"/>
  <c r="Z1173"/>
  <c r="Z1172"/>
  <c r="Z1171"/>
  <c r="Z1170"/>
  <c r="Z1169"/>
  <c r="Z1168"/>
  <c r="Z1167"/>
  <c r="Z1166"/>
  <c r="Z1165"/>
  <c r="Z1164"/>
  <c r="Z1163"/>
  <c r="Z1162"/>
  <c r="Z1161"/>
  <c r="Z1160"/>
  <c r="Z1159"/>
  <c r="Z1158"/>
  <c r="Z1157"/>
  <c r="Z1156"/>
  <c r="Z1155"/>
  <c r="Z1154"/>
  <c r="Z1153"/>
  <c r="Z1152"/>
  <c r="Z1151"/>
  <c r="Z1150"/>
  <c r="Z1149"/>
  <c r="Z1148"/>
  <c r="Z1147"/>
  <c r="Z1146"/>
  <c r="Z1145"/>
  <c r="Z1144"/>
  <c r="Z1143"/>
  <c r="Z1142"/>
  <c r="Z1141"/>
  <c r="Z1140"/>
  <c r="Z1139"/>
  <c r="Z1138"/>
  <c r="Z1137"/>
  <c r="Z1136"/>
  <c r="Z1135"/>
  <c r="Z1134"/>
  <c r="Z1133"/>
  <c r="Z1132"/>
  <c r="Z1131"/>
  <c r="Z1130"/>
  <c r="Z1129"/>
  <c r="Z1128"/>
  <c r="Z1127"/>
  <c r="Z1126"/>
  <c r="Z1125"/>
  <c r="Z1124"/>
  <c r="Z1123"/>
  <c r="Z1122"/>
  <c r="Z1121"/>
  <c r="Z1120"/>
  <c r="Z1119"/>
  <c r="Z1118"/>
  <c r="Z1117"/>
  <c r="Z1116"/>
  <c r="Z1115"/>
  <c r="Z1114"/>
  <c r="Z1113"/>
  <c r="Z1112"/>
  <c r="Z1111"/>
  <c r="Z1110"/>
  <c r="Z1109"/>
  <c r="Z1108"/>
  <c r="Z1107"/>
  <c r="Z1106"/>
  <c r="Z1105"/>
  <c r="Z1104"/>
  <c r="Z1103"/>
  <c r="Z1102"/>
  <c r="Z1101"/>
  <c r="Z1100"/>
  <c r="Z1099"/>
  <c r="Z1098"/>
  <c r="Z1097"/>
  <c r="Z1096"/>
  <c r="Z1095"/>
  <c r="Z1094"/>
  <c r="Z1093"/>
  <c r="Z1092"/>
  <c r="Z1091"/>
  <c r="Z1090"/>
  <c r="Z1089"/>
  <c r="Z1088"/>
  <c r="Z1087"/>
  <c r="Z1086"/>
  <c r="Z1085"/>
  <c r="Z1084"/>
  <c r="Z1083"/>
  <c r="Z1082"/>
  <c r="Z1081"/>
  <c r="Z1080"/>
  <c r="Z1079"/>
  <c r="Z1078"/>
  <c r="Z1077"/>
  <c r="Z1076"/>
  <c r="Z1075"/>
  <c r="Z1074"/>
  <c r="Z1073"/>
  <c r="Z1072"/>
  <c r="Z1071"/>
  <c r="Z1070"/>
  <c r="Z1069"/>
  <c r="Z1068"/>
  <c r="Z1067"/>
  <c r="Z1066"/>
  <c r="Z1065"/>
  <c r="Z1064"/>
  <c r="Z1063"/>
  <c r="Z1062"/>
  <c r="Z1061"/>
  <c r="Z1060"/>
  <c r="Z1059"/>
  <c r="Z1058"/>
  <c r="Z1057"/>
  <c r="Z1056"/>
  <c r="Z1055"/>
  <c r="Z1054"/>
  <c r="Z1053"/>
  <c r="Z1052"/>
  <c r="Z1051"/>
  <c r="Z1050"/>
  <c r="Z1049"/>
  <c r="Z1048"/>
  <c r="Z1047"/>
  <c r="Z1046"/>
  <c r="Z1045"/>
  <c r="Z1044"/>
  <c r="Z1043"/>
  <c r="Z1042"/>
  <c r="Z1041"/>
  <c r="Z1040"/>
  <c r="Z1039"/>
  <c r="Z1038"/>
  <c r="Z1037"/>
  <c r="Z1036"/>
  <c r="Z1035"/>
  <c r="Z1034"/>
  <c r="Z1033"/>
  <c r="Z1032"/>
  <c r="Z1031"/>
  <c r="Z1030"/>
  <c r="Z1029"/>
  <c r="Z1028"/>
  <c r="Z1027"/>
  <c r="Z1026"/>
  <c r="Z1025"/>
  <c r="Z1024"/>
  <c r="Z1023"/>
  <c r="Z1022"/>
  <c r="Z1021"/>
  <c r="Z1020"/>
  <c r="Z1019"/>
  <c r="Z1018"/>
  <c r="Z1017"/>
  <c r="Z1016"/>
  <c r="Z1015"/>
  <c r="Z1014"/>
  <c r="Z1013"/>
  <c r="Z1012"/>
  <c r="Z1011"/>
  <c r="Z1010"/>
  <c r="Z1009"/>
  <c r="Z1008"/>
  <c r="Z1007"/>
  <c r="Z1006"/>
  <c r="Z1005"/>
  <c r="Z1004"/>
  <c r="Z1003"/>
  <c r="Z1002"/>
  <c r="Z1001"/>
  <c r="Z1000"/>
  <c r="Z999"/>
  <c r="Z998"/>
  <c r="Z997"/>
  <c r="Z996"/>
  <c r="Z995"/>
  <c r="Z994"/>
  <c r="Z993"/>
  <c r="Z992"/>
  <c r="Z991"/>
  <c r="Z990"/>
  <c r="Z989"/>
  <c r="Z988"/>
  <c r="Z987"/>
  <c r="Z986"/>
  <c r="Z985"/>
  <c r="Z984"/>
  <c r="Z983"/>
  <c r="Z982"/>
  <c r="Z981"/>
  <c r="Z980"/>
  <c r="Z979"/>
  <c r="Z978"/>
  <c r="Z977"/>
  <c r="Z976"/>
  <c r="Z975"/>
  <c r="Z974"/>
  <c r="Z973"/>
  <c r="Z972"/>
  <c r="Z971"/>
  <c r="Z970"/>
  <c r="Z969"/>
  <c r="Z968"/>
  <c r="Z967"/>
  <c r="Z966"/>
  <c r="Z965"/>
  <c r="Z964"/>
  <c r="Z963"/>
  <c r="Z962"/>
  <c r="Z961"/>
  <c r="Z960"/>
  <c r="Z959"/>
  <c r="Z958"/>
  <c r="Z957"/>
  <c r="Z956"/>
  <c r="Z955"/>
  <c r="Z954"/>
  <c r="Z953"/>
  <c r="Z952"/>
  <c r="Z951"/>
  <c r="Z950"/>
  <c r="Z949"/>
  <c r="Z948"/>
  <c r="Z947"/>
  <c r="Z946"/>
  <c r="Z945"/>
  <c r="Z944"/>
  <c r="Z943"/>
  <c r="Z942"/>
  <c r="Z941"/>
  <c r="Z940"/>
  <c r="Z939"/>
  <c r="Z938"/>
  <c r="Z937"/>
  <c r="Z936"/>
  <c r="Z935"/>
  <c r="Z934"/>
  <c r="Z933"/>
  <c r="Z932"/>
  <c r="Z931"/>
  <c r="Z930"/>
  <c r="Z929"/>
  <c r="Z928"/>
  <c r="Z927"/>
  <c r="Z926"/>
  <c r="Z925"/>
  <c r="Z924"/>
  <c r="Z923"/>
  <c r="Z922"/>
  <c r="Z921"/>
  <c r="Z920"/>
  <c r="Z919"/>
  <c r="Z918"/>
  <c r="Z917"/>
  <c r="Z916"/>
  <c r="Z915"/>
  <c r="Z914"/>
  <c r="Z913"/>
  <c r="Z912"/>
  <c r="Z911"/>
  <c r="Z910"/>
  <c r="Z909"/>
  <c r="Z908"/>
  <c r="Z907"/>
  <c r="Z906"/>
  <c r="Z905"/>
  <c r="Z904"/>
  <c r="Z903"/>
  <c r="Z902"/>
  <c r="Z901"/>
  <c r="Z900"/>
  <c r="Z899"/>
  <c r="Z898"/>
  <c r="Z897"/>
  <c r="Z896"/>
  <c r="Z895"/>
  <c r="Z894"/>
  <c r="Z893"/>
  <c r="Z892"/>
  <c r="Z891"/>
  <c r="Z890"/>
  <c r="Z889"/>
  <c r="Z888"/>
  <c r="Z887"/>
  <c r="Z886"/>
  <c r="Z885"/>
  <c r="Z884"/>
  <c r="Z883"/>
  <c r="Z882"/>
  <c r="Z881"/>
  <c r="Z880"/>
  <c r="Z879"/>
  <c r="Z878"/>
  <c r="Z877"/>
  <c r="Z876"/>
  <c r="Z875"/>
  <c r="Z874"/>
  <c r="Z873"/>
  <c r="Z872"/>
  <c r="Z871"/>
  <c r="Z870"/>
  <c r="Z869"/>
  <c r="Z868"/>
  <c r="Z867"/>
  <c r="Z866"/>
  <c r="Z865"/>
  <c r="Z864"/>
  <c r="Z863"/>
  <c r="Z862"/>
  <c r="Z861"/>
  <c r="Z860"/>
  <c r="Z859"/>
  <c r="Z858"/>
  <c r="Z857"/>
  <c r="Z856"/>
  <c r="Z855"/>
  <c r="Z854"/>
  <c r="Z853"/>
  <c r="Z852"/>
  <c r="Z851"/>
  <c r="Z850"/>
  <c r="Z849"/>
  <c r="Z848"/>
  <c r="Z847"/>
  <c r="Z846"/>
  <c r="Z845"/>
  <c r="Z844"/>
  <c r="Z843"/>
  <c r="Z842"/>
  <c r="Z841"/>
  <c r="Z840"/>
  <c r="Z839"/>
  <c r="Z838"/>
  <c r="Z837"/>
  <c r="Z836"/>
  <c r="Z835"/>
  <c r="Z834"/>
  <c r="Z833"/>
  <c r="Z832"/>
  <c r="Z831"/>
  <c r="Z830"/>
  <c r="Z829"/>
  <c r="Z828"/>
  <c r="Z827"/>
  <c r="Z826"/>
  <c r="Z825"/>
  <c r="Z824"/>
  <c r="Z823"/>
  <c r="Z822"/>
  <c r="Z821"/>
  <c r="Z820"/>
  <c r="Z819"/>
  <c r="Z818"/>
  <c r="Z817"/>
  <c r="Z816"/>
  <c r="Z815"/>
  <c r="Z814"/>
  <c r="Z813"/>
  <c r="Z812"/>
  <c r="Z811"/>
  <c r="Z810"/>
  <c r="Z809"/>
  <c r="Z808"/>
  <c r="Z807"/>
  <c r="Z806"/>
  <c r="Z805"/>
  <c r="Z804"/>
  <c r="Z803"/>
  <c r="Z802"/>
  <c r="Z801"/>
  <c r="Z800"/>
  <c r="Z799"/>
  <c r="Z798"/>
  <c r="Z797"/>
  <c r="Z796"/>
  <c r="Z795"/>
  <c r="Z794"/>
  <c r="Z793"/>
  <c r="Z792"/>
  <c r="Z791"/>
  <c r="Z790"/>
  <c r="Z789"/>
  <c r="Z788"/>
  <c r="Z787"/>
  <c r="Z786"/>
  <c r="Z785"/>
  <c r="Z784"/>
  <c r="Z783"/>
  <c r="Z782"/>
  <c r="Z781"/>
  <c r="Z780"/>
  <c r="Z779"/>
  <c r="Z778"/>
  <c r="Z777"/>
  <c r="Z776"/>
  <c r="Z775"/>
  <c r="Z774"/>
  <c r="Z773"/>
  <c r="Z772"/>
  <c r="Z771"/>
  <c r="Z770"/>
  <c r="Z769"/>
  <c r="Z768"/>
  <c r="Z767"/>
  <c r="Z766"/>
  <c r="Z765"/>
  <c r="Z764"/>
  <c r="Z763"/>
  <c r="Z762"/>
  <c r="Z761"/>
  <c r="Z760"/>
  <c r="Z759"/>
  <c r="Z758"/>
  <c r="Z757"/>
  <c r="Z756"/>
  <c r="Z755"/>
  <c r="Z754"/>
  <c r="Z753"/>
  <c r="Z752"/>
  <c r="Z751"/>
  <c r="Z750"/>
  <c r="Z749"/>
  <c r="Z748"/>
  <c r="Z747"/>
  <c r="Z746"/>
  <c r="Z745"/>
  <c r="Z744"/>
  <c r="Z743"/>
  <c r="Z742"/>
  <c r="Z741"/>
  <c r="Z740"/>
  <c r="Z739"/>
  <c r="Z738"/>
  <c r="Z737"/>
  <c r="Z736"/>
  <c r="Z735"/>
  <c r="Z734"/>
  <c r="Z733"/>
  <c r="Z732"/>
  <c r="Z731"/>
  <c r="Z730"/>
  <c r="Z729"/>
  <c r="Z728"/>
  <c r="Z727"/>
  <c r="Z726"/>
  <c r="Z725"/>
  <c r="Z724"/>
  <c r="Z723"/>
  <c r="Z722"/>
  <c r="Z721"/>
  <c r="Z720"/>
  <c r="Z719"/>
  <c r="Z718"/>
  <c r="Z717"/>
  <c r="Z716"/>
  <c r="Z715"/>
  <c r="Z714"/>
  <c r="Z713"/>
  <c r="Z712"/>
  <c r="Z711"/>
  <c r="Z710"/>
  <c r="Z709"/>
  <c r="Z708"/>
  <c r="Z707"/>
  <c r="Z706"/>
  <c r="Z705"/>
  <c r="Z704"/>
  <c r="Z703"/>
  <c r="Z702"/>
  <c r="Z701"/>
  <c r="Z700"/>
  <c r="Z699"/>
  <c r="Z698"/>
  <c r="Z697"/>
  <c r="Z696"/>
  <c r="Z695"/>
  <c r="Z694"/>
  <c r="Z693"/>
  <c r="Z692"/>
  <c r="Z691"/>
  <c r="Z690"/>
  <c r="Z689"/>
  <c r="Z688"/>
  <c r="Z687"/>
  <c r="Z686"/>
  <c r="Z685"/>
  <c r="Z684"/>
  <c r="Z683"/>
  <c r="Z682"/>
  <c r="Z681"/>
  <c r="Z680"/>
  <c r="Z679"/>
  <c r="Z678"/>
  <c r="Z677"/>
  <c r="Z676"/>
  <c r="Z675"/>
  <c r="Z674"/>
  <c r="Z673"/>
  <c r="Z672"/>
  <c r="Z671"/>
  <c r="Z670"/>
  <c r="Z669"/>
  <c r="Z668"/>
  <c r="Z667"/>
  <c r="Z666"/>
  <c r="Z665"/>
  <c r="Z664"/>
  <c r="Z663"/>
  <c r="Z662"/>
  <c r="Z661"/>
  <c r="Z660"/>
  <c r="Z659"/>
  <c r="Z658"/>
  <c r="Z657"/>
  <c r="Z656"/>
  <c r="Z655"/>
  <c r="Z654"/>
  <c r="Z653"/>
  <c r="Z652"/>
  <c r="Z651"/>
  <c r="Z650"/>
  <c r="Z649"/>
  <c r="Z648"/>
  <c r="Z647"/>
  <c r="Z646"/>
  <c r="Z645"/>
  <c r="Z644"/>
  <c r="Z643"/>
  <c r="Z642"/>
  <c r="Z641"/>
  <c r="Z640"/>
  <c r="Z639"/>
  <c r="Z638"/>
  <c r="Z637"/>
  <c r="Z636"/>
  <c r="Z635"/>
  <c r="Z634"/>
  <c r="Z633"/>
  <c r="Z632"/>
  <c r="Z631"/>
  <c r="Z630"/>
  <c r="Z629"/>
  <c r="Z628"/>
  <c r="Z627"/>
  <c r="Z626"/>
  <c r="Z625"/>
  <c r="Z624"/>
  <c r="Z623"/>
  <c r="Z622"/>
  <c r="Z621"/>
  <c r="Z620"/>
  <c r="Z619"/>
  <c r="Z618"/>
  <c r="Z617"/>
  <c r="Z616"/>
  <c r="Z615"/>
  <c r="Z614"/>
  <c r="Z613"/>
  <c r="Z612"/>
  <c r="Z611"/>
  <c r="Z610"/>
  <c r="Z609"/>
  <c r="Z608"/>
  <c r="Z607"/>
  <c r="Z606"/>
  <c r="Z605"/>
  <c r="Z604"/>
  <c r="Z603"/>
  <c r="Z602"/>
  <c r="Z601"/>
  <c r="Z600"/>
  <c r="Z599"/>
  <c r="Z598"/>
  <c r="Z597"/>
  <c r="Z596"/>
  <c r="Z595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Z566"/>
  <c r="Z565"/>
  <c r="Z564"/>
  <c r="Z563"/>
  <c r="Z562"/>
  <c r="Z561"/>
  <c r="Z560"/>
  <c r="Z559"/>
  <c r="Z558"/>
  <c r="Z557"/>
  <c r="Z556"/>
  <c r="Z555"/>
  <c r="Z554"/>
  <c r="Z553"/>
  <c r="Z552"/>
  <c r="Z551"/>
  <c r="Z550"/>
  <c r="Z549"/>
  <c r="Z548"/>
  <c r="Z547"/>
  <c r="Z546"/>
  <c r="Z545"/>
  <c r="Z544"/>
  <c r="Z543"/>
  <c r="Z542"/>
  <c r="Z541"/>
  <c r="Z540"/>
  <c r="Z539"/>
  <c r="Z538"/>
  <c r="Z537"/>
  <c r="Z536"/>
  <c r="Z535"/>
  <c r="Z534"/>
  <c r="Z533"/>
  <c r="Z532"/>
  <c r="Z531"/>
  <c r="Z530"/>
  <c r="Z529"/>
  <c r="Z528"/>
  <c r="Z527"/>
  <c r="Z526"/>
  <c r="Z525"/>
  <c r="Z524"/>
  <c r="Z523"/>
  <c r="Z522"/>
  <c r="Z521"/>
  <c r="Z520"/>
  <c r="Z519"/>
  <c r="Z518"/>
  <c r="Z517"/>
  <c r="Z516"/>
  <c r="Z515"/>
  <c r="Z514"/>
  <c r="Z513"/>
  <c r="Z512"/>
  <c r="Z511"/>
  <c r="Z510"/>
  <c r="Z509"/>
  <c r="Z508"/>
  <c r="Z507"/>
  <c r="Z506"/>
  <c r="Z505"/>
  <c r="Z504"/>
  <c r="Z503"/>
  <c r="Z502"/>
  <c r="Z501"/>
  <c r="Z500"/>
  <c r="Z499"/>
  <c r="Z498"/>
  <c r="Z497"/>
  <c r="Z496"/>
  <c r="Z495"/>
  <c r="Z494"/>
  <c r="Z493"/>
  <c r="Z492"/>
  <c r="Z491"/>
  <c r="Z490"/>
  <c r="Z489"/>
  <c r="Z488"/>
  <c r="Z487"/>
  <c r="Z486"/>
  <c r="Z485"/>
  <c r="Z484"/>
  <c r="Z483"/>
  <c r="Z482"/>
  <c r="Z481"/>
  <c r="Z480"/>
  <c r="Z479"/>
  <c r="Z478"/>
  <c r="Z477"/>
  <c r="Z476"/>
  <c r="Z475"/>
  <c r="Z474"/>
  <c r="Z473"/>
  <c r="Z472"/>
  <c r="Z471"/>
  <c r="Z470"/>
  <c r="Z469"/>
  <c r="Z468"/>
  <c r="Z467"/>
  <c r="Z466"/>
  <c r="Z465"/>
  <c r="Z464"/>
  <c r="Z463"/>
  <c r="Z462"/>
  <c r="Z461"/>
  <c r="Z460"/>
  <c r="Z459"/>
  <c r="Z458"/>
  <c r="Z457"/>
  <c r="Z456"/>
  <c r="Z455"/>
  <c r="Z454"/>
  <c r="Z453"/>
  <c r="Z452"/>
  <c r="Z451"/>
  <c r="Z450"/>
  <c r="Z449"/>
  <c r="Z448"/>
  <c r="Z447"/>
  <c r="Z446"/>
  <c r="Z445"/>
  <c r="Z444"/>
  <c r="Z443"/>
  <c r="Z442"/>
  <c r="Z441"/>
  <c r="Z440"/>
  <c r="Z439"/>
  <c r="Z438"/>
  <c r="Z437"/>
  <c r="Z436"/>
  <c r="Z435"/>
  <c r="Z434"/>
  <c r="Z433"/>
  <c r="Z432"/>
  <c r="Z431"/>
  <c r="Z430"/>
  <c r="Z429"/>
  <c r="Z428"/>
  <c r="Z427"/>
  <c r="Z426"/>
  <c r="Z425"/>
  <c r="Z424"/>
  <c r="Z423"/>
  <c r="Z422"/>
  <c r="Z421"/>
  <c r="Z420"/>
  <c r="Z419"/>
  <c r="Z418"/>
  <c r="Z417"/>
  <c r="Z416"/>
  <c r="Z415"/>
  <c r="Z414"/>
  <c r="Z413"/>
  <c r="Z412"/>
  <c r="Z411"/>
  <c r="Z410"/>
  <c r="Z409"/>
  <c r="Z408"/>
  <c r="Z407"/>
  <c r="Z406"/>
  <c r="Z405"/>
  <c r="Z404"/>
  <c r="Z403"/>
  <c r="Z402"/>
  <c r="Z401"/>
  <c r="Z400"/>
  <c r="Z399"/>
  <c r="Z398"/>
  <c r="Z397"/>
  <c r="Z396"/>
  <c r="Z395"/>
  <c r="Z394"/>
  <c r="Z393"/>
  <c r="Z392"/>
  <c r="Z391"/>
  <c r="Z390"/>
  <c r="Z389"/>
  <c r="Z388"/>
  <c r="Z387"/>
  <c r="Z386"/>
  <c r="Z385"/>
  <c r="Z384"/>
  <c r="Z383"/>
  <c r="Z382"/>
  <c r="Z381"/>
  <c r="Z380"/>
  <c r="Z379"/>
  <c r="Z378"/>
  <c r="Z377"/>
  <c r="Z376"/>
  <c r="Z375"/>
  <c r="Z374"/>
  <c r="Z373"/>
  <c r="Z372"/>
  <c r="Z371"/>
  <c r="Z370"/>
  <c r="Z369"/>
  <c r="Z368"/>
  <c r="Z367"/>
  <c r="Z366"/>
  <c r="Z365"/>
  <c r="Z364"/>
  <c r="Z363"/>
  <c r="Z362"/>
  <c r="Z361"/>
  <c r="Z360"/>
  <c r="Z359"/>
  <c r="Z358"/>
  <c r="Z357"/>
  <c r="Z356"/>
  <c r="Z355"/>
  <c r="Z354"/>
  <c r="Z353"/>
  <c r="Z352"/>
  <c r="Z351"/>
  <c r="Z350"/>
  <c r="Z349"/>
  <c r="Z348"/>
  <c r="Z347"/>
  <c r="Z346"/>
  <c r="Z345"/>
  <c r="Z344"/>
  <c r="Z343"/>
  <c r="Z342"/>
  <c r="Z341"/>
  <c r="Z340"/>
  <c r="Z339"/>
  <c r="Z338"/>
  <c r="Z337"/>
  <c r="Z336"/>
  <c r="Z335"/>
  <c r="Z334"/>
  <c r="Z333"/>
  <c r="Z332"/>
  <c r="Z331"/>
  <c r="Z330"/>
  <c r="Z329"/>
  <c r="Z328"/>
  <c r="Z327"/>
  <c r="Z326"/>
  <c r="Z325"/>
  <c r="Z324"/>
  <c r="Z323"/>
  <c r="Z322"/>
  <c r="Z321"/>
  <c r="Z320"/>
  <c r="Z319"/>
  <c r="Z318"/>
  <c r="Z317"/>
  <c r="Z316"/>
  <c r="Z315"/>
  <c r="Z314"/>
  <c r="Z313"/>
  <c r="Z312"/>
  <c r="Z311"/>
  <c r="Z310"/>
  <c r="Z309"/>
  <c r="Z308"/>
  <c r="Z307"/>
  <c r="Z306"/>
  <c r="Z305"/>
  <c r="Z304"/>
  <c r="Z303"/>
  <c r="Z302"/>
  <c r="Z301"/>
  <c r="Z300"/>
  <c r="Z299"/>
  <c r="Z298"/>
  <c r="Z297"/>
  <c r="Z296"/>
  <c r="Z295"/>
  <c r="Z294"/>
  <c r="Z293"/>
  <c r="Z292"/>
  <c r="Z291"/>
  <c r="Z290"/>
  <c r="Z289"/>
  <c r="Z288"/>
  <c r="Z287"/>
  <c r="Z286"/>
  <c r="Z285"/>
  <c r="Z284"/>
  <c r="Z283"/>
  <c r="Z282"/>
  <c r="Z281"/>
  <c r="Z280"/>
  <c r="Z279"/>
  <c r="Z278"/>
  <c r="Z277"/>
  <c r="Z276"/>
  <c r="Z275"/>
  <c r="Z274"/>
  <c r="Z273"/>
  <c r="Z272"/>
  <c r="Z271"/>
  <c r="Z270"/>
  <c r="Z269"/>
  <c r="Z268"/>
  <c r="Z267"/>
  <c r="Z266"/>
  <c r="Z265"/>
  <c r="Z264"/>
  <c r="Z263"/>
  <c r="Z262"/>
  <c r="Z261"/>
  <c r="Z260"/>
  <c r="Z259"/>
  <c r="Z258"/>
  <c r="Z257"/>
  <c r="Z256"/>
  <c r="Z255"/>
  <c r="Z254"/>
  <c r="Z253"/>
  <c r="Z252"/>
  <c r="Z251"/>
  <c r="Z250"/>
  <c r="Z249"/>
  <c r="Z248"/>
  <c r="Z247"/>
  <c r="Z246"/>
  <c r="Z245"/>
  <c r="Z244"/>
  <c r="Z243"/>
  <c r="Z242"/>
  <c r="Z241"/>
  <c r="Z240"/>
  <c r="Z239"/>
  <c r="Z238"/>
  <c r="Z237"/>
  <c r="Z236"/>
  <c r="Z235"/>
  <c r="Z234"/>
  <c r="Z233"/>
  <c r="Z232"/>
  <c r="Z231"/>
  <c r="Z230"/>
  <c r="Z229"/>
  <c r="Z228"/>
  <c r="Z227"/>
  <c r="Z226"/>
  <c r="Z225"/>
  <c r="Z224"/>
  <c r="Z223"/>
  <c r="Z222"/>
  <c r="Z221"/>
  <c r="Z220"/>
  <c r="Z219"/>
  <c r="Z218"/>
  <c r="Z217"/>
  <c r="Z216"/>
  <c r="Z215"/>
  <c r="Z214"/>
  <c r="Z213"/>
  <c r="Z212"/>
  <c r="Z211"/>
  <c r="Z210"/>
  <c r="Z209"/>
  <c r="Z208"/>
  <c r="Z207"/>
  <c r="Z206"/>
  <c r="Z205"/>
  <c r="Z204"/>
  <c r="Z203"/>
  <c r="Z202"/>
  <c r="Z201"/>
  <c r="Z200"/>
  <c r="Z199"/>
  <c r="Z198"/>
  <c r="Z197"/>
  <c r="Z196"/>
  <c r="Z195"/>
  <c r="Z194"/>
  <c r="Z193"/>
  <c r="Z192"/>
  <c r="Z191"/>
  <c r="Z190"/>
  <c r="Z189"/>
  <c r="Z188"/>
  <c r="Z187"/>
  <c r="Z186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Z2"/>
  <c r="Z1"/>
  <c r="W1189"/>
  <c r="W1188"/>
  <c r="W1187"/>
  <c r="W1186"/>
  <c r="W1185"/>
  <c r="W1184"/>
  <c r="W1183"/>
  <c r="W1182"/>
  <c r="W1181"/>
  <c r="W1180"/>
  <c r="W1179"/>
  <c r="W1178"/>
  <c r="W1177"/>
  <c r="W1176"/>
  <c r="W1175"/>
  <c r="W1174"/>
  <c r="W1173"/>
  <c r="W1172"/>
  <c r="W1171"/>
  <c r="W1170"/>
  <c r="W1169"/>
  <c r="W1168"/>
  <c r="W1167"/>
  <c r="W1166"/>
  <c r="W1165"/>
  <c r="W1164"/>
  <c r="W1163"/>
  <c r="W1162"/>
  <c r="W1161"/>
  <c r="W1160"/>
  <c r="W1159"/>
  <c r="W1158"/>
  <c r="W1157"/>
  <c r="W1156"/>
  <c r="W1155"/>
  <c r="W1154"/>
  <c r="W1153"/>
  <c r="W1152"/>
  <c r="W1151"/>
  <c r="W1150"/>
  <c r="W1149"/>
  <c r="W1148"/>
  <c r="W1147"/>
  <c r="W1146"/>
  <c r="W1145"/>
  <c r="W1144"/>
  <c r="W1143"/>
  <c r="W1142"/>
  <c r="W1141"/>
  <c r="W1140"/>
  <c r="W1139"/>
  <c r="W1138"/>
  <c r="W1137"/>
  <c r="W1136"/>
  <c r="W1135"/>
  <c r="W1134"/>
  <c r="W1133"/>
  <c r="W1132"/>
  <c r="W1131"/>
  <c r="W1130"/>
  <c r="W1129"/>
  <c r="W1128"/>
  <c r="W1127"/>
  <c r="W1126"/>
  <c r="W1125"/>
  <c r="W1124"/>
  <c r="W1123"/>
  <c r="W1122"/>
  <c r="W1121"/>
  <c r="W1120"/>
  <c r="W1119"/>
  <c r="W1118"/>
  <c r="W1117"/>
  <c r="W1116"/>
  <c r="W1115"/>
  <c r="W1114"/>
  <c r="W1113"/>
  <c r="W1112"/>
  <c r="W1111"/>
  <c r="W1110"/>
  <c r="W1109"/>
  <c r="W1108"/>
  <c r="W1107"/>
  <c r="W1106"/>
  <c r="W1105"/>
  <c r="W1104"/>
  <c r="W1103"/>
  <c r="W1102"/>
  <c r="W1101"/>
  <c r="W1100"/>
  <c r="W1099"/>
  <c r="W1098"/>
  <c r="W1097"/>
  <c r="W1096"/>
  <c r="W1095"/>
  <c r="W1094"/>
  <c r="W1093"/>
  <c r="W1092"/>
  <c r="W1091"/>
  <c r="W1090"/>
  <c r="W1089"/>
  <c r="W1088"/>
  <c r="W1087"/>
  <c r="W1086"/>
  <c r="W1085"/>
  <c r="W1084"/>
  <c r="W1083"/>
  <c r="W1082"/>
  <c r="W1081"/>
  <c r="W1080"/>
  <c r="W1079"/>
  <c r="W1078"/>
  <c r="W1077"/>
  <c r="W1076"/>
  <c r="W1075"/>
  <c r="W1074"/>
  <c r="W1073"/>
  <c r="W1072"/>
  <c r="W1071"/>
  <c r="W1070"/>
  <c r="W1069"/>
  <c r="W1068"/>
  <c r="W1067"/>
  <c r="W1066"/>
  <c r="W1065"/>
  <c r="W1064"/>
  <c r="W1063"/>
  <c r="W1062"/>
  <c r="W1061"/>
  <c r="W1060"/>
  <c r="W1059"/>
  <c r="W1058"/>
  <c r="W1057"/>
  <c r="W1056"/>
  <c r="W1055"/>
  <c r="W1054"/>
  <c r="W1053"/>
  <c r="W1052"/>
  <c r="W1051"/>
  <c r="W1050"/>
  <c r="W1049"/>
  <c r="W1048"/>
  <c r="W1047"/>
  <c r="W1046"/>
  <c r="W1045"/>
  <c r="W1044"/>
  <c r="W1043"/>
  <c r="W1042"/>
  <c r="W1041"/>
  <c r="W1040"/>
  <c r="W1039"/>
  <c r="W1038"/>
  <c r="W1037"/>
  <c r="W1036"/>
  <c r="W1035"/>
  <c r="W1034"/>
  <c r="W1033"/>
  <c r="W1032"/>
  <c r="W1031"/>
  <c r="W1030"/>
  <c r="W1029"/>
  <c r="W1028"/>
  <c r="W1027"/>
  <c r="W1026"/>
  <c r="W1025"/>
  <c r="W1024"/>
  <c r="W1023"/>
  <c r="W1022"/>
  <c r="W1021"/>
  <c r="W1020"/>
  <c r="W1019"/>
  <c r="W1018"/>
  <c r="W1017"/>
  <c r="W1016"/>
  <c r="W1015"/>
  <c r="W1014"/>
  <c r="W1013"/>
  <c r="W1012"/>
  <c r="W1011"/>
  <c r="W1010"/>
  <c r="W1009"/>
  <c r="W1008"/>
  <c r="W1007"/>
  <c r="W1006"/>
  <c r="W1005"/>
  <c r="W1004"/>
  <c r="W1003"/>
  <c r="W1002"/>
  <c r="W1001"/>
  <c r="W1000"/>
  <c r="W999"/>
  <c r="W998"/>
  <c r="W997"/>
  <c r="W996"/>
  <c r="W995"/>
  <c r="W994"/>
  <c r="W993"/>
  <c r="W992"/>
  <c r="W991"/>
  <c r="W990"/>
  <c r="W989"/>
  <c r="W988"/>
  <c r="W987"/>
  <c r="W986"/>
  <c r="W985"/>
  <c r="W984"/>
  <c r="W983"/>
  <c r="W982"/>
  <c r="W981"/>
  <c r="W980"/>
  <c r="W979"/>
  <c r="W978"/>
  <c r="W977"/>
  <c r="W976"/>
  <c r="W975"/>
  <c r="W974"/>
  <c r="W973"/>
  <c r="W972"/>
  <c r="W971"/>
  <c r="W970"/>
  <c r="W969"/>
  <c r="W968"/>
  <c r="W967"/>
  <c r="W966"/>
  <c r="W965"/>
  <c r="W964"/>
  <c r="W963"/>
  <c r="W962"/>
  <c r="W961"/>
  <c r="W960"/>
  <c r="W959"/>
  <c r="W958"/>
  <c r="W957"/>
  <c r="W956"/>
  <c r="W955"/>
  <c r="W954"/>
  <c r="W953"/>
  <c r="W952"/>
  <c r="W951"/>
  <c r="W950"/>
  <c r="W949"/>
  <c r="W948"/>
  <c r="W947"/>
  <c r="W946"/>
  <c r="W945"/>
  <c r="W944"/>
  <c r="W943"/>
  <c r="W942"/>
  <c r="W941"/>
  <c r="W940"/>
  <c r="W939"/>
  <c r="W938"/>
  <c r="W937"/>
  <c r="W936"/>
  <c r="W935"/>
  <c r="W934"/>
  <c r="W933"/>
  <c r="W932"/>
  <c r="W931"/>
  <c r="W930"/>
  <c r="W929"/>
  <c r="W928"/>
  <c r="W927"/>
  <c r="W926"/>
  <c r="W925"/>
  <c r="W924"/>
  <c r="W923"/>
  <c r="W922"/>
  <c r="W921"/>
  <c r="W920"/>
  <c r="W919"/>
  <c r="W918"/>
  <c r="W917"/>
  <c r="W916"/>
  <c r="W915"/>
  <c r="W914"/>
  <c r="W913"/>
  <c r="W912"/>
  <c r="W911"/>
  <c r="W910"/>
  <c r="W909"/>
  <c r="W908"/>
  <c r="W907"/>
  <c r="W906"/>
  <c r="W905"/>
  <c r="W904"/>
  <c r="W903"/>
  <c r="W902"/>
  <c r="W901"/>
  <c r="W900"/>
  <c r="W899"/>
  <c r="W898"/>
  <c r="W897"/>
  <c r="W896"/>
  <c r="W895"/>
  <c r="W894"/>
  <c r="W893"/>
  <c r="W892"/>
  <c r="W891"/>
  <c r="W890"/>
  <c r="W889"/>
  <c r="W888"/>
  <c r="W887"/>
  <c r="W886"/>
  <c r="W885"/>
  <c r="W884"/>
  <c r="W883"/>
  <c r="W882"/>
  <c r="W881"/>
  <c r="W880"/>
  <c r="W879"/>
  <c r="W878"/>
  <c r="W877"/>
  <c r="W876"/>
  <c r="W875"/>
  <c r="W874"/>
  <c r="W873"/>
  <c r="W872"/>
  <c r="W871"/>
  <c r="W870"/>
  <c r="W869"/>
  <c r="W868"/>
  <c r="W867"/>
  <c r="W866"/>
  <c r="W865"/>
  <c r="W864"/>
  <c r="W863"/>
  <c r="W862"/>
  <c r="W861"/>
  <c r="W860"/>
  <c r="W859"/>
  <c r="W858"/>
  <c r="W857"/>
  <c r="W856"/>
  <c r="W855"/>
  <c r="W854"/>
  <c r="W853"/>
  <c r="W852"/>
  <c r="W851"/>
  <c r="W850"/>
  <c r="W849"/>
  <c r="W848"/>
  <c r="W847"/>
  <c r="W846"/>
  <c r="W845"/>
  <c r="W844"/>
  <c r="W843"/>
  <c r="W842"/>
  <c r="W841"/>
  <c r="W840"/>
  <c r="W839"/>
  <c r="W838"/>
  <c r="W837"/>
  <c r="W836"/>
  <c r="W835"/>
  <c r="W834"/>
  <c r="W833"/>
  <c r="W832"/>
  <c r="W831"/>
  <c r="W830"/>
  <c r="W829"/>
  <c r="W828"/>
  <c r="W827"/>
  <c r="W826"/>
  <c r="W825"/>
  <c r="W824"/>
  <c r="W823"/>
  <c r="W822"/>
  <c r="W821"/>
  <c r="W820"/>
  <c r="W819"/>
  <c r="W818"/>
  <c r="W817"/>
  <c r="W816"/>
  <c r="W815"/>
  <c r="W814"/>
  <c r="W813"/>
  <c r="W812"/>
  <c r="W811"/>
  <c r="W810"/>
  <c r="W809"/>
  <c r="W808"/>
  <c r="W807"/>
  <c r="W806"/>
  <c r="W805"/>
  <c r="W804"/>
  <c r="W803"/>
  <c r="W802"/>
  <c r="W801"/>
  <c r="W800"/>
  <c r="W799"/>
  <c r="W798"/>
  <c r="W797"/>
  <c r="W796"/>
  <c r="W795"/>
  <c r="W794"/>
  <c r="W793"/>
  <c r="W792"/>
  <c r="W791"/>
  <c r="W790"/>
  <c r="W789"/>
  <c r="W788"/>
  <c r="W787"/>
  <c r="W786"/>
  <c r="W785"/>
  <c r="W784"/>
  <c r="W783"/>
  <c r="W782"/>
  <c r="W781"/>
  <c r="W780"/>
  <c r="W779"/>
  <c r="W778"/>
  <c r="W777"/>
  <c r="W776"/>
  <c r="W775"/>
  <c r="W774"/>
  <c r="W773"/>
  <c r="W772"/>
  <c r="W771"/>
  <c r="W770"/>
  <c r="W769"/>
  <c r="W768"/>
  <c r="W767"/>
  <c r="W766"/>
  <c r="W765"/>
  <c r="W764"/>
  <c r="W763"/>
  <c r="W762"/>
  <c r="W761"/>
  <c r="W760"/>
  <c r="W759"/>
  <c r="W758"/>
  <c r="W757"/>
  <c r="W756"/>
  <c r="W755"/>
  <c r="W754"/>
  <c r="W753"/>
  <c r="W752"/>
  <c r="W751"/>
  <c r="W750"/>
  <c r="W749"/>
  <c r="W748"/>
  <c r="W747"/>
  <c r="W746"/>
  <c r="W745"/>
  <c r="W744"/>
  <c r="W743"/>
  <c r="W742"/>
  <c r="W741"/>
  <c r="W740"/>
  <c r="W739"/>
  <c r="W738"/>
  <c r="W737"/>
  <c r="W736"/>
  <c r="W735"/>
  <c r="W734"/>
  <c r="W733"/>
  <c r="W732"/>
  <c r="W731"/>
  <c r="W730"/>
  <c r="W729"/>
  <c r="W728"/>
  <c r="W727"/>
  <c r="W726"/>
  <c r="W725"/>
  <c r="W724"/>
  <c r="W723"/>
  <c r="W722"/>
  <c r="W721"/>
  <c r="W720"/>
  <c r="W719"/>
  <c r="W718"/>
  <c r="W717"/>
  <c r="W716"/>
  <c r="W715"/>
  <c r="W714"/>
  <c r="W713"/>
  <c r="W712"/>
  <c r="W711"/>
  <c r="W710"/>
  <c r="W709"/>
  <c r="W708"/>
  <c r="W707"/>
  <c r="W706"/>
  <c r="W705"/>
  <c r="W704"/>
  <c r="W703"/>
  <c r="W702"/>
  <c r="W701"/>
  <c r="W700"/>
  <c r="W699"/>
  <c r="W698"/>
  <c r="W697"/>
  <c r="W696"/>
  <c r="W695"/>
  <c r="W694"/>
  <c r="W693"/>
  <c r="W692"/>
  <c r="W691"/>
  <c r="W690"/>
  <c r="W689"/>
  <c r="W688"/>
  <c r="W687"/>
  <c r="W686"/>
  <c r="W685"/>
  <c r="W684"/>
  <c r="W683"/>
  <c r="W682"/>
  <c r="W681"/>
  <c r="W680"/>
  <c r="W679"/>
  <c r="W678"/>
  <c r="W677"/>
  <c r="W676"/>
  <c r="W675"/>
  <c r="W674"/>
  <c r="W673"/>
  <c r="W672"/>
  <c r="W671"/>
  <c r="W670"/>
  <c r="W669"/>
  <c r="W668"/>
  <c r="W667"/>
  <c r="W666"/>
  <c r="W665"/>
  <c r="W664"/>
  <c r="W663"/>
  <c r="W662"/>
  <c r="W661"/>
  <c r="W660"/>
  <c r="W659"/>
  <c r="W658"/>
  <c r="W657"/>
  <c r="W656"/>
  <c r="W655"/>
  <c r="W654"/>
  <c r="W653"/>
  <c r="W652"/>
  <c r="W651"/>
  <c r="W650"/>
  <c r="W649"/>
  <c r="W648"/>
  <c r="W647"/>
  <c r="W646"/>
  <c r="W645"/>
  <c r="W644"/>
  <c r="W643"/>
  <c r="W642"/>
  <c r="W641"/>
  <c r="W640"/>
  <c r="W639"/>
  <c r="W638"/>
  <c r="W637"/>
  <c r="W636"/>
  <c r="W635"/>
  <c r="W634"/>
  <c r="W633"/>
  <c r="W632"/>
  <c r="W631"/>
  <c r="W630"/>
  <c r="W629"/>
  <c r="W628"/>
  <c r="W627"/>
  <c r="W626"/>
  <c r="W625"/>
  <c r="W624"/>
  <c r="W623"/>
  <c r="W622"/>
  <c r="W621"/>
  <c r="W620"/>
  <c r="W619"/>
  <c r="W618"/>
  <c r="W617"/>
  <c r="W616"/>
  <c r="W615"/>
  <c r="W614"/>
  <c r="W613"/>
  <c r="W612"/>
  <c r="W611"/>
  <c r="W610"/>
  <c r="W609"/>
  <c r="W608"/>
  <c r="W607"/>
  <c r="W606"/>
  <c r="W605"/>
  <c r="W604"/>
  <c r="W603"/>
  <c r="W602"/>
  <c r="W601"/>
  <c r="W600"/>
  <c r="W599"/>
  <c r="W598"/>
  <c r="W597"/>
  <c r="W596"/>
  <c r="W595"/>
  <c r="W594"/>
  <c r="W593"/>
  <c r="W592"/>
  <c r="W591"/>
  <c r="W590"/>
  <c r="W589"/>
  <c r="W588"/>
  <c r="W587"/>
  <c r="W586"/>
  <c r="W585"/>
  <c r="W584"/>
  <c r="W583"/>
  <c r="W582"/>
  <c r="W581"/>
  <c r="W580"/>
  <c r="W579"/>
  <c r="W578"/>
  <c r="W577"/>
  <c r="W576"/>
  <c r="W575"/>
  <c r="W574"/>
  <c r="W573"/>
  <c r="W572"/>
  <c r="W571"/>
  <c r="W570"/>
  <c r="W569"/>
  <c r="W568"/>
  <c r="W567"/>
  <c r="W566"/>
  <c r="W565"/>
  <c r="W564"/>
  <c r="W563"/>
  <c r="W562"/>
  <c r="W561"/>
  <c r="W560"/>
  <c r="W559"/>
  <c r="W558"/>
  <c r="W557"/>
  <c r="W556"/>
  <c r="W555"/>
  <c r="W554"/>
  <c r="W553"/>
  <c r="W552"/>
  <c r="W551"/>
  <c r="W550"/>
  <c r="W549"/>
  <c r="W548"/>
  <c r="W547"/>
  <c r="W546"/>
  <c r="W545"/>
  <c r="W544"/>
  <c r="W543"/>
  <c r="W542"/>
  <c r="W541"/>
  <c r="W540"/>
  <c r="W539"/>
  <c r="W538"/>
  <c r="W537"/>
  <c r="W536"/>
  <c r="W535"/>
  <c r="W534"/>
  <c r="W533"/>
  <c r="W532"/>
  <c r="W531"/>
  <c r="W530"/>
  <c r="W529"/>
  <c r="W528"/>
  <c r="W527"/>
  <c r="W526"/>
  <c r="W525"/>
  <c r="W524"/>
  <c r="W523"/>
  <c r="W522"/>
  <c r="W521"/>
  <c r="W520"/>
  <c r="W519"/>
  <c r="W518"/>
  <c r="W517"/>
  <c r="W516"/>
  <c r="W515"/>
  <c r="W514"/>
  <c r="W513"/>
  <c r="W512"/>
  <c r="W511"/>
  <c r="W510"/>
  <c r="W509"/>
  <c r="W508"/>
  <c r="W507"/>
  <c r="W506"/>
  <c r="W505"/>
  <c r="W504"/>
  <c r="W503"/>
  <c r="W502"/>
  <c r="W501"/>
  <c r="W500"/>
  <c r="W499"/>
  <c r="W498"/>
  <c r="W497"/>
  <c r="W496"/>
  <c r="W495"/>
  <c r="W494"/>
  <c r="W493"/>
  <c r="W492"/>
  <c r="W491"/>
  <c r="W490"/>
  <c r="W489"/>
  <c r="W488"/>
  <c r="W487"/>
  <c r="W486"/>
  <c r="W485"/>
  <c r="W484"/>
  <c r="W483"/>
  <c r="W482"/>
  <c r="W481"/>
  <c r="W480"/>
  <c r="W479"/>
  <c r="W478"/>
  <c r="W477"/>
  <c r="W476"/>
  <c r="W475"/>
  <c r="W474"/>
  <c r="W473"/>
  <c r="W472"/>
  <c r="W471"/>
  <c r="W470"/>
  <c r="W469"/>
  <c r="W468"/>
  <c r="W467"/>
  <c r="W466"/>
  <c r="W465"/>
  <c r="W464"/>
  <c r="W463"/>
  <c r="W462"/>
  <c r="W461"/>
  <c r="W460"/>
  <c r="W459"/>
  <c r="W458"/>
  <c r="W457"/>
  <c r="W456"/>
  <c r="W455"/>
  <c r="W454"/>
  <c r="W453"/>
  <c r="W452"/>
  <c r="W451"/>
  <c r="W450"/>
  <c r="W449"/>
  <c r="W448"/>
  <c r="W447"/>
  <c r="W446"/>
  <c r="W445"/>
  <c r="W444"/>
  <c r="W443"/>
  <c r="W442"/>
  <c r="W441"/>
  <c r="W440"/>
  <c r="W439"/>
  <c r="W438"/>
  <c r="W437"/>
  <c r="W436"/>
  <c r="W435"/>
  <c r="W434"/>
  <c r="W433"/>
  <c r="W432"/>
  <c r="W431"/>
  <c r="W430"/>
  <c r="W429"/>
  <c r="W428"/>
  <c r="W427"/>
  <c r="W426"/>
  <c r="W425"/>
  <c r="W424"/>
  <c r="W423"/>
  <c r="W422"/>
  <c r="W421"/>
  <c r="W420"/>
  <c r="W419"/>
  <c r="W418"/>
  <c r="W417"/>
  <c r="W416"/>
  <c r="W415"/>
  <c r="W414"/>
  <c r="W413"/>
  <c r="W412"/>
  <c r="W411"/>
  <c r="W410"/>
  <c r="W409"/>
  <c r="W408"/>
  <c r="W407"/>
  <c r="W406"/>
  <c r="W405"/>
  <c r="W404"/>
  <c r="W403"/>
  <c r="W402"/>
  <c r="W401"/>
  <c r="W400"/>
  <c r="W399"/>
  <c r="W398"/>
  <c r="W397"/>
  <c r="W396"/>
  <c r="W395"/>
  <c r="W394"/>
  <c r="W393"/>
  <c r="W392"/>
  <c r="W391"/>
  <c r="W390"/>
  <c r="W389"/>
  <c r="W388"/>
  <c r="W387"/>
  <c r="W386"/>
  <c r="W385"/>
  <c r="W384"/>
  <c r="W383"/>
  <c r="W382"/>
  <c r="W381"/>
  <c r="W380"/>
  <c r="W379"/>
  <c r="W378"/>
  <c r="W377"/>
  <c r="W376"/>
  <c r="W375"/>
  <c r="W374"/>
  <c r="W373"/>
  <c r="W372"/>
  <c r="W371"/>
  <c r="W370"/>
  <c r="W369"/>
  <c r="W368"/>
  <c r="W367"/>
  <c r="W366"/>
  <c r="W365"/>
  <c r="W364"/>
  <c r="W363"/>
  <c r="W362"/>
  <c r="W361"/>
  <c r="W360"/>
  <c r="W359"/>
  <c r="W358"/>
  <c r="W357"/>
  <c r="W356"/>
  <c r="W355"/>
  <c r="W354"/>
  <c r="W353"/>
  <c r="W352"/>
  <c r="W351"/>
  <c r="W350"/>
  <c r="W349"/>
  <c r="W348"/>
  <c r="W347"/>
  <c r="W346"/>
  <c r="W345"/>
  <c r="W344"/>
  <c r="W343"/>
  <c r="W342"/>
  <c r="W341"/>
  <c r="W340"/>
  <c r="W339"/>
  <c r="W338"/>
  <c r="W337"/>
  <c r="W336"/>
  <c r="W335"/>
  <c r="W334"/>
  <c r="W333"/>
  <c r="W332"/>
  <c r="W331"/>
  <c r="W330"/>
  <c r="W329"/>
  <c r="W328"/>
  <c r="W327"/>
  <c r="W326"/>
  <c r="W325"/>
  <c r="W324"/>
  <c r="W323"/>
  <c r="W322"/>
  <c r="W321"/>
  <c r="W320"/>
  <c r="W319"/>
  <c r="W318"/>
  <c r="W317"/>
  <c r="W316"/>
  <c r="W315"/>
  <c r="W314"/>
  <c r="W313"/>
  <c r="W312"/>
  <c r="W311"/>
  <c r="W310"/>
  <c r="W309"/>
  <c r="W308"/>
  <c r="W307"/>
  <c r="W306"/>
  <c r="W305"/>
  <c r="W304"/>
  <c r="W303"/>
  <c r="W302"/>
  <c r="W301"/>
  <c r="W300"/>
  <c r="W299"/>
  <c r="W298"/>
  <c r="W297"/>
  <c r="W296"/>
  <c r="W295"/>
  <c r="W294"/>
  <c r="W293"/>
  <c r="W292"/>
  <c r="W291"/>
  <c r="W290"/>
  <c r="W289"/>
  <c r="W288"/>
  <c r="W287"/>
  <c r="W286"/>
  <c r="W285"/>
  <c r="W284"/>
  <c r="W283"/>
  <c r="W282"/>
  <c r="W281"/>
  <c r="W280"/>
  <c r="W279"/>
  <c r="W278"/>
  <c r="W277"/>
  <c r="W276"/>
  <c r="W275"/>
  <c r="W274"/>
  <c r="W273"/>
  <c r="W272"/>
  <c r="W271"/>
  <c r="W270"/>
  <c r="W269"/>
  <c r="W268"/>
  <c r="W267"/>
  <c r="W266"/>
  <c r="W265"/>
  <c r="W264"/>
  <c r="W263"/>
  <c r="W262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W3"/>
  <c r="W2"/>
  <c r="W1"/>
  <c r="V929"/>
  <c r="V928"/>
  <c r="V927"/>
  <c r="V926"/>
  <c r="V925"/>
  <c r="V924"/>
  <c r="V923"/>
  <c r="V922"/>
  <c r="V921"/>
  <c r="V920"/>
  <c r="V919"/>
  <c r="V918"/>
  <c r="V917"/>
  <c r="V916"/>
  <c r="V915"/>
  <c r="V914"/>
  <c r="V913"/>
  <c r="V912"/>
  <c r="V911"/>
  <c r="V910"/>
  <c r="V909"/>
  <c r="V908"/>
  <c r="V907"/>
  <c r="V906"/>
  <c r="V905"/>
  <c r="V904"/>
  <c r="V903"/>
  <c r="V902"/>
  <c r="V901"/>
  <c r="V900"/>
  <c r="V899"/>
  <c r="V898"/>
  <c r="V897"/>
  <c r="V896"/>
  <c r="V895"/>
  <c r="V894"/>
  <c r="V893"/>
  <c r="V892"/>
  <c r="V891"/>
  <c r="V890"/>
  <c r="V889"/>
  <c r="V888"/>
  <c r="V887"/>
  <c r="V886"/>
  <c r="V885"/>
  <c r="V884"/>
  <c r="V883"/>
  <c r="V882"/>
  <c r="V881"/>
  <c r="V880"/>
  <c r="V879"/>
  <c r="V878"/>
  <c r="V877"/>
  <c r="V876"/>
  <c r="V875"/>
  <c r="V874"/>
  <c r="V873"/>
  <c r="V872"/>
  <c r="V871"/>
  <c r="V870"/>
  <c r="V869"/>
  <c r="V868"/>
  <c r="V867"/>
  <c r="V866"/>
  <c r="V865"/>
  <c r="V864"/>
  <c r="V863"/>
  <c r="V862"/>
  <c r="V861"/>
  <c r="V860"/>
  <c r="V859"/>
  <c r="V858"/>
  <c r="V857"/>
  <c r="V856"/>
  <c r="V855"/>
  <c r="V854"/>
  <c r="V853"/>
  <c r="V852"/>
  <c r="V851"/>
  <c r="V850"/>
  <c r="V849"/>
  <c r="V848"/>
  <c r="V847"/>
  <c r="V846"/>
  <c r="V845"/>
  <c r="V844"/>
  <c r="V843"/>
  <c r="V842"/>
  <c r="V841"/>
  <c r="V840"/>
  <c r="V839"/>
  <c r="V838"/>
  <c r="V837"/>
  <c r="V836"/>
  <c r="V835"/>
  <c r="V834"/>
  <c r="V833"/>
  <c r="V832"/>
  <c r="V831"/>
  <c r="V830"/>
  <c r="V829"/>
  <c r="V828"/>
  <c r="V827"/>
  <c r="V826"/>
  <c r="V825"/>
  <c r="V824"/>
  <c r="V823"/>
  <c r="V822"/>
  <c r="V821"/>
  <c r="V820"/>
  <c r="V819"/>
  <c r="V818"/>
  <c r="V817"/>
  <c r="V816"/>
  <c r="V815"/>
  <c r="V814"/>
  <c r="V813"/>
  <c r="V812"/>
  <c r="V811"/>
  <c r="V810"/>
  <c r="V809"/>
  <c r="V808"/>
  <c r="V807"/>
  <c r="V806"/>
  <c r="V805"/>
  <c r="V804"/>
  <c r="V803"/>
  <c r="V802"/>
  <c r="V801"/>
  <c r="V800"/>
  <c r="V799"/>
  <c r="V798"/>
  <c r="V797"/>
  <c r="V796"/>
  <c r="V795"/>
  <c r="V794"/>
  <c r="V793"/>
  <c r="V792"/>
  <c r="V791"/>
  <c r="V790"/>
  <c r="V789"/>
  <c r="V788"/>
  <c r="V787"/>
  <c r="V786"/>
  <c r="V785"/>
  <c r="V784"/>
  <c r="V783"/>
  <c r="V782"/>
  <c r="V781"/>
  <c r="V780"/>
  <c r="V779"/>
  <c r="V778"/>
  <c r="V777"/>
  <c r="V776"/>
  <c r="V775"/>
  <c r="V774"/>
  <c r="V773"/>
  <c r="V772"/>
  <c r="V771"/>
  <c r="V770"/>
  <c r="V769"/>
  <c r="V768"/>
  <c r="V767"/>
  <c r="V766"/>
  <c r="V765"/>
  <c r="V764"/>
  <c r="V763"/>
  <c r="V762"/>
  <c r="V761"/>
  <c r="V760"/>
  <c r="V759"/>
  <c r="V758"/>
  <c r="V757"/>
  <c r="V756"/>
  <c r="V755"/>
  <c r="V754"/>
  <c r="V753"/>
  <c r="V752"/>
  <c r="V751"/>
  <c r="V750"/>
  <c r="V749"/>
  <c r="V748"/>
  <c r="V747"/>
  <c r="V746"/>
  <c r="V745"/>
  <c r="V744"/>
  <c r="V743"/>
  <c r="V742"/>
  <c r="V741"/>
  <c r="V740"/>
  <c r="V739"/>
  <c r="V738"/>
  <c r="V737"/>
  <c r="V736"/>
  <c r="V735"/>
  <c r="V734"/>
  <c r="V733"/>
  <c r="V732"/>
  <c r="V731"/>
  <c r="V730"/>
  <c r="V729"/>
  <c r="V728"/>
  <c r="V727"/>
  <c r="V726"/>
  <c r="V725"/>
  <c r="V724"/>
  <c r="V723"/>
  <c r="V722"/>
  <c r="V721"/>
  <c r="V720"/>
  <c r="V719"/>
  <c r="V718"/>
  <c r="V717"/>
  <c r="V716"/>
  <c r="V715"/>
  <c r="V714"/>
  <c r="V713"/>
  <c r="V712"/>
  <c r="V711"/>
  <c r="V710"/>
  <c r="V709"/>
  <c r="V708"/>
  <c r="V707"/>
  <c r="V706"/>
  <c r="V705"/>
  <c r="V704"/>
  <c r="V703"/>
  <c r="V702"/>
  <c r="V701"/>
  <c r="V700"/>
  <c r="V699"/>
  <c r="V698"/>
  <c r="V697"/>
  <c r="V696"/>
  <c r="V695"/>
  <c r="V694"/>
  <c r="V693"/>
  <c r="V692"/>
  <c r="V691"/>
  <c r="V690"/>
  <c r="V689"/>
  <c r="V688"/>
  <c r="V687"/>
  <c r="V686"/>
  <c r="V685"/>
  <c r="V684"/>
  <c r="V683"/>
  <c r="V682"/>
  <c r="V681"/>
  <c r="V680"/>
  <c r="V679"/>
  <c r="V678"/>
  <c r="V677"/>
  <c r="V676"/>
  <c r="V675"/>
  <c r="V674"/>
  <c r="V673"/>
  <c r="V672"/>
  <c r="V671"/>
  <c r="V670"/>
  <c r="V669"/>
  <c r="V668"/>
  <c r="V667"/>
  <c r="V666"/>
  <c r="V665"/>
  <c r="V664"/>
  <c r="V663"/>
  <c r="V662"/>
  <c r="V661"/>
  <c r="V660"/>
  <c r="V659"/>
  <c r="V658"/>
  <c r="V657"/>
  <c r="V656"/>
  <c r="V655"/>
  <c r="V654"/>
  <c r="V653"/>
  <c r="V652"/>
  <c r="V651"/>
  <c r="V650"/>
  <c r="V649"/>
  <c r="V648"/>
  <c r="V647"/>
  <c r="V646"/>
  <c r="V645"/>
  <c r="V644"/>
  <c r="V643"/>
  <c r="V642"/>
  <c r="V641"/>
  <c r="V640"/>
  <c r="V639"/>
  <c r="V638"/>
  <c r="V637"/>
  <c r="V636"/>
  <c r="V635"/>
  <c r="V634"/>
  <c r="V633"/>
  <c r="V632"/>
  <c r="V631"/>
  <c r="V630"/>
  <c r="V629"/>
  <c r="V628"/>
  <c r="V627"/>
  <c r="V626"/>
  <c r="V625"/>
  <c r="V624"/>
  <c r="V623"/>
  <c r="V622"/>
  <c r="V621"/>
  <c r="V620"/>
  <c r="V619"/>
  <c r="V618"/>
  <c r="V617"/>
  <c r="V616"/>
  <c r="V615"/>
  <c r="V614"/>
  <c r="V613"/>
  <c r="V612"/>
  <c r="V611"/>
  <c r="V610"/>
  <c r="V609"/>
  <c r="V608"/>
  <c r="V607"/>
  <c r="V606"/>
  <c r="V605"/>
  <c r="V604"/>
  <c r="V603"/>
  <c r="V602"/>
  <c r="V601"/>
  <c r="V600"/>
  <c r="V599"/>
  <c r="V598"/>
  <c r="V597"/>
  <c r="V596"/>
  <c r="V595"/>
  <c r="V594"/>
  <c r="V593"/>
  <c r="V592"/>
  <c r="V591"/>
  <c r="V590"/>
  <c r="V589"/>
  <c r="V588"/>
  <c r="V587"/>
  <c r="V586"/>
  <c r="V585"/>
  <c r="V584"/>
  <c r="V583"/>
  <c r="V582"/>
  <c r="V581"/>
  <c r="V580"/>
  <c r="V579"/>
  <c r="V578"/>
  <c r="V577"/>
  <c r="V576"/>
  <c r="V575"/>
  <c r="V574"/>
  <c r="V573"/>
  <c r="V572"/>
  <c r="V571"/>
  <c r="V570"/>
  <c r="V569"/>
  <c r="V568"/>
  <c r="V567"/>
  <c r="V566"/>
  <c r="V565"/>
  <c r="V564"/>
  <c r="V563"/>
  <c r="V562"/>
  <c r="V561"/>
  <c r="V560"/>
  <c r="V559"/>
  <c r="V558"/>
  <c r="V557"/>
  <c r="V556"/>
  <c r="V555"/>
  <c r="V554"/>
  <c r="V553"/>
  <c r="V552"/>
  <c r="V551"/>
  <c r="V550"/>
  <c r="V549"/>
  <c r="V548"/>
  <c r="V547"/>
  <c r="V546"/>
  <c r="V545"/>
  <c r="V544"/>
  <c r="V543"/>
  <c r="V542"/>
  <c r="V541"/>
  <c r="V540"/>
  <c r="V539"/>
  <c r="V538"/>
  <c r="V537"/>
  <c r="V536"/>
  <c r="V535"/>
  <c r="V534"/>
  <c r="V533"/>
  <c r="V532"/>
  <c r="V531"/>
  <c r="V530"/>
  <c r="V529"/>
  <c r="V528"/>
  <c r="V527"/>
  <c r="V526"/>
  <c r="V525"/>
  <c r="V524"/>
  <c r="V523"/>
  <c r="V522"/>
  <c r="V521"/>
  <c r="V520"/>
  <c r="V519"/>
  <c r="V518"/>
  <c r="V517"/>
  <c r="V516"/>
  <c r="V515"/>
  <c r="V514"/>
  <c r="V513"/>
  <c r="V512"/>
  <c r="V511"/>
  <c r="V510"/>
  <c r="V509"/>
  <c r="V508"/>
  <c r="V507"/>
  <c r="V506"/>
  <c r="V505"/>
  <c r="V504"/>
  <c r="V503"/>
  <c r="V502"/>
  <c r="V501"/>
  <c r="V500"/>
  <c r="V499"/>
  <c r="V498"/>
  <c r="V497"/>
  <c r="V496"/>
  <c r="V495"/>
  <c r="V494"/>
  <c r="V493"/>
  <c r="V492"/>
  <c r="V491"/>
  <c r="V490"/>
  <c r="V489"/>
  <c r="V488"/>
  <c r="V487"/>
  <c r="V486"/>
  <c r="V485"/>
  <c r="V484"/>
  <c r="V483"/>
  <c r="V482"/>
  <c r="V481"/>
  <c r="V480"/>
  <c r="V479"/>
  <c r="V478"/>
  <c r="V477"/>
  <c r="V476"/>
  <c r="V475"/>
  <c r="V474"/>
  <c r="V473"/>
  <c r="V472"/>
  <c r="V471"/>
  <c r="V470"/>
  <c r="V469"/>
  <c r="V468"/>
  <c r="V467"/>
  <c r="V466"/>
  <c r="V465"/>
  <c r="V464"/>
  <c r="V463"/>
  <c r="V462"/>
  <c r="V461"/>
  <c r="V460"/>
  <c r="V459"/>
  <c r="V458"/>
  <c r="V457"/>
  <c r="V456"/>
  <c r="V455"/>
  <c r="V454"/>
  <c r="V453"/>
  <c r="V452"/>
  <c r="V451"/>
  <c r="V450"/>
  <c r="V449"/>
  <c r="V448"/>
  <c r="V447"/>
  <c r="V446"/>
  <c r="V445"/>
  <c r="V444"/>
  <c r="V443"/>
  <c r="V442"/>
  <c r="V441"/>
  <c r="V440"/>
  <c r="V439"/>
  <c r="V438"/>
  <c r="V437"/>
  <c r="V436"/>
  <c r="V435"/>
  <c r="V434"/>
  <c r="V433"/>
  <c r="V432"/>
  <c r="V431"/>
  <c r="V430"/>
  <c r="V429"/>
  <c r="V428"/>
  <c r="V427"/>
  <c r="V426"/>
  <c r="V425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4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"/>
  <c r="V1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M1"/>
  <c r="AT1189"/>
  <c r="AT1188"/>
  <c r="AT1187"/>
  <c r="AT1186"/>
  <c r="AT1185"/>
  <c r="AT1184"/>
  <c r="AT1183"/>
  <c r="AT1182"/>
  <c r="AT1181"/>
  <c r="AT1180"/>
  <c r="AT1179"/>
  <c r="AT1178"/>
  <c r="AT1177"/>
  <c r="AT1176"/>
  <c r="AT1175"/>
  <c r="AT1174"/>
  <c r="AT1173"/>
  <c r="AT1172"/>
  <c r="AT1171"/>
  <c r="AT1170"/>
  <c r="AT1169"/>
  <c r="AT1168"/>
  <c r="AT1167"/>
  <c r="AT1166"/>
  <c r="AT1165"/>
  <c r="AT1164"/>
  <c r="AT1163"/>
  <c r="AT1162"/>
  <c r="AT1161"/>
  <c r="AT1160"/>
  <c r="AT1159"/>
  <c r="AT1158"/>
  <c r="AT1157"/>
  <c r="AT1156"/>
  <c r="AT1155"/>
  <c r="AT1154"/>
  <c r="AT1153"/>
  <c r="AT1152"/>
  <c r="AT1151"/>
  <c r="AT1150"/>
  <c r="AT1149"/>
  <c r="AT1148"/>
  <c r="AT1147"/>
  <c r="AT1146"/>
  <c r="AT1145"/>
  <c r="AT1144"/>
  <c r="AT1143"/>
  <c r="AT1142"/>
  <c r="AT1141"/>
  <c r="AT1140"/>
  <c r="AT1139"/>
  <c r="AT1138"/>
  <c r="AT1137"/>
  <c r="AT1136"/>
  <c r="AT1135"/>
  <c r="AT1134"/>
  <c r="AT1133"/>
  <c r="AT1132"/>
  <c r="AT1131"/>
  <c r="AT1130"/>
  <c r="AT1129"/>
  <c r="AT1128"/>
  <c r="AT1127"/>
  <c r="AT1126"/>
  <c r="AT1125"/>
  <c r="AT1124"/>
  <c r="AT1123"/>
  <c r="AT1122"/>
  <c r="AT1121"/>
  <c r="AT1120"/>
  <c r="AT1119"/>
  <c r="AT1118"/>
  <c r="AT1117"/>
  <c r="AT1116"/>
  <c r="AT1115"/>
  <c r="AT1114"/>
  <c r="AT1113"/>
  <c r="AT1112"/>
  <c r="AT1111"/>
  <c r="AT1110"/>
  <c r="AT1109"/>
  <c r="AT1108"/>
  <c r="AT1107"/>
  <c r="AT1106"/>
  <c r="AT1105"/>
  <c r="AT1104"/>
  <c r="AT1103"/>
  <c r="AT1102"/>
  <c r="AT1101"/>
  <c r="AT1100"/>
  <c r="AT1099"/>
  <c r="AT1098"/>
  <c r="AT1097"/>
  <c r="AT1096"/>
  <c r="AT1095"/>
  <c r="AT1094"/>
  <c r="AT1093"/>
  <c r="AT1092"/>
  <c r="AT1091"/>
  <c r="AT1090"/>
  <c r="AT1089"/>
  <c r="AT1088"/>
  <c r="AT1087"/>
  <c r="AT1086"/>
  <c r="AT1085"/>
  <c r="AT1084"/>
  <c r="AT1083"/>
  <c r="AT1082"/>
  <c r="AT1081"/>
  <c r="AT1080"/>
  <c r="AT1079"/>
  <c r="AT1078"/>
  <c r="AT1077"/>
  <c r="AT1076"/>
  <c r="AT1075"/>
  <c r="AT1074"/>
  <c r="AT1073"/>
  <c r="AT1072"/>
  <c r="AT1071"/>
  <c r="AT1070"/>
  <c r="AT1069"/>
  <c r="AT1068"/>
  <c r="AT1067"/>
  <c r="AT1066"/>
  <c r="AT1065"/>
  <c r="AT1064"/>
  <c r="AT1063"/>
  <c r="AT1062"/>
  <c r="AT1061"/>
  <c r="AT1060"/>
  <c r="AT1059"/>
  <c r="AT1058"/>
  <c r="AT1057"/>
  <c r="AT1056"/>
  <c r="AT1055"/>
  <c r="AT1054"/>
  <c r="AT1053"/>
  <c r="AT1052"/>
  <c r="AT1051"/>
  <c r="AT1050"/>
  <c r="AT1049"/>
  <c r="AT1048"/>
  <c r="AT1047"/>
  <c r="AT1046"/>
  <c r="AT1045"/>
  <c r="AT1044"/>
  <c r="AT1043"/>
  <c r="AT1042"/>
  <c r="AT1041"/>
  <c r="AT1040"/>
  <c r="AT1039"/>
  <c r="AT1038"/>
  <c r="AT1037"/>
  <c r="AT1036"/>
  <c r="AT1035"/>
  <c r="AT1034"/>
  <c r="AT1033"/>
  <c r="AT1032"/>
  <c r="AT1031"/>
  <c r="AT1030"/>
  <c r="AT1029"/>
  <c r="AT1028"/>
  <c r="AT1027"/>
  <c r="AT1026"/>
  <c r="AT1025"/>
  <c r="AT1024"/>
  <c r="AT1023"/>
  <c r="AT1022"/>
  <c r="AT1021"/>
  <c r="AT1020"/>
  <c r="AT1019"/>
  <c r="AT1018"/>
  <c r="AT1017"/>
  <c r="AT1016"/>
  <c r="AT1015"/>
  <c r="AT1014"/>
  <c r="AT1013"/>
  <c r="AT1012"/>
  <c r="AT1011"/>
  <c r="AT1010"/>
  <c r="AT1009"/>
  <c r="AT1008"/>
  <c r="AT1007"/>
  <c r="AT1006"/>
  <c r="AT1005"/>
  <c r="AT1004"/>
  <c r="AT1003"/>
  <c r="AT1002"/>
  <c r="AT1001"/>
  <c r="AT1000"/>
  <c r="AT999"/>
  <c r="AT998"/>
  <c r="AT997"/>
  <c r="AT996"/>
  <c r="AT995"/>
  <c r="AT994"/>
  <c r="AT993"/>
  <c r="AT992"/>
  <c r="AT991"/>
  <c r="AT990"/>
  <c r="AT989"/>
  <c r="AT988"/>
  <c r="AT987"/>
  <c r="AT986"/>
  <c r="AT985"/>
  <c r="AT984"/>
  <c r="AT983"/>
  <c r="AT982"/>
  <c r="AT981"/>
  <c r="AT980"/>
  <c r="AT979"/>
  <c r="AT978"/>
  <c r="AT977"/>
  <c r="AT976"/>
  <c r="AT975"/>
  <c r="AT974"/>
  <c r="AT973"/>
  <c r="AT972"/>
  <c r="AT971"/>
  <c r="AT970"/>
  <c r="AT969"/>
  <c r="AT968"/>
  <c r="AT967"/>
  <c r="AT966"/>
  <c r="AT965"/>
  <c r="AT964"/>
  <c r="AT963"/>
  <c r="AT962"/>
  <c r="AT961"/>
  <c r="AT960"/>
  <c r="AT959"/>
  <c r="AT958"/>
  <c r="AT957"/>
  <c r="AT956"/>
  <c r="AT955"/>
  <c r="AT954"/>
  <c r="AT953"/>
  <c r="AT952"/>
  <c r="AT951"/>
  <c r="AT950"/>
  <c r="AT949"/>
  <c r="AT948"/>
  <c r="AT947"/>
  <c r="AT946"/>
  <c r="AT945"/>
  <c r="AT944"/>
  <c r="AT943"/>
  <c r="AT942"/>
  <c r="AT941"/>
  <c r="AT940"/>
  <c r="AT939"/>
  <c r="AT938"/>
  <c r="AT937"/>
  <c r="AT936"/>
  <c r="AT935"/>
  <c r="AT934"/>
  <c r="AT933"/>
  <c r="AT932"/>
  <c r="AT931"/>
  <c r="AT930"/>
  <c r="AT929"/>
  <c r="AT928"/>
  <c r="AT927"/>
  <c r="AT926"/>
  <c r="AT925"/>
  <c r="AT924"/>
  <c r="AT923"/>
  <c r="AT922"/>
  <c r="AT921"/>
  <c r="AT920"/>
  <c r="AT919"/>
  <c r="AT918"/>
  <c r="AT917"/>
  <c r="AT916"/>
  <c r="AT915"/>
  <c r="AT914"/>
  <c r="AT913"/>
  <c r="AT912"/>
  <c r="AT911"/>
  <c r="AT910"/>
  <c r="AT909"/>
  <c r="AT908"/>
  <c r="AT907"/>
  <c r="AT906"/>
  <c r="AT905"/>
  <c r="AT904"/>
  <c r="AT903"/>
  <c r="AT902"/>
  <c r="AT901"/>
  <c r="AT900"/>
  <c r="AT899"/>
  <c r="AT898"/>
  <c r="AT897"/>
  <c r="AT896"/>
  <c r="AT895"/>
  <c r="AT894"/>
  <c r="AT893"/>
  <c r="AT892"/>
  <c r="AT891"/>
  <c r="AT890"/>
  <c r="AT889"/>
  <c r="AT888"/>
  <c r="AT887"/>
  <c r="AT886"/>
  <c r="AT885"/>
  <c r="AT884"/>
  <c r="AT883"/>
  <c r="AT882"/>
  <c r="AT881"/>
  <c r="AT880"/>
  <c r="AT879"/>
  <c r="AT878"/>
  <c r="AT877"/>
  <c r="AT876"/>
  <c r="AT875"/>
  <c r="AT874"/>
  <c r="AT873"/>
  <c r="AT872"/>
  <c r="AT871"/>
  <c r="AT870"/>
  <c r="AT869"/>
  <c r="AT868"/>
  <c r="AT867"/>
  <c r="AT866"/>
  <c r="AT865"/>
  <c r="AT864"/>
  <c r="AT863"/>
  <c r="AT862"/>
  <c r="AT861"/>
  <c r="AT860"/>
  <c r="AT859"/>
  <c r="AT858"/>
  <c r="AT857"/>
  <c r="AT856"/>
  <c r="AT855"/>
  <c r="AT854"/>
  <c r="AT853"/>
  <c r="AT852"/>
  <c r="AT851"/>
  <c r="AT850"/>
  <c r="AT849"/>
  <c r="AT848"/>
  <c r="AT847"/>
  <c r="AT846"/>
  <c r="AT845"/>
  <c r="AT844"/>
  <c r="AT843"/>
  <c r="AT842"/>
  <c r="AT841"/>
  <c r="AT840"/>
  <c r="AT839"/>
  <c r="AT838"/>
  <c r="AT837"/>
  <c r="AT836"/>
  <c r="AT835"/>
  <c r="AT834"/>
  <c r="AT833"/>
  <c r="AT832"/>
  <c r="AT831"/>
  <c r="AT830"/>
  <c r="AT829"/>
  <c r="AT828"/>
  <c r="AT827"/>
  <c r="AT826"/>
  <c r="AT825"/>
  <c r="AT824"/>
  <c r="AT823"/>
  <c r="AT822"/>
  <c r="AT821"/>
  <c r="AT820"/>
  <c r="AT819"/>
  <c r="AT818"/>
  <c r="AT817"/>
  <c r="AT816"/>
  <c r="AT815"/>
  <c r="AT814"/>
  <c r="AT813"/>
  <c r="AT812"/>
  <c r="AT811"/>
  <c r="AT810"/>
  <c r="AT809"/>
  <c r="AT808"/>
  <c r="AT807"/>
  <c r="AT806"/>
  <c r="AT805"/>
  <c r="AT804"/>
  <c r="AT803"/>
  <c r="AT802"/>
  <c r="AT801"/>
  <c r="AT800"/>
  <c r="AT799"/>
  <c r="AT798"/>
  <c r="AT797"/>
  <c r="AT796"/>
  <c r="AT795"/>
  <c r="AT794"/>
  <c r="AT793"/>
  <c r="AT792"/>
  <c r="AT791"/>
  <c r="AT790"/>
  <c r="AT789"/>
  <c r="AT788"/>
  <c r="AT787"/>
  <c r="AT786"/>
  <c r="AT785"/>
  <c r="AT784"/>
  <c r="AT783"/>
  <c r="AT782"/>
  <c r="AT781"/>
  <c r="AT780"/>
  <c r="AT779"/>
  <c r="AT778"/>
  <c r="AT777"/>
  <c r="AT776"/>
  <c r="AT775"/>
  <c r="AT774"/>
  <c r="AT773"/>
  <c r="AT772"/>
  <c r="AT771"/>
  <c r="AT770"/>
  <c r="AT769"/>
  <c r="AT768"/>
  <c r="AT767"/>
  <c r="AT766"/>
  <c r="AT765"/>
  <c r="AT764"/>
  <c r="AT763"/>
  <c r="AT762"/>
  <c r="AT761"/>
  <c r="AT760"/>
  <c r="AT759"/>
  <c r="AT758"/>
  <c r="AT757"/>
  <c r="AT756"/>
  <c r="AT755"/>
  <c r="AT754"/>
  <c r="AT753"/>
  <c r="AT752"/>
  <c r="AT751"/>
  <c r="AT750"/>
  <c r="AT749"/>
  <c r="AT748"/>
  <c r="AT747"/>
  <c r="AT746"/>
  <c r="AT745"/>
  <c r="AT744"/>
  <c r="AT743"/>
  <c r="AT742"/>
  <c r="AT741"/>
  <c r="AT740"/>
  <c r="AT739"/>
  <c r="AT738"/>
  <c r="AT737"/>
  <c r="AT736"/>
  <c r="AT735"/>
  <c r="AT734"/>
  <c r="AT733"/>
  <c r="AT732"/>
  <c r="AT731"/>
  <c r="AT730"/>
  <c r="AT729"/>
  <c r="AT728"/>
  <c r="AT727"/>
  <c r="AT726"/>
  <c r="AT725"/>
  <c r="AT724"/>
  <c r="AT723"/>
  <c r="AT722"/>
  <c r="AT721"/>
  <c r="AT720"/>
  <c r="AT719"/>
  <c r="AT718"/>
  <c r="AT717"/>
  <c r="AT716"/>
  <c r="AT715"/>
  <c r="AT714"/>
  <c r="AT713"/>
  <c r="AT712"/>
  <c r="AT711"/>
  <c r="AT710"/>
  <c r="AT709"/>
  <c r="AT708"/>
  <c r="AT707"/>
  <c r="AT706"/>
  <c r="AT705"/>
  <c r="AT704"/>
  <c r="AT703"/>
  <c r="AT702"/>
  <c r="AT701"/>
  <c r="AT700"/>
  <c r="AT699"/>
  <c r="AT698"/>
  <c r="AT697"/>
  <c r="AT696"/>
  <c r="AT695"/>
  <c r="AT694"/>
  <c r="AT693"/>
  <c r="AT692"/>
  <c r="AT691"/>
  <c r="AT690"/>
  <c r="AT689"/>
  <c r="AT688"/>
  <c r="AT687"/>
  <c r="AT686"/>
  <c r="AT685"/>
  <c r="AT684"/>
  <c r="AT683"/>
  <c r="AT682"/>
  <c r="AT681"/>
  <c r="AT680"/>
  <c r="AT679"/>
  <c r="AT678"/>
  <c r="AT677"/>
  <c r="AT676"/>
  <c r="AT675"/>
  <c r="AT674"/>
  <c r="AT673"/>
  <c r="AT672"/>
  <c r="AT671"/>
  <c r="AT670"/>
  <c r="AT669"/>
  <c r="AT668"/>
  <c r="AT667"/>
  <c r="AT666"/>
  <c r="AT665"/>
  <c r="AT664"/>
  <c r="AT663"/>
  <c r="AT662"/>
  <c r="AT661"/>
  <c r="AT660"/>
  <c r="AT659"/>
  <c r="AT658"/>
  <c r="AT657"/>
  <c r="AT656"/>
  <c r="AT655"/>
  <c r="AT654"/>
  <c r="AT653"/>
  <c r="AT652"/>
  <c r="AT651"/>
  <c r="AT650"/>
  <c r="AT649"/>
  <c r="AT648"/>
  <c r="AT647"/>
  <c r="AT646"/>
  <c r="AT645"/>
  <c r="AT644"/>
  <c r="AT643"/>
  <c r="AT642"/>
  <c r="AT641"/>
  <c r="AT640"/>
  <c r="AT639"/>
  <c r="AT638"/>
  <c r="AT637"/>
  <c r="AT636"/>
  <c r="AT635"/>
  <c r="AT634"/>
  <c r="AT633"/>
  <c r="AT632"/>
  <c r="AT631"/>
  <c r="AT630"/>
  <c r="AT629"/>
  <c r="AT628"/>
  <c r="AT627"/>
  <c r="AT626"/>
  <c r="AT625"/>
  <c r="AT624"/>
  <c r="AT623"/>
  <c r="AT622"/>
  <c r="AT621"/>
  <c r="AT620"/>
  <c r="AT619"/>
  <c r="AT618"/>
  <c r="AT617"/>
  <c r="AT616"/>
  <c r="AT615"/>
  <c r="AT614"/>
  <c r="AT613"/>
  <c r="AT612"/>
  <c r="AT611"/>
  <c r="AT610"/>
  <c r="AT609"/>
  <c r="AT608"/>
  <c r="AT607"/>
  <c r="AT606"/>
  <c r="AT605"/>
  <c r="AT604"/>
  <c r="AT603"/>
  <c r="AT602"/>
  <c r="AT601"/>
  <c r="AT600"/>
  <c r="AT599"/>
  <c r="AT598"/>
  <c r="AT597"/>
  <c r="AT596"/>
  <c r="AT595"/>
  <c r="AT594"/>
  <c r="AT593"/>
  <c r="AT592"/>
  <c r="AT591"/>
  <c r="AT590"/>
  <c r="AT589"/>
  <c r="AT588"/>
  <c r="AT587"/>
  <c r="AT586"/>
  <c r="AT585"/>
  <c r="AT584"/>
  <c r="AT583"/>
  <c r="AT582"/>
  <c r="AT581"/>
  <c r="AT580"/>
  <c r="AT579"/>
  <c r="AT578"/>
  <c r="AT577"/>
  <c r="AT576"/>
  <c r="AT575"/>
  <c r="AT574"/>
  <c r="AT573"/>
  <c r="AT572"/>
  <c r="AT571"/>
  <c r="AT570"/>
  <c r="AT569"/>
  <c r="AT568"/>
  <c r="AT567"/>
  <c r="AT566"/>
  <c r="AT565"/>
  <c r="AT564"/>
  <c r="AT563"/>
  <c r="AT562"/>
  <c r="AT561"/>
  <c r="AT560"/>
  <c r="AT559"/>
  <c r="AT558"/>
  <c r="AT557"/>
  <c r="AT556"/>
  <c r="AT555"/>
  <c r="AT554"/>
  <c r="AT553"/>
  <c r="AT552"/>
  <c r="AT551"/>
  <c r="AT550"/>
  <c r="AT549"/>
  <c r="AT548"/>
  <c r="AT547"/>
  <c r="AT546"/>
  <c r="AT545"/>
  <c r="AT544"/>
  <c r="AT543"/>
  <c r="AT542"/>
  <c r="AT541"/>
  <c r="AT540"/>
  <c r="AT539"/>
  <c r="AT538"/>
  <c r="AT537"/>
  <c r="AT536"/>
  <c r="AT535"/>
  <c r="AT534"/>
  <c r="AT533"/>
  <c r="AT532"/>
  <c r="AT531"/>
  <c r="AT530"/>
  <c r="AT529"/>
  <c r="AT528"/>
  <c r="AT527"/>
  <c r="AT526"/>
  <c r="AT525"/>
  <c r="AT524"/>
  <c r="AT523"/>
  <c r="AT522"/>
  <c r="AT521"/>
  <c r="AT520"/>
  <c r="AT519"/>
  <c r="AT518"/>
  <c r="AT517"/>
  <c r="AT516"/>
  <c r="AT515"/>
  <c r="AT514"/>
  <c r="AT513"/>
  <c r="AT512"/>
  <c r="AT511"/>
  <c r="AT510"/>
  <c r="AT509"/>
  <c r="AT508"/>
  <c r="AT507"/>
  <c r="AT506"/>
  <c r="AT505"/>
  <c r="AT504"/>
  <c r="AT503"/>
  <c r="AT502"/>
  <c r="AT501"/>
  <c r="AT500"/>
  <c r="AT499"/>
  <c r="AT498"/>
  <c r="AT497"/>
  <c r="AT496"/>
  <c r="AT495"/>
  <c r="AT494"/>
  <c r="AT493"/>
  <c r="AT492"/>
  <c r="AT491"/>
  <c r="AT490"/>
  <c r="AT489"/>
  <c r="AT488"/>
  <c r="AT487"/>
  <c r="AT486"/>
  <c r="AT485"/>
  <c r="AT484"/>
  <c r="AT483"/>
  <c r="AT482"/>
  <c r="AT481"/>
  <c r="AT480"/>
  <c r="AT479"/>
  <c r="AT478"/>
  <c r="AT477"/>
  <c r="AT476"/>
  <c r="AT475"/>
  <c r="AT474"/>
  <c r="AT473"/>
  <c r="AT472"/>
  <c r="AT471"/>
  <c r="AT470"/>
  <c r="AT469"/>
  <c r="AT468"/>
  <c r="AT467"/>
  <c r="AT466"/>
  <c r="AT465"/>
  <c r="AT464"/>
  <c r="AT463"/>
  <c r="AT462"/>
  <c r="AT461"/>
  <c r="AT460"/>
  <c r="AT459"/>
  <c r="AT458"/>
  <c r="AT457"/>
  <c r="AT456"/>
  <c r="AT455"/>
  <c r="AT454"/>
  <c r="AT453"/>
  <c r="AT452"/>
  <c r="AT451"/>
  <c r="AT450"/>
  <c r="AT449"/>
  <c r="AT448"/>
  <c r="AT447"/>
  <c r="AT446"/>
  <c r="AT445"/>
  <c r="AT444"/>
  <c r="AT443"/>
  <c r="AT442"/>
  <c r="AT441"/>
  <c r="AT440"/>
  <c r="AT439"/>
  <c r="AT438"/>
  <c r="AT437"/>
  <c r="AT436"/>
  <c r="AT435"/>
  <c r="AT434"/>
  <c r="AT433"/>
  <c r="AT432"/>
  <c r="AT431"/>
  <c r="AT430"/>
  <c r="AT429"/>
  <c r="AT428"/>
  <c r="AT427"/>
  <c r="AT426"/>
  <c r="AT425"/>
  <c r="AT424"/>
  <c r="AT423"/>
  <c r="AT422"/>
  <c r="AT421"/>
  <c r="AT420"/>
  <c r="AT419"/>
  <c r="AT418"/>
  <c r="AT417"/>
  <c r="AT416"/>
  <c r="AT415"/>
  <c r="AT414"/>
  <c r="AT413"/>
  <c r="AT412"/>
  <c r="AT411"/>
  <c r="AT410"/>
  <c r="AT409"/>
  <c r="AT408"/>
  <c r="AT407"/>
  <c r="AT406"/>
  <c r="AT405"/>
  <c r="AT404"/>
  <c r="AT403"/>
  <c r="AT402"/>
  <c r="AT401"/>
  <c r="AT400"/>
  <c r="AT399"/>
  <c r="AT398"/>
  <c r="AT397"/>
  <c r="AT396"/>
  <c r="AT395"/>
  <c r="AT394"/>
  <c r="AT393"/>
  <c r="AT392"/>
  <c r="AT391"/>
  <c r="AT390"/>
  <c r="AT389"/>
  <c r="AT388"/>
  <c r="AT387"/>
  <c r="AT386"/>
  <c r="AT385"/>
  <c r="AT384"/>
  <c r="AT383"/>
  <c r="AT382"/>
  <c r="AT381"/>
  <c r="AT380"/>
  <c r="AT379"/>
  <c r="AT378"/>
  <c r="AT377"/>
  <c r="AT376"/>
  <c r="AT375"/>
  <c r="AT374"/>
  <c r="AT373"/>
  <c r="AT372"/>
  <c r="AT371"/>
  <c r="AT370"/>
  <c r="AT369"/>
  <c r="AT368"/>
  <c r="AT367"/>
  <c r="AT366"/>
  <c r="AT365"/>
  <c r="AT364"/>
  <c r="AT363"/>
  <c r="AT362"/>
  <c r="AT361"/>
  <c r="AT360"/>
  <c r="AT359"/>
  <c r="AT358"/>
  <c r="AT357"/>
  <c r="AT356"/>
  <c r="AT355"/>
  <c r="AT354"/>
  <c r="AT353"/>
  <c r="AT352"/>
  <c r="AT351"/>
  <c r="AT350"/>
  <c r="AT349"/>
  <c r="AT348"/>
  <c r="AT347"/>
  <c r="AT346"/>
  <c r="AT345"/>
  <c r="AT344"/>
  <c r="AT343"/>
  <c r="AT342"/>
  <c r="AT341"/>
  <c r="AT340"/>
  <c r="AT339"/>
  <c r="AT338"/>
  <c r="AT337"/>
  <c r="AT336"/>
  <c r="AT335"/>
  <c r="AT334"/>
  <c r="AT333"/>
  <c r="AT332"/>
  <c r="AT331"/>
  <c r="AT330"/>
  <c r="AT329"/>
  <c r="AT328"/>
  <c r="AT327"/>
  <c r="AT326"/>
  <c r="AT325"/>
  <c r="AT324"/>
  <c r="AT323"/>
  <c r="AT322"/>
  <c r="AT321"/>
  <c r="AT320"/>
  <c r="AT319"/>
  <c r="AT318"/>
  <c r="AT317"/>
  <c r="AT316"/>
  <c r="AT315"/>
  <c r="AT314"/>
  <c r="AT313"/>
  <c r="AT312"/>
  <c r="AT311"/>
  <c r="AT310"/>
  <c r="AT309"/>
  <c r="AT308"/>
  <c r="AT307"/>
  <c r="AT306"/>
  <c r="AT305"/>
  <c r="AT304"/>
  <c r="AT303"/>
  <c r="AT302"/>
  <c r="AT301"/>
  <c r="AT300"/>
  <c r="AT299"/>
  <c r="AT298"/>
  <c r="AT297"/>
  <c r="AT296"/>
  <c r="AT295"/>
  <c r="AT294"/>
  <c r="AT293"/>
  <c r="AT292"/>
  <c r="AT291"/>
  <c r="AT290"/>
  <c r="AT289"/>
  <c r="AT288"/>
  <c r="AT287"/>
  <c r="AT286"/>
  <c r="AT285"/>
  <c r="AT284"/>
  <c r="AT283"/>
  <c r="AT282"/>
  <c r="AT281"/>
  <c r="AT280"/>
  <c r="AT279"/>
  <c r="AT278"/>
  <c r="AT277"/>
  <c r="AT276"/>
  <c r="AT275"/>
  <c r="AT274"/>
  <c r="AT273"/>
  <c r="AT272"/>
  <c r="AT271"/>
  <c r="AT270"/>
  <c r="AT269"/>
  <c r="AT268"/>
  <c r="AT267"/>
  <c r="AT266"/>
  <c r="AT265"/>
  <c r="AT264"/>
  <c r="AT263"/>
  <c r="AT262"/>
  <c r="AT261"/>
  <c r="AT260"/>
  <c r="AT259"/>
  <c r="AT258"/>
  <c r="AT257"/>
  <c r="AT256"/>
  <c r="AT255"/>
  <c r="AT254"/>
  <c r="AT253"/>
  <c r="AT252"/>
  <c r="AT251"/>
  <c r="AT250"/>
  <c r="AT249"/>
  <c r="AT248"/>
  <c r="AT247"/>
  <c r="AT246"/>
  <c r="AT245"/>
  <c r="AT244"/>
  <c r="AT243"/>
  <c r="AT242"/>
  <c r="AT241"/>
  <c r="AT240"/>
  <c r="AT239"/>
  <c r="AT238"/>
  <c r="AT237"/>
  <c r="AT236"/>
  <c r="AT235"/>
  <c r="AT234"/>
  <c r="AT233"/>
  <c r="AT232"/>
  <c r="AT231"/>
  <c r="AT230"/>
  <c r="AT229"/>
  <c r="AT228"/>
  <c r="AT227"/>
  <c r="AT226"/>
  <c r="AT225"/>
  <c r="AT224"/>
  <c r="AT223"/>
  <c r="AT222"/>
  <c r="AT221"/>
  <c r="AT220"/>
  <c r="AT219"/>
  <c r="AT218"/>
  <c r="AT217"/>
  <c r="AT216"/>
  <c r="AT215"/>
  <c r="AT214"/>
  <c r="AT213"/>
  <c r="AT212"/>
  <c r="AT211"/>
  <c r="AT210"/>
  <c r="AT209"/>
  <c r="AT208"/>
  <c r="AT207"/>
  <c r="AT206"/>
  <c r="AT205"/>
  <c r="AT204"/>
  <c r="AT203"/>
  <c r="AT202"/>
  <c r="AT201"/>
  <c r="AT200"/>
  <c r="AT199"/>
  <c r="AT198"/>
  <c r="AT197"/>
  <c r="AT196"/>
  <c r="AT195"/>
  <c r="AT194"/>
  <c r="AT193"/>
  <c r="AT192"/>
  <c r="AT191"/>
  <c r="AT190"/>
  <c r="AT189"/>
  <c r="AT188"/>
  <c r="AT187"/>
  <c r="AT186"/>
  <c r="AT185"/>
  <c r="AT184"/>
  <c r="AT183"/>
  <c r="AT182"/>
  <c r="AT181"/>
  <c r="AT180"/>
  <c r="AT179"/>
  <c r="AT178"/>
  <c r="AT177"/>
  <c r="AT176"/>
  <c r="AT175"/>
  <c r="AT174"/>
  <c r="AT173"/>
  <c r="AT172"/>
  <c r="AT171"/>
  <c r="AT170"/>
  <c r="AT169"/>
  <c r="AT168"/>
  <c r="AT167"/>
  <c r="AT166"/>
  <c r="AT165"/>
  <c r="AT164"/>
  <c r="AT163"/>
  <c r="AT162"/>
  <c r="AT161"/>
  <c r="AT160"/>
  <c r="AT159"/>
  <c r="AT158"/>
  <c r="AT157"/>
  <c r="AT156"/>
  <c r="AT155"/>
  <c r="AT154"/>
  <c r="AT153"/>
  <c r="AT152"/>
  <c r="AT151"/>
  <c r="AT150"/>
  <c r="AT149"/>
  <c r="AT148"/>
  <c r="AT147"/>
  <c r="AT146"/>
  <c r="AT145"/>
  <c r="AT144"/>
  <c r="AT143"/>
  <c r="AT142"/>
  <c r="AT141"/>
  <c r="AT140"/>
  <c r="AT139"/>
  <c r="AT138"/>
  <c r="AT137"/>
  <c r="AT136"/>
  <c r="AT135"/>
  <c r="AT134"/>
  <c r="AT133"/>
  <c r="AT132"/>
  <c r="AT131"/>
  <c r="AT130"/>
  <c r="AT129"/>
  <c r="AT128"/>
  <c r="AT127"/>
  <c r="AT126"/>
  <c r="AT125"/>
  <c r="AT124"/>
  <c r="AT123"/>
  <c r="AT122"/>
  <c r="AT121"/>
  <c r="AT120"/>
  <c r="AT119"/>
  <c r="AT118"/>
  <c r="AT117"/>
  <c r="AT116"/>
  <c r="AT115"/>
  <c r="AT114"/>
  <c r="AT113"/>
  <c r="AT112"/>
  <c r="AT111"/>
  <c r="AT110"/>
  <c r="AT109"/>
  <c r="AT108"/>
  <c r="AT107"/>
  <c r="AT106"/>
  <c r="AT105"/>
  <c r="AT104"/>
  <c r="AT103"/>
  <c r="AT102"/>
  <c r="AT101"/>
  <c r="AT100"/>
  <c r="AT99"/>
  <c r="AT98"/>
  <c r="AT97"/>
  <c r="AT96"/>
  <c r="AT95"/>
  <c r="AT94"/>
  <c r="AT93"/>
  <c r="AT92"/>
  <c r="AT91"/>
  <c r="AT90"/>
  <c r="AT89"/>
  <c r="AT88"/>
  <c r="AT87"/>
  <c r="AT86"/>
  <c r="AT85"/>
  <c r="AT84"/>
  <c r="AT83"/>
  <c r="AT82"/>
  <c r="AT81"/>
  <c r="AT80"/>
  <c r="AT79"/>
  <c r="AT78"/>
  <c r="AT77"/>
  <c r="AT76"/>
  <c r="AT75"/>
  <c r="AT74"/>
  <c r="AT73"/>
  <c r="AT72"/>
  <c r="AT71"/>
  <c r="AT70"/>
  <c r="AT69"/>
  <c r="AT68"/>
  <c r="AT67"/>
  <c r="AT66"/>
  <c r="AT65"/>
  <c r="AT64"/>
  <c r="AT63"/>
  <c r="AT62"/>
  <c r="AT61"/>
  <c r="AT60"/>
  <c r="AT59"/>
  <c r="AT58"/>
  <c r="AT57"/>
  <c r="AT56"/>
  <c r="AT55"/>
  <c r="AT54"/>
  <c r="AT53"/>
  <c r="AT52"/>
  <c r="AT51"/>
  <c r="AT50"/>
  <c r="AT49"/>
  <c r="AT48"/>
  <c r="AT47"/>
  <c r="AT46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T7"/>
  <c r="AT6"/>
  <c r="AT5"/>
  <c r="AT4"/>
  <c r="AT3"/>
  <c r="AT2"/>
  <c r="AT1"/>
  <c r="AC1189"/>
  <c r="AC1188"/>
  <c r="AC1187"/>
  <c r="AC1186"/>
  <c r="AC1185"/>
  <c r="AC1184"/>
  <c r="AC1183"/>
  <c r="AC1182"/>
  <c r="AC1181"/>
  <c r="AC1180"/>
  <c r="AC1179"/>
  <c r="AC1178"/>
  <c r="AC1177"/>
  <c r="AC1176"/>
  <c r="AC1175"/>
  <c r="AC1174"/>
  <c r="AC1173"/>
  <c r="AC1172"/>
  <c r="AC1171"/>
  <c r="AC1170"/>
  <c r="AC1169"/>
  <c r="AC1168"/>
  <c r="AC1167"/>
  <c r="AC1166"/>
  <c r="AC1165"/>
  <c r="AC1164"/>
  <c r="AC1163"/>
  <c r="AC1162"/>
  <c r="AC1161"/>
  <c r="AC1160"/>
  <c r="AC1159"/>
  <c r="AC1158"/>
  <c r="AC1157"/>
  <c r="AC1156"/>
  <c r="AC1155"/>
  <c r="AC1154"/>
  <c r="AC1153"/>
  <c r="AC1152"/>
  <c r="AC1151"/>
  <c r="AC1150"/>
  <c r="AC1149"/>
  <c r="AC1148"/>
  <c r="AC1147"/>
  <c r="AC1146"/>
  <c r="AC1145"/>
  <c r="AC1144"/>
  <c r="AC1143"/>
  <c r="AC1142"/>
  <c r="AC1141"/>
  <c r="AC1140"/>
  <c r="AC1139"/>
  <c r="AC1138"/>
  <c r="AC1137"/>
  <c r="AC1136"/>
  <c r="AC1135"/>
  <c r="AC1134"/>
  <c r="AC1133"/>
  <c r="AC1132"/>
  <c r="AC1131"/>
  <c r="AC1130"/>
  <c r="AC1129"/>
  <c r="AC1128"/>
  <c r="AC1127"/>
  <c r="AC1126"/>
  <c r="AC1125"/>
  <c r="AC1124"/>
  <c r="AC1123"/>
  <c r="AC1122"/>
  <c r="AC1121"/>
  <c r="AC1120"/>
  <c r="AC1119"/>
  <c r="AC1118"/>
  <c r="AC1117"/>
  <c r="AC1116"/>
  <c r="AC1115"/>
  <c r="AC1114"/>
  <c r="AC1113"/>
  <c r="AC1112"/>
  <c r="AC1111"/>
  <c r="AC1110"/>
  <c r="AC1109"/>
  <c r="AC1108"/>
  <c r="AC1107"/>
  <c r="AC1106"/>
  <c r="AC1105"/>
  <c r="AC1104"/>
  <c r="AC1103"/>
  <c r="AC1102"/>
  <c r="AC1101"/>
  <c r="AC1100"/>
  <c r="AC1099"/>
  <c r="AC1098"/>
  <c r="AC1097"/>
  <c r="AC1096"/>
  <c r="AC1095"/>
  <c r="AC1094"/>
  <c r="AC1093"/>
  <c r="AC1092"/>
  <c r="AC1091"/>
  <c r="AC1090"/>
  <c r="AC1089"/>
  <c r="AC1088"/>
  <c r="AC1087"/>
  <c r="AC1086"/>
  <c r="AC1085"/>
  <c r="AC1084"/>
  <c r="AC1083"/>
  <c r="AC1082"/>
  <c r="AC1081"/>
  <c r="AC1080"/>
  <c r="AC1079"/>
  <c r="AC1078"/>
  <c r="AC1077"/>
  <c r="AC1076"/>
  <c r="AC1075"/>
  <c r="AC1074"/>
  <c r="AC1073"/>
  <c r="AC1072"/>
  <c r="AC1071"/>
  <c r="AC1070"/>
  <c r="AC1069"/>
  <c r="AC1068"/>
  <c r="AC1067"/>
  <c r="AC1066"/>
  <c r="AC1065"/>
  <c r="AC1064"/>
  <c r="AC1063"/>
  <c r="AC1062"/>
  <c r="AC1061"/>
  <c r="AC1060"/>
  <c r="AC1059"/>
  <c r="AC1058"/>
  <c r="AC1057"/>
  <c r="AC1056"/>
  <c r="AC1055"/>
  <c r="AC1054"/>
  <c r="AC1053"/>
  <c r="AC1052"/>
  <c r="AC1051"/>
  <c r="AC1050"/>
  <c r="AC1049"/>
  <c r="AC1048"/>
  <c r="AC1047"/>
  <c r="AC1046"/>
  <c r="AC1045"/>
  <c r="AC1044"/>
  <c r="AC1043"/>
  <c r="AC1042"/>
  <c r="AC1041"/>
  <c r="AC1040"/>
  <c r="AC1039"/>
  <c r="AC1038"/>
  <c r="AC1037"/>
  <c r="AC1036"/>
  <c r="AC1035"/>
  <c r="AC1034"/>
  <c r="AC1033"/>
  <c r="AC1032"/>
  <c r="AC1031"/>
  <c r="AC1030"/>
  <c r="AC1029"/>
  <c r="AC1028"/>
  <c r="AC1027"/>
  <c r="AC1026"/>
  <c r="AC1025"/>
  <c r="AC1024"/>
  <c r="AC1023"/>
  <c r="AC1022"/>
  <c r="AC1021"/>
  <c r="AC1020"/>
  <c r="AC1019"/>
  <c r="AC1018"/>
  <c r="AC1017"/>
  <c r="AC1016"/>
  <c r="AC1015"/>
  <c r="AC1014"/>
  <c r="AC1013"/>
  <c r="AC1012"/>
  <c r="AC1011"/>
  <c r="AC1010"/>
  <c r="AC1009"/>
  <c r="AC1008"/>
  <c r="AC1007"/>
  <c r="AC1006"/>
  <c r="AC1005"/>
  <c r="AC1004"/>
  <c r="AC1003"/>
  <c r="AC1002"/>
  <c r="AC1001"/>
  <c r="AC1000"/>
  <c r="AC999"/>
  <c r="AC998"/>
  <c r="AC997"/>
  <c r="AC996"/>
  <c r="AC995"/>
  <c r="AC994"/>
  <c r="AC993"/>
  <c r="AC992"/>
  <c r="AC991"/>
  <c r="AC990"/>
  <c r="AC989"/>
  <c r="AC988"/>
  <c r="AC987"/>
  <c r="AC986"/>
  <c r="AC985"/>
  <c r="AC984"/>
  <c r="AC983"/>
  <c r="AC982"/>
  <c r="AC981"/>
  <c r="AC980"/>
  <c r="AC979"/>
  <c r="AC978"/>
  <c r="AC977"/>
  <c r="AC976"/>
  <c r="AC975"/>
  <c r="AC974"/>
  <c r="AC973"/>
  <c r="AC972"/>
  <c r="AC971"/>
  <c r="AC970"/>
  <c r="AC969"/>
  <c r="AC968"/>
  <c r="AC967"/>
  <c r="AC966"/>
  <c r="AC965"/>
  <c r="AC964"/>
  <c r="AC963"/>
  <c r="AC962"/>
  <c r="AC961"/>
  <c r="AC960"/>
  <c r="AC959"/>
  <c r="AC958"/>
  <c r="AC957"/>
  <c r="AC956"/>
  <c r="AC955"/>
  <c r="AC954"/>
  <c r="AC953"/>
  <c r="AC952"/>
  <c r="AC951"/>
  <c r="AC950"/>
  <c r="AC949"/>
  <c r="AC948"/>
  <c r="AC947"/>
  <c r="AC946"/>
  <c r="AC945"/>
  <c r="AC944"/>
  <c r="AC943"/>
  <c r="AC942"/>
  <c r="AC941"/>
  <c r="AC940"/>
  <c r="AC939"/>
  <c r="AC938"/>
  <c r="AC937"/>
  <c r="AC936"/>
  <c r="AC935"/>
  <c r="AC934"/>
  <c r="AC933"/>
  <c r="AC932"/>
  <c r="AC931"/>
  <c r="AC930"/>
  <c r="AC929"/>
  <c r="AC928"/>
  <c r="AC927"/>
  <c r="AC926"/>
  <c r="AC925"/>
  <c r="AC924"/>
  <c r="AC923"/>
  <c r="AC922"/>
  <c r="AC921"/>
  <c r="AC920"/>
  <c r="AC919"/>
  <c r="AC918"/>
  <c r="AC917"/>
  <c r="AC916"/>
  <c r="AC915"/>
  <c r="AC914"/>
  <c r="AC913"/>
  <c r="AC912"/>
  <c r="AC911"/>
  <c r="AC910"/>
  <c r="AC909"/>
  <c r="AC908"/>
  <c r="AC907"/>
  <c r="AC906"/>
  <c r="AC905"/>
  <c r="AC904"/>
  <c r="AC903"/>
  <c r="AC902"/>
  <c r="AC901"/>
  <c r="AC900"/>
  <c r="AC899"/>
  <c r="AC898"/>
  <c r="AC897"/>
  <c r="AC896"/>
  <c r="AC895"/>
  <c r="AC894"/>
  <c r="AC893"/>
  <c r="AC892"/>
  <c r="AC891"/>
  <c r="AC890"/>
  <c r="AC889"/>
  <c r="AC888"/>
  <c r="AC887"/>
  <c r="AC886"/>
  <c r="AC885"/>
  <c r="AC884"/>
  <c r="AC883"/>
  <c r="AC882"/>
  <c r="AC881"/>
  <c r="AC880"/>
  <c r="AC879"/>
  <c r="AC878"/>
  <c r="AC877"/>
  <c r="AC876"/>
  <c r="AC875"/>
  <c r="AC874"/>
  <c r="AC873"/>
  <c r="AC872"/>
  <c r="AC871"/>
  <c r="AC870"/>
  <c r="AC869"/>
  <c r="AC868"/>
  <c r="AC867"/>
  <c r="AC866"/>
  <c r="AC865"/>
  <c r="AC864"/>
  <c r="AC863"/>
  <c r="AC862"/>
  <c r="AC861"/>
  <c r="AC860"/>
  <c r="AC859"/>
  <c r="AC858"/>
  <c r="AC857"/>
  <c r="AC856"/>
  <c r="AC855"/>
  <c r="AC854"/>
  <c r="AC853"/>
  <c r="AC852"/>
  <c r="AC851"/>
  <c r="AC850"/>
  <c r="AC849"/>
  <c r="AC848"/>
  <c r="AC847"/>
  <c r="AC846"/>
  <c r="AC845"/>
  <c r="AC844"/>
  <c r="AC843"/>
  <c r="AC842"/>
  <c r="AC841"/>
  <c r="AC840"/>
  <c r="AC839"/>
  <c r="AC838"/>
  <c r="AC837"/>
  <c r="AC836"/>
  <c r="AC835"/>
  <c r="AC834"/>
  <c r="AC833"/>
  <c r="AC832"/>
  <c r="AC831"/>
  <c r="AC830"/>
  <c r="AC829"/>
  <c r="AC828"/>
  <c r="AC827"/>
  <c r="AC826"/>
  <c r="AC825"/>
  <c r="AC824"/>
  <c r="AC823"/>
  <c r="AC822"/>
  <c r="AC821"/>
  <c r="AC820"/>
  <c r="AC819"/>
  <c r="AC818"/>
  <c r="AC817"/>
  <c r="AC816"/>
  <c r="AC815"/>
  <c r="AC814"/>
  <c r="AC813"/>
  <c r="AC812"/>
  <c r="AC811"/>
  <c r="AC810"/>
  <c r="AC809"/>
  <c r="AC808"/>
  <c r="AC807"/>
  <c r="AC806"/>
  <c r="AC805"/>
  <c r="AC804"/>
  <c r="AC803"/>
  <c r="AC802"/>
  <c r="AC801"/>
  <c r="AC800"/>
  <c r="AC799"/>
  <c r="AC798"/>
  <c r="AC797"/>
  <c r="AC796"/>
  <c r="AC795"/>
  <c r="AC794"/>
  <c r="AC793"/>
  <c r="AC792"/>
  <c r="AC791"/>
  <c r="AC790"/>
  <c r="AC789"/>
  <c r="AC788"/>
  <c r="AC787"/>
  <c r="AC786"/>
  <c r="AC785"/>
  <c r="AC784"/>
  <c r="AC783"/>
  <c r="AC782"/>
  <c r="AC781"/>
  <c r="AC780"/>
  <c r="AC779"/>
  <c r="AC778"/>
  <c r="AC777"/>
  <c r="AC776"/>
  <c r="AC775"/>
  <c r="AC774"/>
  <c r="AC773"/>
  <c r="AC772"/>
  <c r="AC771"/>
  <c r="AC770"/>
  <c r="AC769"/>
  <c r="AC768"/>
  <c r="AC767"/>
  <c r="AC766"/>
  <c r="AC765"/>
  <c r="AC764"/>
  <c r="AC763"/>
  <c r="AC762"/>
  <c r="AC761"/>
  <c r="AC760"/>
  <c r="AC759"/>
  <c r="AC758"/>
  <c r="AC757"/>
  <c r="AC756"/>
  <c r="AC755"/>
  <c r="AC754"/>
  <c r="AC753"/>
  <c r="AC752"/>
  <c r="AC751"/>
  <c r="AC750"/>
  <c r="AC749"/>
  <c r="AC748"/>
  <c r="AC747"/>
  <c r="AC746"/>
  <c r="AC745"/>
  <c r="AC744"/>
  <c r="AC743"/>
  <c r="AC742"/>
  <c r="AC741"/>
  <c r="AC740"/>
  <c r="AC739"/>
  <c r="AC738"/>
  <c r="AC737"/>
  <c r="AC736"/>
  <c r="AC735"/>
  <c r="AC734"/>
  <c r="AC733"/>
  <c r="AC732"/>
  <c r="AC731"/>
  <c r="AC730"/>
  <c r="AC729"/>
  <c r="AC728"/>
  <c r="AC727"/>
  <c r="AC726"/>
  <c r="AC725"/>
  <c r="AC724"/>
  <c r="AC723"/>
  <c r="AC722"/>
  <c r="AC721"/>
  <c r="AC720"/>
  <c r="AC719"/>
  <c r="AC718"/>
  <c r="AC717"/>
  <c r="AC716"/>
  <c r="AC715"/>
  <c r="AC714"/>
  <c r="AC713"/>
  <c r="AC712"/>
  <c r="AC711"/>
  <c r="AC710"/>
  <c r="AC709"/>
  <c r="AC708"/>
  <c r="AC707"/>
  <c r="AC706"/>
  <c r="AC705"/>
  <c r="AC704"/>
  <c r="AC703"/>
  <c r="AC702"/>
  <c r="AC701"/>
  <c r="AC700"/>
  <c r="AC699"/>
  <c r="AC698"/>
  <c r="AC697"/>
  <c r="AC696"/>
  <c r="AC695"/>
  <c r="AC694"/>
  <c r="AC693"/>
  <c r="AC692"/>
  <c r="AC691"/>
  <c r="AC690"/>
  <c r="AC689"/>
  <c r="AC688"/>
  <c r="AC687"/>
  <c r="AC686"/>
  <c r="AC685"/>
  <c r="AC684"/>
  <c r="AC683"/>
  <c r="AC682"/>
  <c r="AC681"/>
  <c r="AC680"/>
  <c r="AC679"/>
  <c r="AC678"/>
  <c r="AC677"/>
  <c r="AC676"/>
  <c r="AC675"/>
  <c r="AC674"/>
  <c r="AC673"/>
  <c r="AC672"/>
  <c r="AC671"/>
  <c r="AC670"/>
  <c r="AC669"/>
  <c r="AC668"/>
  <c r="AC667"/>
  <c r="AC666"/>
  <c r="AC665"/>
  <c r="AC664"/>
  <c r="AC663"/>
  <c r="AC662"/>
  <c r="AC661"/>
  <c r="AC660"/>
  <c r="AC659"/>
  <c r="AC658"/>
  <c r="AC657"/>
  <c r="AC656"/>
  <c r="AC655"/>
  <c r="AC654"/>
  <c r="AC653"/>
  <c r="AC652"/>
  <c r="AC651"/>
  <c r="AC650"/>
  <c r="AC649"/>
  <c r="AC648"/>
  <c r="AC647"/>
  <c r="AC646"/>
  <c r="AC645"/>
  <c r="AC644"/>
  <c r="AC643"/>
  <c r="AC642"/>
  <c r="AC641"/>
  <c r="AC640"/>
  <c r="AC639"/>
  <c r="AC638"/>
  <c r="AC637"/>
  <c r="AC636"/>
  <c r="AC635"/>
  <c r="AC634"/>
  <c r="AC633"/>
  <c r="AC632"/>
  <c r="AC631"/>
  <c r="AC630"/>
  <c r="AC629"/>
  <c r="AC628"/>
  <c r="AC627"/>
  <c r="AC626"/>
  <c r="AC625"/>
  <c r="AC624"/>
  <c r="AC623"/>
  <c r="AC622"/>
  <c r="AC621"/>
  <c r="AC620"/>
  <c r="AC619"/>
  <c r="AC618"/>
  <c r="AC617"/>
  <c r="AC616"/>
  <c r="AC615"/>
  <c r="AC614"/>
  <c r="AC613"/>
  <c r="AC612"/>
  <c r="AC611"/>
  <c r="AC610"/>
  <c r="AC609"/>
  <c r="AC608"/>
  <c r="AC607"/>
  <c r="AC606"/>
  <c r="AC605"/>
  <c r="AC604"/>
  <c r="AC603"/>
  <c r="AC602"/>
  <c r="AC601"/>
  <c r="AC600"/>
  <c r="AC599"/>
  <c r="AC598"/>
  <c r="AC597"/>
  <c r="AC596"/>
  <c r="AC595"/>
  <c r="AC594"/>
  <c r="AC593"/>
  <c r="AC592"/>
  <c r="AC591"/>
  <c r="AC590"/>
  <c r="AC589"/>
  <c r="AC588"/>
  <c r="AC587"/>
  <c r="AC586"/>
  <c r="AC585"/>
  <c r="AC584"/>
  <c r="AC583"/>
  <c r="AC582"/>
  <c r="AC581"/>
  <c r="AC580"/>
  <c r="AC579"/>
  <c r="AC578"/>
  <c r="AC577"/>
  <c r="AC576"/>
  <c r="AC575"/>
  <c r="AC574"/>
  <c r="AC573"/>
  <c r="AC572"/>
  <c r="AC571"/>
  <c r="AC570"/>
  <c r="AC569"/>
  <c r="AC568"/>
  <c r="AC567"/>
  <c r="AC566"/>
  <c r="AC565"/>
  <c r="AC564"/>
  <c r="AC563"/>
  <c r="AC562"/>
  <c r="AC561"/>
  <c r="AC560"/>
  <c r="AC559"/>
  <c r="AC558"/>
  <c r="AC557"/>
  <c r="AC556"/>
  <c r="AC555"/>
  <c r="AC554"/>
  <c r="AC553"/>
  <c r="AC552"/>
  <c r="AC551"/>
  <c r="AC550"/>
  <c r="AC549"/>
  <c r="AC548"/>
  <c r="AC547"/>
  <c r="AC546"/>
  <c r="AC545"/>
  <c r="AC544"/>
  <c r="AC543"/>
  <c r="AC542"/>
  <c r="AC541"/>
  <c r="AC540"/>
  <c r="AC539"/>
  <c r="AC538"/>
  <c r="AC537"/>
  <c r="AC536"/>
  <c r="AC535"/>
  <c r="AC534"/>
  <c r="AC533"/>
  <c r="AC532"/>
  <c r="AC531"/>
  <c r="AC530"/>
  <c r="AC529"/>
  <c r="AC528"/>
  <c r="AC527"/>
  <c r="AC526"/>
  <c r="AC525"/>
  <c r="AC524"/>
  <c r="AC523"/>
  <c r="AC522"/>
  <c r="AC521"/>
  <c r="AC520"/>
  <c r="AC519"/>
  <c r="AC518"/>
  <c r="AC517"/>
  <c r="AC516"/>
  <c r="AC515"/>
  <c r="AC514"/>
  <c r="AC513"/>
  <c r="AC512"/>
  <c r="AC511"/>
  <c r="AC510"/>
  <c r="AC509"/>
  <c r="AC508"/>
  <c r="AC507"/>
  <c r="AC506"/>
  <c r="AC505"/>
  <c r="AC504"/>
  <c r="AC503"/>
  <c r="AC502"/>
  <c r="AC501"/>
  <c r="AC500"/>
  <c r="AC499"/>
  <c r="AC498"/>
  <c r="AC497"/>
  <c r="AC496"/>
  <c r="AC495"/>
  <c r="AC494"/>
  <c r="AC493"/>
  <c r="AC492"/>
  <c r="AC491"/>
  <c r="AC490"/>
  <c r="AC489"/>
  <c r="AC488"/>
  <c r="AC487"/>
  <c r="AC486"/>
  <c r="AC485"/>
  <c r="AC484"/>
  <c r="AC483"/>
  <c r="AC482"/>
  <c r="AC481"/>
  <c r="AC480"/>
  <c r="AC479"/>
  <c r="AC478"/>
  <c r="AC477"/>
  <c r="AC476"/>
  <c r="AC475"/>
  <c r="AC474"/>
  <c r="AC473"/>
  <c r="AC472"/>
  <c r="AC471"/>
  <c r="AC470"/>
  <c r="AC469"/>
  <c r="AC468"/>
  <c r="AC467"/>
  <c r="AC466"/>
  <c r="AC465"/>
  <c r="AC464"/>
  <c r="AC463"/>
  <c r="AC462"/>
  <c r="AC461"/>
  <c r="AC460"/>
  <c r="AC459"/>
  <c r="AC458"/>
  <c r="AC457"/>
  <c r="AC456"/>
  <c r="AC455"/>
  <c r="AC454"/>
  <c r="AC453"/>
  <c r="AC452"/>
  <c r="AC451"/>
  <c r="AC450"/>
  <c r="AC449"/>
  <c r="AC448"/>
  <c r="AC447"/>
  <c r="AC446"/>
  <c r="AC445"/>
  <c r="AC444"/>
  <c r="AC443"/>
  <c r="AC442"/>
  <c r="AC441"/>
  <c r="AC440"/>
  <c r="AC439"/>
  <c r="AC438"/>
  <c r="AC437"/>
  <c r="AC436"/>
  <c r="AC435"/>
  <c r="AC434"/>
  <c r="AC433"/>
  <c r="AC432"/>
  <c r="AC431"/>
  <c r="AC430"/>
  <c r="AC429"/>
  <c r="AC428"/>
  <c r="AC427"/>
  <c r="AC426"/>
  <c r="AC425"/>
  <c r="AC424"/>
  <c r="AC423"/>
  <c r="AC422"/>
  <c r="AC421"/>
  <c r="AC420"/>
  <c r="AC419"/>
  <c r="AC418"/>
  <c r="AC417"/>
  <c r="AC416"/>
  <c r="AC415"/>
  <c r="AC414"/>
  <c r="AC413"/>
  <c r="AC412"/>
  <c r="AC411"/>
  <c r="AC410"/>
  <c r="AC409"/>
  <c r="AC408"/>
  <c r="AC407"/>
  <c r="AC406"/>
  <c r="AC405"/>
  <c r="AC404"/>
  <c r="AC403"/>
  <c r="AC402"/>
  <c r="AC401"/>
  <c r="AC400"/>
  <c r="AC399"/>
  <c r="AC398"/>
  <c r="AC397"/>
  <c r="AC396"/>
  <c r="AC395"/>
  <c r="AC394"/>
  <c r="AC393"/>
  <c r="AC392"/>
  <c r="AC391"/>
  <c r="AC390"/>
  <c r="AC389"/>
  <c r="AC388"/>
  <c r="AC387"/>
  <c r="AC386"/>
  <c r="AC385"/>
  <c r="AC384"/>
  <c r="AC383"/>
  <c r="AC382"/>
  <c r="AC381"/>
  <c r="AC380"/>
  <c r="AC379"/>
  <c r="AC378"/>
  <c r="AC377"/>
  <c r="AC376"/>
  <c r="AC375"/>
  <c r="AC374"/>
  <c r="AC373"/>
  <c r="AC372"/>
  <c r="AC371"/>
  <c r="AC370"/>
  <c r="AC369"/>
  <c r="AC368"/>
  <c r="AC367"/>
  <c r="AC366"/>
  <c r="AC365"/>
  <c r="AC364"/>
  <c r="AC363"/>
  <c r="AC362"/>
  <c r="AC361"/>
  <c r="AC360"/>
  <c r="AC359"/>
  <c r="AC358"/>
  <c r="AC357"/>
  <c r="AC356"/>
  <c r="AC355"/>
  <c r="AC354"/>
  <c r="AC353"/>
  <c r="AC352"/>
  <c r="AC351"/>
  <c r="AC350"/>
  <c r="AC349"/>
  <c r="AC348"/>
  <c r="AC347"/>
  <c r="AC346"/>
  <c r="AC345"/>
  <c r="AC344"/>
  <c r="AC343"/>
  <c r="AC342"/>
  <c r="AC341"/>
  <c r="AC340"/>
  <c r="AC339"/>
  <c r="AC338"/>
  <c r="AC337"/>
  <c r="AC336"/>
  <c r="AC335"/>
  <c r="AC334"/>
  <c r="AC333"/>
  <c r="AC332"/>
  <c r="AC331"/>
  <c r="AC330"/>
  <c r="AC329"/>
  <c r="AC328"/>
  <c r="AC327"/>
  <c r="AC326"/>
  <c r="AC325"/>
  <c r="AC324"/>
  <c r="AC323"/>
  <c r="AC322"/>
  <c r="AC321"/>
  <c r="AC320"/>
  <c r="AC319"/>
  <c r="AC318"/>
  <c r="AC317"/>
  <c r="AC316"/>
  <c r="AC315"/>
  <c r="AC314"/>
  <c r="AC313"/>
  <c r="AC312"/>
  <c r="AC311"/>
  <c r="AC310"/>
  <c r="AC309"/>
  <c r="AC308"/>
  <c r="AC307"/>
  <c r="AC306"/>
  <c r="AC305"/>
  <c r="AC304"/>
  <c r="AC303"/>
  <c r="AC302"/>
  <c r="AC301"/>
  <c r="AC300"/>
  <c r="AC299"/>
  <c r="AC298"/>
  <c r="AC297"/>
  <c r="AC296"/>
  <c r="AC295"/>
  <c r="AC294"/>
  <c r="AC293"/>
  <c r="AC292"/>
  <c r="AC291"/>
  <c r="AC290"/>
  <c r="AC289"/>
  <c r="AC288"/>
  <c r="AC287"/>
  <c r="AC286"/>
  <c r="AC285"/>
  <c r="AC284"/>
  <c r="AC283"/>
  <c r="AC282"/>
  <c r="AC281"/>
  <c r="AC280"/>
  <c r="AC279"/>
  <c r="AC278"/>
  <c r="AC277"/>
  <c r="AC276"/>
  <c r="AC275"/>
  <c r="AC274"/>
  <c r="AC273"/>
  <c r="AC272"/>
  <c r="AC271"/>
  <c r="AC270"/>
  <c r="AC269"/>
  <c r="AC268"/>
  <c r="AC267"/>
  <c r="AC266"/>
  <c r="AC265"/>
  <c r="AC264"/>
  <c r="AC263"/>
  <c r="AC262"/>
  <c r="AC261"/>
  <c r="AC260"/>
  <c r="AC259"/>
  <c r="AC258"/>
  <c r="AC257"/>
  <c r="AC256"/>
  <c r="AC255"/>
  <c r="AC254"/>
  <c r="AC253"/>
  <c r="AC252"/>
  <c r="AC251"/>
  <c r="AC250"/>
  <c r="AC249"/>
  <c r="AC248"/>
  <c r="AC247"/>
  <c r="AC246"/>
  <c r="AC245"/>
  <c r="AC244"/>
  <c r="AC243"/>
  <c r="AC242"/>
  <c r="AC241"/>
  <c r="AC240"/>
  <c r="AC239"/>
  <c r="AC238"/>
  <c r="AC237"/>
  <c r="AC236"/>
  <c r="AC235"/>
  <c r="AC234"/>
  <c r="AC233"/>
  <c r="AC232"/>
  <c r="AC231"/>
  <c r="AC230"/>
  <c r="AC229"/>
  <c r="AC228"/>
  <c r="AC227"/>
  <c r="AC226"/>
  <c r="AC225"/>
  <c r="AC224"/>
  <c r="AC223"/>
  <c r="AC222"/>
  <c r="AC221"/>
  <c r="AC220"/>
  <c r="AC219"/>
  <c r="AC218"/>
  <c r="AC217"/>
  <c r="AC216"/>
  <c r="AC215"/>
  <c r="AC214"/>
  <c r="AC213"/>
  <c r="AC212"/>
  <c r="AC211"/>
  <c r="AC210"/>
  <c r="AC209"/>
  <c r="AC208"/>
  <c r="AC207"/>
  <c r="AC206"/>
  <c r="AC205"/>
  <c r="AC204"/>
  <c r="AC203"/>
  <c r="AC202"/>
  <c r="AC201"/>
  <c r="AC200"/>
  <c r="AC199"/>
  <c r="AC198"/>
  <c r="AC197"/>
  <c r="AC196"/>
  <c r="AC195"/>
  <c r="AC194"/>
  <c r="AC193"/>
  <c r="AC192"/>
  <c r="AC191"/>
  <c r="AC190"/>
  <c r="AC189"/>
  <c r="AC188"/>
  <c r="AC187"/>
  <c r="AC186"/>
  <c r="AC185"/>
  <c r="AC184"/>
  <c r="AC183"/>
  <c r="AC182"/>
  <c r="AC181"/>
  <c r="AC180"/>
  <c r="AC179"/>
  <c r="AC178"/>
  <c r="AC177"/>
  <c r="AC176"/>
  <c r="AC175"/>
  <c r="AC174"/>
  <c r="AC173"/>
  <c r="AC172"/>
  <c r="AC171"/>
  <c r="AC170"/>
  <c r="AC169"/>
  <c r="AC168"/>
  <c r="AC167"/>
  <c r="AC166"/>
  <c r="AC165"/>
  <c r="AC164"/>
  <c r="AC163"/>
  <c r="AC162"/>
  <c r="AC161"/>
  <c r="AC160"/>
  <c r="AC159"/>
  <c r="AC158"/>
  <c r="AC157"/>
  <c r="AC156"/>
  <c r="AC155"/>
  <c r="AC154"/>
  <c r="AC153"/>
  <c r="AC152"/>
  <c r="AC151"/>
  <c r="AC150"/>
  <c r="AC149"/>
  <c r="AC148"/>
  <c r="AC147"/>
  <c r="AC146"/>
  <c r="AC145"/>
  <c r="AC144"/>
  <c r="AC143"/>
  <c r="AC142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AC2"/>
  <c r="AC1"/>
  <c r="AI1189"/>
  <c r="AB1189"/>
  <c r="AH1189"/>
  <c r="AQ1189"/>
  <c r="AG1189"/>
  <c r="AF1189"/>
  <c r="AE1189"/>
  <c r="AD1189"/>
  <c r="AK1189"/>
  <c r="AS1189"/>
  <c r="AJ1189"/>
  <c r="AR1189"/>
  <c r="AP1189"/>
  <c r="O1189"/>
  <c r="Q1189"/>
  <c r="AA1189"/>
  <c r="AO1189"/>
  <c r="P1189"/>
  <c r="T1189"/>
  <c r="S1189"/>
  <c r="AN1189"/>
  <c r="AM1189"/>
  <c r="R1189"/>
  <c r="AI1188"/>
  <c r="AB1188"/>
  <c r="AH1188"/>
  <c r="AQ1188"/>
  <c r="AG1188"/>
  <c r="AF1188"/>
  <c r="AE1188"/>
  <c r="AD1188"/>
  <c r="AK1188"/>
  <c r="AS1188"/>
  <c r="AJ1188"/>
  <c r="AR1188"/>
  <c r="AP1188"/>
  <c r="O1188"/>
  <c r="Q1188"/>
  <c r="AA1188"/>
  <c r="AO1188"/>
  <c r="P1188"/>
  <c r="T1188"/>
  <c r="S1188"/>
  <c r="AN1188"/>
  <c r="AM1188"/>
  <c r="R1188"/>
  <c r="AI1187"/>
  <c r="AB1187"/>
  <c r="AH1187"/>
  <c r="AQ1187"/>
  <c r="AG1187"/>
  <c r="AF1187"/>
  <c r="AE1187"/>
  <c r="AD1187"/>
  <c r="AK1187"/>
  <c r="AS1187"/>
  <c r="AJ1187"/>
  <c r="AR1187"/>
  <c r="AP1187"/>
  <c r="O1187"/>
  <c r="Q1187"/>
  <c r="AA1187"/>
  <c r="AO1187"/>
  <c r="P1187"/>
  <c r="T1187"/>
  <c r="S1187"/>
  <c r="AN1187"/>
  <c r="AM1187"/>
  <c r="R1187"/>
  <c r="AI1186"/>
  <c r="AB1186"/>
  <c r="AH1186"/>
  <c r="AQ1186"/>
  <c r="AG1186"/>
  <c r="AF1186"/>
  <c r="AE1186"/>
  <c r="AD1186"/>
  <c r="AK1186"/>
  <c r="AS1186"/>
  <c r="AJ1186"/>
  <c r="AR1186"/>
  <c r="AP1186"/>
  <c r="O1186"/>
  <c r="Q1186"/>
  <c r="AA1186"/>
  <c r="AO1186"/>
  <c r="P1186"/>
  <c r="T1186"/>
  <c r="S1186"/>
  <c r="AN1186"/>
  <c r="AM1186"/>
  <c r="R1186"/>
  <c r="AI1185"/>
  <c r="AB1185"/>
  <c r="AH1185"/>
  <c r="AQ1185"/>
  <c r="AG1185"/>
  <c r="AF1185"/>
  <c r="AE1185"/>
  <c r="AD1185"/>
  <c r="AK1185"/>
  <c r="AS1185"/>
  <c r="AJ1185"/>
  <c r="AR1185"/>
  <c r="AP1185"/>
  <c r="O1185"/>
  <c r="Q1185"/>
  <c r="AA1185"/>
  <c r="AO1185"/>
  <c r="P1185"/>
  <c r="T1185"/>
  <c r="S1185"/>
  <c r="AN1185"/>
  <c r="AM1185"/>
  <c r="R1185"/>
  <c r="AI1184"/>
  <c r="AB1184"/>
  <c r="AH1184"/>
  <c r="AQ1184"/>
  <c r="AG1184"/>
  <c r="AF1184"/>
  <c r="AE1184"/>
  <c r="AD1184"/>
  <c r="AK1184"/>
  <c r="AS1184"/>
  <c r="AJ1184"/>
  <c r="AR1184"/>
  <c r="AP1184"/>
  <c r="O1184"/>
  <c r="Q1184"/>
  <c r="AA1184"/>
  <c r="AO1184"/>
  <c r="P1184"/>
  <c r="T1184"/>
  <c r="S1184"/>
  <c r="AN1184"/>
  <c r="AM1184"/>
  <c r="R1184"/>
  <c r="AI1183"/>
  <c r="AB1183"/>
  <c r="AH1183"/>
  <c r="AQ1183"/>
  <c r="AG1183"/>
  <c r="AF1183"/>
  <c r="AE1183"/>
  <c r="AD1183"/>
  <c r="AK1183"/>
  <c r="AS1183"/>
  <c r="AJ1183"/>
  <c r="AR1183"/>
  <c r="AP1183"/>
  <c r="O1183"/>
  <c r="Q1183"/>
  <c r="AA1183"/>
  <c r="AO1183"/>
  <c r="P1183"/>
  <c r="T1183"/>
  <c r="S1183"/>
  <c r="AN1183"/>
  <c r="AM1183"/>
  <c r="R1183"/>
  <c r="AI1182"/>
  <c r="AB1182"/>
  <c r="AH1182"/>
  <c r="AQ1182"/>
  <c r="AG1182"/>
  <c r="AF1182"/>
  <c r="AE1182"/>
  <c r="AD1182"/>
  <c r="AK1182"/>
  <c r="AS1182"/>
  <c r="AJ1182"/>
  <c r="AR1182"/>
  <c r="AP1182"/>
  <c r="O1182"/>
  <c r="Q1182"/>
  <c r="AA1182"/>
  <c r="AO1182"/>
  <c r="P1182"/>
  <c r="T1182"/>
  <c r="S1182"/>
  <c r="AN1182"/>
  <c r="AM1182"/>
  <c r="R1182"/>
  <c r="AI1181"/>
  <c r="AB1181"/>
  <c r="AH1181"/>
  <c r="AQ1181"/>
  <c r="AG1181"/>
  <c r="AF1181"/>
  <c r="AE1181"/>
  <c r="AD1181"/>
  <c r="AK1181"/>
  <c r="AS1181"/>
  <c r="AJ1181"/>
  <c r="AR1181"/>
  <c r="AP1181"/>
  <c r="O1181"/>
  <c r="Q1181"/>
  <c r="AA1181"/>
  <c r="AO1181"/>
  <c r="P1181"/>
  <c r="T1181"/>
  <c r="S1181"/>
  <c r="AN1181"/>
  <c r="AM1181"/>
  <c r="R1181"/>
  <c r="AI1180"/>
  <c r="AB1180"/>
  <c r="AH1180"/>
  <c r="AQ1180"/>
  <c r="AG1180"/>
  <c r="AF1180"/>
  <c r="AE1180"/>
  <c r="AD1180"/>
  <c r="AK1180"/>
  <c r="AS1180"/>
  <c r="AJ1180"/>
  <c r="AR1180"/>
  <c r="AP1180"/>
  <c r="O1180"/>
  <c r="Q1180"/>
  <c r="AA1180"/>
  <c r="AO1180"/>
  <c r="P1180"/>
  <c r="T1180"/>
  <c r="S1180"/>
  <c r="AN1180"/>
  <c r="AM1180"/>
  <c r="R1180"/>
  <c r="AI1179"/>
  <c r="AB1179"/>
  <c r="AH1179"/>
  <c r="AQ1179"/>
  <c r="AG1179"/>
  <c r="AF1179"/>
  <c r="AE1179"/>
  <c r="AD1179"/>
  <c r="AK1179"/>
  <c r="AS1179"/>
  <c r="AJ1179"/>
  <c r="AR1179"/>
  <c r="AP1179"/>
  <c r="O1179"/>
  <c r="Q1179"/>
  <c r="AA1179"/>
  <c r="AO1179"/>
  <c r="P1179"/>
  <c r="T1179"/>
  <c r="S1179"/>
  <c r="AN1179"/>
  <c r="AM1179"/>
  <c r="R1179"/>
  <c r="AI1178"/>
  <c r="AB1178"/>
  <c r="AH1178"/>
  <c r="AQ1178"/>
  <c r="AG1178"/>
  <c r="AF1178"/>
  <c r="AE1178"/>
  <c r="AD1178"/>
  <c r="AK1178"/>
  <c r="AS1178"/>
  <c r="AJ1178"/>
  <c r="AR1178"/>
  <c r="AP1178"/>
  <c r="O1178"/>
  <c r="Q1178"/>
  <c r="AA1178"/>
  <c r="AO1178"/>
  <c r="P1178"/>
  <c r="T1178"/>
  <c r="S1178"/>
  <c r="AN1178"/>
  <c r="AM1178"/>
  <c r="R1178"/>
  <c r="AI1177"/>
  <c r="AB1177"/>
  <c r="AH1177"/>
  <c r="AQ1177"/>
  <c r="AG1177"/>
  <c r="AF1177"/>
  <c r="AE1177"/>
  <c r="AD1177"/>
  <c r="AK1177"/>
  <c r="AS1177"/>
  <c r="AJ1177"/>
  <c r="AR1177"/>
  <c r="AP1177"/>
  <c r="O1177"/>
  <c r="Q1177"/>
  <c r="AA1177"/>
  <c r="AO1177"/>
  <c r="P1177"/>
  <c r="T1177"/>
  <c r="S1177"/>
  <c r="AN1177"/>
  <c r="AM1177"/>
  <c r="R1177"/>
  <c r="AI1176"/>
  <c r="AB1176"/>
  <c r="AH1176"/>
  <c r="AQ1176"/>
  <c r="AG1176"/>
  <c r="AF1176"/>
  <c r="AE1176"/>
  <c r="AD1176"/>
  <c r="AK1176"/>
  <c r="AS1176"/>
  <c r="AJ1176"/>
  <c r="AR1176"/>
  <c r="AP1176"/>
  <c r="O1176"/>
  <c r="Q1176"/>
  <c r="AA1176"/>
  <c r="AO1176"/>
  <c r="P1176"/>
  <c r="T1176"/>
  <c r="S1176"/>
  <c r="AN1176"/>
  <c r="AM1176"/>
  <c r="R1176"/>
  <c r="AI1175"/>
  <c r="AB1175"/>
  <c r="AH1175"/>
  <c r="AQ1175"/>
  <c r="AG1175"/>
  <c r="AF1175"/>
  <c r="AE1175"/>
  <c r="AD1175"/>
  <c r="AK1175"/>
  <c r="AS1175"/>
  <c r="AJ1175"/>
  <c r="AR1175"/>
  <c r="AP1175"/>
  <c r="O1175"/>
  <c r="Q1175"/>
  <c r="AA1175"/>
  <c r="AO1175"/>
  <c r="P1175"/>
  <c r="T1175"/>
  <c r="S1175"/>
  <c r="AN1175"/>
  <c r="AM1175"/>
  <c r="R1175"/>
  <c r="AI1174"/>
  <c r="AB1174"/>
  <c r="AH1174"/>
  <c r="AQ1174"/>
  <c r="AG1174"/>
  <c r="AF1174"/>
  <c r="AE1174"/>
  <c r="AD1174"/>
  <c r="AK1174"/>
  <c r="AS1174"/>
  <c r="AJ1174"/>
  <c r="AR1174"/>
  <c r="AP1174"/>
  <c r="O1174"/>
  <c r="Q1174"/>
  <c r="AA1174"/>
  <c r="AO1174"/>
  <c r="P1174"/>
  <c r="T1174"/>
  <c r="S1174"/>
  <c r="AN1174"/>
  <c r="AM1174"/>
  <c r="R1174"/>
  <c r="AI1173"/>
  <c r="AB1173"/>
  <c r="AH1173"/>
  <c r="AQ1173"/>
  <c r="AG1173"/>
  <c r="AF1173"/>
  <c r="AE1173"/>
  <c r="AD1173"/>
  <c r="AK1173"/>
  <c r="AS1173"/>
  <c r="AJ1173"/>
  <c r="AR1173"/>
  <c r="AP1173"/>
  <c r="O1173"/>
  <c r="Q1173"/>
  <c r="AA1173"/>
  <c r="AO1173"/>
  <c r="P1173"/>
  <c r="T1173"/>
  <c r="S1173"/>
  <c r="AN1173"/>
  <c r="AM1173"/>
  <c r="R1173"/>
  <c r="AI1172"/>
  <c r="AB1172"/>
  <c r="AH1172"/>
  <c r="AQ1172"/>
  <c r="AG1172"/>
  <c r="AF1172"/>
  <c r="AE1172"/>
  <c r="AD1172"/>
  <c r="AK1172"/>
  <c r="AS1172"/>
  <c r="AJ1172"/>
  <c r="AR1172"/>
  <c r="AP1172"/>
  <c r="O1172"/>
  <c r="Q1172"/>
  <c r="AA1172"/>
  <c r="AO1172"/>
  <c r="P1172"/>
  <c r="T1172"/>
  <c r="S1172"/>
  <c r="AN1172"/>
  <c r="AM1172"/>
  <c r="R1172"/>
  <c r="AI1171"/>
  <c r="AB1171"/>
  <c r="AH1171"/>
  <c r="AQ1171"/>
  <c r="AG1171"/>
  <c r="AF1171"/>
  <c r="AE1171"/>
  <c r="AD1171"/>
  <c r="AK1171"/>
  <c r="AS1171"/>
  <c r="AJ1171"/>
  <c r="AR1171"/>
  <c r="AP1171"/>
  <c r="O1171"/>
  <c r="Q1171"/>
  <c r="AA1171"/>
  <c r="AO1171"/>
  <c r="P1171"/>
  <c r="T1171"/>
  <c r="S1171"/>
  <c r="AN1171"/>
  <c r="AM1171"/>
  <c r="R1171"/>
  <c r="AI1170"/>
  <c r="AB1170"/>
  <c r="AH1170"/>
  <c r="AQ1170"/>
  <c r="AG1170"/>
  <c r="AF1170"/>
  <c r="AE1170"/>
  <c r="AD1170"/>
  <c r="AK1170"/>
  <c r="AS1170"/>
  <c r="AJ1170"/>
  <c r="AR1170"/>
  <c r="AP1170"/>
  <c r="O1170"/>
  <c r="Q1170"/>
  <c r="AA1170"/>
  <c r="AO1170"/>
  <c r="P1170"/>
  <c r="T1170"/>
  <c r="S1170"/>
  <c r="AN1170"/>
  <c r="AM1170"/>
  <c r="R1170"/>
  <c r="AI1169"/>
  <c r="AB1169"/>
  <c r="AH1169"/>
  <c r="AQ1169"/>
  <c r="AG1169"/>
  <c r="AF1169"/>
  <c r="AE1169"/>
  <c r="AD1169"/>
  <c r="AK1169"/>
  <c r="AS1169"/>
  <c r="AJ1169"/>
  <c r="AR1169"/>
  <c r="AP1169"/>
  <c r="O1169"/>
  <c r="Q1169"/>
  <c r="AA1169"/>
  <c r="AO1169"/>
  <c r="P1169"/>
  <c r="T1169"/>
  <c r="S1169"/>
  <c r="AN1169"/>
  <c r="AM1169"/>
  <c r="R1169"/>
  <c r="AI1168"/>
  <c r="AB1168"/>
  <c r="AH1168"/>
  <c r="AQ1168"/>
  <c r="AG1168"/>
  <c r="AF1168"/>
  <c r="AE1168"/>
  <c r="AD1168"/>
  <c r="AK1168"/>
  <c r="AS1168"/>
  <c r="AJ1168"/>
  <c r="AR1168"/>
  <c r="AP1168"/>
  <c r="O1168"/>
  <c r="Q1168"/>
  <c r="AA1168"/>
  <c r="AO1168"/>
  <c r="P1168"/>
  <c r="T1168"/>
  <c r="S1168"/>
  <c r="AN1168"/>
  <c r="AM1168"/>
  <c r="R1168"/>
  <c r="AI1167"/>
  <c r="AB1167"/>
  <c r="AH1167"/>
  <c r="AQ1167"/>
  <c r="AG1167"/>
  <c r="AF1167"/>
  <c r="AE1167"/>
  <c r="AD1167"/>
  <c r="AK1167"/>
  <c r="AS1167"/>
  <c r="AJ1167"/>
  <c r="AR1167"/>
  <c r="AP1167"/>
  <c r="O1167"/>
  <c r="Q1167"/>
  <c r="AA1167"/>
  <c r="AO1167"/>
  <c r="P1167"/>
  <c r="T1167"/>
  <c r="S1167"/>
  <c r="AN1167"/>
  <c r="AM1167"/>
  <c r="R1167"/>
  <c r="AI1166"/>
  <c r="AB1166"/>
  <c r="AH1166"/>
  <c r="AQ1166"/>
  <c r="AG1166"/>
  <c r="AF1166"/>
  <c r="AE1166"/>
  <c r="AD1166"/>
  <c r="AK1166"/>
  <c r="AS1166"/>
  <c r="AJ1166"/>
  <c r="AR1166"/>
  <c r="AP1166"/>
  <c r="O1166"/>
  <c r="Q1166"/>
  <c r="AA1166"/>
  <c r="AO1166"/>
  <c r="P1166"/>
  <c r="T1166"/>
  <c r="S1166"/>
  <c r="AN1166"/>
  <c r="AM1166"/>
  <c r="R1166"/>
  <c r="AI1165"/>
  <c r="AB1165"/>
  <c r="AH1165"/>
  <c r="AQ1165"/>
  <c r="AG1165"/>
  <c r="AF1165"/>
  <c r="AE1165"/>
  <c r="AD1165"/>
  <c r="AK1165"/>
  <c r="AS1165"/>
  <c r="AJ1165"/>
  <c r="AR1165"/>
  <c r="AP1165"/>
  <c r="O1165"/>
  <c r="Q1165"/>
  <c r="AA1165"/>
  <c r="AO1165"/>
  <c r="P1165"/>
  <c r="T1165"/>
  <c r="S1165"/>
  <c r="AN1165"/>
  <c r="AM1165"/>
  <c r="R1165"/>
  <c r="AI1164"/>
  <c r="AB1164"/>
  <c r="AH1164"/>
  <c r="AQ1164"/>
  <c r="AG1164"/>
  <c r="AF1164"/>
  <c r="AE1164"/>
  <c r="AD1164"/>
  <c r="AK1164"/>
  <c r="AS1164"/>
  <c r="AJ1164"/>
  <c r="AR1164"/>
  <c r="AP1164"/>
  <c r="O1164"/>
  <c r="Q1164"/>
  <c r="AA1164"/>
  <c r="AO1164"/>
  <c r="P1164"/>
  <c r="T1164"/>
  <c r="S1164"/>
  <c r="AN1164"/>
  <c r="AM1164"/>
  <c r="R1164"/>
  <c r="AI1163"/>
  <c r="AB1163"/>
  <c r="AH1163"/>
  <c r="AQ1163"/>
  <c r="AG1163"/>
  <c r="AF1163"/>
  <c r="AE1163"/>
  <c r="AD1163"/>
  <c r="AK1163"/>
  <c r="AS1163"/>
  <c r="AJ1163"/>
  <c r="AR1163"/>
  <c r="AP1163"/>
  <c r="O1163"/>
  <c r="Q1163"/>
  <c r="AA1163"/>
  <c r="AO1163"/>
  <c r="P1163"/>
  <c r="T1163"/>
  <c r="S1163"/>
  <c r="AN1163"/>
  <c r="AM1163"/>
  <c r="R1163"/>
  <c r="AI1162"/>
  <c r="AB1162"/>
  <c r="AH1162"/>
  <c r="AQ1162"/>
  <c r="AG1162"/>
  <c r="AF1162"/>
  <c r="AE1162"/>
  <c r="AD1162"/>
  <c r="AK1162"/>
  <c r="AS1162"/>
  <c r="AJ1162"/>
  <c r="AR1162"/>
  <c r="AP1162"/>
  <c r="O1162"/>
  <c r="Q1162"/>
  <c r="AA1162"/>
  <c r="AO1162"/>
  <c r="P1162"/>
  <c r="T1162"/>
  <c r="S1162"/>
  <c r="AN1162"/>
  <c r="AM1162"/>
  <c r="R1162"/>
  <c r="AI1161"/>
  <c r="AB1161"/>
  <c r="AH1161"/>
  <c r="AQ1161"/>
  <c r="AG1161"/>
  <c r="AF1161"/>
  <c r="AE1161"/>
  <c r="AD1161"/>
  <c r="AK1161"/>
  <c r="AS1161"/>
  <c r="AJ1161"/>
  <c r="AR1161"/>
  <c r="AP1161"/>
  <c r="O1161"/>
  <c r="Q1161"/>
  <c r="AA1161"/>
  <c r="AO1161"/>
  <c r="P1161"/>
  <c r="T1161"/>
  <c r="S1161"/>
  <c r="AN1161"/>
  <c r="AM1161"/>
  <c r="R1161"/>
  <c r="AI1160"/>
  <c r="AB1160"/>
  <c r="AH1160"/>
  <c r="AQ1160"/>
  <c r="AG1160"/>
  <c r="AF1160"/>
  <c r="AE1160"/>
  <c r="AD1160"/>
  <c r="AK1160"/>
  <c r="AS1160"/>
  <c r="AJ1160"/>
  <c r="AR1160"/>
  <c r="AP1160"/>
  <c r="O1160"/>
  <c r="Q1160"/>
  <c r="AA1160"/>
  <c r="AO1160"/>
  <c r="P1160"/>
  <c r="T1160"/>
  <c r="S1160"/>
  <c r="AN1160"/>
  <c r="AM1160"/>
  <c r="R1160"/>
  <c r="AI1159"/>
  <c r="AB1159"/>
  <c r="AH1159"/>
  <c r="AQ1159"/>
  <c r="AG1159"/>
  <c r="AF1159"/>
  <c r="AE1159"/>
  <c r="AD1159"/>
  <c r="AK1159"/>
  <c r="AS1159"/>
  <c r="AJ1159"/>
  <c r="AR1159"/>
  <c r="AP1159"/>
  <c r="O1159"/>
  <c r="Q1159"/>
  <c r="AA1159"/>
  <c r="AO1159"/>
  <c r="P1159"/>
  <c r="T1159"/>
  <c r="S1159"/>
  <c r="AN1159"/>
  <c r="AM1159"/>
  <c r="R1159"/>
  <c r="AI1158"/>
  <c r="AB1158"/>
  <c r="AH1158"/>
  <c r="AQ1158"/>
  <c r="AG1158"/>
  <c r="AF1158"/>
  <c r="AE1158"/>
  <c r="AD1158"/>
  <c r="AK1158"/>
  <c r="AS1158"/>
  <c r="AJ1158"/>
  <c r="AR1158"/>
  <c r="AP1158"/>
  <c r="O1158"/>
  <c r="Q1158"/>
  <c r="AA1158"/>
  <c r="AO1158"/>
  <c r="P1158"/>
  <c r="T1158"/>
  <c r="S1158"/>
  <c r="AN1158"/>
  <c r="AM1158"/>
  <c r="R1158"/>
  <c r="AI1157"/>
  <c r="AB1157"/>
  <c r="AH1157"/>
  <c r="AQ1157"/>
  <c r="AG1157"/>
  <c r="AF1157"/>
  <c r="AE1157"/>
  <c r="AD1157"/>
  <c r="AK1157"/>
  <c r="AS1157"/>
  <c r="AJ1157"/>
  <c r="AR1157"/>
  <c r="AP1157"/>
  <c r="O1157"/>
  <c r="Q1157"/>
  <c r="AA1157"/>
  <c r="AO1157"/>
  <c r="P1157"/>
  <c r="T1157"/>
  <c r="S1157"/>
  <c r="AN1157"/>
  <c r="AM1157"/>
  <c r="R1157"/>
  <c r="AI1156"/>
  <c r="AB1156"/>
  <c r="AH1156"/>
  <c r="AQ1156"/>
  <c r="AG1156"/>
  <c r="AF1156"/>
  <c r="AE1156"/>
  <c r="AD1156"/>
  <c r="AK1156"/>
  <c r="AS1156"/>
  <c r="AJ1156"/>
  <c r="AR1156"/>
  <c r="AP1156"/>
  <c r="O1156"/>
  <c r="Q1156"/>
  <c r="AA1156"/>
  <c r="AO1156"/>
  <c r="P1156"/>
  <c r="T1156"/>
  <c r="S1156"/>
  <c r="AN1156"/>
  <c r="AM1156"/>
  <c r="R1156"/>
  <c r="AI1155"/>
  <c r="AB1155"/>
  <c r="AH1155"/>
  <c r="AQ1155"/>
  <c r="AG1155"/>
  <c r="AF1155"/>
  <c r="AE1155"/>
  <c r="AD1155"/>
  <c r="AK1155"/>
  <c r="AS1155"/>
  <c r="AJ1155"/>
  <c r="AR1155"/>
  <c r="AP1155"/>
  <c r="O1155"/>
  <c r="Q1155"/>
  <c r="AA1155"/>
  <c r="AO1155"/>
  <c r="P1155"/>
  <c r="T1155"/>
  <c r="S1155"/>
  <c r="AN1155"/>
  <c r="AM1155"/>
  <c r="R1155"/>
  <c r="AI1154"/>
  <c r="AB1154"/>
  <c r="AH1154"/>
  <c r="AQ1154"/>
  <c r="AG1154"/>
  <c r="AF1154"/>
  <c r="AE1154"/>
  <c r="AD1154"/>
  <c r="AK1154"/>
  <c r="AS1154"/>
  <c r="AJ1154"/>
  <c r="AR1154"/>
  <c r="AP1154"/>
  <c r="O1154"/>
  <c r="Q1154"/>
  <c r="AA1154"/>
  <c r="AO1154"/>
  <c r="P1154"/>
  <c r="T1154"/>
  <c r="S1154"/>
  <c r="AN1154"/>
  <c r="AM1154"/>
  <c r="R1154"/>
  <c r="AI1153"/>
  <c r="AB1153"/>
  <c r="AH1153"/>
  <c r="AQ1153"/>
  <c r="AG1153"/>
  <c r="AF1153"/>
  <c r="AE1153"/>
  <c r="AD1153"/>
  <c r="AK1153"/>
  <c r="AS1153"/>
  <c r="AJ1153"/>
  <c r="AR1153"/>
  <c r="AP1153"/>
  <c r="O1153"/>
  <c r="Q1153"/>
  <c r="AA1153"/>
  <c r="AO1153"/>
  <c r="P1153"/>
  <c r="T1153"/>
  <c r="S1153"/>
  <c r="AN1153"/>
  <c r="AM1153"/>
  <c r="R1153"/>
  <c r="AI1152"/>
  <c r="AB1152"/>
  <c r="AH1152"/>
  <c r="AQ1152"/>
  <c r="AG1152"/>
  <c r="AF1152"/>
  <c r="AE1152"/>
  <c r="AD1152"/>
  <c r="AK1152"/>
  <c r="AS1152"/>
  <c r="AJ1152"/>
  <c r="AR1152"/>
  <c r="AP1152"/>
  <c r="O1152"/>
  <c r="Q1152"/>
  <c r="AA1152"/>
  <c r="AO1152"/>
  <c r="P1152"/>
  <c r="T1152"/>
  <c r="S1152"/>
  <c r="AN1152"/>
  <c r="AM1152"/>
  <c r="R1152"/>
  <c r="AI1151"/>
  <c r="AB1151"/>
  <c r="AH1151"/>
  <c r="AQ1151"/>
  <c r="AG1151"/>
  <c r="AF1151"/>
  <c r="AE1151"/>
  <c r="AD1151"/>
  <c r="AK1151"/>
  <c r="AS1151"/>
  <c r="AJ1151"/>
  <c r="AR1151"/>
  <c r="AP1151"/>
  <c r="O1151"/>
  <c r="Q1151"/>
  <c r="AA1151"/>
  <c r="AO1151"/>
  <c r="P1151"/>
  <c r="T1151"/>
  <c r="S1151"/>
  <c r="AN1151"/>
  <c r="AM1151"/>
  <c r="R1151"/>
  <c r="AI1150"/>
  <c r="AB1150"/>
  <c r="AH1150"/>
  <c r="AQ1150"/>
  <c r="AG1150"/>
  <c r="AF1150"/>
  <c r="AE1150"/>
  <c r="AD1150"/>
  <c r="AK1150"/>
  <c r="AS1150"/>
  <c r="AJ1150"/>
  <c r="AR1150"/>
  <c r="AP1150"/>
  <c r="O1150"/>
  <c r="Q1150"/>
  <c r="AA1150"/>
  <c r="AO1150"/>
  <c r="P1150"/>
  <c r="T1150"/>
  <c r="S1150"/>
  <c r="AN1150"/>
  <c r="AM1150"/>
  <c r="R1150"/>
  <c r="AI1149"/>
  <c r="AB1149"/>
  <c r="AH1149"/>
  <c r="AQ1149"/>
  <c r="AG1149"/>
  <c r="AF1149"/>
  <c r="AE1149"/>
  <c r="AD1149"/>
  <c r="AK1149"/>
  <c r="AS1149"/>
  <c r="AJ1149"/>
  <c r="AR1149"/>
  <c r="AP1149"/>
  <c r="O1149"/>
  <c r="Q1149"/>
  <c r="AA1149"/>
  <c r="AO1149"/>
  <c r="P1149"/>
  <c r="T1149"/>
  <c r="S1149"/>
  <c r="AN1149"/>
  <c r="AM1149"/>
  <c r="R1149"/>
  <c r="AI1148"/>
  <c r="AB1148"/>
  <c r="AH1148"/>
  <c r="AQ1148"/>
  <c r="AG1148"/>
  <c r="AF1148"/>
  <c r="AE1148"/>
  <c r="AD1148"/>
  <c r="AK1148"/>
  <c r="AS1148"/>
  <c r="AJ1148"/>
  <c r="AR1148"/>
  <c r="AP1148"/>
  <c r="O1148"/>
  <c r="Q1148"/>
  <c r="AA1148"/>
  <c r="AO1148"/>
  <c r="P1148"/>
  <c r="T1148"/>
  <c r="S1148"/>
  <c r="AN1148"/>
  <c r="AM1148"/>
  <c r="R1148"/>
  <c r="AI1147"/>
  <c r="AB1147"/>
  <c r="AH1147"/>
  <c r="AQ1147"/>
  <c r="AG1147"/>
  <c r="AF1147"/>
  <c r="AE1147"/>
  <c r="AD1147"/>
  <c r="AK1147"/>
  <c r="AS1147"/>
  <c r="AJ1147"/>
  <c r="AR1147"/>
  <c r="AP1147"/>
  <c r="O1147"/>
  <c r="Q1147"/>
  <c r="AA1147"/>
  <c r="AO1147"/>
  <c r="P1147"/>
  <c r="T1147"/>
  <c r="S1147"/>
  <c r="AN1147"/>
  <c r="AM1147"/>
  <c r="R1147"/>
  <c r="AI1146"/>
  <c r="AB1146"/>
  <c r="AH1146"/>
  <c r="AQ1146"/>
  <c r="AG1146"/>
  <c r="AF1146"/>
  <c r="AE1146"/>
  <c r="AD1146"/>
  <c r="AK1146"/>
  <c r="AS1146"/>
  <c r="AJ1146"/>
  <c r="AR1146"/>
  <c r="AP1146"/>
  <c r="O1146"/>
  <c r="Q1146"/>
  <c r="AA1146"/>
  <c r="AO1146"/>
  <c r="P1146"/>
  <c r="T1146"/>
  <c r="S1146"/>
  <c r="AN1146"/>
  <c r="AM1146"/>
  <c r="R1146"/>
  <c r="AI1145"/>
  <c r="AB1145"/>
  <c r="AH1145"/>
  <c r="AQ1145"/>
  <c r="AG1145"/>
  <c r="AF1145"/>
  <c r="AE1145"/>
  <c r="AD1145"/>
  <c r="AK1145"/>
  <c r="AS1145"/>
  <c r="AJ1145"/>
  <c r="AR1145"/>
  <c r="AP1145"/>
  <c r="O1145"/>
  <c r="Q1145"/>
  <c r="AA1145"/>
  <c r="AO1145"/>
  <c r="P1145"/>
  <c r="T1145"/>
  <c r="S1145"/>
  <c r="AN1145"/>
  <c r="AM1145"/>
  <c r="R1145"/>
  <c r="AI1144"/>
  <c r="AB1144"/>
  <c r="AH1144"/>
  <c r="AQ1144"/>
  <c r="AG1144"/>
  <c r="AF1144"/>
  <c r="AE1144"/>
  <c r="AD1144"/>
  <c r="AK1144"/>
  <c r="AS1144"/>
  <c r="AJ1144"/>
  <c r="AR1144"/>
  <c r="AP1144"/>
  <c r="O1144"/>
  <c r="Q1144"/>
  <c r="AA1144"/>
  <c r="AO1144"/>
  <c r="P1144"/>
  <c r="T1144"/>
  <c r="S1144"/>
  <c r="AN1144"/>
  <c r="AM1144"/>
  <c r="R1144"/>
  <c r="AI1143"/>
  <c r="AB1143"/>
  <c r="AH1143"/>
  <c r="AQ1143"/>
  <c r="AG1143"/>
  <c r="AF1143"/>
  <c r="AE1143"/>
  <c r="AD1143"/>
  <c r="AK1143"/>
  <c r="AS1143"/>
  <c r="AJ1143"/>
  <c r="AR1143"/>
  <c r="AP1143"/>
  <c r="O1143"/>
  <c r="Q1143"/>
  <c r="AA1143"/>
  <c r="AO1143"/>
  <c r="P1143"/>
  <c r="T1143"/>
  <c r="S1143"/>
  <c r="AN1143"/>
  <c r="AM1143"/>
  <c r="R1143"/>
  <c r="AI1142"/>
  <c r="AB1142"/>
  <c r="AH1142"/>
  <c r="AQ1142"/>
  <c r="AG1142"/>
  <c r="AF1142"/>
  <c r="AE1142"/>
  <c r="AD1142"/>
  <c r="AK1142"/>
  <c r="AS1142"/>
  <c r="AJ1142"/>
  <c r="AR1142"/>
  <c r="AP1142"/>
  <c r="O1142"/>
  <c r="Q1142"/>
  <c r="AA1142"/>
  <c r="AO1142"/>
  <c r="P1142"/>
  <c r="T1142"/>
  <c r="S1142"/>
  <c r="AN1142"/>
  <c r="AM1142"/>
  <c r="R1142"/>
  <c r="AI1141"/>
  <c r="AB1141"/>
  <c r="AH1141"/>
  <c r="AQ1141"/>
  <c r="AG1141"/>
  <c r="AF1141"/>
  <c r="AE1141"/>
  <c r="AD1141"/>
  <c r="AK1141"/>
  <c r="AS1141"/>
  <c r="AJ1141"/>
  <c r="AR1141"/>
  <c r="AP1141"/>
  <c r="O1141"/>
  <c r="Q1141"/>
  <c r="AA1141"/>
  <c r="AO1141"/>
  <c r="P1141"/>
  <c r="T1141"/>
  <c r="S1141"/>
  <c r="AN1141"/>
  <c r="AM1141"/>
  <c r="R1141"/>
  <c r="AI1140"/>
  <c r="AB1140"/>
  <c r="AH1140"/>
  <c r="AQ1140"/>
  <c r="AG1140"/>
  <c r="AF1140"/>
  <c r="AE1140"/>
  <c r="AD1140"/>
  <c r="AK1140"/>
  <c r="AS1140"/>
  <c r="AJ1140"/>
  <c r="AR1140"/>
  <c r="AP1140"/>
  <c r="O1140"/>
  <c r="Q1140"/>
  <c r="AA1140"/>
  <c r="AO1140"/>
  <c r="P1140"/>
  <c r="T1140"/>
  <c r="S1140"/>
  <c r="AN1140"/>
  <c r="AM1140"/>
  <c r="R1140"/>
  <c r="AI1139"/>
  <c r="AB1139"/>
  <c r="AH1139"/>
  <c r="AQ1139"/>
  <c r="AG1139"/>
  <c r="AF1139"/>
  <c r="AE1139"/>
  <c r="AD1139"/>
  <c r="AK1139"/>
  <c r="AS1139"/>
  <c r="AJ1139"/>
  <c r="AR1139"/>
  <c r="AP1139"/>
  <c r="O1139"/>
  <c r="Q1139"/>
  <c r="AA1139"/>
  <c r="AO1139"/>
  <c r="P1139"/>
  <c r="T1139"/>
  <c r="S1139"/>
  <c r="AN1139"/>
  <c r="AM1139"/>
  <c r="R1139"/>
  <c r="AI1138"/>
  <c r="AB1138"/>
  <c r="AH1138"/>
  <c r="AQ1138"/>
  <c r="AG1138"/>
  <c r="AF1138"/>
  <c r="AE1138"/>
  <c r="AD1138"/>
  <c r="AK1138"/>
  <c r="AS1138"/>
  <c r="AJ1138"/>
  <c r="AR1138"/>
  <c r="AP1138"/>
  <c r="O1138"/>
  <c r="Q1138"/>
  <c r="AA1138"/>
  <c r="AO1138"/>
  <c r="P1138"/>
  <c r="T1138"/>
  <c r="S1138"/>
  <c r="AN1138"/>
  <c r="AM1138"/>
  <c r="R1138"/>
  <c r="AI1137"/>
  <c r="AB1137"/>
  <c r="AH1137"/>
  <c r="AQ1137"/>
  <c r="AG1137"/>
  <c r="AF1137"/>
  <c r="AE1137"/>
  <c r="AD1137"/>
  <c r="AK1137"/>
  <c r="AS1137"/>
  <c r="AJ1137"/>
  <c r="AR1137"/>
  <c r="AP1137"/>
  <c r="O1137"/>
  <c r="Q1137"/>
  <c r="AA1137"/>
  <c r="AO1137"/>
  <c r="P1137"/>
  <c r="T1137"/>
  <c r="S1137"/>
  <c r="AN1137"/>
  <c r="AM1137"/>
  <c r="R1137"/>
  <c r="AI1136"/>
  <c r="AB1136"/>
  <c r="AH1136"/>
  <c r="AQ1136"/>
  <c r="AG1136"/>
  <c r="AF1136"/>
  <c r="AE1136"/>
  <c r="AD1136"/>
  <c r="AK1136"/>
  <c r="AS1136"/>
  <c r="AJ1136"/>
  <c r="AR1136"/>
  <c r="AP1136"/>
  <c r="O1136"/>
  <c r="Q1136"/>
  <c r="AA1136"/>
  <c r="AO1136"/>
  <c r="P1136"/>
  <c r="T1136"/>
  <c r="S1136"/>
  <c r="AN1136"/>
  <c r="AM1136"/>
  <c r="R1136"/>
  <c r="AI1135"/>
  <c r="AB1135"/>
  <c r="AH1135"/>
  <c r="AQ1135"/>
  <c r="AG1135"/>
  <c r="AF1135"/>
  <c r="AE1135"/>
  <c r="AD1135"/>
  <c r="AK1135"/>
  <c r="AS1135"/>
  <c r="AJ1135"/>
  <c r="AR1135"/>
  <c r="AP1135"/>
  <c r="O1135"/>
  <c r="Q1135"/>
  <c r="AA1135"/>
  <c r="AO1135"/>
  <c r="P1135"/>
  <c r="T1135"/>
  <c r="S1135"/>
  <c r="AN1135"/>
  <c r="AM1135"/>
  <c r="R1135"/>
  <c r="AI1134"/>
  <c r="AB1134"/>
  <c r="AH1134"/>
  <c r="AQ1134"/>
  <c r="AG1134"/>
  <c r="AF1134"/>
  <c r="AE1134"/>
  <c r="AD1134"/>
  <c r="AK1134"/>
  <c r="AS1134"/>
  <c r="AJ1134"/>
  <c r="AR1134"/>
  <c r="AP1134"/>
  <c r="O1134"/>
  <c r="Q1134"/>
  <c r="AA1134"/>
  <c r="AO1134"/>
  <c r="P1134"/>
  <c r="T1134"/>
  <c r="S1134"/>
  <c r="AN1134"/>
  <c r="AM1134"/>
  <c r="R1134"/>
  <c r="AI1133"/>
  <c r="AB1133"/>
  <c r="AH1133"/>
  <c r="AQ1133"/>
  <c r="AG1133"/>
  <c r="AF1133"/>
  <c r="AE1133"/>
  <c r="AD1133"/>
  <c r="AK1133"/>
  <c r="AS1133"/>
  <c r="AJ1133"/>
  <c r="AR1133"/>
  <c r="AP1133"/>
  <c r="O1133"/>
  <c r="Q1133"/>
  <c r="AA1133"/>
  <c r="AO1133"/>
  <c r="P1133"/>
  <c r="T1133"/>
  <c r="S1133"/>
  <c r="AN1133"/>
  <c r="AM1133"/>
  <c r="R1133"/>
  <c r="AI1132"/>
  <c r="AB1132"/>
  <c r="AH1132"/>
  <c r="AQ1132"/>
  <c r="AG1132"/>
  <c r="AF1132"/>
  <c r="AE1132"/>
  <c r="AD1132"/>
  <c r="AK1132"/>
  <c r="AS1132"/>
  <c r="AJ1132"/>
  <c r="AR1132"/>
  <c r="AP1132"/>
  <c r="O1132"/>
  <c r="Q1132"/>
  <c r="AA1132"/>
  <c r="AO1132"/>
  <c r="P1132"/>
  <c r="T1132"/>
  <c r="S1132"/>
  <c r="AN1132"/>
  <c r="AM1132"/>
  <c r="R1132"/>
  <c r="AI1131"/>
  <c r="AB1131"/>
  <c r="AH1131"/>
  <c r="AQ1131"/>
  <c r="AG1131"/>
  <c r="AF1131"/>
  <c r="AE1131"/>
  <c r="AD1131"/>
  <c r="AK1131"/>
  <c r="AS1131"/>
  <c r="AJ1131"/>
  <c r="AR1131"/>
  <c r="AP1131"/>
  <c r="O1131"/>
  <c r="Q1131"/>
  <c r="AA1131"/>
  <c r="AO1131"/>
  <c r="P1131"/>
  <c r="T1131"/>
  <c r="S1131"/>
  <c r="AN1131"/>
  <c r="AM1131"/>
  <c r="R1131"/>
  <c r="AI1130"/>
  <c r="AB1130"/>
  <c r="AH1130"/>
  <c r="AQ1130"/>
  <c r="AG1130"/>
  <c r="AF1130"/>
  <c r="AE1130"/>
  <c r="AD1130"/>
  <c r="AK1130"/>
  <c r="AS1130"/>
  <c r="AJ1130"/>
  <c r="AR1130"/>
  <c r="AP1130"/>
  <c r="O1130"/>
  <c r="Q1130"/>
  <c r="AA1130"/>
  <c r="AO1130"/>
  <c r="P1130"/>
  <c r="T1130"/>
  <c r="S1130"/>
  <c r="AN1130"/>
  <c r="AM1130"/>
  <c r="R1130"/>
  <c r="AI1129"/>
  <c r="AB1129"/>
  <c r="AH1129"/>
  <c r="AQ1129"/>
  <c r="AG1129"/>
  <c r="AF1129"/>
  <c r="AE1129"/>
  <c r="AD1129"/>
  <c r="AK1129"/>
  <c r="AS1129"/>
  <c r="AJ1129"/>
  <c r="AR1129"/>
  <c r="AP1129"/>
  <c r="O1129"/>
  <c r="Q1129"/>
  <c r="AA1129"/>
  <c r="AO1129"/>
  <c r="P1129"/>
  <c r="T1129"/>
  <c r="S1129"/>
  <c r="AN1129"/>
  <c r="AM1129"/>
  <c r="R1129"/>
  <c r="AI1128"/>
  <c r="AB1128"/>
  <c r="AH1128"/>
  <c r="AQ1128"/>
  <c r="AG1128"/>
  <c r="AF1128"/>
  <c r="AE1128"/>
  <c r="AD1128"/>
  <c r="AK1128"/>
  <c r="AS1128"/>
  <c r="AJ1128"/>
  <c r="AR1128"/>
  <c r="AP1128"/>
  <c r="O1128"/>
  <c r="Q1128"/>
  <c r="AA1128"/>
  <c r="AO1128"/>
  <c r="P1128"/>
  <c r="T1128"/>
  <c r="S1128"/>
  <c r="AN1128"/>
  <c r="AM1128"/>
  <c r="R1128"/>
  <c r="AI1127"/>
  <c r="AB1127"/>
  <c r="AH1127"/>
  <c r="AQ1127"/>
  <c r="AG1127"/>
  <c r="AF1127"/>
  <c r="AE1127"/>
  <c r="AD1127"/>
  <c r="AK1127"/>
  <c r="AS1127"/>
  <c r="AJ1127"/>
  <c r="AR1127"/>
  <c r="AP1127"/>
  <c r="O1127"/>
  <c r="Q1127"/>
  <c r="AA1127"/>
  <c r="AO1127"/>
  <c r="P1127"/>
  <c r="T1127"/>
  <c r="S1127"/>
  <c r="AN1127"/>
  <c r="AM1127"/>
  <c r="R1127"/>
  <c r="AI1126"/>
  <c r="AB1126"/>
  <c r="AH1126"/>
  <c r="AQ1126"/>
  <c r="AG1126"/>
  <c r="AF1126"/>
  <c r="AE1126"/>
  <c r="AD1126"/>
  <c r="AK1126"/>
  <c r="AS1126"/>
  <c r="AJ1126"/>
  <c r="AR1126"/>
  <c r="AP1126"/>
  <c r="O1126"/>
  <c r="Q1126"/>
  <c r="AA1126"/>
  <c r="AO1126"/>
  <c r="P1126"/>
  <c r="T1126"/>
  <c r="S1126"/>
  <c r="AN1126"/>
  <c r="AM1126"/>
  <c r="R1126"/>
  <c r="AI1125"/>
  <c r="AB1125"/>
  <c r="AH1125"/>
  <c r="AQ1125"/>
  <c r="AG1125"/>
  <c r="AF1125"/>
  <c r="AE1125"/>
  <c r="AD1125"/>
  <c r="AK1125"/>
  <c r="AS1125"/>
  <c r="AJ1125"/>
  <c r="AR1125"/>
  <c r="AP1125"/>
  <c r="O1125"/>
  <c r="Q1125"/>
  <c r="AA1125"/>
  <c r="AO1125"/>
  <c r="P1125"/>
  <c r="T1125"/>
  <c r="S1125"/>
  <c r="AN1125"/>
  <c r="AM1125"/>
  <c r="R1125"/>
  <c r="AI1124"/>
  <c r="AB1124"/>
  <c r="AH1124"/>
  <c r="AQ1124"/>
  <c r="AG1124"/>
  <c r="AF1124"/>
  <c r="AE1124"/>
  <c r="AD1124"/>
  <c r="AK1124"/>
  <c r="AS1124"/>
  <c r="AJ1124"/>
  <c r="AR1124"/>
  <c r="AP1124"/>
  <c r="O1124"/>
  <c r="Q1124"/>
  <c r="AA1124"/>
  <c r="AO1124"/>
  <c r="P1124"/>
  <c r="T1124"/>
  <c r="S1124"/>
  <c r="AN1124"/>
  <c r="AM1124"/>
  <c r="R1124"/>
  <c r="AI1123"/>
  <c r="AB1123"/>
  <c r="AH1123"/>
  <c r="AQ1123"/>
  <c r="AG1123"/>
  <c r="AF1123"/>
  <c r="AE1123"/>
  <c r="AD1123"/>
  <c r="AK1123"/>
  <c r="AS1123"/>
  <c r="AJ1123"/>
  <c r="AR1123"/>
  <c r="AP1123"/>
  <c r="O1123"/>
  <c r="Q1123"/>
  <c r="AA1123"/>
  <c r="AO1123"/>
  <c r="P1123"/>
  <c r="T1123"/>
  <c r="S1123"/>
  <c r="AN1123"/>
  <c r="AM1123"/>
  <c r="R1123"/>
  <c r="AI1122"/>
  <c r="AB1122"/>
  <c r="AH1122"/>
  <c r="AQ1122"/>
  <c r="AG1122"/>
  <c r="AF1122"/>
  <c r="AE1122"/>
  <c r="AD1122"/>
  <c r="AK1122"/>
  <c r="AS1122"/>
  <c r="AJ1122"/>
  <c r="AR1122"/>
  <c r="AP1122"/>
  <c r="O1122"/>
  <c r="Q1122"/>
  <c r="AA1122"/>
  <c r="AO1122"/>
  <c r="P1122"/>
  <c r="T1122"/>
  <c r="S1122"/>
  <c r="AN1122"/>
  <c r="AM1122"/>
  <c r="R1122"/>
  <c r="AI1121"/>
  <c r="AB1121"/>
  <c r="AH1121"/>
  <c r="AQ1121"/>
  <c r="AG1121"/>
  <c r="AF1121"/>
  <c r="AE1121"/>
  <c r="AD1121"/>
  <c r="AK1121"/>
  <c r="AS1121"/>
  <c r="AJ1121"/>
  <c r="AR1121"/>
  <c r="AP1121"/>
  <c r="O1121"/>
  <c r="Q1121"/>
  <c r="AA1121"/>
  <c r="AO1121"/>
  <c r="P1121"/>
  <c r="T1121"/>
  <c r="S1121"/>
  <c r="AN1121"/>
  <c r="AM1121"/>
  <c r="R1121"/>
  <c r="AI1120"/>
  <c r="AB1120"/>
  <c r="AH1120"/>
  <c r="AQ1120"/>
  <c r="AG1120"/>
  <c r="AF1120"/>
  <c r="AE1120"/>
  <c r="AD1120"/>
  <c r="AK1120"/>
  <c r="AS1120"/>
  <c r="AJ1120"/>
  <c r="AR1120"/>
  <c r="AP1120"/>
  <c r="O1120"/>
  <c r="Q1120"/>
  <c r="AA1120"/>
  <c r="AO1120"/>
  <c r="P1120"/>
  <c r="T1120"/>
  <c r="S1120"/>
  <c r="AN1120"/>
  <c r="AM1120"/>
  <c r="R1120"/>
  <c r="AI1119"/>
  <c r="AB1119"/>
  <c r="AH1119"/>
  <c r="AQ1119"/>
  <c r="AG1119"/>
  <c r="AF1119"/>
  <c r="AE1119"/>
  <c r="AD1119"/>
  <c r="AK1119"/>
  <c r="AS1119"/>
  <c r="AJ1119"/>
  <c r="AR1119"/>
  <c r="AP1119"/>
  <c r="O1119"/>
  <c r="Q1119"/>
  <c r="AA1119"/>
  <c r="AO1119"/>
  <c r="P1119"/>
  <c r="T1119"/>
  <c r="S1119"/>
  <c r="AN1119"/>
  <c r="AM1119"/>
  <c r="R1119"/>
  <c r="AI1118"/>
  <c r="AB1118"/>
  <c r="AH1118"/>
  <c r="AQ1118"/>
  <c r="AG1118"/>
  <c r="AF1118"/>
  <c r="AE1118"/>
  <c r="AD1118"/>
  <c r="AK1118"/>
  <c r="AS1118"/>
  <c r="AJ1118"/>
  <c r="AR1118"/>
  <c r="AP1118"/>
  <c r="O1118"/>
  <c r="Q1118"/>
  <c r="AA1118"/>
  <c r="AO1118"/>
  <c r="P1118"/>
  <c r="T1118"/>
  <c r="S1118"/>
  <c r="AN1118"/>
  <c r="AM1118"/>
  <c r="R1118"/>
  <c r="AI1117"/>
  <c r="AB1117"/>
  <c r="AH1117"/>
  <c r="AQ1117"/>
  <c r="AG1117"/>
  <c r="AF1117"/>
  <c r="AE1117"/>
  <c r="AD1117"/>
  <c r="AK1117"/>
  <c r="AS1117"/>
  <c r="AJ1117"/>
  <c r="AR1117"/>
  <c r="AP1117"/>
  <c r="O1117"/>
  <c r="Q1117"/>
  <c r="AA1117"/>
  <c r="AO1117"/>
  <c r="P1117"/>
  <c r="T1117"/>
  <c r="S1117"/>
  <c r="AN1117"/>
  <c r="AM1117"/>
  <c r="R1117"/>
  <c r="AI1116"/>
  <c r="AB1116"/>
  <c r="AH1116"/>
  <c r="AQ1116"/>
  <c r="AG1116"/>
  <c r="AF1116"/>
  <c r="AE1116"/>
  <c r="AD1116"/>
  <c r="AK1116"/>
  <c r="AS1116"/>
  <c r="AJ1116"/>
  <c r="AR1116"/>
  <c r="AP1116"/>
  <c r="O1116"/>
  <c r="Q1116"/>
  <c r="AA1116"/>
  <c r="AO1116"/>
  <c r="P1116"/>
  <c r="T1116"/>
  <c r="S1116"/>
  <c r="AN1116"/>
  <c r="AM1116"/>
  <c r="R1116"/>
  <c r="AI1115"/>
  <c r="AB1115"/>
  <c r="AH1115"/>
  <c r="AQ1115"/>
  <c r="AG1115"/>
  <c r="AF1115"/>
  <c r="AE1115"/>
  <c r="AD1115"/>
  <c r="AK1115"/>
  <c r="AS1115"/>
  <c r="AJ1115"/>
  <c r="AR1115"/>
  <c r="AP1115"/>
  <c r="O1115"/>
  <c r="Q1115"/>
  <c r="AA1115"/>
  <c r="AO1115"/>
  <c r="P1115"/>
  <c r="T1115"/>
  <c r="S1115"/>
  <c r="AN1115"/>
  <c r="AM1115"/>
  <c r="R1115"/>
  <c r="AI1114"/>
  <c r="AB1114"/>
  <c r="AH1114"/>
  <c r="AQ1114"/>
  <c r="AG1114"/>
  <c r="AF1114"/>
  <c r="AE1114"/>
  <c r="AD1114"/>
  <c r="AK1114"/>
  <c r="AS1114"/>
  <c r="AJ1114"/>
  <c r="AR1114"/>
  <c r="AP1114"/>
  <c r="O1114"/>
  <c r="Q1114"/>
  <c r="AA1114"/>
  <c r="AO1114"/>
  <c r="P1114"/>
  <c r="T1114"/>
  <c r="S1114"/>
  <c r="AN1114"/>
  <c r="AM1114"/>
  <c r="R1114"/>
  <c r="AI1113"/>
  <c r="AB1113"/>
  <c r="AH1113"/>
  <c r="AQ1113"/>
  <c r="AG1113"/>
  <c r="AF1113"/>
  <c r="AE1113"/>
  <c r="AD1113"/>
  <c r="AK1113"/>
  <c r="AS1113"/>
  <c r="AJ1113"/>
  <c r="AR1113"/>
  <c r="AP1113"/>
  <c r="O1113"/>
  <c r="Q1113"/>
  <c r="AA1113"/>
  <c r="AO1113"/>
  <c r="P1113"/>
  <c r="T1113"/>
  <c r="S1113"/>
  <c r="AN1113"/>
  <c r="AM1113"/>
  <c r="R1113"/>
  <c r="AI1112"/>
  <c r="AB1112"/>
  <c r="AH1112"/>
  <c r="AQ1112"/>
  <c r="AG1112"/>
  <c r="AF1112"/>
  <c r="AE1112"/>
  <c r="AD1112"/>
  <c r="AK1112"/>
  <c r="AS1112"/>
  <c r="AJ1112"/>
  <c r="AR1112"/>
  <c r="AP1112"/>
  <c r="O1112"/>
  <c r="Q1112"/>
  <c r="AA1112"/>
  <c r="AO1112"/>
  <c r="P1112"/>
  <c r="T1112"/>
  <c r="S1112"/>
  <c r="AN1112"/>
  <c r="AM1112"/>
  <c r="R1112"/>
  <c r="AI1111"/>
  <c r="AB1111"/>
  <c r="AH1111"/>
  <c r="AQ1111"/>
  <c r="AG1111"/>
  <c r="AF1111"/>
  <c r="AE1111"/>
  <c r="AD1111"/>
  <c r="AK1111"/>
  <c r="AS1111"/>
  <c r="AJ1111"/>
  <c r="AR1111"/>
  <c r="AP1111"/>
  <c r="O1111"/>
  <c r="Q1111"/>
  <c r="AA1111"/>
  <c r="AO1111"/>
  <c r="P1111"/>
  <c r="T1111"/>
  <c r="S1111"/>
  <c r="AN1111"/>
  <c r="AM1111"/>
  <c r="R1111"/>
  <c r="AI1110"/>
  <c r="AB1110"/>
  <c r="AH1110"/>
  <c r="AQ1110"/>
  <c r="AG1110"/>
  <c r="AF1110"/>
  <c r="AE1110"/>
  <c r="AD1110"/>
  <c r="AK1110"/>
  <c r="AS1110"/>
  <c r="AJ1110"/>
  <c r="AR1110"/>
  <c r="AP1110"/>
  <c r="O1110"/>
  <c r="Q1110"/>
  <c r="AA1110"/>
  <c r="AO1110"/>
  <c r="P1110"/>
  <c r="T1110"/>
  <c r="S1110"/>
  <c r="AN1110"/>
  <c r="AM1110"/>
  <c r="R1110"/>
  <c r="AI1109"/>
  <c r="AB1109"/>
  <c r="AH1109"/>
  <c r="AQ1109"/>
  <c r="AG1109"/>
  <c r="AF1109"/>
  <c r="AE1109"/>
  <c r="AD1109"/>
  <c r="AK1109"/>
  <c r="AS1109"/>
  <c r="AJ1109"/>
  <c r="AR1109"/>
  <c r="AP1109"/>
  <c r="O1109"/>
  <c r="Q1109"/>
  <c r="AA1109"/>
  <c r="AO1109"/>
  <c r="P1109"/>
  <c r="T1109"/>
  <c r="S1109"/>
  <c r="AN1109"/>
  <c r="AM1109"/>
  <c r="R1109"/>
  <c r="AI1108"/>
  <c r="AB1108"/>
  <c r="AH1108"/>
  <c r="AQ1108"/>
  <c r="AG1108"/>
  <c r="AF1108"/>
  <c r="AE1108"/>
  <c r="AD1108"/>
  <c r="AK1108"/>
  <c r="AS1108"/>
  <c r="AJ1108"/>
  <c r="AR1108"/>
  <c r="AP1108"/>
  <c r="O1108"/>
  <c r="Q1108"/>
  <c r="AA1108"/>
  <c r="AO1108"/>
  <c r="P1108"/>
  <c r="T1108"/>
  <c r="S1108"/>
  <c r="AN1108"/>
  <c r="AM1108"/>
  <c r="R1108"/>
  <c r="AI1107"/>
  <c r="AB1107"/>
  <c r="AH1107"/>
  <c r="AQ1107"/>
  <c r="AG1107"/>
  <c r="AF1107"/>
  <c r="AE1107"/>
  <c r="AD1107"/>
  <c r="AK1107"/>
  <c r="AS1107"/>
  <c r="AJ1107"/>
  <c r="AR1107"/>
  <c r="AP1107"/>
  <c r="O1107"/>
  <c r="Q1107"/>
  <c r="AA1107"/>
  <c r="AO1107"/>
  <c r="P1107"/>
  <c r="T1107"/>
  <c r="S1107"/>
  <c r="AN1107"/>
  <c r="AM1107"/>
  <c r="R1107"/>
  <c r="AI1106"/>
  <c r="AB1106"/>
  <c r="AH1106"/>
  <c r="AQ1106"/>
  <c r="AG1106"/>
  <c r="AF1106"/>
  <c r="AE1106"/>
  <c r="AD1106"/>
  <c r="AK1106"/>
  <c r="AS1106"/>
  <c r="AJ1106"/>
  <c r="AR1106"/>
  <c r="AP1106"/>
  <c r="O1106"/>
  <c r="Q1106"/>
  <c r="AA1106"/>
  <c r="AO1106"/>
  <c r="P1106"/>
  <c r="T1106"/>
  <c r="S1106"/>
  <c r="AN1106"/>
  <c r="AM1106"/>
  <c r="R1106"/>
  <c r="AI1105"/>
  <c r="AB1105"/>
  <c r="AH1105"/>
  <c r="AQ1105"/>
  <c r="AG1105"/>
  <c r="AF1105"/>
  <c r="AE1105"/>
  <c r="AD1105"/>
  <c r="AK1105"/>
  <c r="AS1105"/>
  <c r="AJ1105"/>
  <c r="AR1105"/>
  <c r="AP1105"/>
  <c r="O1105"/>
  <c r="Q1105"/>
  <c r="AA1105"/>
  <c r="AO1105"/>
  <c r="P1105"/>
  <c r="T1105"/>
  <c r="S1105"/>
  <c r="AN1105"/>
  <c r="AM1105"/>
  <c r="R1105"/>
  <c r="AI1104"/>
  <c r="AB1104"/>
  <c r="AH1104"/>
  <c r="AQ1104"/>
  <c r="AG1104"/>
  <c r="AF1104"/>
  <c r="AE1104"/>
  <c r="AD1104"/>
  <c r="AK1104"/>
  <c r="AS1104"/>
  <c r="AJ1104"/>
  <c r="AR1104"/>
  <c r="AP1104"/>
  <c r="O1104"/>
  <c r="Q1104"/>
  <c r="AA1104"/>
  <c r="AO1104"/>
  <c r="P1104"/>
  <c r="T1104"/>
  <c r="S1104"/>
  <c r="AN1104"/>
  <c r="AM1104"/>
  <c r="R1104"/>
  <c r="AI1103"/>
  <c r="AB1103"/>
  <c r="AH1103"/>
  <c r="AQ1103"/>
  <c r="AG1103"/>
  <c r="AF1103"/>
  <c r="AE1103"/>
  <c r="AD1103"/>
  <c r="AK1103"/>
  <c r="AS1103"/>
  <c r="AJ1103"/>
  <c r="AR1103"/>
  <c r="AP1103"/>
  <c r="O1103"/>
  <c r="Q1103"/>
  <c r="AA1103"/>
  <c r="AO1103"/>
  <c r="P1103"/>
  <c r="T1103"/>
  <c r="S1103"/>
  <c r="AN1103"/>
  <c r="AM1103"/>
  <c r="R1103"/>
  <c r="AI1102"/>
  <c r="AB1102"/>
  <c r="AH1102"/>
  <c r="AQ1102"/>
  <c r="AG1102"/>
  <c r="AF1102"/>
  <c r="AE1102"/>
  <c r="AD1102"/>
  <c r="AK1102"/>
  <c r="AS1102"/>
  <c r="AJ1102"/>
  <c r="AR1102"/>
  <c r="AP1102"/>
  <c r="O1102"/>
  <c r="Q1102"/>
  <c r="AA1102"/>
  <c r="AO1102"/>
  <c r="P1102"/>
  <c r="T1102"/>
  <c r="S1102"/>
  <c r="AN1102"/>
  <c r="AM1102"/>
  <c r="R1102"/>
  <c r="AI1101"/>
  <c r="AB1101"/>
  <c r="AH1101"/>
  <c r="AQ1101"/>
  <c r="AG1101"/>
  <c r="AF1101"/>
  <c r="AE1101"/>
  <c r="AD1101"/>
  <c r="AK1101"/>
  <c r="AS1101"/>
  <c r="AJ1101"/>
  <c r="AR1101"/>
  <c r="AP1101"/>
  <c r="O1101"/>
  <c r="Q1101"/>
  <c r="AA1101"/>
  <c r="AO1101"/>
  <c r="P1101"/>
  <c r="T1101"/>
  <c r="S1101"/>
  <c r="AN1101"/>
  <c r="AM1101"/>
  <c r="R1101"/>
  <c r="AI1100"/>
  <c r="AB1100"/>
  <c r="AH1100"/>
  <c r="AQ1100"/>
  <c r="AG1100"/>
  <c r="AF1100"/>
  <c r="AE1100"/>
  <c r="AD1100"/>
  <c r="AK1100"/>
  <c r="AS1100"/>
  <c r="AJ1100"/>
  <c r="AR1100"/>
  <c r="AP1100"/>
  <c r="O1100"/>
  <c r="Q1100"/>
  <c r="AA1100"/>
  <c r="AO1100"/>
  <c r="P1100"/>
  <c r="T1100"/>
  <c r="S1100"/>
  <c r="AN1100"/>
  <c r="AM1100"/>
  <c r="R1100"/>
  <c r="AI1099"/>
  <c r="AB1099"/>
  <c r="AH1099"/>
  <c r="AQ1099"/>
  <c r="AG1099"/>
  <c r="AF1099"/>
  <c r="AE1099"/>
  <c r="AD1099"/>
  <c r="AK1099"/>
  <c r="AS1099"/>
  <c r="AJ1099"/>
  <c r="AR1099"/>
  <c r="AP1099"/>
  <c r="O1099"/>
  <c r="Q1099"/>
  <c r="AA1099"/>
  <c r="AO1099"/>
  <c r="P1099"/>
  <c r="T1099"/>
  <c r="S1099"/>
  <c r="AN1099"/>
  <c r="AM1099"/>
  <c r="R1099"/>
  <c r="AI1098"/>
  <c r="AB1098"/>
  <c r="AH1098"/>
  <c r="AQ1098"/>
  <c r="AG1098"/>
  <c r="AF1098"/>
  <c r="AE1098"/>
  <c r="AD1098"/>
  <c r="AK1098"/>
  <c r="AS1098"/>
  <c r="AJ1098"/>
  <c r="AR1098"/>
  <c r="AP1098"/>
  <c r="O1098"/>
  <c r="Q1098"/>
  <c r="AA1098"/>
  <c r="AO1098"/>
  <c r="P1098"/>
  <c r="T1098"/>
  <c r="S1098"/>
  <c r="AN1098"/>
  <c r="AM1098"/>
  <c r="R1098"/>
  <c r="AI1097"/>
  <c r="AB1097"/>
  <c r="AH1097"/>
  <c r="AQ1097"/>
  <c r="AG1097"/>
  <c r="AF1097"/>
  <c r="AE1097"/>
  <c r="AD1097"/>
  <c r="AK1097"/>
  <c r="AS1097"/>
  <c r="AJ1097"/>
  <c r="AR1097"/>
  <c r="AP1097"/>
  <c r="O1097"/>
  <c r="Q1097"/>
  <c r="AA1097"/>
  <c r="AO1097"/>
  <c r="P1097"/>
  <c r="T1097"/>
  <c r="S1097"/>
  <c r="AN1097"/>
  <c r="AM1097"/>
  <c r="R1097"/>
  <c r="AI1096"/>
  <c r="AB1096"/>
  <c r="AH1096"/>
  <c r="AQ1096"/>
  <c r="AG1096"/>
  <c r="AF1096"/>
  <c r="AE1096"/>
  <c r="AD1096"/>
  <c r="AK1096"/>
  <c r="AS1096"/>
  <c r="AJ1096"/>
  <c r="AR1096"/>
  <c r="AP1096"/>
  <c r="O1096"/>
  <c r="Q1096"/>
  <c r="AA1096"/>
  <c r="AO1096"/>
  <c r="P1096"/>
  <c r="T1096"/>
  <c r="S1096"/>
  <c r="AN1096"/>
  <c r="AM1096"/>
  <c r="R1096"/>
  <c r="AI1095"/>
  <c r="AB1095"/>
  <c r="AH1095"/>
  <c r="AQ1095"/>
  <c r="AG1095"/>
  <c r="AF1095"/>
  <c r="AE1095"/>
  <c r="AD1095"/>
  <c r="AK1095"/>
  <c r="AS1095"/>
  <c r="AJ1095"/>
  <c r="AR1095"/>
  <c r="AP1095"/>
  <c r="O1095"/>
  <c r="Q1095"/>
  <c r="AA1095"/>
  <c r="AO1095"/>
  <c r="P1095"/>
  <c r="T1095"/>
  <c r="S1095"/>
  <c r="AN1095"/>
  <c r="AM1095"/>
  <c r="R1095"/>
  <c r="AI1094"/>
  <c r="AB1094"/>
  <c r="AH1094"/>
  <c r="AQ1094"/>
  <c r="AG1094"/>
  <c r="AF1094"/>
  <c r="AE1094"/>
  <c r="AD1094"/>
  <c r="AK1094"/>
  <c r="AS1094"/>
  <c r="AJ1094"/>
  <c r="AR1094"/>
  <c r="AP1094"/>
  <c r="O1094"/>
  <c r="Q1094"/>
  <c r="AA1094"/>
  <c r="AO1094"/>
  <c r="P1094"/>
  <c r="T1094"/>
  <c r="S1094"/>
  <c r="AN1094"/>
  <c r="AM1094"/>
  <c r="R1094"/>
  <c r="AI1093"/>
  <c r="AB1093"/>
  <c r="AH1093"/>
  <c r="AQ1093"/>
  <c r="AG1093"/>
  <c r="AF1093"/>
  <c r="AE1093"/>
  <c r="AD1093"/>
  <c r="AK1093"/>
  <c r="AS1093"/>
  <c r="AJ1093"/>
  <c r="AR1093"/>
  <c r="AP1093"/>
  <c r="O1093"/>
  <c r="Q1093"/>
  <c r="AA1093"/>
  <c r="AO1093"/>
  <c r="P1093"/>
  <c r="T1093"/>
  <c r="S1093"/>
  <c r="AN1093"/>
  <c r="AM1093"/>
  <c r="R1093"/>
  <c r="AI1092"/>
  <c r="AB1092"/>
  <c r="AH1092"/>
  <c r="AQ1092"/>
  <c r="AG1092"/>
  <c r="AF1092"/>
  <c r="AE1092"/>
  <c r="AD1092"/>
  <c r="AK1092"/>
  <c r="AS1092"/>
  <c r="AJ1092"/>
  <c r="AR1092"/>
  <c r="AP1092"/>
  <c r="O1092"/>
  <c r="Q1092"/>
  <c r="AA1092"/>
  <c r="AO1092"/>
  <c r="P1092"/>
  <c r="T1092"/>
  <c r="S1092"/>
  <c r="AN1092"/>
  <c r="AM1092"/>
  <c r="R1092"/>
  <c r="AI1091"/>
  <c r="AB1091"/>
  <c r="AH1091"/>
  <c r="AQ1091"/>
  <c r="AG1091"/>
  <c r="AF1091"/>
  <c r="AE1091"/>
  <c r="AD1091"/>
  <c r="AK1091"/>
  <c r="AS1091"/>
  <c r="AJ1091"/>
  <c r="AR1091"/>
  <c r="AP1091"/>
  <c r="O1091"/>
  <c r="Q1091"/>
  <c r="AA1091"/>
  <c r="AO1091"/>
  <c r="P1091"/>
  <c r="T1091"/>
  <c r="S1091"/>
  <c r="AN1091"/>
  <c r="AM1091"/>
  <c r="R1091"/>
  <c r="AI1090"/>
  <c r="AB1090"/>
  <c r="AH1090"/>
  <c r="AQ1090"/>
  <c r="AG1090"/>
  <c r="AF1090"/>
  <c r="AE1090"/>
  <c r="AD1090"/>
  <c r="AK1090"/>
  <c r="AS1090"/>
  <c r="AJ1090"/>
  <c r="AR1090"/>
  <c r="AP1090"/>
  <c r="O1090"/>
  <c r="Q1090"/>
  <c r="AA1090"/>
  <c r="AO1090"/>
  <c r="P1090"/>
  <c r="T1090"/>
  <c r="S1090"/>
  <c r="AN1090"/>
  <c r="AM1090"/>
  <c r="R1090"/>
  <c r="AI1089"/>
  <c r="AB1089"/>
  <c r="AH1089"/>
  <c r="AQ1089"/>
  <c r="AG1089"/>
  <c r="AF1089"/>
  <c r="AE1089"/>
  <c r="AD1089"/>
  <c r="AK1089"/>
  <c r="AS1089"/>
  <c r="AJ1089"/>
  <c r="AR1089"/>
  <c r="AP1089"/>
  <c r="O1089"/>
  <c r="Q1089"/>
  <c r="AA1089"/>
  <c r="AO1089"/>
  <c r="P1089"/>
  <c r="T1089"/>
  <c r="S1089"/>
  <c r="AN1089"/>
  <c r="AM1089"/>
  <c r="R1089"/>
  <c r="AI1088"/>
  <c r="AB1088"/>
  <c r="AH1088"/>
  <c r="AQ1088"/>
  <c r="AG1088"/>
  <c r="AF1088"/>
  <c r="AE1088"/>
  <c r="AD1088"/>
  <c r="AK1088"/>
  <c r="AS1088"/>
  <c r="AJ1088"/>
  <c r="AR1088"/>
  <c r="AP1088"/>
  <c r="O1088"/>
  <c r="Q1088"/>
  <c r="AA1088"/>
  <c r="AO1088"/>
  <c r="P1088"/>
  <c r="T1088"/>
  <c r="S1088"/>
  <c r="AN1088"/>
  <c r="AM1088"/>
  <c r="R1088"/>
  <c r="AI1087"/>
  <c r="AB1087"/>
  <c r="AH1087"/>
  <c r="AQ1087"/>
  <c r="AG1087"/>
  <c r="AF1087"/>
  <c r="AE1087"/>
  <c r="AD1087"/>
  <c r="AK1087"/>
  <c r="AS1087"/>
  <c r="AJ1087"/>
  <c r="AR1087"/>
  <c r="AP1087"/>
  <c r="O1087"/>
  <c r="Q1087"/>
  <c r="AA1087"/>
  <c r="AO1087"/>
  <c r="P1087"/>
  <c r="T1087"/>
  <c r="S1087"/>
  <c r="AN1087"/>
  <c r="AM1087"/>
  <c r="R1087"/>
  <c r="AI1086"/>
  <c r="AB1086"/>
  <c r="AH1086"/>
  <c r="AQ1086"/>
  <c r="AG1086"/>
  <c r="AF1086"/>
  <c r="AE1086"/>
  <c r="AD1086"/>
  <c r="AK1086"/>
  <c r="AS1086"/>
  <c r="AJ1086"/>
  <c r="AR1086"/>
  <c r="AP1086"/>
  <c r="O1086"/>
  <c r="Q1086"/>
  <c r="AA1086"/>
  <c r="AO1086"/>
  <c r="P1086"/>
  <c r="T1086"/>
  <c r="S1086"/>
  <c r="AN1086"/>
  <c r="AM1086"/>
  <c r="R1086"/>
  <c r="AI1085"/>
  <c r="AB1085"/>
  <c r="AH1085"/>
  <c r="AQ1085"/>
  <c r="AG1085"/>
  <c r="AF1085"/>
  <c r="AE1085"/>
  <c r="AD1085"/>
  <c r="AK1085"/>
  <c r="AS1085"/>
  <c r="AJ1085"/>
  <c r="AR1085"/>
  <c r="AP1085"/>
  <c r="O1085"/>
  <c r="Q1085"/>
  <c r="AA1085"/>
  <c r="AO1085"/>
  <c r="P1085"/>
  <c r="T1085"/>
  <c r="S1085"/>
  <c r="AN1085"/>
  <c r="AM1085"/>
  <c r="R1085"/>
  <c r="AI1084"/>
  <c r="AB1084"/>
  <c r="AH1084"/>
  <c r="AQ1084"/>
  <c r="AG1084"/>
  <c r="AF1084"/>
  <c r="AE1084"/>
  <c r="AD1084"/>
  <c r="AK1084"/>
  <c r="AS1084"/>
  <c r="AJ1084"/>
  <c r="AR1084"/>
  <c r="AP1084"/>
  <c r="O1084"/>
  <c r="Q1084"/>
  <c r="AA1084"/>
  <c r="AO1084"/>
  <c r="P1084"/>
  <c r="T1084"/>
  <c r="S1084"/>
  <c r="AN1084"/>
  <c r="AM1084"/>
  <c r="R1084"/>
  <c r="AI1083"/>
  <c r="AB1083"/>
  <c r="AH1083"/>
  <c r="AQ1083"/>
  <c r="AG1083"/>
  <c r="AF1083"/>
  <c r="AE1083"/>
  <c r="AD1083"/>
  <c r="AK1083"/>
  <c r="AS1083"/>
  <c r="AJ1083"/>
  <c r="AR1083"/>
  <c r="AP1083"/>
  <c r="O1083"/>
  <c r="Q1083"/>
  <c r="AA1083"/>
  <c r="AO1083"/>
  <c r="P1083"/>
  <c r="T1083"/>
  <c r="S1083"/>
  <c r="AN1083"/>
  <c r="AM1083"/>
  <c r="R1083"/>
  <c r="AI1082"/>
  <c r="AB1082"/>
  <c r="AH1082"/>
  <c r="AQ1082"/>
  <c r="AG1082"/>
  <c r="AF1082"/>
  <c r="AE1082"/>
  <c r="AD1082"/>
  <c r="AK1082"/>
  <c r="AS1082"/>
  <c r="AJ1082"/>
  <c r="AR1082"/>
  <c r="AP1082"/>
  <c r="O1082"/>
  <c r="Q1082"/>
  <c r="AA1082"/>
  <c r="AO1082"/>
  <c r="P1082"/>
  <c r="T1082"/>
  <c r="S1082"/>
  <c r="AN1082"/>
  <c r="AM1082"/>
  <c r="R1082"/>
  <c r="AI1081"/>
  <c r="AB1081"/>
  <c r="AH1081"/>
  <c r="AQ1081"/>
  <c r="AG1081"/>
  <c r="AF1081"/>
  <c r="AE1081"/>
  <c r="AD1081"/>
  <c r="AK1081"/>
  <c r="AS1081"/>
  <c r="AJ1081"/>
  <c r="AR1081"/>
  <c r="AP1081"/>
  <c r="O1081"/>
  <c r="Q1081"/>
  <c r="AA1081"/>
  <c r="AO1081"/>
  <c r="P1081"/>
  <c r="T1081"/>
  <c r="S1081"/>
  <c r="AN1081"/>
  <c r="AM1081"/>
  <c r="R1081"/>
  <c r="AI1080"/>
  <c r="AB1080"/>
  <c r="AH1080"/>
  <c r="AQ1080"/>
  <c r="AG1080"/>
  <c r="AF1080"/>
  <c r="AE1080"/>
  <c r="AD1080"/>
  <c r="AK1080"/>
  <c r="AS1080"/>
  <c r="AJ1080"/>
  <c r="AR1080"/>
  <c r="AP1080"/>
  <c r="O1080"/>
  <c r="Q1080"/>
  <c r="AA1080"/>
  <c r="AO1080"/>
  <c r="P1080"/>
  <c r="T1080"/>
  <c r="S1080"/>
  <c r="AN1080"/>
  <c r="AM1080"/>
  <c r="R1080"/>
  <c r="AI1079"/>
  <c r="AB1079"/>
  <c r="AH1079"/>
  <c r="AQ1079"/>
  <c r="AG1079"/>
  <c r="AF1079"/>
  <c r="AE1079"/>
  <c r="AD1079"/>
  <c r="AK1079"/>
  <c r="AS1079"/>
  <c r="AJ1079"/>
  <c r="AR1079"/>
  <c r="AP1079"/>
  <c r="O1079"/>
  <c r="Q1079"/>
  <c r="AA1079"/>
  <c r="AO1079"/>
  <c r="P1079"/>
  <c r="T1079"/>
  <c r="S1079"/>
  <c r="AN1079"/>
  <c r="AM1079"/>
  <c r="R1079"/>
  <c r="AI1078"/>
  <c r="AB1078"/>
  <c r="AH1078"/>
  <c r="AQ1078"/>
  <c r="AG1078"/>
  <c r="AF1078"/>
  <c r="AE1078"/>
  <c r="AD1078"/>
  <c r="AK1078"/>
  <c r="AS1078"/>
  <c r="AJ1078"/>
  <c r="AR1078"/>
  <c r="AP1078"/>
  <c r="O1078"/>
  <c r="Q1078"/>
  <c r="AA1078"/>
  <c r="AO1078"/>
  <c r="P1078"/>
  <c r="T1078"/>
  <c r="S1078"/>
  <c r="AN1078"/>
  <c r="AM1078"/>
  <c r="R1078"/>
  <c r="AI1077"/>
  <c r="AB1077"/>
  <c r="AH1077"/>
  <c r="AQ1077"/>
  <c r="AG1077"/>
  <c r="AF1077"/>
  <c r="AE1077"/>
  <c r="AD1077"/>
  <c r="AK1077"/>
  <c r="AS1077"/>
  <c r="AJ1077"/>
  <c r="AR1077"/>
  <c r="AP1077"/>
  <c r="O1077"/>
  <c r="Q1077"/>
  <c r="AA1077"/>
  <c r="AO1077"/>
  <c r="P1077"/>
  <c r="T1077"/>
  <c r="S1077"/>
  <c r="AN1077"/>
  <c r="AM1077"/>
  <c r="R1077"/>
  <c r="AI1076"/>
  <c r="AB1076"/>
  <c r="AH1076"/>
  <c r="AQ1076"/>
  <c r="AG1076"/>
  <c r="AF1076"/>
  <c r="AE1076"/>
  <c r="AD1076"/>
  <c r="AK1076"/>
  <c r="AS1076"/>
  <c r="AJ1076"/>
  <c r="AR1076"/>
  <c r="AP1076"/>
  <c r="O1076"/>
  <c r="Q1076"/>
  <c r="AA1076"/>
  <c r="AO1076"/>
  <c r="P1076"/>
  <c r="T1076"/>
  <c r="S1076"/>
  <c r="AN1076"/>
  <c r="AM1076"/>
  <c r="R1076"/>
  <c r="AI1075"/>
  <c r="AB1075"/>
  <c r="AH1075"/>
  <c r="AQ1075"/>
  <c r="AG1075"/>
  <c r="AF1075"/>
  <c r="AE1075"/>
  <c r="AD1075"/>
  <c r="AK1075"/>
  <c r="AS1075"/>
  <c r="AJ1075"/>
  <c r="AR1075"/>
  <c r="AP1075"/>
  <c r="O1075"/>
  <c r="Q1075"/>
  <c r="AA1075"/>
  <c r="AO1075"/>
  <c r="P1075"/>
  <c r="T1075"/>
  <c r="S1075"/>
  <c r="AN1075"/>
  <c r="AM1075"/>
  <c r="R1075"/>
  <c r="AI1074"/>
  <c r="AB1074"/>
  <c r="AH1074"/>
  <c r="AQ1074"/>
  <c r="AG1074"/>
  <c r="AF1074"/>
  <c r="AE1074"/>
  <c r="AD1074"/>
  <c r="AK1074"/>
  <c r="AS1074"/>
  <c r="AJ1074"/>
  <c r="AR1074"/>
  <c r="AP1074"/>
  <c r="O1074"/>
  <c r="Q1074"/>
  <c r="AA1074"/>
  <c r="AO1074"/>
  <c r="P1074"/>
  <c r="T1074"/>
  <c r="S1074"/>
  <c r="AN1074"/>
  <c r="AM1074"/>
  <c r="R1074"/>
  <c r="AI1073"/>
  <c r="AB1073"/>
  <c r="AH1073"/>
  <c r="AQ1073"/>
  <c r="AG1073"/>
  <c r="AF1073"/>
  <c r="AE1073"/>
  <c r="AD1073"/>
  <c r="AK1073"/>
  <c r="AS1073"/>
  <c r="AJ1073"/>
  <c r="AR1073"/>
  <c r="AP1073"/>
  <c r="O1073"/>
  <c r="Q1073"/>
  <c r="AA1073"/>
  <c r="AO1073"/>
  <c r="P1073"/>
  <c r="T1073"/>
  <c r="S1073"/>
  <c r="AN1073"/>
  <c r="AM1073"/>
  <c r="R1073"/>
  <c r="AI1072"/>
  <c r="AB1072"/>
  <c r="AH1072"/>
  <c r="AQ1072"/>
  <c r="AG1072"/>
  <c r="AF1072"/>
  <c r="AE1072"/>
  <c r="AD1072"/>
  <c r="AK1072"/>
  <c r="AS1072"/>
  <c r="AJ1072"/>
  <c r="AR1072"/>
  <c r="AP1072"/>
  <c r="O1072"/>
  <c r="Q1072"/>
  <c r="AA1072"/>
  <c r="AO1072"/>
  <c r="P1072"/>
  <c r="T1072"/>
  <c r="S1072"/>
  <c r="AN1072"/>
  <c r="AM1072"/>
  <c r="R1072"/>
  <c r="AI1071"/>
  <c r="AB1071"/>
  <c r="AH1071"/>
  <c r="AQ1071"/>
  <c r="AG1071"/>
  <c r="AF1071"/>
  <c r="AE1071"/>
  <c r="AD1071"/>
  <c r="AK1071"/>
  <c r="AS1071"/>
  <c r="AJ1071"/>
  <c r="AR1071"/>
  <c r="AP1071"/>
  <c r="O1071"/>
  <c r="Q1071"/>
  <c r="AA1071"/>
  <c r="AO1071"/>
  <c r="P1071"/>
  <c r="T1071"/>
  <c r="S1071"/>
  <c r="AN1071"/>
  <c r="AM1071"/>
  <c r="R1071"/>
  <c r="AI1070"/>
  <c r="AB1070"/>
  <c r="AH1070"/>
  <c r="AQ1070"/>
  <c r="AG1070"/>
  <c r="AF1070"/>
  <c r="AE1070"/>
  <c r="AD1070"/>
  <c r="AK1070"/>
  <c r="AS1070"/>
  <c r="AJ1070"/>
  <c r="AR1070"/>
  <c r="AP1070"/>
  <c r="O1070"/>
  <c r="Q1070"/>
  <c r="AA1070"/>
  <c r="AO1070"/>
  <c r="P1070"/>
  <c r="T1070"/>
  <c r="S1070"/>
  <c r="AN1070"/>
  <c r="AM1070"/>
  <c r="R1070"/>
  <c r="AI1069"/>
  <c r="AB1069"/>
  <c r="AH1069"/>
  <c r="AQ1069"/>
  <c r="AG1069"/>
  <c r="AF1069"/>
  <c r="AE1069"/>
  <c r="AD1069"/>
  <c r="AK1069"/>
  <c r="AS1069"/>
  <c r="AJ1069"/>
  <c r="AR1069"/>
  <c r="AP1069"/>
  <c r="O1069"/>
  <c r="Q1069"/>
  <c r="AA1069"/>
  <c r="AO1069"/>
  <c r="P1069"/>
  <c r="T1069"/>
  <c r="S1069"/>
  <c r="AN1069"/>
  <c r="AM1069"/>
  <c r="R1069"/>
  <c r="AI1068"/>
  <c r="AB1068"/>
  <c r="AH1068"/>
  <c r="AQ1068"/>
  <c r="AG1068"/>
  <c r="AF1068"/>
  <c r="AE1068"/>
  <c r="AD1068"/>
  <c r="AK1068"/>
  <c r="AS1068"/>
  <c r="AJ1068"/>
  <c r="AR1068"/>
  <c r="AP1068"/>
  <c r="O1068"/>
  <c r="Q1068"/>
  <c r="AA1068"/>
  <c r="AO1068"/>
  <c r="P1068"/>
  <c r="T1068"/>
  <c r="S1068"/>
  <c r="AN1068"/>
  <c r="AM1068"/>
  <c r="R1068"/>
  <c r="AI1067"/>
  <c r="AB1067"/>
  <c r="AH1067"/>
  <c r="AQ1067"/>
  <c r="AG1067"/>
  <c r="AF1067"/>
  <c r="AE1067"/>
  <c r="AD1067"/>
  <c r="AK1067"/>
  <c r="AS1067"/>
  <c r="AJ1067"/>
  <c r="AR1067"/>
  <c r="AP1067"/>
  <c r="O1067"/>
  <c r="Q1067"/>
  <c r="AA1067"/>
  <c r="AO1067"/>
  <c r="P1067"/>
  <c r="T1067"/>
  <c r="S1067"/>
  <c r="AN1067"/>
  <c r="AM1067"/>
  <c r="R1067"/>
  <c r="AI1066"/>
  <c r="AB1066"/>
  <c r="AH1066"/>
  <c r="AQ1066"/>
  <c r="AG1066"/>
  <c r="AF1066"/>
  <c r="AE1066"/>
  <c r="AD1066"/>
  <c r="AK1066"/>
  <c r="AS1066"/>
  <c r="AJ1066"/>
  <c r="AR1066"/>
  <c r="AP1066"/>
  <c r="O1066"/>
  <c r="Q1066"/>
  <c r="AA1066"/>
  <c r="AO1066"/>
  <c r="P1066"/>
  <c r="T1066"/>
  <c r="S1066"/>
  <c r="AN1066"/>
  <c r="AM1066"/>
  <c r="R1066"/>
  <c r="AI1065"/>
  <c r="AB1065"/>
  <c r="AH1065"/>
  <c r="AQ1065"/>
  <c r="AG1065"/>
  <c r="AF1065"/>
  <c r="AE1065"/>
  <c r="AD1065"/>
  <c r="AK1065"/>
  <c r="AS1065"/>
  <c r="AJ1065"/>
  <c r="AR1065"/>
  <c r="AP1065"/>
  <c r="O1065"/>
  <c r="Q1065"/>
  <c r="AA1065"/>
  <c r="AO1065"/>
  <c r="P1065"/>
  <c r="T1065"/>
  <c r="S1065"/>
  <c r="AN1065"/>
  <c r="AM1065"/>
  <c r="R1065"/>
  <c r="AI1064"/>
  <c r="AB1064"/>
  <c r="AH1064"/>
  <c r="AQ1064"/>
  <c r="AG1064"/>
  <c r="AF1064"/>
  <c r="AE1064"/>
  <c r="AD1064"/>
  <c r="AK1064"/>
  <c r="AS1064"/>
  <c r="AJ1064"/>
  <c r="AR1064"/>
  <c r="AP1064"/>
  <c r="O1064"/>
  <c r="Q1064"/>
  <c r="AA1064"/>
  <c r="AO1064"/>
  <c r="P1064"/>
  <c r="T1064"/>
  <c r="S1064"/>
  <c r="AN1064"/>
  <c r="AM1064"/>
  <c r="R1064"/>
  <c r="AI1063"/>
  <c r="AB1063"/>
  <c r="AH1063"/>
  <c r="AQ1063"/>
  <c r="AG1063"/>
  <c r="AF1063"/>
  <c r="AE1063"/>
  <c r="AD1063"/>
  <c r="AK1063"/>
  <c r="AS1063"/>
  <c r="AJ1063"/>
  <c r="AR1063"/>
  <c r="AP1063"/>
  <c r="O1063"/>
  <c r="Q1063"/>
  <c r="AA1063"/>
  <c r="AO1063"/>
  <c r="P1063"/>
  <c r="T1063"/>
  <c r="S1063"/>
  <c r="AN1063"/>
  <c r="AM1063"/>
  <c r="R1063"/>
  <c r="AI1062"/>
  <c r="AB1062"/>
  <c r="AH1062"/>
  <c r="AQ1062"/>
  <c r="AG1062"/>
  <c r="AF1062"/>
  <c r="AE1062"/>
  <c r="AD1062"/>
  <c r="AK1062"/>
  <c r="AS1062"/>
  <c r="AJ1062"/>
  <c r="AR1062"/>
  <c r="AP1062"/>
  <c r="O1062"/>
  <c r="Q1062"/>
  <c r="AA1062"/>
  <c r="AO1062"/>
  <c r="P1062"/>
  <c r="T1062"/>
  <c r="S1062"/>
  <c r="AN1062"/>
  <c r="AM1062"/>
  <c r="R1062"/>
  <c r="AI1061"/>
  <c r="AB1061"/>
  <c r="AH1061"/>
  <c r="AQ1061"/>
  <c r="AG1061"/>
  <c r="AF1061"/>
  <c r="AE1061"/>
  <c r="AD1061"/>
  <c r="AK1061"/>
  <c r="AS1061"/>
  <c r="AJ1061"/>
  <c r="AR1061"/>
  <c r="AP1061"/>
  <c r="O1061"/>
  <c r="Q1061"/>
  <c r="AA1061"/>
  <c r="AO1061"/>
  <c r="P1061"/>
  <c r="T1061"/>
  <c r="S1061"/>
  <c r="AN1061"/>
  <c r="AM1061"/>
  <c r="R1061"/>
  <c r="AI1060"/>
  <c r="AB1060"/>
  <c r="AH1060"/>
  <c r="AQ1060"/>
  <c r="AG1060"/>
  <c r="AF1060"/>
  <c r="AE1060"/>
  <c r="AD1060"/>
  <c r="AK1060"/>
  <c r="AS1060"/>
  <c r="AJ1060"/>
  <c r="AR1060"/>
  <c r="AP1060"/>
  <c r="O1060"/>
  <c r="Q1060"/>
  <c r="AA1060"/>
  <c r="AO1060"/>
  <c r="P1060"/>
  <c r="T1060"/>
  <c r="S1060"/>
  <c r="AN1060"/>
  <c r="AM1060"/>
  <c r="R1060"/>
  <c r="AI1059"/>
  <c r="AB1059"/>
  <c r="AH1059"/>
  <c r="AQ1059"/>
  <c r="AG1059"/>
  <c r="AF1059"/>
  <c r="AE1059"/>
  <c r="AD1059"/>
  <c r="AK1059"/>
  <c r="AS1059"/>
  <c r="AJ1059"/>
  <c r="AR1059"/>
  <c r="AP1059"/>
  <c r="O1059"/>
  <c r="Q1059"/>
  <c r="AA1059"/>
  <c r="AO1059"/>
  <c r="P1059"/>
  <c r="T1059"/>
  <c r="S1059"/>
  <c r="AN1059"/>
  <c r="AM1059"/>
  <c r="R1059"/>
  <c r="AI1058"/>
  <c r="AB1058"/>
  <c r="AH1058"/>
  <c r="AQ1058"/>
  <c r="AG1058"/>
  <c r="AF1058"/>
  <c r="AE1058"/>
  <c r="AD1058"/>
  <c r="AK1058"/>
  <c r="AS1058"/>
  <c r="AJ1058"/>
  <c r="AR1058"/>
  <c r="AP1058"/>
  <c r="O1058"/>
  <c r="Q1058"/>
  <c r="AA1058"/>
  <c r="AO1058"/>
  <c r="P1058"/>
  <c r="T1058"/>
  <c r="S1058"/>
  <c r="AN1058"/>
  <c r="AM1058"/>
  <c r="R1058"/>
  <c r="AI1057"/>
  <c r="AB1057"/>
  <c r="AH1057"/>
  <c r="AQ1057"/>
  <c r="AG1057"/>
  <c r="AF1057"/>
  <c r="AE1057"/>
  <c r="AD1057"/>
  <c r="AK1057"/>
  <c r="AS1057"/>
  <c r="AJ1057"/>
  <c r="AR1057"/>
  <c r="AP1057"/>
  <c r="O1057"/>
  <c r="Q1057"/>
  <c r="AA1057"/>
  <c r="AO1057"/>
  <c r="P1057"/>
  <c r="T1057"/>
  <c r="S1057"/>
  <c r="AN1057"/>
  <c r="AM1057"/>
  <c r="R1057"/>
  <c r="AI1056"/>
  <c r="AB1056"/>
  <c r="AH1056"/>
  <c r="AQ1056"/>
  <c r="AG1056"/>
  <c r="AF1056"/>
  <c r="AE1056"/>
  <c r="AD1056"/>
  <c r="AK1056"/>
  <c r="AS1056"/>
  <c r="AJ1056"/>
  <c r="AR1056"/>
  <c r="AP1056"/>
  <c r="O1056"/>
  <c r="Q1056"/>
  <c r="AA1056"/>
  <c r="AO1056"/>
  <c r="P1056"/>
  <c r="T1056"/>
  <c r="S1056"/>
  <c r="AN1056"/>
  <c r="AM1056"/>
  <c r="R1056"/>
  <c r="AI1055"/>
  <c r="AB1055"/>
  <c r="AH1055"/>
  <c r="AQ1055"/>
  <c r="AG1055"/>
  <c r="AF1055"/>
  <c r="AE1055"/>
  <c r="AD1055"/>
  <c r="AK1055"/>
  <c r="AS1055"/>
  <c r="AJ1055"/>
  <c r="AR1055"/>
  <c r="AP1055"/>
  <c r="O1055"/>
  <c r="Q1055"/>
  <c r="AA1055"/>
  <c r="AO1055"/>
  <c r="P1055"/>
  <c r="T1055"/>
  <c r="S1055"/>
  <c r="AN1055"/>
  <c r="AM1055"/>
  <c r="R1055"/>
  <c r="AI1054"/>
  <c r="AB1054"/>
  <c r="AH1054"/>
  <c r="AQ1054"/>
  <c r="AG1054"/>
  <c r="AF1054"/>
  <c r="AE1054"/>
  <c r="AD1054"/>
  <c r="AK1054"/>
  <c r="AS1054"/>
  <c r="AJ1054"/>
  <c r="AR1054"/>
  <c r="AP1054"/>
  <c r="O1054"/>
  <c r="Q1054"/>
  <c r="AA1054"/>
  <c r="AO1054"/>
  <c r="P1054"/>
  <c r="T1054"/>
  <c r="S1054"/>
  <c r="AN1054"/>
  <c r="AM1054"/>
  <c r="R1054"/>
  <c r="AI1053"/>
  <c r="AB1053"/>
  <c r="AH1053"/>
  <c r="AQ1053"/>
  <c r="AG1053"/>
  <c r="AF1053"/>
  <c r="AE1053"/>
  <c r="AD1053"/>
  <c r="AK1053"/>
  <c r="AS1053"/>
  <c r="AJ1053"/>
  <c r="AR1053"/>
  <c r="AP1053"/>
  <c r="O1053"/>
  <c r="Q1053"/>
  <c r="AA1053"/>
  <c r="AO1053"/>
  <c r="P1053"/>
  <c r="T1053"/>
  <c r="S1053"/>
  <c r="AN1053"/>
  <c r="AM1053"/>
  <c r="R1053"/>
  <c r="AI1052"/>
  <c r="AB1052"/>
  <c r="AH1052"/>
  <c r="AQ1052"/>
  <c r="AG1052"/>
  <c r="AF1052"/>
  <c r="AE1052"/>
  <c r="AD1052"/>
  <c r="AK1052"/>
  <c r="AS1052"/>
  <c r="AJ1052"/>
  <c r="AR1052"/>
  <c r="AP1052"/>
  <c r="O1052"/>
  <c r="Q1052"/>
  <c r="AA1052"/>
  <c r="AO1052"/>
  <c r="P1052"/>
  <c r="T1052"/>
  <c r="S1052"/>
  <c r="AN1052"/>
  <c r="AM1052"/>
  <c r="R1052"/>
  <c r="AI1051"/>
  <c r="AB1051"/>
  <c r="AH1051"/>
  <c r="AQ1051"/>
  <c r="AG1051"/>
  <c r="AF1051"/>
  <c r="AE1051"/>
  <c r="AD1051"/>
  <c r="AK1051"/>
  <c r="AS1051"/>
  <c r="AJ1051"/>
  <c r="AR1051"/>
  <c r="AP1051"/>
  <c r="O1051"/>
  <c r="Q1051"/>
  <c r="AA1051"/>
  <c r="AO1051"/>
  <c r="P1051"/>
  <c r="T1051"/>
  <c r="S1051"/>
  <c r="AN1051"/>
  <c r="AM1051"/>
  <c r="R1051"/>
  <c r="AI1050"/>
  <c r="AB1050"/>
  <c r="AH1050"/>
  <c r="AQ1050"/>
  <c r="AG1050"/>
  <c r="AF1050"/>
  <c r="AE1050"/>
  <c r="AD1050"/>
  <c r="AK1050"/>
  <c r="AS1050"/>
  <c r="AJ1050"/>
  <c r="AR1050"/>
  <c r="AP1050"/>
  <c r="O1050"/>
  <c r="Q1050"/>
  <c r="AA1050"/>
  <c r="AO1050"/>
  <c r="P1050"/>
  <c r="T1050"/>
  <c r="S1050"/>
  <c r="AN1050"/>
  <c r="AM1050"/>
  <c r="R1050"/>
  <c r="AI1049"/>
  <c r="AB1049"/>
  <c r="AH1049"/>
  <c r="AQ1049"/>
  <c r="AG1049"/>
  <c r="AF1049"/>
  <c r="AE1049"/>
  <c r="AD1049"/>
  <c r="AK1049"/>
  <c r="AS1049"/>
  <c r="AJ1049"/>
  <c r="AR1049"/>
  <c r="AP1049"/>
  <c r="O1049"/>
  <c r="Q1049"/>
  <c r="AA1049"/>
  <c r="AO1049"/>
  <c r="P1049"/>
  <c r="T1049"/>
  <c r="S1049"/>
  <c r="AN1049"/>
  <c r="AM1049"/>
  <c r="R1049"/>
  <c r="AI1048"/>
  <c r="AB1048"/>
  <c r="AH1048"/>
  <c r="AQ1048"/>
  <c r="AG1048"/>
  <c r="AF1048"/>
  <c r="AE1048"/>
  <c r="AD1048"/>
  <c r="AK1048"/>
  <c r="AS1048"/>
  <c r="AJ1048"/>
  <c r="AR1048"/>
  <c r="AP1048"/>
  <c r="O1048"/>
  <c r="Q1048"/>
  <c r="AA1048"/>
  <c r="AO1048"/>
  <c r="P1048"/>
  <c r="T1048"/>
  <c r="S1048"/>
  <c r="AN1048"/>
  <c r="AM1048"/>
  <c r="R1048"/>
  <c r="AI1047"/>
  <c r="AB1047"/>
  <c r="AH1047"/>
  <c r="AQ1047"/>
  <c r="AG1047"/>
  <c r="AF1047"/>
  <c r="AE1047"/>
  <c r="AD1047"/>
  <c r="AK1047"/>
  <c r="AS1047"/>
  <c r="AJ1047"/>
  <c r="AR1047"/>
  <c r="AP1047"/>
  <c r="O1047"/>
  <c r="Q1047"/>
  <c r="AA1047"/>
  <c r="AO1047"/>
  <c r="P1047"/>
  <c r="T1047"/>
  <c r="S1047"/>
  <c r="AN1047"/>
  <c r="AM1047"/>
  <c r="R1047"/>
  <c r="AI1046"/>
  <c r="AB1046"/>
  <c r="AH1046"/>
  <c r="AQ1046"/>
  <c r="AG1046"/>
  <c r="AF1046"/>
  <c r="AE1046"/>
  <c r="AD1046"/>
  <c r="AK1046"/>
  <c r="AS1046"/>
  <c r="AJ1046"/>
  <c r="AR1046"/>
  <c r="AP1046"/>
  <c r="O1046"/>
  <c r="Q1046"/>
  <c r="AA1046"/>
  <c r="AO1046"/>
  <c r="P1046"/>
  <c r="T1046"/>
  <c r="S1046"/>
  <c r="AN1046"/>
  <c r="AM1046"/>
  <c r="R1046"/>
  <c r="AI1045"/>
  <c r="AB1045"/>
  <c r="AH1045"/>
  <c r="AQ1045"/>
  <c r="AG1045"/>
  <c r="AF1045"/>
  <c r="AE1045"/>
  <c r="AD1045"/>
  <c r="AK1045"/>
  <c r="AS1045"/>
  <c r="AJ1045"/>
  <c r="AR1045"/>
  <c r="AP1045"/>
  <c r="O1045"/>
  <c r="Q1045"/>
  <c r="AA1045"/>
  <c r="AO1045"/>
  <c r="P1045"/>
  <c r="T1045"/>
  <c r="S1045"/>
  <c r="AN1045"/>
  <c r="AM1045"/>
  <c r="R1045"/>
  <c r="AI1044"/>
  <c r="AB1044"/>
  <c r="AH1044"/>
  <c r="AQ1044"/>
  <c r="AG1044"/>
  <c r="AF1044"/>
  <c r="AE1044"/>
  <c r="AD1044"/>
  <c r="AK1044"/>
  <c r="AS1044"/>
  <c r="AJ1044"/>
  <c r="AR1044"/>
  <c r="AP1044"/>
  <c r="O1044"/>
  <c r="Q1044"/>
  <c r="AA1044"/>
  <c r="AO1044"/>
  <c r="P1044"/>
  <c r="T1044"/>
  <c r="S1044"/>
  <c r="AN1044"/>
  <c r="AM1044"/>
  <c r="R1044"/>
  <c r="AI1043"/>
  <c r="AB1043"/>
  <c r="AH1043"/>
  <c r="AQ1043"/>
  <c r="AG1043"/>
  <c r="AF1043"/>
  <c r="AE1043"/>
  <c r="AD1043"/>
  <c r="AK1043"/>
  <c r="AS1043"/>
  <c r="AJ1043"/>
  <c r="AR1043"/>
  <c r="AP1043"/>
  <c r="O1043"/>
  <c r="Q1043"/>
  <c r="AA1043"/>
  <c r="AO1043"/>
  <c r="P1043"/>
  <c r="T1043"/>
  <c r="S1043"/>
  <c r="AN1043"/>
  <c r="AM1043"/>
  <c r="R1043"/>
  <c r="AI1042"/>
  <c r="AB1042"/>
  <c r="AH1042"/>
  <c r="AQ1042"/>
  <c r="AG1042"/>
  <c r="AF1042"/>
  <c r="AE1042"/>
  <c r="AD1042"/>
  <c r="AK1042"/>
  <c r="AS1042"/>
  <c r="AJ1042"/>
  <c r="AR1042"/>
  <c r="AP1042"/>
  <c r="O1042"/>
  <c r="Q1042"/>
  <c r="AA1042"/>
  <c r="AO1042"/>
  <c r="P1042"/>
  <c r="T1042"/>
  <c r="S1042"/>
  <c r="AN1042"/>
  <c r="AM1042"/>
  <c r="R1042"/>
  <c r="AI1041"/>
  <c r="AB1041"/>
  <c r="AH1041"/>
  <c r="AQ1041"/>
  <c r="AG1041"/>
  <c r="AF1041"/>
  <c r="AE1041"/>
  <c r="AD1041"/>
  <c r="AK1041"/>
  <c r="AS1041"/>
  <c r="AJ1041"/>
  <c r="AR1041"/>
  <c r="AP1041"/>
  <c r="O1041"/>
  <c r="Q1041"/>
  <c r="AA1041"/>
  <c r="AO1041"/>
  <c r="P1041"/>
  <c r="T1041"/>
  <c r="S1041"/>
  <c r="AN1041"/>
  <c r="AM1041"/>
  <c r="R1041"/>
  <c r="AI1040"/>
  <c r="AB1040"/>
  <c r="AH1040"/>
  <c r="AQ1040"/>
  <c r="AG1040"/>
  <c r="AF1040"/>
  <c r="AE1040"/>
  <c r="AD1040"/>
  <c r="AK1040"/>
  <c r="AS1040"/>
  <c r="AJ1040"/>
  <c r="AR1040"/>
  <c r="AP1040"/>
  <c r="O1040"/>
  <c r="Q1040"/>
  <c r="AA1040"/>
  <c r="AO1040"/>
  <c r="P1040"/>
  <c r="T1040"/>
  <c r="S1040"/>
  <c r="AN1040"/>
  <c r="AM1040"/>
  <c r="R1040"/>
  <c r="AI1039"/>
  <c r="AB1039"/>
  <c r="AH1039"/>
  <c r="AQ1039"/>
  <c r="AG1039"/>
  <c r="AF1039"/>
  <c r="AE1039"/>
  <c r="AD1039"/>
  <c r="AK1039"/>
  <c r="AS1039"/>
  <c r="AJ1039"/>
  <c r="AR1039"/>
  <c r="AP1039"/>
  <c r="O1039"/>
  <c r="Q1039"/>
  <c r="AA1039"/>
  <c r="AO1039"/>
  <c r="P1039"/>
  <c r="T1039"/>
  <c r="S1039"/>
  <c r="AN1039"/>
  <c r="AM1039"/>
  <c r="R1039"/>
  <c r="AI1038"/>
  <c r="AB1038"/>
  <c r="AH1038"/>
  <c r="AQ1038"/>
  <c r="AG1038"/>
  <c r="AF1038"/>
  <c r="AE1038"/>
  <c r="AD1038"/>
  <c r="AK1038"/>
  <c r="AS1038"/>
  <c r="AJ1038"/>
  <c r="AR1038"/>
  <c r="AP1038"/>
  <c r="O1038"/>
  <c r="Q1038"/>
  <c r="AA1038"/>
  <c r="AO1038"/>
  <c r="P1038"/>
  <c r="T1038"/>
  <c r="S1038"/>
  <c r="AN1038"/>
  <c r="AM1038"/>
  <c r="R1038"/>
  <c r="AI1037"/>
  <c r="AB1037"/>
  <c r="AH1037"/>
  <c r="AQ1037"/>
  <c r="AG1037"/>
  <c r="AF1037"/>
  <c r="AE1037"/>
  <c r="AD1037"/>
  <c r="AK1037"/>
  <c r="AS1037"/>
  <c r="AJ1037"/>
  <c r="AR1037"/>
  <c r="AP1037"/>
  <c r="O1037"/>
  <c r="Q1037"/>
  <c r="AA1037"/>
  <c r="AO1037"/>
  <c r="P1037"/>
  <c r="T1037"/>
  <c r="S1037"/>
  <c r="AN1037"/>
  <c r="AM1037"/>
  <c r="R1037"/>
  <c r="AI1036"/>
  <c r="AB1036"/>
  <c r="AH1036"/>
  <c r="AQ1036"/>
  <c r="AG1036"/>
  <c r="AF1036"/>
  <c r="AE1036"/>
  <c r="AD1036"/>
  <c r="AK1036"/>
  <c r="AS1036"/>
  <c r="AJ1036"/>
  <c r="AR1036"/>
  <c r="AP1036"/>
  <c r="O1036"/>
  <c r="Q1036"/>
  <c r="AA1036"/>
  <c r="AO1036"/>
  <c r="P1036"/>
  <c r="T1036"/>
  <c r="S1036"/>
  <c r="AN1036"/>
  <c r="AM1036"/>
  <c r="R1036"/>
  <c r="AI1035"/>
  <c r="AB1035"/>
  <c r="AH1035"/>
  <c r="AQ1035"/>
  <c r="AG1035"/>
  <c r="AF1035"/>
  <c r="AE1035"/>
  <c r="AD1035"/>
  <c r="AK1035"/>
  <c r="AS1035"/>
  <c r="AJ1035"/>
  <c r="AR1035"/>
  <c r="AP1035"/>
  <c r="O1035"/>
  <c r="Q1035"/>
  <c r="AA1035"/>
  <c r="AO1035"/>
  <c r="P1035"/>
  <c r="T1035"/>
  <c r="S1035"/>
  <c r="AN1035"/>
  <c r="AM1035"/>
  <c r="R1035"/>
  <c r="AI1034"/>
  <c r="AB1034"/>
  <c r="AH1034"/>
  <c r="AQ1034"/>
  <c r="AG1034"/>
  <c r="AF1034"/>
  <c r="AE1034"/>
  <c r="AD1034"/>
  <c r="AK1034"/>
  <c r="AS1034"/>
  <c r="AJ1034"/>
  <c r="AR1034"/>
  <c r="AP1034"/>
  <c r="O1034"/>
  <c r="Q1034"/>
  <c r="AA1034"/>
  <c r="AO1034"/>
  <c r="P1034"/>
  <c r="T1034"/>
  <c r="S1034"/>
  <c r="AN1034"/>
  <c r="AM1034"/>
  <c r="R1034"/>
  <c r="AI1033"/>
  <c r="AB1033"/>
  <c r="AH1033"/>
  <c r="AQ1033"/>
  <c r="AG1033"/>
  <c r="AF1033"/>
  <c r="AE1033"/>
  <c r="AD1033"/>
  <c r="AK1033"/>
  <c r="AS1033"/>
  <c r="AJ1033"/>
  <c r="AR1033"/>
  <c r="AP1033"/>
  <c r="O1033"/>
  <c r="Q1033"/>
  <c r="AA1033"/>
  <c r="AO1033"/>
  <c r="P1033"/>
  <c r="T1033"/>
  <c r="S1033"/>
  <c r="AN1033"/>
  <c r="AM1033"/>
  <c r="R1033"/>
  <c r="AI1032"/>
  <c r="AB1032"/>
  <c r="AH1032"/>
  <c r="AQ1032"/>
  <c r="AG1032"/>
  <c r="AF1032"/>
  <c r="AE1032"/>
  <c r="AD1032"/>
  <c r="AK1032"/>
  <c r="AS1032"/>
  <c r="AJ1032"/>
  <c r="AR1032"/>
  <c r="AP1032"/>
  <c r="O1032"/>
  <c r="Q1032"/>
  <c r="AA1032"/>
  <c r="AO1032"/>
  <c r="P1032"/>
  <c r="T1032"/>
  <c r="S1032"/>
  <c r="AN1032"/>
  <c r="AM1032"/>
  <c r="R1032"/>
  <c r="AI1031"/>
  <c r="AB1031"/>
  <c r="AH1031"/>
  <c r="AQ1031"/>
  <c r="AG1031"/>
  <c r="AF1031"/>
  <c r="AE1031"/>
  <c r="AD1031"/>
  <c r="AK1031"/>
  <c r="AS1031"/>
  <c r="AJ1031"/>
  <c r="AR1031"/>
  <c r="AP1031"/>
  <c r="O1031"/>
  <c r="Q1031"/>
  <c r="AA1031"/>
  <c r="AO1031"/>
  <c r="P1031"/>
  <c r="T1031"/>
  <c r="S1031"/>
  <c r="AN1031"/>
  <c r="AM1031"/>
  <c r="R1031"/>
  <c r="AI1030"/>
  <c r="AB1030"/>
  <c r="AH1030"/>
  <c r="AQ1030"/>
  <c r="AG1030"/>
  <c r="AF1030"/>
  <c r="AE1030"/>
  <c r="AD1030"/>
  <c r="AK1030"/>
  <c r="AS1030"/>
  <c r="AJ1030"/>
  <c r="AR1030"/>
  <c r="AP1030"/>
  <c r="O1030"/>
  <c r="Q1030"/>
  <c r="AA1030"/>
  <c r="AO1030"/>
  <c r="P1030"/>
  <c r="T1030"/>
  <c r="S1030"/>
  <c r="AN1030"/>
  <c r="AM1030"/>
  <c r="R1030"/>
  <c r="AI1029"/>
  <c r="AB1029"/>
  <c r="AH1029"/>
  <c r="AQ1029"/>
  <c r="AG1029"/>
  <c r="AF1029"/>
  <c r="AE1029"/>
  <c r="AD1029"/>
  <c r="AK1029"/>
  <c r="AS1029"/>
  <c r="AJ1029"/>
  <c r="AR1029"/>
  <c r="AP1029"/>
  <c r="O1029"/>
  <c r="Q1029"/>
  <c r="AA1029"/>
  <c r="AO1029"/>
  <c r="P1029"/>
  <c r="T1029"/>
  <c r="S1029"/>
  <c r="AN1029"/>
  <c r="AM1029"/>
  <c r="R1029"/>
  <c r="AI1028"/>
  <c r="AB1028"/>
  <c r="AH1028"/>
  <c r="AQ1028"/>
  <c r="AG1028"/>
  <c r="AF1028"/>
  <c r="AE1028"/>
  <c r="AD1028"/>
  <c r="AK1028"/>
  <c r="AS1028"/>
  <c r="AJ1028"/>
  <c r="AR1028"/>
  <c r="AP1028"/>
  <c r="O1028"/>
  <c r="Q1028"/>
  <c r="AA1028"/>
  <c r="AO1028"/>
  <c r="P1028"/>
  <c r="T1028"/>
  <c r="S1028"/>
  <c r="AN1028"/>
  <c r="AM1028"/>
  <c r="R1028"/>
  <c r="AI1027"/>
  <c r="AB1027"/>
  <c r="AH1027"/>
  <c r="AQ1027"/>
  <c r="AG1027"/>
  <c r="AF1027"/>
  <c r="AE1027"/>
  <c r="AD1027"/>
  <c r="AK1027"/>
  <c r="AS1027"/>
  <c r="AJ1027"/>
  <c r="AR1027"/>
  <c r="AP1027"/>
  <c r="O1027"/>
  <c r="Q1027"/>
  <c r="AA1027"/>
  <c r="AO1027"/>
  <c r="P1027"/>
  <c r="T1027"/>
  <c r="S1027"/>
  <c r="AN1027"/>
  <c r="AM1027"/>
  <c r="R1027"/>
  <c r="AI1026"/>
  <c r="AB1026"/>
  <c r="AH1026"/>
  <c r="AQ1026"/>
  <c r="AG1026"/>
  <c r="AF1026"/>
  <c r="AE1026"/>
  <c r="AD1026"/>
  <c r="AK1026"/>
  <c r="AS1026"/>
  <c r="AJ1026"/>
  <c r="AR1026"/>
  <c r="AP1026"/>
  <c r="O1026"/>
  <c r="Q1026"/>
  <c r="AA1026"/>
  <c r="AO1026"/>
  <c r="P1026"/>
  <c r="T1026"/>
  <c r="S1026"/>
  <c r="AN1026"/>
  <c r="AM1026"/>
  <c r="R1026"/>
  <c r="AI1025"/>
  <c r="AB1025"/>
  <c r="AH1025"/>
  <c r="AQ1025"/>
  <c r="AG1025"/>
  <c r="AF1025"/>
  <c r="AE1025"/>
  <c r="AD1025"/>
  <c r="AK1025"/>
  <c r="AS1025"/>
  <c r="AJ1025"/>
  <c r="AR1025"/>
  <c r="AP1025"/>
  <c r="O1025"/>
  <c r="Q1025"/>
  <c r="AA1025"/>
  <c r="AO1025"/>
  <c r="P1025"/>
  <c r="T1025"/>
  <c r="S1025"/>
  <c r="AN1025"/>
  <c r="AM1025"/>
  <c r="R1025"/>
  <c r="AI1024"/>
  <c r="AB1024"/>
  <c r="AH1024"/>
  <c r="AQ1024"/>
  <c r="AG1024"/>
  <c r="AF1024"/>
  <c r="AE1024"/>
  <c r="AD1024"/>
  <c r="AK1024"/>
  <c r="AS1024"/>
  <c r="AJ1024"/>
  <c r="AR1024"/>
  <c r="AP1024"/>
  <c r="O1024"/>
  <c r="Q1024"/>
  <c r="AA1024"/>
  <c r="AO1024"/>
  <c r="P1024"/>
  <c r="T1024"/>
  <c r="S1024"/>
  <c r="AN1024"/>
  <c r="AM1024"/>
  <c r="R1024"/>
  <c r="AI1023"/>
  <c r="AB1023"/>
  <c r="AH1023"/>
  <c r="AQ1023"/>
  <c r="AG1023"/>
  <c r="AF1023"/>
  <c r="AE1023"/>
  <c r="AD1023"/>
  <c r="AK1023"/>
  <c r="AS1023"/>
  <c r="AJ1023"/>
  <c r="AR1023"/>
  <c r="AP1023"/>
  <c r="O1023"/>
  <c r="Q1023"/>
  <c r="AA1023"/>
  <c r="AO1023"/>
  <c r="P1023"/>
  <c r="T1023"/>
  <c r="S1023"/>
  <c r="AN1023"/>
  <c r="AM1023"/>
  <c r="R1023"/>
  <c r="AI1022"/>
  <c r="AB1022"/>
  <c r="AH1022"/>
  <c r="AQ1022"/>
  <c r="AG1022"/>
  <c r="AF1022"/>
  <c r="AE1022"/>
  <c r="AD1022"/>
  <c r="AK1022"/>
  <c r="AS1022"/>
  <c r="AJ1022"/>
  <c r="AR1022"/>
  <c r="AP1022"/>
  <c r="O1022"/>
  <c r="Q1022"/>
  <c r="AA1022"/>
  <c r="AO1022"/>
  <c r="P1022"/>
  <c r="T1022"/>
  <c r="S1022"/>
  <c r="AN1022"/>
  <c r="AM1022"/>
  <c r="R1022"/>
  <c r="AI1021"/>
  <c r="AB1021"/>
  <c r="AH1021"/>
  <c r="AQ1021"/>
  <c r="AG1021"/>
  <c r="AF1021"/>
  <c r="AE1021"/>
  <c r="AD1021"/>
  <c r="AK1021"/>
  <c r="AS1021"/>
  <c r="AJ1021"/>
  <c r="AR1021"/>
  <c r="AP1021"/>
  <c r="O1021"/>
  <c r="Q1021"/>
  <c r="AA1021"/>
  <c r="AO1021"/>
  <c r="P1021"/>
  <c r="T1021"/>
  <c r="S1021"/>
  <c r="AN1021"/>
  <c r="AM1021"/>
  <c r="R1021"/>
  <c r="AI1020"/>
  <c r="AB1020"/>
  <c r="AH1020"/>
  <c r="AQ1020"/>
  <c r="AG1020"/>
  <c r="AF1020"/>
  <c r="AE1020"/>
  <c r="AD1020"/>
  <c r="AK1020"/>
  <c r="AS1020"/>
  <c r="AJ1020"/>
  <c r="AR1020"/>
  <c r="AP1020"/>
  <c r="O1020"/>
  <c r="Q1020"/>
  <c r="AA1020"/>
  <c r="AO1020"/>
  <c r="P1020"/>
  <c r="T1020"/>
  <c r="S1020"/>
  <c r="AN1020"/>
  <c r="AM1020"/>
  <c r="R1020"/>
  <c r="AI1019"/>
  <c r="AB1019"/>
  <c r="AH1019"/>
  <c r="AQ1019"/>
  <c r="AG1019"/>
  <c r="AF1019"/>
  <c r="AE1019"/>
  <c r="AD1019"/>
  <c r="AK1019"/>
  <c r="AS1019"/>
  <c r="AJ1019"/>
  <c r="AR1019"/>
  <c r="AP1019"/>
  <c r="O1019"/>
  <c r="Q1019"/>
  <c r="AA1019"/>
  <c r="AO1019"/>
  <c r="P1019"/>
  <c r="T1019"/>
  <c r="S1019"/>
  <c r="AN1019"/>
  <c r="AM1019"/>
  <c r="R1019"/>
  <c r="AI1018"/>
  <c r="AB1018"/>
  <c r="AH1018"/>
  <c r="AQ1018"/>
  <c r="AG1018"/>
  <c r="AF1018"/>
  <c r="AE1018"/>
  <c r="AD1018"/>
  <c r="AK1018"/>
  <c r="AS1018"/>
  <c r="AJ1018"/>
  <c r="AR1018"/>
  <c r="AP1018"/>
  <c r="O1018"/>
  <c r="Q1018"/>
  <c r="AA1018"/>
  <c r="AO1018"/>
  <c r="P1018"/>
  <c r="T1018"/>
  <c r="S1018"/>
  <c r="AN1018"/>
  <c r="AM1018"/>
  <c r="R1018"/>
  <c r="AI1017"/>
  <c r="AB1017"/>
  <c r="AH1017"/>
  <c r="AQ1017"/>
  <c r="AG1017"/>
  <c r="AF1017"/>
  <c r="AE1017"/>
  <c r="AD1017"/>
  <c r="AK1017"/>
  <c r="AS1017"/>
  <c r="AJ1017"/>
  <c r="AR1017"/>
  <c r="AP1017"/>
  <c r="O1017"/>
  <c r="Q1017"/>
  <c r="AA1017"/>
  <c r="AO1017"/>
  <c r="P1017"/>
  <c r="T1017"/>
  <c r="S1017"/>
  <c r="AN1017"/>
  <c r="AM1017"/>
  <c r="R1017"/>
  <c r="AI1016"/>
  <c r="AB1016"/>
  <c r="AH1016"/>
  <c r="AQ1016"/>
  <c r="AG1016"/>
  <c r="AF1016"/>
  <c r="AE1016"/>
  <c r="AD1016"/>
  <c r="AK1016"/>
  <c r="AS1016"/>
  <c r="AJ1016"/>
  <c r="AR1016"/>
  <c r="AP1016"/>
  <c r="O1016"/>
  <c r="Q1016"/>
  <c r="AA1016"/>
  <c r="AO1016"/>
  <c r="P1016"/>
  <c r="T1016"/>
  <c r="S1016"/>
  <c r="AN1016"/>
  <c r="AM1016"/>
  <c r="R1016"/>
  <c r="AI1015"/>
  <c r="AB1015"/>
  <c r="AH1015"/>
  <c r="AQ1015"/>
  <c r="AG1015"/>
  <c r="AF1015"/>
  <c r="AE1015"/>
  <c r="AD1015"/>
  <c r="AK1015"/>
  <c r="AS1015"/>
  <c r="AJ1015"/>
  <c r="AR1015"/>
  <c r="AP1015"/>
  <c r="O1015"/>
  <c r="Q1015"/>
  <c r="AA1015"/>
  <c r="AO1015"/>
  <c r="P1015"/>
  <c r="T1015"/>
  <c r="S1015"/>
  <c r="AN1015"/>
  <c r="AM1015"/>
  <c r="R1015"/>
  <c r="AI1014"/>
  <c r="AB1014"/>
  <c r="AH1014"/>
  <c r="AQ1014"/>
  <c r="AG1014"/>
  <c r="AF1014"/>
  <c r="AE1014"/>
  <c r="AD1014"/>
  <c r="AK1014"/>
  <c r="AS1014"/>
  <c r="AJ1014"/>
  <c r="AR1014"/>
  <c r="AP1014"/>
  <c r="O1014"/>
  <c r="Q1014"/>
  <c r="AA1014"/>
  <c r="AO1014"/>
  <c r="P1014"/>
  <c r="T1014"/>
  <c r="S1014"/>
  <c r="AN1014"/>
  <c r="AM1014"/>
  <c r="R1014"/>
  <c r="AI1013"/>
  <c r="AB1013"/>
  <c r="AH1013"/>
  <c r="AQ1013"/>
  <c r="AG1013"/>
  <c r="AF1013"/>
  <c r="AE1013"/>
  <c r="AD1013"/>
  <c r="AK1013"/>
  <c r="AS1013"/>
  <c r="AJ1013"/>
  <c r="AR1013"/>
  <c r="AP1013"/>
  <c r="O1013"/>
  <c r="Q1013"/>
  <c r="AA1013"/>
  <c r="AO1013"/>
  <c r="P1013"/>
  <c r="T1013"/>
  <c r="S1013"/>
  <c r="AN1013"/>
  <c r="AM1013"/>
  <c r="R1013"/>
  <c r="AI1012"/>
  <c r="AB1012"/>
  <c r="AH1012"/>
  <c r="AQ1012"/>
  <c r="AG1012"/>
  <c r="AF1012"/>
  <c r="AE1012"/>
  <c r="AD1012"/>
  <c r="AK1012"/>
  <c r="AS1012"/>
  <c r="AJ1012"/>
  <c r="AR1012"/>
  <c r="AP1012"/>
  <c r="O1012"/>
  <c r="Q1012"/>
  <c r="AA1012"/>
  <c r="AO1012"/>
  <c r="P1012"/>
  <c r="T1012"/>
  <c r="S1012"/>
  <c r="AN1012"/>
  <c r="AM1012"/>
  <c r="R1012"/>
  <c r="AI1011"/>
  <c r="AB1011"/>
  <c r="AH1011"/>
  <c r="AQ1011"/>
  <c r="AG1011"/>
  <c r="AF1011"/>
  <c r="AE1011"/>
  <c r="AD1011"/>
  <c r="AK1011"/>
  <c r="AS1011"/>
  <c r="AJ1011"/>
  <c r="AR1011"/>
  <c r="AP1011"/>
  <c r="O1011"/>
  <c r="Q1011"/>
  <c r="AA1011"/>
  <c r="AO1011"/>
  <c r="P1011"/>
  <c r="T1011"/>
  <c r="S1011"/>
  <c r="AN1011"/>
  <c r="AM1011"/>
  <c r="R1011"/>
  <c r="AI1010"/>
  <c r="AB1010"/>
  <c r="AH1010"/>
  <c r="AQ1010"/>
  <c r="AG1010"/>
  <c r="AF1010"/>
  <c r="AE1010"/>
  <c r="AD1010"/>
  <c r="AK1010"/>
  <c r="AS1010"/>
  <c r="AJ1010"/>
  <c r="AR1010"/>
  <c r="AP1010"/>
  <c r="O1010"/>
  <c r="Q1010"/>
  <c r="AA1010"/>
  <c r="AO1010"/>
  <c r="P1010"/>
  <c r="T1010"/>
  <c r="S1010"/>
  <c r="AN1010"/>
  <c r="AM1010"/>
  <c r="R1010"/>
  <c r="AI1009"/>
  <c r="AB1009"/>
  <c r="AH1009"/>
  <c r="AQ1009"/>
  <c r="AG1009"/>
  <c r="AF1009"/>
  <c r="AE1009"/>
  <c r="AD1009"/>
  <c r="AK1009"/>
  <c r="AS1009"/>
  <c r="AJ1009"/>
  <c r="AR1009"/>
  <c r="AP1009"/>
  <c r="O1009"/>
  <c r="Q1009"/>
  <c r="AA1009"/>
  <c r="AO1009"/>
  <c r="P1009"/>
  <c r="T1009"/>
  <c r="S1009"/>
  <c r="AN1009"/>
  <c r="AM1009"/>
  <c r="R1009"/>
  <c r="AI1008"/>
  <c r="AB1008"/>
  <c r="AH1008"/>
  <c r="AQ1008"/>
  <c r="AG1008"/>
  <c r="AF1008"/>
  <c r="AE1008"/>
  <c r="AD1008"/>
  <c r="AK1008"/>
  <c r="AS1008"/>
  <c r="AJ1008"/>
  <c r="AR1008"/>
  <c r="AP1008"/>
  <c r="O1008"/>
  <c r="Q1008"/>
  <c r="AA1008"/>
  <c r="AO1008"/>
  <c r="P1008"/>
  <c r="T1008"/>
  <c r="S1008"/>
  <c r="AN1008"/>
  <c r="AM1008"/>
  <c r="R1008"/>
  <c r="AI1007"/>
  <c r="AB1007"/>
  <c r="AH1007"/>
  <c r="AQ1007"/>
  <c r="AG1007"/>
  <c r="AF1007"/>
  <c r="AE1007"/>
  <c r="AD1007"/>
  <c r="AK1007"/>
  <c r="AS1007"/>
  <c r="AJ1007"/>
  <c r="AR1007"/>
  <c r="AP1007"/>
  <c r="O1007"/>
  <c r="Q1007"/>
  <c r="AA1007"/>
  <c r="AO1007"/>
  <c r="P1007"/>
  <c r="T1007"/>
  <c r="S1007"/>
  <c r="AN1007"/>
  <c r="AM1007"/>
  <c r="R1007"/>
  <c r="AI1006"/>
  <c r="AB1006"/>
  <c r="AH1006"/>
  <c r="AQ1006"/>
  <c r="AG1006"/>
  <c r="AF1006"/>
  <c r="AE1006"/>
  <c r="AD1006"/>
  <c r="AK1006"/>
  <c r="AS1006"/>
  <c r="AJ1006"/>
  <c r="AR1006"/>
  <c r="AP1006"/>
  <c r="O1006"/>
  <c r="Q1006"/>
  <c r="AA1006"/>
  <c r="AO1006"/>
  <c r="P1006"/>
  <c r="T1006"/>
  <c r="S1006"/>
  <c r="AN1006"/>
  <c r="AM1006"/>
  <c r="R1006"/>
  <c r="AI1005"/>
  <c r="AB1005"/>
  <c r="AH1005"/>
  <c r="AQ1005"/>
  <c r="AG1005"/>
  <c r="AF1005"/>
  <c r="AE1005"/>
  <c r="AD1005"/>
  <c r="AK1005"/>
  <c r="AS1005"/>
  <c r="AJ1005"/>
  <c r="AR1005"/>
  <c r="AP1005"/>
  <c r="O1005"/>
  <c r="Q1005"/>
  <c r="AA1005"/>
  <c r="AO1005"/>
  <c r="P1005"/>
  <c r="T1005"/>
  <c r="S1005"/>
  <c r="AN1005"/>
  <c r="AM1005"/>
  <c r="R1005"/>
  <c r="AI1004"/>
  <c r="AB1004"/>
  <c r="AH1004"/>
  <c r="AQ1004"/>
  <c r="AG1004"/>
  <c r="AF1004"/>
  <c r="AE1004"/>
  <c r="AD1004"/>
  <c r="AK1004"/>
  <c r="AS1004"/>
  <c r="AJ1004"/>
  <c r="AR1004"/>
  <c r="AP1004"/>
  <c r="O1004"/>
  <c r="Q1004"/>
  <c r="AA1004"/>
  <c r="AO1004"/>
  <c r="P1004"/>
  <c r="T1004"/>
  <c r="S1004"/>
  <c r="AN1004"/>
  <c r="AM1004"/>
  <c r="R1004"/>
  <c r="AI1003"/>
  <c r="AB1003"/>
  <c r="AH1003"/>
  <c r="AQ1003"/>
  <c r="AG1003"/>
  <c r="AF1003"/>
  <c r="AE1003"/>
  <c r="AD1003"/>
  <c r="AK1003"/>
  <c r="AS1003"/>
  <c r="AJ1003"/>
  <c r="AR1003"/>
  <c r="AP1003"/>
  <c r="O1003"/>
  <c r="Q1003"/>
  <c r="AA1003"/>
  <c r="AO1003"/>
  <c r="P1003"/>
  <c r="T1003"/>
  <c r="S1003"/>
  <c r="AN1003"/>
  <c r="AM1003"/>
  <c r="R1003"/>
  <c r="AI1002"/>
  <c r="AB1002"/>
  <c r="AH1002"/>
  <c r="AQ1002"/>
  <c r="AG1002"/>
  <c r="AF1002"/>
  <c r="AE1002"/>
  <c r="AD1002"/>
  <c r="AK1002"/>
  <c r="AS1002"/>
  <c r="AJ1002"/>
  <c r="AR1002"/>
  <c r="AP1002"/>
  <c r="O1002"/>
  <c r="Q1002"/>
  <c r="AA1002"/>
  <c r="AO1002"/>
  <c r="P1002"/>
  <c r="T1002"/>
  <c r="S1002"/>
  <c r="AN1002"/>
  <c r="AM1002"/>
  <c r="R1002"/>
  <c r="AI1001"/>
  <c r="AB1001"/>
  <c r="AH1001"/>
  <c r="AQ1001"/>
  <c r="AG1001"/>
  <c r="AF1001"/>
  <c r="AE1001"/>
  <c r="AD1001"/>
  <c r="AK1001"/>
  <c r="AS1001"/>
  <c r="AJ1001"/>
  <c r="AR1001"/>
  <c r="AP1001"/>
  <c r="O1001"/>
  <c r="Q1001"/>
  <c r="AA1001"/>
  <c r="AO1001"/>
  <c r="P1001"/>
  <c r="T1001"/>
  <c r="S1001"/>
  <c r="AN1001"/>
  <c r="AM1001"/>
  <c r="R1001"/>
  <c r="AI1000"/>
  <c r="AB1000"/>
  <c r="AH1000"/>
  <c r="AQ1000"/>
  <c r="AG1000"/>
  <c r="AF1000"/>
  <c r="AE1000"/>
  <c r="AD1000"/>
  <c r="AK1000"/>
  <c r="AS1000"/>
  <c r="AJ1000"/>
  <c r="AR1000"/>
  <c r="AP1000"/>
  <c r="O1000"/>
  <c r="Q1000"/>
  <c r="AA1000"/>
  <c r="AO1000"/>
  <c r="P1000"/>
  <c r="T1000"/>
  <c r="S1000"/>
  <c r="AN1000"/>
  <c r="AM1000"/>
  <c r="R1000"/>
  <c r="AI999"/>
  <c r="AB999"/>
  <c r="AH999"/>
  <c r="AQ999"/>
  <c r="AG999"/>
  <c r="AF999"/>
  <c r="AE999"/>
  <c r="AD999"/>
  <c r="AK999"/>
  <c r="AS999"/>
  <c r="AJ999"/>
  <c r="AR999"/>
  <c r="AP999"/>
  <c r="O999"/>
  <c r="Q999"/>
  <c r="AA999"/>
  <c r="AO999"/>
  <c r="P999"/>
  <c r="T999"/>
  <c r="S999"/>
  <c r="AN999"/>
  <c r="AM999"/>
  <c r="R999"/>
  <c r="AI998"/>
  <c r="AB998"/>
  <c r="AH998"/>
  <c r="AQ998"/>
  <c r="AG998"/>
  <c r="AF998"/>
  <c r="AE998"/>
  <c r="AD998"/>
  <c r="AK998"/>
  <c r="AS998"/>
  <c r="AJ998"/>
  <c r="AR998"/>
  <c r="AP998"/>
  <c r="O998"/>
  <c r="Q998"/>
  <c r="AA998"/>
  <c r="AO998"/>
  <c r="P998"/>
  <c r="T998"/>
  <c r="S998"/>
  <c r="AN998"/>
  <c r="AM998"/>
  <c r="R998"/>
  <c r="AI997"/>
  <c r="AB997"/>
  <c r="AH997"/>
  <c r="AQ997"/>
  <c r="AG997"/>
  <c r="AF997"/>
  <c r="AE997"/>
  <c r="AD997"/>
  <c r="AK997"/>
  <c r="AS997"/>
  <c r="AJ997"/>
  <c r="AR997"/>
  <c r="AP997"/>
  <c r="O997"/>
  <c r="Q997"/>
  <c r="AA997"/>
  <c r="AO997"/>
  <c r="P997"/>
  <c r="T997"/>
  <c r="S997"/>
  <c r="AN997"/>
  <c r="AM997"/>
  <c r="R997"/>
  <c r="AI996"/>
  <c r="AB996"/>
  <c r="AH996"/>
  <c r="AQ996"/>
  <c r="AG996"/>
  <c r="AF996"/>
  <c r="AE996"/>
  <c r="AD996"/>
  <c r="AK996"/>
  <c r="AS996"/>
  <c r="AJ996"/>
  <c r="AR996"/>
  <c r="AP996"/>
  <c r="O996"/>
  <c r="Q996"/>
  <c r="AA996"/>
  <c r="AO996"/>
  <c r="P996"/>
  <c r="T996"/>
  <c r="S996"/>
  <c r="AN996"/>
  <c r="AM996"/>
  <c r="R996"/>
  <c r="AI995"/>
  <c r="AB995"/>
  <c r="AH995"/>
  <c r="AQ995"/>
  <c r="AG995"/>
  <c r="AF995"/>
  <c r="AE995"/>
  <c r="AD995"/>
  <c r="AK995"/>
  <c r="AS995"/>
  <c r="AJ995"/>
  <c r="AR995"/>
  <c r="AP995"/>
  <c r="O995"/>
  <c r="Q995"/>
  <c r="AA995"/>
  <c r="AO995"/>
  <c r="P995"/>
  <c r="T995"/>
  <c r="S995"/>
  <c r="AN995"/>
  <c r="AM995"/>
  <c r="R995"/>
  <c r="AI994"/>
  <c r="AB994"/>
  <c r="AH994"/>
  <c r="AQ994"/>
  <c r="AG994"/>
  <c r="AF994"/>
  <c r="AE994"/>
  <c r="AD994"/>
  <c r="AK994"/>
  <c r="AS994"/>
  <c r="AJ994"/>
  <c r="AR994"/>
  <c r="AP994"/>
  <c r="O994"/>
  <c r="Q994"/>
  <c r="AA994"/>
  <c r="AO994"/>
  <c r="P994"/>
  <c r="T994"/>
  <c r="S994"/>
  <c r="AN994"/>
  <c r="AM994"/>
  <c r="R994"/>
  <c r="AI993"/>
  <c r="AB993"/>
  <c r="AH993"/>
  <c r="AQ993"/>
  <c r="AG993"/>
  <c r="AF993"/>
  <c r="AE993"/>
  <c r="AD993"/>
  <c r="AK993"/>
  <c r="AS993"/>
  <c r="AJ993"/>
  <c r="AR993"/>
  <c r="AP993"/>
  <c r="O993"/>
  <c r="Q993"/>
  <c r="AA993"/>
  <c r="AO993"/>
  <c r="P993"/>
  <c r="T993"/>
  <c r="S993"/>
  <c r="AN993"/>
  <c r="AM993"/>
  <c r="R993"/>
  <c r="AI992"/>
  <c r="AB992"/>
  <c r="AH992"/>
  <c r="AQ992"/>
  <c r="AG992"/>
  <c r="AF992"/>
  <c r="AE992"/>
  <c r="AD992"/>
  <c r="AK992"/>
  <c r="AS992"/>
  <c r="AJ992"/>
  <c r="AR992"/>
  <c r="AP992"/>
  <c r="O992"/>
  <c r="Q992"/>
  <c r="AA992"/>
  <c r="AO992"/>
  <c r="P992"/>
  <c r="T992"/>
  <c r="S992"/>
  <c r="AN992"/>
  <c r="AM992"/>
  <c r="R992"/>
  <c r="AI991"/>
  <c r="AB991"/>
  <c r="AH991"/>
  <c r="AQ991"/>
  <c r="AG991"/>
  <c r="AF991"/>
  <c r="AE991"/>
  <c r="AD991"/>
  <c r="AK991"/>
  <c r="AS991"/>
  <c r="AJ991"/>
  <c r="AR991"/>
  <c r="AP991"/>
  <c r="O991"/>
  <c r="Q991"/>
  <c r="AA991"/>
  <c r="AO991"/>
  <c r="P991"/>
  <c r="T991"/>
  <c r="S991"/>
  <c r="AN991"/>
  <c r="AM991"/>
  <c r="R991"/>
  <c r="AI990"/>
  <c r="AB990"/>
  <c r="AH990"/>
  <c r="AQ990"/>
  <c r="AG990"/>
  <c r="AF990"/>
  <c r="AE990"/>
  <c r="AD990"/>
  <c r="AK990"/>
  <c r="AS990"/>
  <c r="AJ990"/>
  <c r="AR990"/>
  <c r="AP990"/>
  <c r="O990"/>
  <c r="Q990"/>
  <c r="AA990"/>
  <c r="AO990"/>
  <c r="P990"/>
  <c r="T990"/>
  <c r="S990"/>
  <c r="AN990"/>
  <c r="AM990"/>
  <c r="R990"/>
  <c r="AI989"/>
  <c r="AB989"/>
  <c r="AH989"/>
  <c r="AQ989"/>
  <c r="AG989"/>
  <c r="AF989"/>
  <c r="AE989"/>
  <c r="AD989"/>
  <c r="AK989"/>
  <c r="AS989"/>
  <c r="AJ989"/>
  <c r="AR989"/>
  <c r="AP989"/>
  <c r="O989"/>
  <c r="Q989"/>
  <c r="AA989"/>
  <c r="AO989"/>
  <c r="P989"/>
  <c r="T989"/>
  <c r="S989"/>
  <c r="AN989"/>
  <c r="AM989"/>
  <c r="R989"/>
  <c r="AI988"/>
  <c r="AB988"/>
  <c r="AH988"/>
  <c r="AQ988"/>
  <c r="AG988"/>
  <c r="AF988"/>
  <c r="AE988"/>
  <c r="AD988"/>
  <c r="AK988"/>
  <c r="AS988"/>
  <c r="AJ988"/>
  <c r="AR988"/>
  <c r="AP988"/>
  <c r="O988"/>
  <c r="Q988"/>
  <c r="AA988"/>
  <c r="AO988"/>
  <c r="P988"/>
  <c r="T988"/>
  <c r="S988"/>
  <c r="AN988"/>
  <c r="AM988"/>
  <c r="R988"/>
  <c r="AI987"/>
  <c r="AB987"/>
  <c r="AH987"/>
  <c r="AQ987"/>
  <c r="AG987"/>
  <c r="AF987"/>
  <c r="AE987"/>
  <c r="AD987"/>
  <c r="AK987"/>
  <c r="AS987"/>
  <c r="AJ987"/>
  <c r="AR987"/>
  <c r="AP987"/>
  <c r="O987"/>
  <c r="Q987"/>
  <c r="AA987"/>
  <c r="AO987"/>
  <c r="P987"/>
  <c r="T987"/>
  <c r="S987"/>
  <c r="AN987"/>
  <c r="AM987"/>
  <c r="R987"/>
  <c r="AI986"/>
  <c r="AB986"/>
  <c r="AH986"/>
  <c r="AQ986"/>
  <c r="AG986"/>
  <c r="AF986"/>
  <c r="AE986"/>
  <c r="AD986"/>
  <c r="AK986"/>
  <c r="AS986"/>
  <c r="AJ986"/>
  <c r="AR986"/>
  <c r="AP986"/>
  <c r="O986"/>
  <c r="Q986"/>
  <c r="AA986"/>
  <c r="AO986"/>
  <c r="P986"/>
  <c r="T986"/>
  <c r="S986"/>
  <c r="AN986"/>
  <c r="AM986"/>
  <c r="R986"/>
  <c r="AI985"/>
  <c r="AB985"/>
  <c r="AH985"/>
  <c r="AQ985"/>
  <c r="AG985"/>
  <c r="AF985"/>
  <c r="AE985"/>
  <c r="AD985"/>
  <c r="AK985"/>
  <c r="AS985"/>
  <c r="AJ985"/>
  <c r="AR985"/>
  <c r="AP985"/>
  <c r="O985"/>
  <c r="Q985"/>
  <c r="AA985"/>
  <c r="AO985"/>
  <c r="P985"/>
  <c r="T985"/>
  <c r="S985"/>
  <c r="AN985"/>
  <c r="AM985"/>
  <c r="R985"/>
  <c r="AI984"/>
  <c r="AB984"/>
  <c r="AH984"/>
  <c r="AQ984"/>
  <c r="AG984"/>
  <c r="AF984"/>
  <c r="AE984"/>
  <c r="AD984"/>
  <c r="AK984"/>
  <c r="AS984"/>
  <c r="AJ984"/>
  <c r="AR984"/>
  <c r="AP984"/>
  <c r="O984"/>
  <c r="Q984"/>
  <c r="AA984"/>
  <c r="AO984"/>
  <c r="P984"/>
  <c r="T984"/>
  <c r="S984"/>
  <c r="AN984"/>
  <c r="AM984"/>
  <c r="R984"/>
  <c r="AI983"/>
  <c r="AB983"/>
  <c r="AH983"/>
  <c r="AQ983"/>
  <c r="AG983"/>
  <c r="AF983"/>
  <c r="AE983"/>
  <c r="AD983"/>
  <c r="AK983"/>
  <c r="AS983"/>
  <c r="AJ983"/>
  <c r="AR983"/>
  <c r="AP983"/>
  <c r="O983"/>
  <c r="Q983"/>
  <c r="AA983"/>
  <c r="AO983"/>
  <c r="P983"/>
  <c r="T983"/>
  <c r="S983"/>
  <c r="AN983"/>
  <c r="AM983"/>
  <c r="R983"/>
  <c r="AI982"/>
  <c r="AB982"/>
  <c r="AH982"/>
  <c r="AQ982"/>
  <c r="AG982"/>
  <c r="AF982"/>
  <c r="AE982"/>
  <c r="AD982"/>
  <c r="AK982"/>
  <c r="AS982"/>
  <c r="AJ982"/>
  <c r="AR982"/>
  <c r="AP982"/>
  <c r="O982"/>
  <c r="Q982"/>
  <c r="AA982"/>
  <c r="AO982"/>
  <c r="P982"/>
  <c r="T982"/>
  <c r="S982"/>
  <c r="AN982"/>
  <c r="AM982"/>
  <c r="R982"/>
  <c r="AI981"/>
  <c r="AB981"/>
  <c r="AH981"/>
  <c r="AQ981"/>
  <c r="AG981"/>
  <c r="AF981"/>
  <c r="AE981"/>
  <c r="AD981"/>
  <c r="AK981"/>
  <c r="AS981"/>
  <c r="AJ981"/>
  <c r="AR981"/>
  <c r="AP981"/>
  <c r="O981"/>
  <c r="Q981"/>
  <c r="AA981"/>
  <c r="AO981"/>
  <c r="P981"/>
  <c r="T981"/>
  <c r="S981"/>
  <c r="AN981"/>
  <c r="AM981"/>
  <c r="R981"/>
  <c r="AI980"/>
  <c r="AB980"/>
  <c r="AH980"/>
  <c r="AQ980"/>
  <c r="AG980"/>
  <c r="AF980"/>
  <c r="AE980"/>
  <c r="AD980"/>
  <c r="AK980"/>
  <c r="AS980"/>
  <c r="AJ980"/>
  <c r="AR980"/>
  <c r="AP980"/>
  <c r="O980"/>
  <c r="Q980"/>
  <c r="AA980"/>
  <c r="AO980"/>
  <c r="P980"/>
  <c r="T980"/>
  <c r="S980"/>
  <c r="AN980"/>
  <c r="AM980"/>
  <c r="R980"/>
  <c r="AI979"/>
  <c r="AB979"/>
  <c r="AH979"/>
  <c r="AQ979"/>
  <c r="AG979"/>
  <c r="AF979"/>
  <c r="AE979"/>
  <c r="AD979"/>
  <c r="AK979"/>
  <c r="AS979"/>
  <c r="AJ979"/>
  <c r="AR979"/>
  <c r="AP979"/>
  <c r="O979"/>
  <c r="Q979"/>
  <c r="AA979"/>
  <c r="AO979"/>
  <c r="P979"/>
  <c r="T979"/>
  <c r="S979"/>
  <c r="AN979"/>
  <c r="AM979"/>
  <c r="R979"/>
  <c r="AI978"/>
  <c r="AB978"/>
  <c r="AH978"/>
  <c r="AQ978"/>
  <c r="AG978"/>
  <c r="AF978"/>
  <c r="AE978"/>
  <c r="AD978"/>
  <c r="AK978"/>
  <c r="AS978"/>
  <c r="AJ978"/>
  <c r="AR978"/>
  <c r="AP978"/>
  <c r="O978"/>
  <c r="Q978"/>
  <c r="AA978"/>
  <c r="AO978"/>
  <c r="P978"/>
  <c r="T978"/>
  <c r="S978"/>
  <c r="AN978"/>
  <c r="AM978"/>
  <c r="R978"/>
  <c r="AI977"/>
  <c r="AB977"/>
  <c r="AH977"/>
  <c r="AQ977"/>
  <c r="AG977"/>
  <c r="AF977"/>
  <c r="AE977"/>
  <c r="AD977"/>
  <c r="AK977"/>
  <c r="AS977"/>
  <c r="AJ977"/>
  <c r="AR977"/>
  <c r="AP977"/>
  <c r="O977"/>
  <c r="Q977"/>
  <c r="AA977"/>
  <c r="AO977"/>
  <c r="P977"/>
  <c r="T977"/>
  <c r="S977"/>
  <c r="AN977"/>
  <c r="AM977"/>
  <c r="R977"/>
  <c r="AI976"/>
  <c r="AB976"/>
  <c r="AH976"/>
  <c r="AQ976"/>
  <c r="AG976"/>
  <c r="AF976"/>
  <c r="AE976"/>
  <c r="AD976"/>
  <c r="AK976"/>
  <c r="AS976"/>
  <c r="AJ976"/>
  <c r="AR976"/>
  <c r="AP976"/>
  <c r="O976"/>
  <c r="Q976"/>
  <c r="AA976"/>
  <c r="AO976"/>
  <c r="P976"/>
  <c r="T976"/>
  <c r="S976"/>
  <c r="AN976"/>
  <c r="AM976"/>
  <c r="R976"/>
  <c r="AI975"/>
  <c r="AB975"/>
  <c r="AH975"/>
  <c r="AQ975"/>
  <c r="AG975"/>
  <c r="AF975"/>
  <c r="AE975"/>
  <c r="AD975"/>
  <c r="AK975"/>
  <c r="AS975"/>
  <c r="AJ975"/>
  <c r="AR975"/>
  <c r="AP975"/>
  <c r="O975"/>
  <c r="Q975"/>
  <c r="AA975"/>
  <c r="AO975"/>
  <c r="P975"/>
  <c r="T975"/>
  <c r="S975"/>
  <c r="AN975"/>
  <c r="AM975"/>
  <c r="R975"/>
  <c r="AI974"/>
  <c r="AB974"/>
  <c r="AH974"/>
  <c r="AQ974"/>
  <c r="AG974"/>
  <c r="AF974"/>
  <c r="AE974"/>
  <c r="AD974"/>
  <c r="AK974"/>
  <c r="AS974"/>
  <c r="AJ974"/>
  <c r="AR974"/>
  <c r="AP974"/>
  <c r="O974"/>
  <c r="Q974"/>
  <c r="AA974"/>
  <c r="AO974"/>
  <c r="P974"/>
  <c r="T974"/>
  <c r="S974"/>
  <c r="AN974"/>
  <c r="AM974"/>
  <c r="R974"/>
  <c r="AI973"/>
  <c r="AB973"/>
  <c r="AH973"/>
  <c r="AQ973"/>
  <c r="AG973"/>
  <c r="AF973"/>
  <c r="AE973"/>
  <c r="AD973"/>
  <c r="AK973"/>
  <c r="AS973"/>
  <c r="AJ973"/>
  <c r="AR973"/>
  <c r="AP973"/>
  <c r="O973"/>
  <c r="Q973"/>
  <c r="AA973"/>
  <c r="AO973"/>
  <c r="P973"/>
  <c r="T973"/>
  <c r="S973"/>
  <c r="AN973"/>
  <c r="AM973"/>
  <c r="R973"/>
  <c r="AI972"/>
  <c r="AB972"/>
  <c r="AH972"/>
  <c r="AQ972"/>
  <c r="AG972"/>
  <c r="AF972"/>
  <c r="AE972"/>
  <c r="AD972"/>
  <c r="AK972"/>
  <c r="AS972"/>
  <c r="AJ972"/>
  <c r="AR972"/>
  <c r="AP972"/>
  <c r="O972"/>
  <c r="Q972"/>
  <c r="AA972"/>
  <c r="AO972"/>
  <c r="P972"/>
  <c r="T972"/>
  <c r="S972"/>
  <c r="AN972"/>
  <c r="AM972"/>
  <c r="R972"/>
  <c r="AI971"/>
  <c r="AB971"/>
  <c r="AH971"/>
  <c r="AQ971"/>
  <c r="AG971"/>
  <c r="AF971"/>
  <c r="AE971"/>
  <c r="AD971"/>
  <c r="AK971"/>
  <c r="AS971"/>
  <c r="AJ971"/>
  <c r="AR971"/>
  <c r="AP971"/>
  <c r="O971"/>
  <c r="Q971"/>
  <c r="AA971"/>
  <c r="AO971"/>
  <c r="P971"/>
  <c r="T971"/>
  <c r="S971"/>
  <c r="AN971"/>
  <c r="AM971"/>
  <c r="R971"/>
  <c r="AI970"/>
  <c r="AB970"/>
  <c r="AH970"/>
  <c r="AQ970"/>
  <c r="AG970"/>
  <c r="AF970"/>
  <c r="AE970"/>
  <c r="AD970"/>
  <c r="AK970"/>
  <c r="AS970"/>
  <c r="AJ970"/>
  <c r="AR970"/>
  <c r="AP970"/>
  <c r="O970"/>
  <c r="Q970"/>
  <c r="AA970"/>
  <c r="AO970"/>
  <c r="P970"/>
  <c r="T970"/>
  <c r="S970"/>
  <c r="AN970"/>
  <c r="AM970"/>
  <c r="R970"/>
  <c r="AI969"/>
  <c r="AB969"/>
  <c r="AH969"/>
  <c r="AQ969"/>
  <c r="AG969"/>
  <c r="AF969"/>
  <c r="AE969"/>
  <c r="AD969"/>
  <c r="AK969"/>
  <c r="AS969"/>
  <c r="AJ969"/>
  <c r="AR969"/>
  <c r="AP969"/>
  <c r="O969"/>
  <c r="Q969"/>
  <c r="AA969"/>
  <c r="AO969"/>
  <c r="P969"/>
  <c r="T969"/>
  <c r="S969"/>
  <c r="AN969"/>
  <c r="AM969"/>
  <c r="R969"/>
  <c r="AI968"/>
  <c r="AB968"/>
  <c r="AH968"/>
  <c r="AQ968"/>
  <c r="AG968"/>
  <c r="AF968"/>
  <c r="AE968"/>
  <c r="AD968"/>
  <c r="AK968"/>
  <c r="AS968"/>
  <c r="AJ968"/>
  <c r="AR968"/>
  <c r="AP968"/>
  <c r="O968"/>
  <c r="Q968"/>
  <c r="AA968"/>
  <c r="AO968"/>
  <c r="P968"/>
  <c r="T968"/>
  <c r="S968"/>
  <c r="AN968"/>
  <c r="AM968"/>
  <c r="R968"/>
  <c r="AI967"/>
  <c r="AB967"/>
  <c r="AH967"/>
  <c r="AQ967"/>
  <c r="AG967"/>
  <c r="AF967"/>
  <c r="AE967"/>
  <c r="AD967"/>
  <c r="AK967"/>
  <c r="AS967"/>
  <c r="AJ967"/>
  <c r="AR967"/>
  <c r="AP967"/>
  <c r="O967"/>
  <c r="Q967"/>
  <c r="AA967"/>
  <c r="AO967"/>
  <c r="P967"/>
  <c r="T967"/>
  <c r="S967"/>
  <c r="AN967"/>
  <c r="AM967"/>
  <c r="R967"/>
  <c r="AI966"/>
  <c r="AB966"/>
  <c r="AH966"/>
  <c r="AQ966"/>
  <c r="AG966"/>
  <c r="AF966"/>
  <c r="AE966"/>
  <c r="AD966"/>
  <c r="AK966"/>
  <c r="AS966"/>
  <c r="AJ966"/>
  <c r="AR966"/>
  <c r="AP966"/>
  <c r="O966"/>
  <c r="Q966"/>
  <c r="AA966"/>
  <c r="AO966"/>
  <c r="P966"/>
  <c r="T966"/>
  <c r="S966"/>
  <c r="AN966"/>
  <c r="AM966"/>
  <c r="R966"/>
  <c r="AI965"/>
  <c r="AB965"/>
  <c r="AH965"/>
  <c r="AQ965"/>
  <c r="AG965"/>
  <c r="AF965"/>
  <c r="AE965"/>
  <c r="AD965"/>
  <c r="AK965"/>
  <c r="AS965"/>
  <c r="AJ965"/>
  <c r="AR965"/>
  <c r="AP965"/>
  <c r="O965"/>
  <c r="Q965"/>
  <c r="AA965"/>
  <c r="AO965"/>
  <c r="P965"/>
  <c r="T965"/>
  <c r="S965"/>
  <c r="AN965"/>
  <c r="AM965"/>
  <c r="R965"/>
  <c r="AI964"/>
  <c r="AB964"/>
  <c r="AH964"/>
  <c r="AQ964"/>
  <c r="AG964"/>
  <c r="AF964"/>
  <c r="AE964"/>
  <c r="AD964"/>
  <c r="AK964"/>
  <c r="AS964"/>
  <c r="AJ964"/>
  <c r="AR964"/>
  <c r="AP964"/>
  <c r="O964"/>
  <c r="Q964"/>
  <c r="AA964"/>
  <c r="AO964"/>
  <c r="P964"/>
  <c r="T964"/>
  <c r="S964"/>
  <c r="AN964"/>
  <c r="AM964"/>
  <c r="R964"/>
  <c r="AI963"/>
  <c r="AB963"/>
  <c r="AH963"/>
  <c r="AQ963"/>
  <c r="AG963"/>
  <c r="AF963"/>
  <c r="AE963"/>
  <c r="AD963"/>
  <c r="AK963"/>
  <c r="AS963"/>
  <c r="AJ963"/>
  <c r="AR963"/>
  <c r="AP963"/>
  <c r="O963"/>
  <c r="Q963"/>
  <c r="AA963"/>
  <c r="AO963"/>
  <c r="P963"/>
  <c r="T963"/>
  <c r="S963"/>
  <c r="AN963"/>
  <c r="AM963"/>
  <c r="R963"/>
  <c r="AI962"/>
  <c r="AB962"/>
  <c r="AH962"/>
  <c r="AQ962"/>
  <c r="AG962"/>
  <c r="AF962"/>
  <c r="AE962"/>
  <c r="AD962"/>
  <c r="AK962"/>
  <c r="AS962"/>
  <c r="AJ962"/>
  <c r="AR962"/>
  <c r="AP962"/>
  <c r="O962"/>
  <c r="Q962"/>
  <c r="AA962"/>
  <c r="AO962"/>
  <c r="P962"/>
  <c r="T962"/>
  <c r="S962"/>
  <c r="AN962"/>
  <c r="AM962"/>
  <c r="R962"/>
  <c r="AI961"/>
  <c r="AB961"/>
  <c r="AH961"/>
  <c r="AQ961"/>
  <c r="AG961"/>
  <c r="AF961"/>
  <c r="AE961"/>
  <c r="AD961"/>
  <c r="AK961"/>
  <c r="AS961"/>
  <c r="AJ961"/>
  <c r="AR961"/>
  <c r="AP961"/>
  <c r="O961"/>
  <c r="Q961"/>
  <c r="AA961"/>
  <c r="AO961"/>
  <c r="P961"/>
  <c r="T961"/>
  <c r="S961"/>
  <c r="AN961"/>
  <c r="AM961"/>
  <c r="R961"/>
  <c r="AI960"/>
  <c r="AB960"/>
  <c r="AH960"/>
  <c r="AQ960"/>
  <c r="AG960"/>
  <c r="AF960"/>
  <c r="AE960"/>
  <c r="AD960"/>
  <c r="AK960"/>
  <c r="AS960"/>
  <c r="AJ960"/>
  <c r="AR960"/>
  <c r="AP960"/>
  <c r="O960"/>
  <c r="Q960"/>
  <c r="AA960"/>
  <c r="AO960"/>
  <c r="P960"/>
  <c r="T960"/>
  <c r="S960"/>
  <c r="AN960"/>
  <c r="AM960"/>
  <c r="R960"/>
  <c r="AI959"/>
  <c r="AB959"/>
  <c r="AH959"/>
  <c r="AQ959"/>
  <c r="AG959"/>
  <c r="AF959"/>
  <c r="AE959"/>
  <c r="AD959"/>
  <c r="AK959"/>
  <c r="AS959"/>
  <c r="AJ959"/>
  <c r="AR959"/>
  <c r="AP959"/>
  <c r="O959"/>
  <c r="Q959"/>
  <c r="AA959"/>
  <c r="AO959"/>
  <c r="P959"/>
  <c r="T959"/>
  <c r="S959"/>
  <c r="AN959"/>
  <c r="AM959"/>
  <c r="R959"/>
  <c r="AI958"/>
  <c r="AB958"/>
  <c r="AH958"/>
  <c r="AQ958"/>
  <c r="AG958"/>
  <c r="AF958"/>
  <c r="AE958"/>
  <c r="AD958"/>
  <c r="AK958"/>
  <c r="AS958"/>
  <c r="AJ958"/>
  <c r="AR958"/>
  <c r="AP958"/>
  <c r="O958"/>
  <c r="Q958"/>
  <c r="AA958"/>
  <c r="AO958"/>
  <c r="P958"/>
  <c r="T958"/>
  <c r="S958"/>
  <c r="AN958"/>
  <c r="AM958"/>
  <c r="R958"/>
  <c r="AI957"/>
  <c r="AB957"/>
  <c r="AH957"/>
  <c r="AQ957"/>
  <c r="AG957"/>
  <c r="AF957"/>
  <c r="AE957"/>
  <c r="AD957"/>
  <c r="AK957"/>
  <c r="AS957"/>
  <c r="AJ957"/>
  <c r="AR957"/>
  <c r="AP957"/>
  <c r="O957"/>
  <c r="Q957"/>
  <c r="AA957"/>
  <c r="AO957"/>
  <c r="P957"/>
  <c r="T957"/>
  <c r="S957"/>
  <c r="AN957"/>
  <c r="AM957"/>
  <c r="R957"/>
  <c r="AI956"/>
  <c r="AB956"/>
  <c r="AH956"/>
  <c r="AQ956"/>
  <c r="AG956"/>
  <c r="AF956"/>
  <c r="AE956"/>
  <c r="AD956"/>
  <c r="AK956"/>
  <c r="AS956"/>
  <c r="AJ956"/>
  <c r="AR956"/>
  <c r="AP956"/>
  <c r="O956"/>
  <c r="Q956"/>
  <c r="AA956"/>
  <c r="AO956"/>
  <c r="P956"/>
  <c r="T956"/>
  <c r="S956"/>
  <c r="AN956"/>
  <c r="AM956"/>
  <c r="R956"/>
  <c r="AI955"/>
  <c r="AB955"/>
  <c r="AH955"/>
  <c r="AQ955"/>
  <c r="AG955"/>
  <c r="AF955"/>
  <c r="AE955"/>
  <c r="AD955"/>
  <c r="AK955"/>
  <c r="AS955"/>
  <c r="AJ955"/>
  <c r="AR955"/>
  <c r="AP955"/>
  <c r="O955"/>
  <c r="Q955"/>
  <c r="AA955"/>
  <c r="AO955"/>
  <c r="P955"/>
  <c r="T955"/>
  <c r="S955"/>
  <c r="AN955"/>
  <c r="AM955"/>
  <c r="R955"/>
  <c r="AI954"/>
  <c r="AB954"/>
  <c r="AH954"/>
  <c r="AQ954"/>
  <c r="AG954"/>
  <c r="AF954"/>
  <c r="AE954"/>
  <c r="AD954"/>
  <c r="AK954"/>
  <c r="AS954"/>
  <c r="AJ954"/>
  <c r="AR954"/>
  <c r="AP954"/>
  <c r="O954"/>
  <c r="Q954"/>
  <c r="AA954"/>
  <c r="AO954"/>
  <c r="P954"/>
  <c r="T954"/>
  <c r="S954"/>
  <c r="AN954"/>
  <c r="AM954"/>
  <c r="R954"/>
  <c r="AI953"/>
  <c r="AB953"/>
  <c r="AH953"/>
  <c r="AQ953"/>
  <c r="AG953"/>
  <c r="AF953"/>
  <c r="AE953"/>
  <c r="AD953"/>
  <c r="AK953"/>
  <c r="AS953"/>
  <c r="AJ953"/>
  <c r="AR953"/>
  <c r="AP953"/>
  <c r="O953"/>
  <c r="Q953"/>
  <c r="AA953"/>
  <c r="AO953"/>
  <c r="P953"/>
  <c r="T953"/>
  <c r="S953"/>
  <c r="AN953"/>
  <c r="AM953"/>
  <c r="R953"/>
  <c r="AI952"/>
  <c r="AB952"/>
  <c r="AH952"/>
  <c r="AQ952"/>
  <c r="AG952"/>
  <c r="AF952"/>
  <c r="AE952"/>
  <c r="AD952"/>
  <c r="AK952"/>
  <c r="AS952"/>
  <c r="AJ952"/>
  <c r="AR952"/>
  <c r="AP952"/>
  <c r="O952"/>
  <c r="Q952"/>
  <c r="AA952"/>
  <c r="AO952"/>
  <c r="P952"/>
  <c r="T952"/>
  <c r="S952"/>
  <c r="AN952"/>
  <c r="AM952"/>
  <c r="R952"/>
  <c r="AI951"/>
  <c r="AB951"/>
  <c r="AH951"/>
  <c r="AQ951"/>
  <c r="AG951"/>
  <c r="AF951"/>
  <c r="AE951"/>
  <c r="AD951"/>
  <c r="AK951"/>
  <c r="AS951"/>
  <c r="AJ951"/>
  <c r="AR951"/>
  <c r="AP951"/>
  <c r="O951"/>
  <c r="Q951"/>
  <c r="AA951"/>
  <c r="AO951"/>
  <c r="P951"/>
  <c r="T951"/>
  <c r="S951"/>
  <c r="AN951"/>
  <c r="AM951"/>
  <c r="R951"/>
  <c r="AI950"/>
  <c r="AB950"/>
  <c r="AH950"/>
  <c r="AQ950"/>
  <c r="AG950"/>
  <c r="AF950"/>
  <c r="AE950"/>
  <c r="AD950"/>
  <c r="AK950"/>
  <c r="AS950"/>
  <c r="AJ950"/>
  <c r="AR950"/>
  <c r="AP950"/>
  <c r="O950"/>
  <c r="Q950"/>
  <c r="AA950"/>
  <c r="AO950"/>
  <c r="P950"/>
  <c r="T950"/>
  <c r="S950"/>
  <c r="AN950"/>
  <c r="AM950"/>
  <c r="R950"/>
  <c r="AI949"/>
  <c r="AB949"/>
  <c r="AH949"/>
  <c r="AQ949"/>
  <c r="AG949"/>
  <c r="AF949"/>
  <c r="AE949"/>
  <c r="AD949"/>
  <c r="AK949"/>
  <c r="AS949"/>
  <c r="AJ949"/>
  <c r="AR949"/>
  <c r="AP949"/>
  <c r="O949"/>
  <c r="Q949"/>
  <c r="AA949"/>
  <c r="AO949"/>
  <c r="P949"/>
  <c r="T949"/>
  <c r="S949"/>
  <c r="AN949"/>
  <c r="AM949"/>
  <c r="R949"/>
  <c r="AI948"/>
  <c r="AB948"/>
  <c r="AH948"/>
  <c r="AQ948"/>
  <c r="AG948"/>
  <c r="AF948"/>
  <c r="AE948"/>
  <c r="AD948"/>
  <c r="AK948"/>
  <c r="AS948"/>
  <c r="AJ948"/>
  <c r="AR948"/>
  <c r="AP948"/>
  <c r="O948"/>
  <c r="Q948"/>
  <c r="AA948"/>
  <c r="AO948"/>
  <c r="P948"/>
  <c r="T948"/>
  <c r="S948"/>
  <c r="AN948"/>
  <c r="AM948"/>
  <c r="R948"/>
  <c r="AI947"/>
  <c r="AB947"/>
  <c r="AH947"/>
  <c r="AQ947"/>
  <c r="AG947"/>
  <c r="AF947"/>
  <c r="AE947"/>
  <c r="AD947"/>
  <c r="AK947"/>
  <c r="AS947"/>
  <c r="AJ947"/>
  <c r="AR947"/>
  <c r="AP947"/>
  <c r="O947"/>
  <c r="Q947"/>
  <c r="AA947"/>
  <c r="AO947"/>
  <c r="P947"/>
  <c r="T947"/>
  <c r="S947"/>
  <c r="AN947"/>
  <c r="AM947"/>
  <c r="R947"/>
  <c r="AI946"/>
  <c r="AB946"/>
  <c r="AH946"/>
  <c r="AQ946"/>
  <c r="AG946"/>
  <c r="AF946"/>
  <c r="AE946"/>
  <c r="AD946"/>
  <c r="AK946"/>
  <c r="AS946"/>
  <c r="AJ946"/>
  <c r="AR946"/>
  <c r="AP946"/>
  <c r="O946"/>
  <c r="Q946"/>
  <c r="AA946"/>
  <c r="AO946"/>
  <c r="P946"/>
  <c r="T946"/>
  <c r="S946"/>
  <c r="AN946"/>
  <c r="AM946"/>
  <c r="R946"/>
  <c r="AI945"/>
  <c r="AB945"/>
  <c r="AH945"/>
  <c r="AQ945"/>
  <c r="AG945"/>
  <c r="AF945"/>
  <c r="AE945"/>
  <c r="AD945"/>
  <c r="AK945"/>
  <c r="AS945"/>
  <c r="AJ945"/>
  <c r="AR945"/>
  <c r="AP945"/>
  <c r="O945"/>
  <c r="Q945"/>
  <c r="AA945"/>
  <c r="AO945"/>
  <c r="P945"/>
  <c r="T945"/>
  <c r="S945"/>
  <c r="AN945"/>
  <c r="AM945"/>
  <c r="R945"/>
  <c r="AI944"/>
  <c r="AB944"/>
  <c r="AH944"/>
  <c r="AQ944"/>
  <c r="AG944"/>
  <c r="AF944"/>
  <c r="AE944"/>
  <c r="AD944"/>
  <c r="AK944"/>
  <c r="AS944"/>
  <c r="AJ944"/>
  <c r="AR944"/>
  <c r="AP944"/>
  <c r="O944"/>
  <c r="Q944"/>
  <c r="AA944"/>
  <c r="AO944"/>
  <c r="P944"/>
  <c r="T944"/>
  <c r="S944"/>
  <c r="AN944"/>
  <c r="AM944"/>
  <c r="R944"/>
  <c r="AI943"/>
  <c r="AB943"/>
  <c r="AH943"/>
  <c r="AQ943"/>
  <c r="AG943"/>
  <c r="AF943"/>
  <c r="AE943"/>
  <c r="AD943"/>
  <c r="AK943"/>
  <c r="AS943"/>
  <c r="AJ943"/>
  <c r="AR943"/>
  <c r="AP943"/>
  <c r="O943"/>
  <c r="Q943"/>
  <c r="AA943"/>
  <c r="AO943"/>
  <c r="P943"/>
  <c r="T943"/>
  <c r="S943"/>
  <c r="AN943"/>
  <c r="AM943"/>
  <c r="R943"/>
  <c r="AI942"/>
  <c r="AB942"/>
  <c r="AH942"/>
  <c r="AQ942"/>
  <c r="AG942"/>
  <c r="AF942"/>
  <c r="AE942"/>
  <c r="AD942"/>
  <c r="AK942"/>
  <c r="AS942"/>
  <c r="AJ942"/>
  <c r="AR942"/>
  <c r="AP942"/>
  <c r="O942"/>
  <c r="Q942"/>
  <c r="AA942"/>
  <c r="AO942"/>
  <c r="P942"/>
  <c r="T942"/>
  <c r="S942"/>
  <c r="AN942"/>
  <c r="AM942"/>
  <c r="R942"/>
  <c r="AI941"/>
  <c r="AB941"/>
  <c r="AH941"/>
  <c r="AQ941"/>
  <c r="AG941"/>
  <c r="AF941"/>
  <c r="AE941"/>
  <c r="AD941"/>
  <c r="AK941"/>
  <c r="AS941"/>
  <c r="AJ941"/>
  <c r="AR941"/>
  <c r="AP941"/>
  <c r="O941"/>
  <c r="Q941"/>
  <c r="AA941"/>
  <c r="AO941"/>
  <c r="P941"/>
  <c r="T941"/>
  <c r="S941"/>
  <c r="AN941"/>
  <c r="AM941"/>
  <c r="R941"/>
  <c r="AI940"/>
  <c r="AB940"/>
  <c r="AH940"/>
  <c r="AQ940"/>
  <c r="AG940"/>
  <c r="AF940"/>
  <c r="AE940"/>
  <c r="AD940"/>
  <c r="AK940"/>
  <c r="AS940"/>
  <c r="AJ940"/>
  <c r="AR940"/>
  <c r="AP940"/>
  <c r="O940"/>
  <c r="Q940"/>
  <c r="AA940"/>
  <c r="AO940"/>
  <c r="P940"/>
  <c r="T940"/>
  <c r="S940"/>
  <c r="AN940"/>
  <c r="AM940"/>
  <c r="R940"/>
  <c r="AI939"/>
  <c r="AB939"/>
  <c r="AH939"/>
  <c r="AQ939"/>
  <c r="AG939"/>
  <c r="AF939"/>
  <c r="AE939"/>
  <c r="AD939"/>
  <c r="AK939"/>
  <c r="AS939"/>
  <c r="AJ939"/>
  <c r="AR939"/>
  <c r="AP939"/>
  <c r="O939"/>
  <c r="Q939"/>
  <c r="AA939"/>
  <c r="AO939"/>
  <c r="P939"/>
  <c r="T939"/>
  <c r="S939"/>
  <c r="AN939"/>
  <c r="AM939"/>
  <c r="R939"/>
  <c r="AI938"/>
  <c r="AB938"/>
  <c r="AH938"/>
  <c r="AQ938"/>
  <c r="AG938"/>
  <c r="AF938"/>
  <c r="AE938"/>
  <c r="AD938"/>
  <c r="AK938"/>
  <c r="AS938"/>
  <c r="AJ938"/>
  <c r="AR938"/>
  <c r="AP938"/>
  <c r="O938"/>
  <c r="Q938"/>
  <c r="AA938"/>
  <c r="AO938"/>
  <c r="P938"/>
  <c r="T938"/>
  <c r="S938"/>
  <c r="AN938"/>
  <c r="AM938"/>
  <c r="R938"/>
  <c r="AI937"/>
  <c r="AB937"/>
  <c r="AH937"/>
  <c r="AQ937"/>
  <c r="AG937"/>
  <c r="AF937"/>
  <c r="AE937"/>
  <c r="AD937"/>
  <c r="AK937"/>
  <c r="AS937"/>
  <c r="AJ937"/>
  <c r="AR937"/>
  <c r="AP937"/>
  <c r="O937"/>
  <c r="Q937"/>
  <c r="AA937"/>
  <c r="AO937"/>
  <c r="P937"/>
  <c r="T937"/>
  <c r="S937"/>
  <c r="AN937"/>
  <c r="AM937"/>
  <c r="R937"/>
  <c r="AI936"/>
  <c r="AB936"/>
  <c r="AH936"/>
  <c r="AQ936"/>
  <c r="AG936"/>
  <c r="AF936"/>
  <c r="AE936"/>
  <c r="AD936"/>
  <c r="AK936"/>
  <c r="AS936"/>
  <c r="AJ936"/>
  <c r="AR936"/>
  <c r="AP936"/>
  <c r="O936"/>
  <c r="Q936"/>
  <c r="AA936"/>
  <c r="AO936"/>
  <c r="P936"/>
  <c r="T936"/>
  <c r="S936"/>
  <c r="AN936"/>
  <c r="AM936"/>
  <c r="R936"/>
  <c r="AI935"/>
  <c r="AB935"/>
  <c r="AH935"/>
  <c r="AQ935"/>
  <c r="AG935"/>
  <c r="AF935"/>
  <c r="AE935"/>
  <c r="AD935"/>
  <c r="AK935"/>
  <c r="AS935"/>
  <c r="AJ935"/>
  <c r="AR935"/>
  <c r="AP935"/>
  <c r="O935"/>
  <c r="Q935"/>
  <c r="AA935"/>
  <c r="AO935"/>
  <c r="P935"/>
  <c r="T935"/>
  <c r="S935"/>
  <c r="AN935"/>
  <c r="AM935"/>
  <c r="R935"/>
  <c r="AI934"/>
  <c r="AB934"/>
  <c r="AH934"/>
  <c r="AQ934"/>
  <c r="AG934"/>
  <c r="AF934"/>
  <c r="AE934"/>
  <c r="AD934"/>
  <c r="AK934"/>
  <c r="AS934"/>
  <c r="AJ934"/>
  <c r="AR934"/>
  <c r="AP934"/>
  <c r="O934"/>
  <c r="Q934"/>
  <c r="AA934"/>
  <c r="AO934"/>
  <c r="P934"/>
  <c r="T934"/>
  <c r="S934"/>
  <c r="AN934"/>
  <c r="AM934"/>
  <c r="R934"/>
  <c r="AI933"/>
  <c r="AB933"/>
  <c r="AH933"/>
  <c r="AQ933"/>
  <c r="AG933"/>
  <c r="AF933"/>
  <c r="AE933"/>
  <c r="AD933"/>
  <c r="AK933"/>
  <c r="AS933"/>
  <c r="AJ933"/>
  <c r="AR933"/>
  <c r="AP933"/>
  <c r="O933"/>
  <c r="Q933"/>
  <c r="AA933"/>
  <c r="AO933"/>
  <c r="P933"/>
  <c r="T933"/>
  <c r="S933"/>
  <c r="AN933"/>
  <c r="AM933"/>
  <c r="R933"/>
  <c r="AI932"/>
  <c r="AB932"/>
  <c r="AH932"/>
  <c r="AQ932"/>
  <c r="AG932"/>
  <c r="AF932"/>
  <c r="AE932"/>
  <c r="AD932"/>
  <c r="AK932"/>
  <c r="AS932"/>
  <c r="AJ932"/>
  <c r="AR932"/>
  <c r="AP932"/>
  <c r="O932"/>
  <c r="Q932"/>
  <c r="AA932"/>
  <c r="AO932"/>
  <c r="P932"/>
  <c r="T932"/>
  <c r="S932"/>
  <c r="AN932"/>
  <c r="AM932"/>
  <c r="R932"/>
  <c r="AI931"/>
  <c r="AB931"/>
  <c r="AH931"/>
  <c r="AQ931"/>
  <c r="AG931"/>
  <c r="AF931"/>
  <c r="AE931"/>
  <c r="AD931"/>
  <c r="AK931"/>
  <c r="AS931"/>
  <c r="AJ931"/>
  <c r="AR931"/>
  <c r="AP931"/>
  <c r="O931"/>
  <c r="Q931"/>
  <c r="AA931"/>
  <c r="AO931"/>
  <c r="P931"/>
  <c r="T931"/>
  <c r="S931"/>
  <c r="AN931"/>
  <c r="AM931"/>
  <c r="R931"/>
  <c r="AI930"/>
  <c r="AB930"/>
  <c r="AH930"/>
  <c r="AQ930"/>
  <c r="AG930"/>
  <c r="AF930"/>
  <c r="AE930"/>
  <c r="AD930"/>
  <c r="AK930"/>
  <c r="AS930"/>
  <c r="AJ930"/>
  <c r="AR930"/>
  <c r="AP930"/>
  <c r="O930"/>
  <c r="Q930"/>
  <c r="AA930"/>
  <c r="AO930"/>
  <c r="P930"/>
  <c r="T930"/>
  <c r="S930"/>
  <c r="AN930"/>
  <c r="AM930"/>
  <c r="R930"/>
  <c r="AI929"/>
  <c r="AB929"/>
  <c r="AH929"/>
  <c r="AQ929"/>
  <c r="AG929"/>
  <c r="AF929"/>
  <c r="AE929"/>
  <c r="AD929"/>
  <c r="AK929"/>
  <c r="AS929"/>
  <c r="AJ929"/>
  <c r="AR929"/>
  <c r="AP929"/>
  <c r="O929"/>
  <c r="Q929"/>
  <c r="AA929"/>
  <c r="AO929"/>
  <c r="P929"/>
  <c r="T929"/>
  <c r="S929"/>
  <c r="AN929"/>
  <c r="AM929"/>
  <c r="R929"/>
  <c r="AI928"/>
  <c r="AB928"/>
  <c r="AH928"/>
  <c r="AQ928"/>
  <c r="AG928"/>
  <c r="AF928"/>
  <c r="AE928"/>
  <c r="AD928"/>
  <c r="AK928"/>
  <c r="AS928"/>
  <c r="AJ928"/>
  <c r="AR928"/>
  <c r="AP928"/>
  <c r="O928"/>
  <c r="Q928"/>
  <c r="AA928"/>
  <c r="AO928"/>
  <c r="P928"/>
  <c r="T928"/>
  <c r="S928"/>
  <c r="AN928"/>
  <c r="AM928"/>
  <c r="R928"/>
  <c r="AI927"/>
  <c r="AB927"/>
  <c r="AH927"/>
  <c r="AQ927"/>
  <c r="AG927"/>
  <c r="AF927"/>
  <c r="AE927"/>
  <c r="AD927"/>
  <c r="AK927"/>
  <c r="AS927"/>
  <c r="AJ927"/>
  <c r="AR927"/>
  <c r="AP927"/>
  <c r="O927"/>
  <c r="Q927"/>
  <c r="AA927"/>
  <c r="AO927"/>
  <c r="P927"/>
  <c r="T927"/>
  <c r="S927"/>
  <c r="AN927"/>
  <c r="AM927"/>
  <c r="R927"/>
  <c r="AI926"/>
  <c r="AB926"/>
  <c r="AH926"/>
  <c r="AQ926"/>
  <c r="AG926"/>
  <c r="AF926"/>
  <c r="AE926"/>
  <c r="AD926"/>
  <c r="AK926"/>
  <c r="AS926"/>
  <c r="AJ926"/>
  <c r="AR926"/>
  <c r="AP926"/>
  <c r="O926"/>
  <c r="Q926"/>
  <c r="AA926"/>
  <c r="AO926"/>
  <c r="P926"/>
  <c r="T926"/>
  <c r="S926"/>
  <c r="AN926"/>
  <c r="AM926"/>
  <c r="R926"/>
  <c r="AI925"/>
  <c r="AB925"/>
  <c r="AH925"/>
  <c r="AQ925"/>
  <c r="AG925"/>
  <c r="AF925"/>
  <c r="AE925"/>
  <c r="AD925"/>
  <c r="AK925"/>
  <c r="AS925"/>
  <c r="AJ925"/>
  <c r="AR925"/>
  <c r="AP925"/>
  <c r="O925"/>
  <c r="Q925"/>
  <c r="AA925"/>
  <c r="AO925"/>
  <c r="P925"/>
  <c r="T925"/>
  <c r="S925"/>
  <c r="AN925"/>
  <c r="AM925"/>
  <c r="R925"/>
  <c r="AI924"/>
  <c r="AB924"/>
  <c r="AH924"/>
  <c r="AQ924"/>
  <c r="AG924"/>
  <c r="AF924"/>
  <c r="AE924"/>
  <c r="AD924"/>
  <c r="AK924"/>
  <c r="AS924"/>
  <c r="AJ924"/>
  <c r="AR924"/>
  <c r="AP924"/>
  <c r="O924"/>
  <c r="Q924"/>
  <c r="AA924"/>
  <c r="AO924"/>
  <c r="P924"/>
  <c r="T924"/>
  <c r="S924"/>
  <c r="AN924"/>
  <c r="AM924"/>
  <c r="R924"/>
  <c r="AI923"/>
  <c r="AB923"/>
  <c r="AH923"/>
  <c r="AQ923"/>
  <c r="AG923"/>
  <c r="AF923"/>
  <c r="AE923"/>
  <c r="AD923"/>
  <c r="AK923"/>
  <c r="AS923"/>
  <c r="AJ923"/>
  <c r="AR923"/>
  <c r="AP923"/>
  <c r="O923"/>
  <c r="Q923"/>
  <c r="AA923"/>
  <c r="AO923"/>
  <c r="P923"/>
  <c r="T923"/>
  <c r="S923"/>
  <c r="AN923"/>
  <c r="AM923"/>
  <c r="R923"/>
  <c r="AI922"/>
  <c r="AB922"/>
  <c r="AH922"/>
  <c r="AQ922"/>
  <c r="AG922"/>
  <c r="AF922"/>
  <c r="AE922"/>
  <c r="AD922"/>
  <c r="AK922"/>
  <c r="AS922"/>
  <c r="AJ922"/>
  <c r="AR922"/>
  <c r="AP922"/>
  <c r="O922"/>
  <c r="Q922"/>
  <c r="AA922"/>
  <c r="AO922"/>
  <c r="P922"/>
  <c r="T922"/>
  <c r="S922"/>
  <c r="AN922"/>
  <c r="AM922"/>
  <c r="R922"/>
  <c r="AI921"/>
  <c r="AB921"/>
  <c r="AH921"/>
  <c r="AQ921"/>
  <c r="AG921"/>
  <c r="AF921"/>
  <c r="AE921"/>
  <c r="AD921"/>
  <c r="AK921"/>
  <c r="AS921"/>
  <c r="AJ921"/>
  <c r="AR921"/>
  <c r="AP921"/>
  <c r="O921"/>
  <c r="Q921"/>
  <c r="AA921"/>
  <c r="AO921"/>
  <c r="P921"/>
  <c r="T921"/>
  <c r="S921"/>
  <c r="AN921"/>
  <c r="AM921"/>
  <c r="R921"/>
  <c r="AI920"/>
  <c r="AB920"/>
  <c r="AH920"/>
  <c r="AQ920"/>
  <c r="AG920"/>
  <c r="AF920"/>
  <c r="AE920"/>
  <c r="AD920"/>
  <c r="AK920"/>
  <c r="AS920"/>
  <c r="AJ920"/>
  <c r="AR920"/>
  <c r="AP920"/>
  <c r="O920"/>
  <c r="Q920"/>
  <c r="AA920"/>
  <c r="AO920"/>
  <c r="P920"/>
  <c r="T920"/>
  <c r="S920"/>
  <c r="AN920"/>
  <c r="AM920"/>
  <c r="R920"/>
  <c r="AI919"/>
  <c r="AB919"/>
  <c r="AH919"/>
  <c r="AQ919"/>
  <c r="AG919"/>
  <c r="AF919"/>
  <c r="AE919"/>
  <c r="AD919"/>
  <c r="AK919"/>
  <c r="AS919"/>
  <c r="AJ919"/>
  <c r="AR919"/>
  <c r="AP919"/>
  <c r="O919"/>
  <c r="Q919"/>
  <c r="AA919"/>
  <c r="AO919"/>
  <c r="P919"/>
  <c r="T919"/>
  <c r="S919"/>
  <c r="AN919"/>
  <c r="AM919"/>
  <c r="R919"/>
  <c r="AI918"/>
  <c r="AB918"/>
  <c r="AH918"/>
  <c r="AQ918"/>
  <c r="AG918"/>
  <c r="AF918"/>
  <c r="AE918"/>
  <c r="AD918"/>
  <c r="AK918"/>
  <c r="AS918"/>
  <c r="AJ918"/>
  <c r="AR918"/>
  <c r="AP918"/>
  <c r="O918"/>
  <c r="Q918"/>
  <c r="AA918"/>
  <c r="AO918"/>
  <c r="P918"/>
  <c r="T918"/>
  <c r="S918"/>
  <c r="AN918"/>
  <c r="AM918"/>
  <c r="R918"/>
  <c r="AI917"/>
  <c r="AB917"/>
  <c r="AH917"/>
  <c r="AQ917"/>
  <c r="AG917"/>
  <c r="AF917"/>
  <c r="AE917"/>
  <c r="AD917"/>
  <c r="AK917"/>
  <c r="AS917"/>
  <c r="AJ917"/>
  <c r="AR917"/>
  <c r="AP917"/>
  <c r="O917"/>
  <c r="Q917"/>
  <c r="AA917"/>
  <c r="AO917"/>
  <c r="P917"/>
  <c r="T917"/>
  <c r="S917"/>
  <c r="AN917"/>
  <c r="AM917"/>
  <c r="R917"/>
  <c r="AI916"/>
  <c r="AB916"/>
  <c r="AH916"/>
  <c r="AQ916"/>
  <c r="AG916"/>
  <c r="AF916"/>
  <c r="AE916"/>
  <c r="AD916"/>
  <c r="AK916"/>
  <c r="AS916"/>
  <c r="AJ916"/>
  <c r="AR916"/>
  <c r="AP916"/>
  <c r="O916"/>
  <c r="Q916"/>
  <c r="AA916"/>
  <c r="AO916"/>
  <c r="P916"/>
  <c r="T916"/>
  <c r="S916"/>
  <c r="AN916"/>
  <c r="AM916"/>
  <c r="R916"/>
  <c r="AI915"/>
  <c r="AB915"/>
  <c r="AH915"/>
  <c r="AQ915"/>
  <c r="AG915"/>
  <c r="AF915"/>
  <c r="AE915"/>
  <c r="AD915"/>
  <c r="AK915"/>
  <c r="AS915"/>
  <c r="AJ915"/>
  <c r="AR915"/>
  <c r="AP915"/>
  <c r="O915"/>
  <c r="Q915"/>
  <c r="AA915"/>
  <c r="AO915"/>
  <c r="P915"/>
  <c r="T915"/>
  <c r="S915"/>
  <c r="AN915"/>
  <c r="AM915"/>
  <c r="R915"/>
  <c r="AI914"/>
  <c r="AB914"/>
  <c r="AH914"/>
  <c r="AQ914"/>
  <c r="AG914"/>
  <c r="AF914"/>
  <c r="AE914"/>
  <c r="AD914"/>
  <c r="AK914"/>
  <c r="AS914"/>
  <c r="AJ914"/>
  <c r="AR914"/>
  <c r="AP914"/>
  <c r="O914"/>
  <c r="Q914"/>
  <c r="AA914"/>
  <c r="AO914"/>
  <c r="P914"/>
  <c r="T914"/>
  <c r="S914"/>
  <c r="AN914"/>
  <c r="AM914"/>
  <c r="R914"/>
  <c r="AI913"/>
  <c r="AB913"/>
  <c r="AH913"/>
  <c r="AQ913"/>
  <c r="AG913"/>
  <c r="AF913"/>
  <c r="AE913"/>
  <c r="AD913"/>
  <c r="AK913"/>
  <c r="AS913"/>
  <c r="AJ913"/>
  <c r="AR913"/>
  <c r="AP913"/>
  <c r="O913"/>
  <c r="Q913"/>
  <c r="AA913"/>
  <c r="AO913"/>
  <c r="P913"/>
  <c r="T913"/>
  <c r="S913"/>
  <c r="AN913"/>
  <c r="AM913"/>
  <c r="R913"/>
  <c r="AI912"/>
  <c r="AB912"/>
  <c r="AH912"/>
  <c r="AQ912"/>
  <c r="AG912"/>
  <c r="AF912"/>
  <c r="AE912"/>
  <c r="AD912"/>
  <c r="AK912"/>
  <c r="AS912"/>
  <c r="AJ912"/>
  <c r="AR912"/>
  <c r="AP912"/>
  <c r="O912"/>
  <c r="Q912"/>
  <c r="AA912"/>
  <c r="AO912"/>
  <c r="P912"/>
  <c r="T912"/>
  <c r="S912"/>
  <c r="AN912"/>
  <c r="AM912"/>
  <c r="R912"/>
  <c r="AI911"/>
  <c r="AB911"/>
  <c r="AH911"/>
  <c r="AQ911"/>
  <c r="AG911"/>
  <c r="AF911"/>
  <c r="AE911"/>
  <c r="AD911"/>
  <c r="AK911"/>
  <c r="AS911"/>
  <c r="AJ911"/>
  <c r="AR911"/>
  <c r="AP911"/>
  <c r="O911"/>
  <c r="Q911"/>
  <c r="AA911"/>
  <c r="AO911"/>
  <c r="P911"/>
  <c r="T911"/>
  <c r="S911"/>
  <c r="AN911"/>
  <c r="AM911"/>
  <c r="R911"/>
  <c r="AI910"/>
  <c r="AB910"/>
  <c r="AH910"/>
  <c r="AQ910"/>
  <c r="AG910"/>
  <c r="AF910"/>
  <c r="AE910"/>
  <c r="AD910"/>
  <c r="AK910"/>
  <c r="AS910"/>
  <c r="AJ910"/>
  <c r="AR910"/>
  <c r="AP910"/>
  <c r="O910"/>
  <c r="Q910"/>
  <c r="AA910"/>
  <c r="AO910"/>
  <c r="P910"/>
  <c r="T910"/>
  <c r="S910"/>
  <c r="AN910"/>
  <c r="AM910"/>
  <c r="R910"/>
  <c r="AI909"/>
  <c r="AB909"/>
  <c r="AH909"/>
  <c r="AQ909"/>
  <c r="AG909"/>
  <c r="AF909"/>
  <c r="AE909"/>
  <c r="AD909"/>
  <c r="AK909"/>
  <c r="AS909"/>
  <c r="AJ909"/>
  <c r="AR909"/>
  <c r="AP909"/>
  <c r="O909"/>
  <c r="Q909"/>
  <c r="AA909"/>
  <c r="AO909"/>
  <c r="P909"/>
  <c r="T909"/>
  <c r="S909"/>
  <c r="AN909"/>
  <c r="AM909"/>
  <c r="R909"/>
  <c r="AI908"/>
  <c r="AB908"/>
  <c r="AH908"/>
  <c r="AQ908"/>
  <c r="AG908"/>
  <c r="AF908"/>
  <c r="AE908"/>
  <c r="AD908"/>
  <c r="AK908"/>
  <c r="AS908"/>
  <c r="AJ908"/>
  <c r="AR908"/>
  <c r="AP908"/>
  <c r="O908"/>
  <c r="Q908"/>
  <c r="AA908"/>
  <c r="AO908"/>
  <c r="P908"/>
  <c r="T908"/>
  <c r="S908"/>
  <c r="AN908"/>
  <c r="AM908"/>
  <c r="R908"/>
  <c r="AI907"/>
  <c r="AB907"/>
  <c r="AH907"/>
  <c r="AQ907"/>
  <c r="AG907"/>
  <c r="AF907"/>
  <c r="AE907"/>
  <c r="AD907"/>
  <c r="AK907"/>
  <c r="AS907"/>
  <c r="AJ907"/>
  <c r="AR907"/>
  <c r="AP907"/>
  <c r="O907"/>
  <c r="Q907"/>
  <c r="AA907"/>
  <c r="AO907"/>
  <c r="P907"/>
  <c r="T907"/>
  <c r="S907"/>
  <c r="AN907"/>
  <c r="AM907"/>
  <c r="R907"/>
  <c r="AI906"/>
  <c r="AB906"/>
  <c r="AH906"/>
  <c r="AQ906"/>
  <c r="AG906"/>
  <c r="AF906"/>
  <c r="AE906"/>
  <c r="AD906"/>
  <c r="AK906"/>
  <c r="AS906"/>
  <c r="AJ906"/>
  <c r="AR906"/>
  <c r="AP906"/>
  <c r="O906"/>
  <c r="Q906"/>
  <c r="AA906"/>
  <c r="AO906"/>
  <c r="P906"/>
  <c r="T906"/>
  <c r="S906"/>
  <c r="AN906"/>
  <c r="AM906"/>
  <c r="R906"/>
  <c r="AI905"/>
  <c r="AB905"/>
  <c r="AH905"/>
  <c r="AQ905"/>
  <c r="AG905"/>
  <c r="AF905"/>
  <c r="AE905"/>
  <c r="AD905"/>
  <c r="AK905"/>
  <c r="AS905"/>
  <c r="AJ905"/>
  <c r="AR905"/>
  <c r="AP905"/>
  <c r="O905"/>
  <c r="Q905"/>
  <c r="AA905"/>
  <c r="AO905"/>
  <c r="P905"/>
  <c r="T905"/>
  <c r="S905"/>
  <c r="AN905"/>
  <c r="AM905"/>
  <c r="R905"/>
  <c r="AI904"/>
  <c r="AB904"/>
  <c r="AH904"/>
  <c r="AQ904"/>
  <c r="AG904"/>
  <c r="AF904"/>
  <c r="AE904"/>
  <c r="AD904"/>
  <c r="AK904"/>
  <c r="AS904"/>
  <c r="AJ904"/>
  <c r="AR904"/>
  <c r="AP904"/>
  <c r="O904"/>
  <c r="Q904"/>
  <c r="AA904"/>
  <c r="AO904"/>
  <c r="P904"/>
  <c r="T904"/>
  <c r="S904"/>
  <c r="AN904"/>
  <c r="AM904"/>
  <c r="R904"/>
  <c r="AI903"/>
  <c r="AB903"/>
  <c r="AH903"/>
  <c r="AQ903"/>
  <c r="AG903"/>
  <c r="AF903"/>
  <c r="AE903"/>
  <c r="AD903"/>
  <c r="AK903"/>
  <c r="AS903"/>
  <c r="AJ903"/>
  <c r="AR903"/>
  <c r="AP903"/>
  <c r="O903"/>
  <c r="Q903"/>
  <c r="AA903"/>
  <c r="AO903"/>
  <c r="P903"/>
  <c r="T903"/>
  <c r="S903"/>
  <c r="AN903"/>
  <c r="AM903"/>
  <c r="R903"/>
  <c r="AI902"/>
  <c r="AB902"/>
  <c r="AH902"/>
  <c r="AQ902"/>
  <c r="AG902"/>
  <c r="AF902"/>
  <c r="AE902"/>
  <c r="AD902"/>
  <c r="AK902"/>
  <c r="AS902"/>
  <c r="AJ902"/>
  <c r="AR902"/>
  <c r="AP902"/>
  <c r="O902"/>
  <c r="Q902"/>
  <c r="AA902"/>
  <c r="AO902"/>
  <c r="P902"/>
  <c r="T902"/>
  <c r="S902"/>
  <c r="AN902"/>
  <c r="AM902"/>
  <c r="R902"/>
  <c r="AI901"/>
  <c r="AB901"/>
  <c r="AH901"/>
  <c r="AQ901"/>
  <c r="AG901"/>
  <c r="AF901"/>
  <c r="AE901"/>
  <c r="AD901"/>
  <c r="AK901"/>
  <c r="AS901"/>
  <c r="AJ901"/>
  <c r="AR901"/>
  <c r="AP901"/>
  <c r="O901"/>
  <c r="Q901"/>
  <c r="AA901"/>
  <c r="AO901"/>
  <c r="P901"/>
  <c r="T901"/>
  <c r="S901"/>
  <c r="AN901"/>
  <c r="AM901"/>
  <c r="R901"/>
  <c r="AI900"/>
  <c r="AB900"/>
  <c r="AH900"/>
  <c r="AQ900"/>
  <c r="AG900"/>
  <c r="AF900"/>
  <c r="AE900"/>
  <c r="AD900"/>
  <c r="AK900"/>
  <c r="AS900"/>
  <c r="AJ900"/>
  <c r="AR900"/>
  <c r="AP900"/>
  <c r="O900"/>
  <c r="Q900"/>
  <c r="AA900"/>
  <c r="AO900"/>
  <c r="P900"/>
  <c r="T900"/>
  <c r="S900"/>
  <c r="AN900"/>
  <c r="AM900"/>
  <c r="R900"/>
  <c r="AI899"/>
  <c r="AB899"/>
  <c r="AH899"/>
  <c r="AQ899"/>
  <c r="AG899"/>
  <c r="AF899"/>
  <c r="AE899"/>
  <c r="AD899"/>
  <c r="AK899"/>
  <c r="AS899"/>
  <c r="AJ899"/>
  <c r="AR899"/>
  <c r="AP899"/>
  <c r="O899"/>
  <c r="Q899"/>
  <c r="AA899"/>
  <c r="AO899"/>
  <c r="P899"/>
  <c r="T899"/>
  <c r="S899"/>
  <c r="AN899"/>
  <c r="AM899"/>
  <c r="R899"/>
  <c r="AI898"/>
  <c r="AB898"/>
  <c r="AH898"/>
  <c r="AQ898"/>
  <c r="AG898"/>
  <c r="AF898"/>
  <c r="AE898"/>
  <c r="AD898"/>
  <c r="AK898"/>
  <c r="AS898"/>
  <c r="AJ898"/>
  <c r="AR898"/>
  <c r="AP898"/>
  <c r="O898"/>
  <c r="Q898"/>
  <c r="AA898"/>
  <c r="AO898"/>
  <c r="P898"/>
  <c r="T898"/>
  <c r="S898"/>
  <c r="AN898"/>
  <c r="AM898"/>
  <c r="R898"/>
  <c r="AI897"/>
  <c r="AB897"/>
  <c r="AH897"/>
  <c r="AQ897"/>
  <c r="AG897"/>
  <c r="AF897"/>
  <c r="AE897"/>
  <c r="AD897"/>
  <c r="AK897"/>
  <c r="AS897"/>
  <c r="AJ897"/>
  <c r="AR897"/>
  <c r="AP897"/>
  <c r="O897"/>
  <c r="Q897"/>
  <c r="AA897"/>
  <c r="AO897"/>
  <c r="P897"/>
  <c r="T897"/>
  <c r="S897"/>
  <c r="AN897"/>
  <c r="AM897"/>
  <c r="R897"/>
  <c r="AI896"/>
  <c r="AB896"/>
  <c r="AH896"/>
  <c r="AQ896"/>
  <c r="AG896"/>
  <c r="AF896"/>
  <c r="AE896"/>
  <c r="AD896"/>
  <c r="AK896"/>
  <c r="AS896"/>
  <c r="AJ896"/>
  <c r="AR896"/>
  <c r="AP896"/>
  <c r="O896"/>
  <c r="Q896"/>
  <c r="AA896"/>
  <c r="AO896"/>
  <c r="P896"/>
  <c r="T896"/>
  <c r="S896"/>
  <c r="AN896"/>
  <c r="AM896"/>
  <c r="R896"/>
  <c r="AI895"/>
  <c r="AB895"/>
  <c r="AH895"/>
  <c r="AQ895"/>
  <c r="AG895"/>
  <c r="AF895"/>
  <c r="AE895"/>
  <c r="AD895"/>
  <c r="AK895"/>
  <c r="AS895"/>
  <c r="AJ895"/>
  <c r="AR895"/>
  <c r="AP895"/>
  <c r="O895"/>
  <c r="Q895"/>
  <c r="AA895"/>
  <c r="AO895"/>
  <c r="P895"/>
  <c r="T895"/>
  <c r="S895"/>
  <c r="AN895"/>
  <c r="AM895"/>
  <c r="R895"/>
  <c r="AI894"/>
  <c r="AB894"/>
  <c r="AH894"/>
  <c r="AQ894"/>
  <c r="AG894"/>
  <c r="AF894"/>
  <c r="AE894"/>
  <c r="AD894"/>
  <c r="AK894"/>
  <c r="AS894"/>
  <c r="AJ894"/>
  <c r="AR894"/>
  <c r="AP894"/>
  <c r="O894"/>
  <c r="Q894"/>
  <c r="AA894"/>
  <c r="AO894"/>
  <c r="P894"/>
  <c r="T894"/>
  <c r="S894"/>
  <c r="AN894"/>
  <c r="AM894"/>
  <c r="R894"/>
  <c r="AI893"/>
  <c r="AB893"/>
  <c r="AH893"/>
  <c r="AQ893"/>
  <c r="AG893"/>
  <c r="AF893"/>
  <c r="AE893"/>
  <c r="AD893"/>
  <c r="AK893"/>
  <c r="AS893"/>
  <c r="AJ893"/>
  <c r="AR893"/>
  <c r="AP893"/>
  <c r="O893"/>
  <c r="Q893"/>
  <c r="AA893"/>
  <c r="AO893"/>
  <c r="P893"/>
  <c r="T893"/>
  <c r="S893"/>
  <c r="AN893"/>
  <c r="AM893"/>
  <c r="R893"/>
  <c r="AI892"/>
  <c r="AB892"/>
  <c r="AH892"/>
  <c r="AQ892"/>
  <c r="AG892"/>
  <c r="AF892"/>
  <c r="AE892"/>
  <c r="AD892"/>
  <c r="AK892"/>
  <c r="AS892"/>
  <c r="AJ892"/>
  <c r="AR892"/>
  <c r="AP892"/>
  <c r="O892"/>
  <c r="Q892"/>
  <c r="AA892"/>
  <c r="AO892"/>
  <c r="P892"/>
  <c r="T892"/>
  <c r="S892"/>
  <c r="AN892"/>
  <c r="AM892"/>
  <c r="R892"/>
  <c r="AI891"/>
  <c r="AB891"/>
  <c r="AH891"/>
  <c r="AQ891"/>
  <c r="AG891"/>
  <c r="AF891"/>
  <c r="AE891"/>
  <c r="AD891"/>
  <c r="AK891"/>
  <c r="AS891"/>
  <c r="AJ891"/>
  <c r="AR891"/>
  <c r="AP891"/>
  <c r="O891"/>
  <c r="Q891"/>
  <c r="AA891"/>
  <c r="AO891"/>
  <c r="P891"/>
  <c r="T891"/>
  <c r="S891"/>
  <c r="AN891"/>
  <c r="AM891"/>
  <c r="R891"/>
  <c r="AI890"/>
  <c r="AB890"/>
  <c r="AH890"/>
  <c r="AQ890"/>
  <c r="AG890"/>
  <c r="AF890"/>
  <c r="AE890"/>
  <c r="AD890"/>
  <c r="AK890"/>
  <c r="AS890"/>
  <c r="AJ890"/>
  <c r="AR890"/>
  <c r="AP890"/>
  <c r="O890"/>
  <c r="Q890"/>
  <c r="AA890"/>
  <c r="AO890"/>
  <c r="P890"/>
  <c r="T890"/>
  <c r="S890"/>
  <c r="AN890"/>
  <c r="AM890"/>
  <c r="R890"/>
  <c r="AI889"/>
  <c r="AB889"/>
  <c r="AH889"/>
  <c r="AQ889"/>
  <c r="AG889"/>
  <c r="AF889"/>
  <c r="AE889"/>
  <c r="AD889"/>
  <c r="AK889"/>
  <c r="AS889"/>
  <c r="AJ889"/>
  <c r="AR889"/>
  <c r="AP889"/>
  <c r="O889"/>
  <c r="Q889"/>
  <c r="AA889"/>
  <c r="AO889"/>
  <c r="P889"/>
  <c r="T889"/>
  <c r="S889"/>
  <c r="AN889"/>
  <c r="AM889"/>
  <c r="R889"/>
  <c r="AI888"/>
  <c r="AB888"/>
  <c r="AH888"/>
  <c r="AQ888"/>
  <c r="AG888"/>
  <c r="AF888"/>
  <c r="AE888"/>
  <c r="AD888"/>
  <c r="AK888"/>
  <c r="AS888"/>
  <c r="AJ888"/>
  <c r="AR888"/>
  <c r="AP888"/>
  <c r="O888"/>
  <c r="Q888"/>
  <c r="AA888"/>
  <c r="AO888"/>
  <c r="P888"/>
  <c r="T888"/>
  <c r="S888"/>
  <c r="AN888"/>
  <c r="AM888"/>
  <c r="R888"/>
  <c r="AI887"/>
  <c r="AB887"/>
  <c r="AH887"/>
  <c r="AQ887"/>
  <c r="AG887"/>
  <c r="AF887"/>
  <c r="AE887"/>
  <c r="AD887"/>
  <c r="AK887"/>
  <c r="AS887"/>
  <c r="AJ887"/>
  <c r="AR887"/>
  <c r="AP887"/>
  <c r="O887"/>
  <c r="Q887"/>
  <c r="AA887"/>
  <c r="AO887"/>
  <c r="P887"/>
  <c r="T887"/>
  <c r="S887"/>
  <c r="AN887"/>
  <c r="AM887"/>
  <c r="R887"/>
  <c r="AI886"/>
  <c r="AB886"/>
  <c r="AH886"/>
  <c r="AQ886"/>
  <c r="AG886"/>
  <c r="AF886"/>
  <c r="AE886"/>
  <c r="AD886"/>
  <c r="AK886"/>
  <c r="AS886"/>
  <c r="AJ886"/>
  <c r="AR886"/>
  <c r="AP886"/>
  <c r="O886"/>
  <c r="Q886"/>
  <c r="AA886"/>
  <c r="AO886"/>
  <c r="P886"/>
  <c r="T886"/>
  <c r="S886"/>
  <c r="AN886"/>
  <c r="AM886"/>
  <c r="R886"/>
  <c r="AI885"/>
  <c r="AB885"/>
  <c r="AH885"/>
  <c r="AQ885"/>
  <c r="AG885"/>
  <c r="AF885"/>
  <c r="AE885"/>
  <c r="AD885"/>
  <c r="AK885"/>
  <c r="AS885"/>
  <c r="AJ885"/>
  <c r="AR885"/>
  <c r="AP885"/>
  <c r="O885"/>
  <c r="Q885"/>
  <c r="AA885"/>
  <c r="AO885"/>
  <c r="P885"/>
  <c r="T885"/>
  <c r="S885"/>
  <c r="AN885"/>
  <c r="AM885"/>
  <c r="R885"/>
  <c r="AI884"/>
  <c r="AB884"/>
  <c r="AH884"/>
  <c r="AQ884"/>
  <c r="AG884"/>
  <c r="AF884"/>
  <c r="AE884"/>
  <c r="AD884"/>
  <c r="AK884"/>
  <c r="AS884"/>
  <c r="AJ884"/>
  <c r="AR884"/>
  <c r="AP884"/>
  <c r="O884"/>
  <c r="Q884"/>
  <c r="AA884"/>
  <c r="AO884"/>
  <c r="P884"/>
  <c r="T884"/>
  <c r="S884"/>
  <c r="AN884"/>
  <c r="AM884"/>
  <c r="R884"/>
  <c r="AI883"/>
  <c r="AB883"/>
  <c r="AH883"/>
  <c r="AQ883"/>
  <c r="AG883"/>
  <c r="AF883"/>
  <c r="AE883"/>
  <c r="AD883"/>
  <c r="AK883"/>
  <c r="AS883"/>
  <c r="AJ883"/>
  <c r="AR883"/>
  <c r="AP883"/>
  <c r="O883"/>
  <c r="Q883"/>
  <c r="AA883"/>
  <c r="AO883"/>
  <c r="P883"/>
  <c r="T883"/>
  <c r="S883"/>
  <c r="AN883"/>
  <c r="AM883"/>
  <c r="R883"/>
  <c r="AI882"/>
  <c r="AB882"/>
  <c r="AH882"/>
  <c r="AQ882"/>
  <c r="AG882"/>
  <c r="AF882"/>
  <c r="AE882"/>
  <c r="AD882"/>
  <c r="AK882"/>
  <c r="AS882"/>
  <c r="AJ882"/>
  <c r="AR882"/>
  <c r="AP882"/>
  <c r="O882"/>
  <c r="Q882"/>
  <c r="AA882"/>
  <c r="AO882"/>
  <c r="P882"/>
  <c r="T882"/>
  <c r="S882"/>
  <c r="AN882"/>
  <c r="AM882"/>
  <c r="R882"/>
  <c r="AI881"/>
  <c r="AB881"/>
  <c r="AH881"/>
  <c r="AQ881"/>
  <c r="AG881"/>
  <c r="AF881"/>
  <c r="AE881"/>
  <c r="AD881"/>
  <c r="AK881"/>
  <c r="AS881"/>
  <c r="AJ881"/>
  <c r="AR881"/>
  <c r="AP881"/>
  <c r="O881"/>
  <c r="Q881"/>
  <c r="AA881"/>
  <c r="AO881"/>
  <c r="P881"/>
  <c r="T881"/>
  <c r="S881"/>
  <c r="AN881"/>
  <c r="AM881"/>
  <c r="R881"/>
  <c r="AI880"/>
  <c r="AB880"/>
  <c r="AH880"/>
  <c r="AQ880"/>
  <c r="AG880"/>
  <c r="AF880"/>
  <c r="AE880"/>
  <c r="AD880"/>
  <c r="AK880"/>
  <c r="AS880"/>
  <c r="AJ880"/>
  <c r="AR880"/>
  <c r="AP880"/>
  <c r="O880"/>
  <c r="Q880"/>
  <c r="AA880"/>
  <c r="AO880"/>
  <c r="P880"/>
  <c r="T880"/>
  <c r="S880"/>
  <c r="AN880"/>
  <c r="AM880"/>
  <c r="R880"/>
  <c r="AI879"/>
  <c r="AB879"/>
  <c r="AH879"/>
  <c r="AQ879"/>
  <c r="AG879"/>
  <c r="AF879"/>
  <c r="AE879"/>
  <c r="AD879"/>
  <c r="AK879"/>
  <c r="AS879"/>
  <c r="AJ879"/>
  <c r="AR879"/>
  <c r="AP879"/>
  <c r="O879"/>
  <c r="Q879"/>
  <c r="AA879"/>
  <c r="AO879"/>
  <c r="P879"/>
  <c r="T879"/>
  <c r="S879"/>
  <c r="AN879"/>
  <c r="AM879"/>
  <c r="R879"/>
  <c r="AI878"/>
  <c r="AB878"/>
  <c r="AH878"/>
  <c r="AQ878"/>
  <c r="AG878"/>
  <c r="AF878"/>
  <c r="AE878"/>
  <c r="AD878"/>
  <c r="AK878"/>
  <c r="AS878"/>
  <c r="AJ878"/>
  <c r="AR878"/>
  <c r="AP878"/>
  <c r="O878"/>
  <c r="Q878"/>
  <c r="AA878"/>
  <c r="AO878"/>
  <c r="P878"/>
  <c r="T878"/>
  <c r="S878"/>
  <c r="AN878"/>
  <c r="AM878"/>
  <c r="R878"/>
  <c r="AI877"/>
  <c r="AB877"/>
  <c r="AH877"/>
  <c r="AQ877"/>
  <c r="AG877"/>
  <c r="AF877"/>
  <c r="AE877"/>
  <c r="AD877"/>
  <c r="AK877"/>
  <c r="AS877"/>
  <c r="AJ877"/>
  <c r="AR877"/>
  <c r="AP877"/>
  <c r="O877"/>
  <c r="Q877"/>
  <c r="AA877"/>
  <c r="AO877"/>
  <c r="P877"/>
  <c r="T877"/>
  <c r="S877"/>
  <c r="AN877"/>
  <c r="AM877"/>
  <c r="R877"/>
  <c r="AI876"/>
  <c r="AB876"/>
  <c r="AH876"/>
  <c r="AQ876"/>
  <c r="AG876"/>
  <c r="AF876"/>
  <c r="AE876"/>
  <c r="AD876"/>
  <c r="AK876"/>
  <c r="AS876"/>
  <c r="AJ876"/>
  <c r="AR876"/>
  <c r="AP876"/>
  <c r="O876"/>
  <c r="Q876"/>
  <c r="AA876"/>
  <c r="AO876"/>
  <c r="P876"/>
  <c r="T876"/>
  <c r="S876"/>
  <c r="AN876"/>
  <c r="AM876"/>
  <c r="R876"/>
  <c r="AI875"/>
  <c r="AB875"/>
  <c r="AH875"/>
  <c r="AQ875"/>
  <c r="AG875"/>
  <c r="AF875"/>
  <c r="AE875"/>
  <c r="AD875"/>
  <c r="AK875"/>
  <c r="AS875"/>
  <c r="AJ875"/>
  <c r="AR875"/>
  <c r="AP875"/>
  <c r="O875"/>
  <c r="Q875"/>
  <c r="AA875"/>
  <c r="AO875"/>
  <c r="P875"/>
  <c r="T875"/>
  <c r="S875"/>
  <c r="AN875"/>
  <c r="AM875"/>
  <c r="R875"/>
  <c r="AI874"/>
  <c r="AB874"/>
  <c r="AH874"/>
  <c r="AQ874"/>
  <c r="AG874"/>
  <c r="AF874"/>
  <c r="AE874"/>
  <c r="AD874"/>
  <c r="AK874"/>
  <c r="AS874"/>
  <c r="AJ874"/>
  <c r="AR874"/>
  <c r="AP874"/>
  <c r="O874"/>
  <c r="Q874"/>
  <c r="AA874"/>
  <c r="AO874"/>
  <c r="P874"/>
  <c r="T874"/>
  <c r="S874"/>
  <c r="AN874"/>
  <c r="AM874"/>
  <c r="R874"/>
  <c r="AI873"/>
  <c r="AB873"/>
  <c r="AH873"/>
  <c r="AQ873"/>
  <c r="AG873"/>
  <c r="AF873"/>
  <c r="AE873"/>
  <c r="AD873"/>
  <c r="AK873"/>
  <c r="AS873"/>
  <c r="AJ873"/>
  <c r="AR873"/>
  <c r="AP873"/>
  <c r="O873"/>
  <c r="Q873"/>
  <c r="AA873"/>
  <c r="AO873"/>
  <c r="P873"/>
  <c r="T873"/>
  <c r="S873"/>
  <c r="AN873"/>
  <c r="AM873"/>
  <c r="R873"/>
  <c r="AI872"/>
  <c r="AB872"/>
  <c r="AH872"/>
  <c r="AQ872"/>
  <c r="AG872"/>
  <c r="AF872"/>
  <c r="AE872"/>
  <c r="AD872"/>
  <c r="AK872"/>
  <c r="AS872"/>
  <c r="AJ872"/>
  <c r="AR872"/>
  <c r="AP872"/>
  <c r="O872"/>
  <c r="Q872"/>
  <c r="AA872"/>
  <c r="AO872"/>
  <c r="P872"/>
  <c r="T872"/>
  <c r="S872"/>
  <c r="AN872"/>
  <c r="AM872"/>
  <c r="R872"/>
  <c r="AI871"/>
  <c r="AB871"/>
  <c r="AH871"/>
  <c r="AQ871"/>
  <c r="AG871"/>
  <c r="AF871"/>
  <c r="AE871"/>
  <c r="AD871"/>
  <c r="AK871"/>
  <c r="AS871"/>
  <c r="AJ871"/>
  <c r="AR871"/>
  <c r="AP871"/>
  <c r="O871"/>
  <c r="Q871"/>
  <c r="AA871"/>
  <c r="AO871"/>
  <c r="P871"/>
  <c r="T871"/>
  <c r="S871"/>
  <c r="AN871"/>
  <c r="AM871"/>
  <c r="R871"/>
  <c r="AI870"/>
  <c r="AB870"/>
  <c r="AH870"/>
  <c r="AQ870"/>
  <c r="AG870"/>
  <c r="AF870"/>
  <c r="AE870"/>
  <c r="AD870"/>
  <c r="AK870"/>
  <c r="AS870"/>
  <c r="AJ870"/>
  <c r="AR870"/>
  <c r="AP870"/>
  <c r="O870"/>
  <c r="Q870"/>
  <c r="AA870"/>
  <c r="AO870"/>
  <c r="P870"/>
  <c r="T870"/>
  <c r="S870"/>
  <c r="AN870"/>
  <c r="AM870"/>
  <c r="R870"/>
  <c r="AI869"/>
  <c r="AB869"/>
  <c r="AH869"/>
  <c r="AQ869"/>
  <c r="AG869"/>
  <c r="AF869"/>
  <c r="AE869"/>
  <c r="AD869"/>
  <c r="AK869"/>
  <c r="AS869"/>
  <c r="AJ869"/>
  <c r="AR869"/>
  <c r="AP869"/>
  <c r="O869"/>
  <c r="Q869"/>
  <c r="AA869"/>
  <c r="AO869"/>
  <c r="P869"/>
  <c r="T869"/>
  <c r="S869"/>
  <c r="AN869"/>
  <c r="AM869"/>
  <c r="R869"/>
  <c r="AI868"/>
  <c r="AB868"/>
  <c r="AH868"/>
  <c r="AQ868"/>
  <c r="AG868"/>
  <c r="AF868"/>
  <c r="AE868"/>
  <c r="AD868"/>
  <c r="AK868"/>
  <c r="AS868"/>
  <c r="AJ868"/>
  <c r="AR868"/>
  <c r="AP868"/>
  <c r="O868"/>
  <c r="Q868"/>
  <c r="AA868"/>
  <c r="AO868"/>
  <c r="P868"/>
  <c r="T868"/>
  <c r="S868"/>
  <c r="AN868"/>
  <c r="AM868"/>
  <c r="R868"/>
  <c r="AI867"/>
  <c r="AB867"/>
  <c r="AH867"/>
  <c r="AQ867"/>
  <c r="AG867"/>
  <c r="AF867"/>
  <c r="AE867"/>
  <c r="AD867"/>
  <c r="AK867"/>
  <c r="AS867"/>
  <c r="AJ867"/>
  <c r="AR867"/>
  <c r="AP867"/>
  <c r="O867"/>
  <c r="Q867"/>
  <c r="AA867"/>
  <c r="AO867"/>
  <c r="P867"/>
  <c r="T867"/>
  <c r="S867"/>
  <c r="AN867"/>
  <c r="AM867"/>
  <c r="R867"/>
  <c r="AI866"/>
  <c r="AB866"/>
  <c r="AH866"/>
  <c r="AQ866"/>
  <c r="AG866"/>
  <c r="AF866"/>
  <c r="AE866"/>
  <c r="AD866"/>
  <c r="AK866"/>
  <c r="AS866"/>
  <c r="AJ866"/>
  <c r="AR866"/>
  <c r="AP866"/>
  <c r="O866"/>
  <c r="Q866"/>
  <c r="AA866"/>
  <c r="AO866"/>
  <c r="P866"/>
  <c r="T866"/>
  <c r="S866"/>
  <c r="AN866"/>
  <c r="AM866"/>
  <c r="R866"/>
  <c r="AI865"/>
  <c r="AB865"/>
  <c r="AH865"/>
  <c r="AQ865"/>
  <c r="AG865"/>
  <c r="AF865"/>
  <c r="AE865"/>
  <c r="AD865"/>
  <c r="AK865"/>
  <c r="AS865"/>
  <c r="AJ865"/>
  <c r="AR865"/>
  <c r="AP865"/>
  <c r="O865"/>
  <c r="Q865"/>
  <c r="AA865"/>
  <c r="AO865"/>
  <c r="P865"/>
  <c r="T865"/>
  <c r="S865"/>
  <c r="AN865"/>
  <c r="AM865"/>
  <c r="R865"/>
  <c r="AI864"/>
  <c r="AB864"/>
  <c r="AH864"/>
  <c r="AQ864"/>
  <c r="AG864"/>
  <c r="AF864"/>
  <c r="AE864"/>
  <c r="AD864"/>
  <c r="AK864"/>
  <c r="AS864"/>
  <c r="AJ864"/>
  <c r="AR864"/>
  <c r="AP864"/>
  <c r="O864"/>
  <c r="Q864"/>
  <c r="AA864"/>
  <c r="AO864"/>
  <c r="P864"/>
  <c r="T864"/>
  <c r="S864"/>
  <c r="AN864"/>
  <c r="AM864"/>
  <c r="R864"/>
  <c r="AI863"/>
  <c r="AB863"/>
  <c r="AH863"/>
  <c r="AQ863"/>
  <c r="AG863"/>
  <c r="AF863"/>
  <c r="AE863"/>
  <c r="AD863"/>
  <c r="AK863"/>
  <c r="AS863"/>
  <c r="AJ863"/>
  <c r="AR863"/>
  <c r="AP863"/>
  <c r="O863"/>
  <c r="Q863"/>
  <c r="AA863"/>
  <c r="AO863"/>
  <c r="P863"/>
  <c r="T863"/>
  <c r="S863"/>
  <c r="AN863"/>
  <c r="AM863"/>
  <c r="R863"/>
  <c r="AI862"/>
  <c r="AB862"/>
  <c r="AH862"/>
  <c r="AQ862"/>
  <c r="AG862"/>
  <c r="AF862"/>
  <c r="AE862"/>
  <c r="AD862"/>
  <c r="AK862"/>
  <c r="AS862"/>
  <c r="AJ862"/>
  <c r="AR862"/>
  <c r="AP862"/>
  <c r="O862"/>
  <c r="Q862"/>
  <c r="AA862"/>
  <c r="AO862"/>
  <c r="P862"/>
  <c r="T862"/>
  <c r="S862"/>
  <c r="AN862"/>
  <c r="AM862"/>
  <c r="R862"/>
  <c r="AI861"/>
  <c r="AB861"/>
  <c r="AH861"/>
  <c r="AQ861"/>
  <c r="AG861"/>
  <c r="AF861"/>
  <c r="AE861"/>
  <c r="AD861"/>
  <c r="AK861"/>
  <c r="AS861"/>
  <c r="AJ861"/>
  <c r="AR861"/>
  <c r="AP861"/>
  <c r="O861"/>
  <c r="Q861"/>
  <c r="AA861"/>
  <c r="AO861"/>
  <c r="P861"/>
  <c r="T861"/>
  <c r="S861"/>
  <c r="AN861"/>
  <c r="AM861"/>
  <c r="R861"/>
  <c r="AI860"/>
  <c r="AB860"/>
  <c r="AH860"/>
  <c r="AQ860"/>
  <c r="AG860"/>
  <c r="AF860"/>
  <c r="AE860"/>
  <c r="AD860"/>
  <c r="AK860"/>
  <c r="AS860"/>
  <c r="AJ860"/>
  <c r="AR860"/>
  <c r="AP860"/>
  <c r="O860"/>
  <c r="Q860"/>
  <c r="AA860"/>
  <c r="AO860"/>
  <c r="P860"/>
  <c r="T860"/>
  <c r="S860"/>
  <c r="AN860"/>
  <c r="AM860"/>
  <c r="R860"/>
  <c r="AI859"/>
  <c r="AB859"/>
  <c r="AH859"/>
  <c r="AQ859"/>
  <c r="AG859"/>
  <c r="AF859"/>
  <c r="AE859"/>
  <c r="AD859"/>
  <c r="AK859"/>
  <c r="AS859"/>
  <c r="AJ859"/>
  <c r="AR859"/>
  <c r="AP859"/>
  <c r="O859"/>
  <c r="Q859"/>
  <c r="AA859"/>
  <c r="AO859"/>
  <c r="P859"/>
  <c r="T859"/>
  <c r="S859"/>
  <c r="AN859"/>
  <c r="AM859"/>
  <c r="R859"/>
  <c r="AI858"/>
  <c r="AB858"/>
  <c r="AH858"/>
  <c r="AQ858"/>
  <c r="AG858"/>
  <c r="AF858"/>
  <c r="AE858"/>
  <c r="AD858"/>
  <c r="AK858"/>
  <c r="AS858"/>
  <c r="AJ858"/>
  <c r="AR858"/>
  <c r="AP858"/>
  <c r="O858"/>
  <c r="Q858"/>
  <c r="AA858"/>
  <c r="AO858"/>
  <c r="P858"/>
  <c r="T858"/>
  <c r="S858"/>
  <c r="AN858"/>
  <c r="AM858"/>
  <c r="R858"/>
  <c r="AI857"/>
  <c r="AB857"/>
  <c r="AH857"/>
  <c r="AQ857"/>
  <c r="AG857"/>
  <c r="AF857"/>
  <c r="AE857"/>
  <c r="AD857"/>
  <c r="AK857"/>
  <c r="AS857"/>
  <c r="AJ857"/>
  <c r="AR857"/>
  <c r="AP857"/>
  <c r="O857"/>
  <c r="Q857"/>
  <c r="AA857"/>
  <c r="AO857"/>
  <c r="P857"/>
  <c r="T857"/>
  <c r="S857"/>
  <c r="AN857"/>
  <c r="AM857"/>
  <c r="R857"/>
  <c r="AI856"/>
  <c r="AB856"/>
  <c r="AH856"/>
  <c r="AQ856"/>
  <c r="AG856"/>
  <c r="AF856"/>
  <c r="AE856"/>
  <c r="AD856"/>
  <c r="AK856"/>
  <c r="AS856"/>
  <c r="AJ856"/>
  <c r="AR856"/>
  <c r="AP856"/>
  <c r="O856"/>
  <c r="Q856"/>
  <c r="AA856"/>
  <c r="AO856"/>
  <c r="P856"/>
  <c r="T856"/>
  <c r="S856"/>
  <c r="AN856"/>
  <c r="AM856"/>
  <c r="R856"/>
  <c r="AI855"/>
  <c r="AB855"/>
  <c r="AH855"/>
  <c r="AQ855"/>
  <c r="AG855"/>
  <c r="AF855"/>
  <c r="AE855"/>
  <c r="AD855"/>
  <c r="AK855"/>
  <c r="AS855"/>
  <c r="AJ855"/>
  <c r="AR855"/>
  <c r="AP855"/>
  <c r="O855"/>
  <c r="Q855"/>
  <c r="AA855"/>
  <c r="AO855"/>
  <c r="P855"/>
  <c r="T855"/>
  <c r="S855"/>
  <c r="AN855"/>
  <c r="AM855"/>
  <c r="R855"/>
  <c r="AI854"/>
  <c r="AB854"/>
  <c r="AH854"/>
  <c r="AQ854"/>
  <c r="AG854"/>
  <c r="AF854"/>
  <c r="AE854"/>
  <c r="AD854"/>
  <c r="AK854"/>
  <c r="AS854"/>
  <c r="AJ854"/>
  <c r="AR854"/>
  <c r="AP854"/>
  <c r="O854"/>
  <c r="Q854"/>
  <c r="AA854"/>
  <c r="AO854"/>
  <c r="P854"/>
  <c r="T854"/>
  <c r="S854"/>
  <c r="AN854"/>
  <c r="AM854"/>
  <c r="R854"/>
  <c r="AI853"/>
  <c r="AB853"/>
  <c r="AH853"/>
  <c r="AQ853"/>
  <c r="AG853"/>
  <c r="AF853"/>
  <c r="AE853"/>
  <c r="AD853"/>
  <c r="AK853"/>
  <c r="AS853"/>
  <c r="AJ853"/>
  <c r="AR853"/>
  <c r="AP853"/>
  <c r="O853"/>
  <c r="Q853"/>
  <c r="AA853"/>
  <c r="AO853"/>
  <c r="P853"/>
  <c r="T853"/>
  <c r="S853"/>
  <c r="AN853"/>
  <c r="AM853"/>
  <c r="R853"/>
  <c r="AI852"/>
  <c r="AB852"/>
  <c r="AH852"/>
  <c r="AQ852"/>
  <c r="AG852"/>
  <c r="AF852"/>
  <c r="AE852"/>
  <c r="AD852"/>
  <c r="AK852"/>
  <c r="AS852"/>
  <c r="AJ852"/>
  <c r="AR852"/>
  <c r="AP852"/>
  <c r="O852"/>
  <c r="Q852"/>
  <c r="AA852"/>
  <c r="AO852"/>
  <c r="P852"/>
  <c r="T852"/>
  <c r="S852"/>
  <c r="AN852"/>
  <c r="AM852"/>
  <c r="R852"/>
  <c r="AI851"/>
  <c r="AB851"/>
  <c r="AH851"/>
  <c r="AQ851"/>
  <c r="AG851"/>
  <c r="AF851"/>
  <c r="AE851"/>
  <c r="AD851"/>
  <c r="AK851"/>
  <c r="AS851"/>
  <c r="AJ851"/>
  <c r="AR851"/>
  <c r="AP851"/>
  <c r="O851"/>
  <c r="Q851"/>
  <c r="AA851"/>
  <c r="AO851"/>
  <c r="P851"/>
  <c r="T851"/>
  <c r="S851"/>
  <c r="AN851"/>
  <c r="AM851"/>
  <c r="R851"/>
  <c r="AI850"/>
  <c r="AB850"/>
  <c r="AH850"/>
  <c r="AQ850"/>
  <c r="AG850"/>
  <c r="AF850"/>
  <c r="AE850"/>
  <c r="AD850"/>
  <c r="AK850"/>
  <c r="AS850"/>
  <c r="AJ850"/>
  <c r="AR850"/>
  <c r="AP850"/>
  <c r="O850"/>
  <c r="Q850"/>
  <c r="AA850"/>
  <c r="AO850"/>
  <c r="P850"/>
  <c r="T850"/>
  <c r="S850"/>
  <c r="AN850"/>
  <c r="AM850"/>
  <c r="R850"/>
  <c r="AI849"/>
  <c r="AB849"/>
  <c r="AH849"/>
  <c r="AQ849"/>
  <c r="AG849"/>
  <c r="AF849"/>
  <c r="AE849"/>
  <c r="AD849"/>
  <c r="AK849"/>
  <c r="AS849"/>
  <c r="AJ849"/>
  <c r="AR849"/>
  <c r="AP849"/>
  <c r="O849"/>
  <c r="Q849"/>
  <c r="AA849"/>
  <c r="AO849"/>
  <c r="P849"/>
  <c r="T849"/>
  <c r="S849"/>
  <c r="AN849"/>
  <c r="AM849"/>
  <c r="R849"/>
  <c r="AI848"/>
  <c r="AB848"/>
  <c r="AH848"/>
  <c r="AQ848"/>
  <c r="AG848"/>
  <c r="AF848"/>
  <c r="AE848"/>
  <c r="AD848"/>
  <c r="AK848"/>
  <c r="AS848"/>
  <c r="AJ848"/>
  <c r="AR848"/>
  <c r="AP848"/>
  <c r="O848"/>
  <c r="Q848"/>
  <c r="AA848"/>
  <c r="AO848"/>
  <c r="P848"/>
  <c r="T848"/>
  <c r="S848"/>
  <c r="AN848"/>
  <c r="AM848"/>
  <c r="R848"/>
  <c r="AI847"/>
  <c r="AB847"/>
  <c r="AH847"/>
  <c r="AQ847"/>
  <c r="AG847"/>
  <c r="AF847"/>
  <c r="AE847"/>
  <c r="AD847"/>
  <c r="AK847"/>
  <c r="AS847"/>
  <c r="AJ847"/>
  <c r="AR847"/>
  <c r="AP847"/>
  <c r="O847"/>
  <c r="Q847"/>
  <c r="AA847"/>
  <c r="AO847"/>
  <c r="P847"/>
  <c r="T847"/>
  <c r="S847"/>
  <c r="AN847"/>
  <c r="AM847"/>
  <c r="R847"/>
  <c r="AI846"/>
  <c r="AB846"/>
  <c r="AH846"/>
  <c r="AQ846"/>
  <c r="AG846"/>
  <c r="AF846"/>
  <c r="AE846"/>
  <c r="AD846"/>
  <c r="AK846"/>
  <c r="AS846"/>
  <c r="AJ846"/>
  <c r="AR846"/>
  <c r="AP846"/>
  <c r="O846"/>
  <c r="Q846"/>
  <c r="AA846"/>
  <c r="AO846"/>
  <c r="P846"/>
  <c r="T846"/>
  <c r="S846"/>
  <c r="AN846"/>
  <c r="AM846"/>
  <c r="R846"/>
  <c r="AI845"/>
  <c r="AB845"/>
  <c r="AH845"/>
  <c r="AQ845"/>
  <c r="AG845"/>
  <c r="AF845"/>
  <c r="AE845"/>
  <c r="AD845"/>
  <c r="AK845"/>
  <c r="AS845"/>
  <c r="AJ845"/>
  <c r="AR845"/>
  <c r="AP845"/>
  <c r="O845"/>
  <c r="Q845"/>
  <c r="AA845"/>
  <c r="AO845"/>
  <c r="P845"/>
  <c r="T845"/>
  <c r="S845"/>
  <c r="AN845"/>
  <c r="AM845"/>
  <c r="R845"/>
  <c r="AI844"/>
  <c r="AB844"/>
  <c r="AH844"/>
  <c r="AQ844"/>
  <c r="AG844"/>
  <c r="AF844"/>
  <c r="AE844"/>
  <c r="AD844"/>
  <c r="AK844"/>
  <c r="AS844"/>
  <c r="AJ844"/>
  <c r="AR844"/>
  <c r="AP844"/>
  <c r="O844"/>
  <c r="Q844"/>
  <c r="AA844"/>
  <c r="AO844"/>
  <c r="P844"/>
  <c r="T844"/>
  <c r="S844"/>
  <c r="AN844"/>
  <c r="AM844"/>
  <c r="R844"/>
  <c r="AI843"/>
  <c r="AB843"/>
  <c r="AH843"/>
  <c r="AQ843"/>
  <c r="AG843"/>
  <c r="AF843"/>
  <c r="AE843"/>
  <c r="AD843"/>
  <c r="AK843"/>
  <c r="AS843"/>
  <c r="AJ843"/>
  <c r="AR843"/>
  <c r="AP843"/>
  <c r="O843"/>
  <c r="Q843"/>
  <c r="AA843"/>
  <c r="AO843"/>
  <c r="P843"/>
  <c r="T843"/>
  <c r="S843"/>
  <c r="AN843"/>
  <c r="AM843"/>
  <c r="R843"/>
  <c r="AI842"/>
  <c r="AB842"/>
  <c r="AH842"/>
  <c r="AQ842"/>
  <c r="AG842"/>
  <c r="AF842"/>
  <c r="AE842"/>
  <c r="AD842"/>
  <c r="AK842"/>
  <c r="AS842"/>
  <c r="AJ842"/>
  <c r="AR842"/>
  <c r="AP842"/>
  <c r="O842"/>
  <c r="Q842"/>
  <c r="AA842"/>
  <c r="AO842"/>
  <c r="P842"/>
  <c r="T842"/>
  <c r="S842"/>
  <c r="AN842"/>
  <c r="AM842"/>
  <c r="R842"/>
  <c r="AI841"/>
  <c r="AB841"/>
  <c r="AH841"/>
  <c r="AQ841"/>
  <c r="AG841"/>
  <c r="AF841"/>
  <c r="AE841"/>
  <c r="AD841"/>
  <c r="AK841"/>
  <c r="AS841"/>
  <c r="AJ841"/>
  <c r="AR841"/>
  <c r="AP841"/>
  <c r="O841"/>
  <c r="Q841"/>
  <c r="AA841"/>
  <c r="AO841"/>
  <c r="P841"/>
  <c r="T841"/>
  <c r="S841"/>
  <c r="AN841"/>
  <c r="AM841"/>
  <c r="R841"/>
  <c r="AI840"/>
  <c r="AB840"/>
  <c r="AH840"/>
  <c r="AQ840"/>
  <c r="AG840"/>
  <c r="AF840"/>
  <c r="AE840"/>
  <c r="AD840"/>
  <c r="AK840"/>
  <c r="AS840"/>
  <c r="AJ840"/>
  <c r="AR840"/>
  <c r="AP840"/>
  <c r="O840"/>
  <c r="Q840"/>
  <c r="AA840"/>
  <c r="AO840"/>
  <c r="P840"/>
  <c r="T840"/>
  <c r="S840"/>
  <c r="AN840"/>
  <c r="AM840"/>
  <c r="R840"/>
  <c r="AI839"/>
  <c r="AB839"/>
  <c r="AH839"/>
  <c r="AQ839"/>
  <c r="AG839"/>
  <c r="AF839"/>
  <c r="AE839"/>
  <c r="AD839"/>
  <c r="AK839"/>
  <c r="AS839"/>
  <c r="AJ839"/>
  <c r="AR839"/>
  <c r="AP839"/>
  <c r="O839"/>
  <c r="Q839"/>
  <c r="AA839"/>
  <c r="AO839"/>
  <c r="P839"/>
  <c r="T839"/>
  <c r="S839"/>
  <c r="AN839"/>
  <c r="AM839"/>
  <c r="R839"/>
  <c r="AI838"/>
  <c r="AB838"/>
  <c r="AH838"/>
  <c r="AQ838"/>
  <c r="AG838"/>
  <c r="AF838"/>
  <c r="AE838"/>
  <c r="AD838"/>
  <c r="AK838"/>
  <c r="AS838"/>
  <c r="AJ838"/>
  <c r="AR838"/>
  <c r="AP838"/>
  <c r="O838"/>
  <c r="Q838"/>
  <c r="AA838"/>
  <c r="AO838"/>
  <c r="P838"/>
  <c r="T838"/>
  <c r="S838"/>
  <c r="AN838"/>
  <c r="AM838"/>
  <c r="R838"/>
  <c r="AI837"/>
  <c r="AB837"/>
  <c r="AH837"/>
  <c r="AQ837"/>
  <c r="AG837"/>
  <c r="AF837"/>
  <c r="AE837"/>
  <c r="AD837"/>
  <c r="AK837"/>
  <c r="AS837"/>
  <c r="AJ837"/>
  <c r="AR837"/>
  <c r="AP837"/>
  <c r="O837"/>
  <c r="Q837"/>
  <c r="AA837"/>
  <c r="AO837"/>
  <c r="P837"/>
  <c r="T837"/>
  <c r="S837"/>
  <c r="AN837"/>
  <c r="AM837"/>
  <c r="R837"/>
  <c r="AI836"/>
  <c r="AB836"/>
  <c r="AH836"/>
  <c r="AQ836"/>
  <c r="AG836"/>
  <c r="AF836"/>
  <c r="AE836"/>
  <c r="AD836"/>
  <c r="AK836"/>
  <c r="AS836"/>
  <c r="AJ836"/>
  <c r="AR836"/>
  <c r="AP836"/>
  <c r="O836"/>
  <c r="Q836"/>
  <c r="AA836"/>
  <c r="AO836"/>
  <c r="P836"/>
  <c r="T836"/>
  <c r="S836"/>
  <c r="AN836"/>
  <c r="AM836"/>
  <c r="R836"/>
  <c r="AI835"/>
  <c r="AB835"/>
  <c r="AH835"/>
  <c r="AQ835"/>
  <c r="AG835"/>
  <c r="AF835"/>
  <c r="AE835"/>
  <c r="AD835"/>
  <c r="AK835"/>
  <c r="AS835"/>
  <c r="AJ835"/>
  <c r="AR835"/>
  <c r="AP835"/>
  <c r="O835"/>
  <c r="Q835"/>
  <c r="AA835"/>
  <c r="AO835"/>
  <c r="P835"/>
  <c r="T835"/>
  <c r="S835"/>
  <c r="AN835"/>
  <c r="AM835"/>
  <c r="R835"/>
  <c r="AI834"/>
  <c r="AB834"/>
  <c r="AH834"/>
  <c r="AQ834"/>
  <c r="AG834"/>
  <c r="AF834"/>
  <c r="AE834"/>
  <c r="AD834"/>
  <c r="AK834"/>
  <c r="AS834"/>
  <c r="AJ834"/>
  <c r="AR834"/>
  <c r="AP834"/>
  <c r="O834"/>
  <c r="Q834"/>
  <c r="AA834"/>
  <c r="AO834"/>
  <c r="P834"/>
  <c r="T834"/>
  <c r="S834"/>
  <c r="AN834"/>
  <c r="AM834"/>
  <c r="R834"/>
  <c r="AI833"/>
  <c r="AB833"/>
  <c r="AH833"/>
  <c r="AQ833"/>
  <c r="AG833"/>
  <c r="AF833"/>
  <c r="AE833"/>
  <c r="AD833"/>
  <c r="AK833"/>
  <c r="AS833"/>
  <c r="AJ833"/>
  <c r="AR833"/>
  <c r="AP833"/>
  <c r="O833"/>
  <c r="Q833"/>
  <c r="AA833"/>
  <c r="AO833"/>
  <c r="P833"/>
  <c r="T833"/>
  <c r="S833"/>
  <c r="AN833"/>
  <c r="AM833"/>
  <c r="R833"/>
  <c r="AI832"/>
  <c r="AB832"/>
  <c r="AH832"/>
  <c r="AQ832"/>
  <c r="AG832"/>
  <c r="AF832"/>
  <c r="AE832"/>
  <c r="AD832"/>
  <c r="AK832"/>
  <c r="AS832"/>
  <c r="AJ832"/>
  <c r="AR832"/>
  <c r="AP832"/>
  <c r="O832"/>
  <c r="Q832"/>
  <c r="AA832"/>
  <c r="AO832"/>
  <c r="P832"/>
  <c r="T832"/>
  <c r="S832"/>
  <c r="AN832"/>
  <c r="AM832"/>
  <c r="R832"/>
  <c r="AI831"/>
  <c r="AB831"/>
  <c r="AH831"/>
  <c r="AQ831"/>
  <c r="AG831"/>
  <c r="AF831"/>
  <c r="AE831"/>
  <c r="AD831"/>
  <c r="AK831"/>
  <c r="AS831"/>
  <c r="AJ831"/>
  <c r="AR831"/>
  <c r="AP831"/>
  <c r="O831"/>
  <c r="Q831"/>
  <c r="AA831"/>
  <c r="AO831"/>
  <c r="P831"/>
  <c r="T831"/>
  <c r="S831"/>
  <c r="AN831"/>
  <c r="AM831"/>
  <c r="R831"/>
  <c r="AI830"/>
  <c r="AB830"/>
  <c r="AH830"/>
  <c r="AQ830"/>
  <c r="AG830"/>
  <c r="AF830"/>
  <c r="AE830"/>
  <c r="AD830"/>
  <c r="AK830"/>
  <c r="AS830"/>
  <c r="AJ830"/>
  <c r="AR830"/>
  <c r="AP830"/>
  <c r="O830"/>
  <c r="Q830"/>
  <c r="AA830"/>
  <c r="AO830"/>
  <c r="P830"/>
  <c r="T830"/>
  <c r="S830"/>
  <c r="AN830"/>
  <c r="AM830"/>
  <c r="R830"/>
  <c r="AI829"/>
  <c r="AB829"/>
  <c r="AH829"/>
  <c r="AQ829"/>
  <c r="AG829"/>
  <c r="AF829"/>
  <c r="AE829"/>
  <c r="AD829"/>
  <c r="AK829"/>
  <c r="AS829"/>
  <c r="AJ829"/>
  <c r="AR829"/>
  <c r="AP829"/>
  <c r="O829"/>
  <c r="Q829"/>
  <c r="AA829"/>
  <c r="AO829"/>
  <c r="P829"/>
  <c r="T829"/>
  <c r="S829"/>
  <c r="AN829"/>
  <c r="AM829"/>
  <c r="R829"/>
  <c r="AI828"/>
  <c r="AB828"/>
  <c r="AH828"/>
  <c r="AQ828"/>
  <c r="AG828"/>
  <c r="AF828"/>
  <c r="AE828"/>
  <c r="AD828"/>
  <c r="AK828"/>
  <c r="AS828"/>
  <c r="AJ828"/>
  <c r="AR828"/>
  <c r="AP828"/>
  <c r="O828"/>
  <c r="Q828"/>
  <c r="AA828"/>
  <c r="AO828"/>
  <c r="P828"/>
  <c r="T828"/>
  <c r="S828"/>
  <c r="AN828"/>
  <c r="AM828"/>
  <c r="R828"/>
  <c r="AI827"/>
  <c r="AB827"/>
  <c r="AH827"/>
  <c r="AQ827"/>
  <c r="AG827"/>
  <c r="AF827"/>
  <c r="AE827"/>
  <c r="AD827"/>
  <c r="AK827"/>
  <c r="AS827"/>
  <c r="AJ827"/>
  <c r="AR827"/>
  <c r="AP827"/>
  <c r="O827"/>
  <c r="Q827"/>
  <c r="AA827"/>
  <c r="AO827"/>
  <c r="P827"/>
  <c r="T827"/>
  <c r="S827"/>
  <c r="AN827"/>
  <c r="AM827"/>
  <c r="R827"/>
  <c r="AI826"/>
  <c r="AB826"/>
  <c r="AH826"/>
  <c r="AQ826"/>
  <c r="AG826"/>
  <c r="AF826"/>
  <c r="AE826"/>
  <c r="AD826"/>
  <c r="AK826"/>
  <c r="AS826"/>
  <c r="AJ826"/>
  <c r="AR826"/>
  <c r="AP826"/>
  <c r="O826"/>
  <c r="Q826"/>
  <c r="AA826"/>
  <c r="AO826"/>
  <c r="P826"/>
  <c r="T826"/>
  <c r="S826"/>
  <c r="AN826"/>
  <c r="AM826"/>
  <c r="R826"/>
  <c r="AI825"/>
  <c r="AB825"/>
  <c r="AH825"/>
  <c r="AQ825"/>
  <c r="AG825"/>
  <c r="AF825"/>
  <c r="AE825"/>
  <c r="AD825"/>
  <c r="AK825"/>
  <c r="AS825"/>
  <c r="AJ825"/>
  <c r="AR825"/>
  <c r="AP825"/>
  <c r="O825"/>
  <c r="Q825"/>
  <c r="AA825"/>
  <c r="AO825"/>
  <c r="P825"/>
  <c r="T825"/>
  <c r="S825"/>
  <c r="AN825"/>
  <c r="AM825"/>
  <c r="R825"/>
  <c r="AI824"/>
  <c r="AB824"/>
  <c r="AH824"/>
  <c r="AQ824"/>
  <c r="AG824"/>
  <c r="AF824"/>
  <c r="AE824"/>
  <c r="AD824"/>
  <c r="AK824"/>
  <c r="AS824"/>
  <c r="AJ824"/>
  <c r="AR824"/>
  <c r="AP824"/>
  <c r="O824"/>
  <c r="Q824"/>
  <c r="AA824"/>
  <c r="AO824"/>
  <c r="P824"/>
  <c r="T824"/>
  <c r="S824"/>
  <c r="AN824"/>
  <c r="AM824"/>
  <c r="R824"/>
  <c r="AI823"/>
  <c r="AB823"/>
  <c r="AH823"/>
  <c r="AQ823"/>
  <c r="AG823"/>
  <c r="AF823"/>
  <c r="AE823"/>
  <c r="AD823"/>
  <c r="AK823"/>
  <c r="AS823"/>
  <c r="AJ823"/>
  <c r="AR823"/>
  <c r="AP823"/>
  <c r="O823"/>
  <c r="Q823"/>
  <c r="AA823"/>
  <c r="AO823"/>
  <c r="P823"/>
  <c r="T823"/>
  <c r="S823"/>
  <c r="AN823"/>
  <c r="AM823"/>
  <c r="R823"/>
  <c r="AI822"/>
  <c r="AB822"/>
  <c r="AH822"/>
  <c r="AQ822"/>
  <c r="AG822"/>
  <c r="AF822"/>
  <c r="AE822"/>
  <c r="AD822"/>
  <c r="AK822"/>
  <c r="AS822"/>
  <c r="AJ822"/>
  <c r="AR822"/>
  <c r="AP822"/>
  <c r="O822"/>
  <c r="Q822"/>
  <c r="AA822"/>
  <c r="AO822"/>
  <c r="P822"/>
  <c r="T822"/>
  <c r="S822"/>
  <c r="AN822"/>
  <c r="AM822"/>
  <c r="R822"/>
  <c r="AI821"/>
  <c r="AB821"/>
  <c r="AH821"/>
  <c r="AQ821"/>
  <c r="AG821"/>
  <c r="AF821"/>
  <c r="AE821"/>
  <c r="AD821"/>
  <c r="AK821"/>
  <c r="AS821"/>
  <c r="AJ821"/>
  <c r="AR821"/>
  <c r="AP821"/>
  <c r="O821"/>
  <c r="Q821"/>
  <c r="AA821"/>
  <c r="AO821"/>
  <c r="P821"/>
  <c r="T821"/>
  <c r="S821"/>
  <c r="AN821"/>
  <c r="AM821"/>
  <c r="R821"/>
  <c r="AI820"/>
  <c r="AB820"/>
  <c r="AH820"/>
  <c r="AQ820"/>
  <c r="AG820"/>
  <c r="AF820"/>
  <c r="AE820"/>
  <c r="AD820"/>
  <c r="AK820"/>
  <c r="AS820"/>
  <c r="AJ820"/>
  <c r="AR820"/>
  <c r="AP820"/>
  <c r="O820"/>
  <c r="Q820"/>
  <c r="AA820"/>
  <c r="AO820"/>
  <c r="P820"/>
  <c r="T820"/>
  <c r="S820"/>
  <c r="AN820"/>
  <c r="AM820"/>
  <c r="R820"/>
  <c r="AI819"/>
  <c r="AB819"/>
  <c r="AH819"/>
  <c r="AQ819"/>
  <c r="AG819"/>
  <c r="AF819"/>
  <c r="AE819"/>
  <c r="AD819"/>
  <c r="AK819"/>
  <c r="AS819"/>
  <c r="AJ819"/>
  <c r="AR819"/>
  <c r="AP819"/>
  <c r="O819"/>
  <c r="Q819"/>
  <c r="AA819"/>
  <c r="AO819"/>
  <c r="P819"/>
  <c r="T819"/>
  <c r="S819"/>
  <c r="AN819"/>
  <c r="AM819"/>
  <c r="R819"/>
  <c r="AI818"/>
  <c r="AB818"/>
  <c r="AH818"/>
  <c r="AQ818"/>
  <c r="AG818"/>
  <c r="AF818"/>
  <c r="AE818"/>
  <c r="AD818"/>
  <c r="AK818"/>
  <c r="AS818"/>
  <c r="AJ818"/>
  <c r="AR818"/>
  <c r="AP818"/>
  <c r="O818"/>
  <c r="Q818"/>
  <c r="AA818"/>
  <c r="AO818"/>
  <c r="P818"/>
  <c r="T818"/>
  <c r="S818"/>
  <c r="AN818"/>
  <c r="AM818"/>
  <c r="R818"/>
  <c r="AI817"/>
  <c r="AB817"/>
  <c r="AH817"/>
  <c r="AQ817"/>
  <c r="AG817"/>
  <c r="AF817"/>
  <c r="AE817"/>
  <c r="AD817"/>
  <c r="AK817"/>
  <c r="AS817"/>
  <c r="AJ817"/>
  <c r="AR817"/>
  <c r="AP817"/>
  <c r="O817"/>
  <c r="Q817"/>
  <c r="AA817"/>
  <c r="AO817"/>
  <c r="P817"/>
  <c r="T817"/>
  <c r="S817"/>
  <c r="AN817"/>
  <c r="AM817"/>
  <c r="R817"/>
  <c r="AI816"/>
  <c r="AB816"/>
  <c r="AH816"/>
  <c r="AQ816"/>
  <c r="AG816"/>
  <c r="AF816"/>
  <c r="AE816"/>
  <c r="AD816"/>
  <c r="AK816"/>
  <c r="AS816"/>
  <c r="AJ816"/>
  <c r="AR816"/>
  <c r="AP816"/>
  <c r="O816"/>
  <c r="Q816"/>
  <c r="AA816"/>
  <c r="AO816"/>
  <c r="P816"/>
  <c r="T816"/>
  <c r="S816"/>
  <c r="AN816"/>
  <c r="AM816"/>
  <c r="R816"/>
  <c r="AI815"/>
  <c r="AB815"/>
  <c r="AH815"/>
  <c r="AQ815"/>
  <c r="AG815"/>
  <c r="AF815"/>
  <c r="AE815"/>
  <c r="AD815"/>
  <c r="AK815"/>
  <c r="AS815"/>
  <c r="AJ815"/>
  <c r="AR815"/>
  <c r="AP815"/>
  <c r="O815"/>
  <c r="Q815"/>
  <c r="AA815"/>
  <c r="AO815"/>
  <c r="P815"/>
  <c r="T815"/>
  <c r="S815"/>
  <c r="AN815"/>
  <c r="AM815"/>
  <c r="R815"/>
  <c r="AI814"/>
  <c r="AB814"/>
  <c r="AH814"/>
  <c r="AQ814"/>
  <c r="AG814"/>
  <c r="AF814"/>
  <c r="AE814"/>
  <c r="AD814"/>
  <c r="AK814"/>
  <c r="AS814"/>
  <c r="AJ814"/>
  <c r="AR814"/>
  <c r="AP814"/>
  <c r="O814"/>
  <c r="Q814"/>
  <c r="AA814"/>
  <c r="AO814"/>
  <c r="P814"/>
  <c r="T814"/>
  <c r="S814"/>
  <c r="AN814"/>
  <c r="AM814"/>
  <c r="R814"/>
  <c r="AI813"/>
  <c r="AB813"/>
  <c r="AH813"/>
  <c r="AQ813"/>
  <c r="AG813"/>
  <c r="AF813"/>
  <c r="AE813"/>
  <c r="AD813"/>
  <c r="AK813"/>
  <c r="AS813"/>
  <c r="AJ813"/>
  <c r="AR813"/>
  <c r="AP813"/>
  <c r="O813"/>
  <c r="Q813"/>
  <c r="AA813"/>
  <c r="AO813"/>
  <c r="P813"/>
  <c r="T813"/>
  <c r="S813"/>
  <c r="AN813"/>
  <c r="AM813"/>
  <c r="R813"/>
  <c r="AI812"/>
  <c r="AB812"/>
  <c r="AH812"/>
  <c r="AQ812"/>
  <c r="AG812"/>
  <c r="AF812"/>
  <c r="AE812"/>
  <c r="AD812"/>
  <c r="AK812"/>
  <c r="AS812"/>
  <c r="AJ812"/>
  <c r="AR812"/>
  <c r="AP812"/>
  <c r="O812"/>
  <c r="Q812"/>
  <c r="AA812"/>
  <c r="AO812"/>
  <c r="P812"/>
  <c r="T812"/>
  <c r="S812"/>
  <c r="AN812"/>
  <c r="AM812"/>
  <c r="R812"/>
  <c r="AI811"/>
  <c r="AB811"/>
  <c r="AH811"/>
  <c r="AQ811"/>
  <c r="AG811"/>
  <c r="AF811"/>
  <c r="AE811"/>
  <c r="AD811"/>
  <c r="AK811"/>
  <c r="AS811"/>
  <c r="AJ811"/>
  <c r="AR811"/>
  <c r="AP811"/>
  <c r="O811"/>
  <c r="Q811"/>
  <c r="AA811"/>
  <c r="AO811"/>
  <c r="P811"/>
  <c r="T811"/>
  <c r="S811"/>
  <c r="AN811"/>
  <c r="AM811"/>
  <c r="R811"/>
  <c r="AI810"/>
  <c r="AB810"/>
  <c r="AH810"/>
  <c r="AQ810"/>
  <c r="AG810"/>
  <c r="AF810"/>
  <c r="AE810"/>
  <c r="AD810"/>
  <c r="AK810"/>
  <c r="AS810"/>
  <c r="AJ810"/>
  <c r="AR810"/>
  <c r="AP810"/>
  <c r="O810"/>
  <c r="Q810"/>
  <c r="AA810"/>
  <c r="AO810"/>
  <c r="P810"/>
  <c r="T810"/>
  <c r="S810"/>
  <c r="AN810"/>
  <c r="AM810"/>
  <c r="R810"/>
  <c r="AI809"/>
  <c r="AB809"/>
  <c r="AH809"/>
  <c r="AQ809"/>
  <c r="AG809"/>
  <c r="AF809"/>
  <c r="AE809"/>
  <c r="AD809"/>
  <c r="AK809"/>
  <c r="AS809"/>
  <c r="AJ809"/>
  <c r="AR809"/>
  <c r="AP809"/>
  <c r="O809"/>
  <c r="Q809"/>
  <c r="AA809"/>
  <c r="AO809"/>
  <c r="P809"/>
  <c r="T809"/>
  <c r="S809"/>
  <c r="AN809"/>
  <c r="AM809"/>
  <c r="R809"/>
  <c r="AI808"/>
  <c r="AB808"/>
  <c r="AH808"/>
  <c r="AQ808"/>
  <c r="AG808"/>
  <c r="AF808"/>
  <c r="AE808"/>
  <c r="AD808"/>
  <c r="AK808"/>
  <c r="AS808"/>
  <c r="AJ808"/>
  <c r="AR808"/>
  <c r="AP808"/>
  <c r="O808"/>
  <c r="Q808"/>
  <c r="AA808"/>
  <c r="AO808"/>
  <c r="P808"/>
  <c r="T808"/>
  <c r="S808"/>
  <c r="AN808"/>
  <c r="AM808"/>
  <c r="R808"/>
  <c r="AI807"/>
  <c r="AB807"/>
  <c r="AH807"/>
  <c r="AQ807"/>
  <c r="AG807"/>
  <c r="AF807"/>
  <c r="AE807"/>
  <c r="AD807"/>
  <c r="AK807"/>
  <c r="AS807"/>
  <c r="AJ807"/>
  <c r="AR807"/>
  <c r="AP807"/>
  <c r="O807"/>
  <c r="Q807"/>
  <c r="AA807"/>
  <c r="AO807"/>
  <c r="P807"/>
  <c r="T807"/>
  <c r="S807"/>
  <c r="AN807"/>
  <c r="AM807"/>
  <c r="R807"/>
  <c r="AI806"/>
  <c r="AB806"/>
  <c r="AH806"/>
  <c r="AQ806"/>
  <c r="AG806"/>
  <c r="AF806"/>
  <c r="AE806"/>
  <c r="AD806"/>
  <c r="AK806"/>
  <c r="AS806"/>
  <c r="AJ806"/>
  <c r="AR806"/>
  <c r="AP806"/>
  <c r="O806"/>
  <c r="Q806"/>
  <c r="AA806"/>
  <c r="AO806"/>
  <c r="P806"/>
  <c r="T806"/>
  <c r="S806"/>
  <c r="AN806"/>
  <c r="AM806"/>
  <c r="R806"/>
  <c r="AI805"/>
  <c r="AB805"/>
  <c r="AH805"/>
  <c r="AQ805"/>
  <c r="AG805"/>
  <c r="AF805"/>
  <c r="AE805"/>
  <c r="AD805"/>
  <c r="AK805"/>
  <c r="AS805"/>
  <c r="AJ805"/>
  <c r="AR805"/>
  <c r="AP805"/>
  <c r="O805"/>
  <c r="Q805"/>
  <c r="AA805"/>
  <c r="AO805"/>
  <c r="P805"/>
  <c r="T805"/>
  <c r="S805"/>
  <c r="AN805"/>
  <c r="AM805"/>
  <c r="R805"/>
  <c r="AI804"/>
  <c r="AB804"/>
  <c r="AH804"/>
  <c r="AQ804"/>
  <c r="AG804"/>
  <c r="AF804"/>
  <c r="AE804"/>
  <c r="AD804"/>
  <c r="AK804"/>
  <c r="AS804"/>
  <c r="AJ804"/>
  <c r="AR804"/>
  <c r="AP804"/>
  <c r="O804"/>
  <c r="Q804"/>
  <c r="AA804"/>
  <c r="AO804"/>
  <c r="P804"/>
  <c r="T804"/>
  <c r="S804"/>
  <c r="AN804"/>
  <c r="AM804"/>
  <c r="R804"/>
  <c r="AI803"/>
  <c r="AB803"/>
  <c r="AH803"/>
  <c r="AQ803"/>
  <c r="AG803"/>
  <c r="AF803"/>
  <c r="AE803"/>
  <c r="AD803"/>
  <c r="AK803"/>
  <c r="AS803"/>
  <c r="AJ803"/>
  <c r="AR803"/>
  <c r="AP803"/>
  <c r="O803"/>
  <c r="Q803"/>
  <c r="AA803"/>
  <c r="AO803"/>
  <c r="P803"/>
  <c r="T803"/>
  <c r="S803"/>
  <c r="AN803"/>
  <c r="AM803"/>
  <c r="R803"/>
  <c r="AI802"/>
  <c r="AB802"/>
  <c r="AH802"/>
  <c r="AQ802"/>
  <c r="AG802"/>
  <c r="AF802"/>
  <c r="AE802"/>
  <c r="AD802"/>
  <c r="AK802"/>
  <c r="AS802"/>
  <c r="AJ802"/>
  <c r="AR802"/>
  <c r="AP802"/>
  <c r="O802"/>
  <c r="Q802"/>
  <c r="AA802"/>
  <c r="AO802"/>
  <c r="P802"/>
  <c r="T802"/>
  <c r="S802"/>
  <c r="AN802"/>
  <c r="AM802"/>
  <c r="R802"/>
  <c r="AI801"/>
  <c r="AB801"/>
  <c r="AH801"/>
  <c r="AQ801"/>
  <c r="AG801"/>
  <c r="AF801"/>
  <c r="AE801"/>
  <c r="AD801"/>
  <c r="AK801"/>
  <c r="AS801"/>
  <c r="AJ801"/>
  <c r="AR801"/>
  <c r="AP801"/>
  <c r="O801"/>
  <c r="Q801"/>
  <c r="AA801"/>
  <c r="AO801"/>
  <c r="P801"/>
  <c r="T801"/>
  <c r="S801"/>
  <c r="AN801"/>
  <c r="AM801"/>
  <c r="R801"/>
  <c r="AI800"/>
  <c r="AB800"/>
  <c r="AH800"/>
  <c r="AQ800"/>
  <c r="AG800"/>
  <c r="AF800"/>
  <c r="AE800"/>
  <c r="AD800"/>
  <c r="AK800"/>
  <c r="AS800"/>
  <c r="AJ800"/>
  <c r="AR800"/>
  <c r="AP800"/>
  <c r="O800"/>
  <c r="Q800"/>
  <c r="AA800"/>
  <c r="AO800"/>
  <c r="P800"/>
  <c r="T800"/>
  <c r="S800"/>
  <c r="AN800"/>
  <c r="AM800"/>
  <c r="R800"/>
  <c r="AI799"/>
  <c r="AB799"/>
  <c r="AH799"/>
  <c r="AQ799"/>
  <c r="AG799"/>
  <c r="AF799"/>
  <c r="AE799"/>
  <c r="AD799"/>
  <c r="AK799"/>
  <c r="AS799"/>
  <c r="AJ799"/>
  <c r="AR799"/>
  <c r="AP799"/>
  <c r="O799"/>
  <c r="Q799"/>
  <c r="AA799"/>
  <c r="AO799"/>
  <c r="P799"/>
  <c r="T799"/>
  <c r="S799"/>
  <c r="AN799"/>
  <c r="AM799"/>
  <c r="R799"/>
  <c r="AI798"/>
  <c r="AB798"/>
  <c r="AH798"/>
  <c r="AQ798"/>
  <c r="AG798"/>
  <c r="AF798"/>
  <c r="AE798"/>
  <c r="AD798"/>
  <c r="AK798"/>
  <c r="AS798"/>
  <c r="AJ798"/>
  <c r="AR798"/>
  <c r="AP798"/>
  <c r="O798"/>
  <c r="Q798"/>
  <c r="AA798"/>
  <c r="AO798"/>
  <c r="P798"/>
  <c r="T798"/>
  <c r="S798"/>
  <c r="AN798"/>
  <c r="AM798"/>
  <c r="R798"/>
  <c r="AI797"/>
  <c r="AB797"/>
  <c r="AH797"/>
  <c r="AQ797"/>
  <c r="AG797"/>
  <c r="AF797"/>
  <c r="AE797"/>
  <c r="AD797"/>
  <c r="AK797"/>
  <c r="AS797"/>
  <c r="AJ797"/>
  <c r="AR797"/>
  <c r="AP797"/>
  <c r="O797"/>
  <c r="Q797"/>
  <c r="AA797"/>
  <c r="AO797"/>
  <c r="P797"/>
  <c r="T797"/>
  <c r="S797"/>
  <c r="AN797"/>
  <c r="AM797"/>
  <c r="R797"/>
  <c r="AI796"/>
  <c r="AB796"/>
  <c r="AH796"/>
  <c r="AQ796"/>
  <c r="AG796"/>
  <c r="AF796"/>
  <c r="AE796"/>
  <c r="AD796"/>
  <c r="AK796"/>
  <c r="AS796"/>
  <c r="AJ796"/>
  <c r="AR796"/>
  <c r="AP796"/>
  <c r="O796"/>
  <c r="Q796"/>
  <c r="AA796"/>
  <c r="AO796"/>
  <c r="P796"/>
  <c r="T796"/>
  <c r="S796"/>
  <c r="AN796"/>
  <c r="AM796"/>
  <c r="R796"/>
  <c r="AI795"/>
  <c r="AB795"/>
  <c r="AH795"/>
  <c r="AQ795"/>
  <c r="AG795"/>
  <c r="AF795"/>
  <c r="AE795"/>
  <c r="AD795"/>
  <c r="AK795"/>
  <c r="AS795"/>
  <c r="AJ795"/>
  <c r="AR795"/>
  <c r="AP795"/>
  <c r="O795"/>
  <c r="Q795"/>
  <c r="AA795"/>
  <c r="AO795"/>
  <c r="P795"/>
  <c r="T795"/>
  <c r="S795"/>
  <c r="AN795"/>
  <c r="AM795"/>
  <c r="R795"/>
  <c r="AI794"/>
  <c r="AB794"/>
  <c r="AH794"/>
  <c r="AQ794"/>
  <c r="AG794"/>
  <c r="AF794"/>
  <c r="AE794"/>
  <c r="AD794"/>
  <c r="AK794"/>
  <c r="AS794"/>
  <c r="AJ794"/>
  <c r="AR794"/>
  <c r="AP794"/>
  <c r="O794"/>
  <c r="Q794"/>
  <c r="AA794"/>
  <c r="AO794"/>
  <c r="P794"/>
  <c r="T794"/>
  <c r="S794"/>
  <c r="AN794"/>
  <c r="AM794"/>
  <c r="R794"/>
  <c r="AI793"/>
  <c r="AB793"/>
  <c r="AH793"/>
  <c r="AQ793"/>
  <c r="AG793"/>
  <c r="AF793"/>
  <c r="AE793"/>
  <c r="AD793"/>
  <c r="AK793"/>
  <c r="AS793"/>
  <c r="AJ793"/>
  <c r="AR793"/>
  <c r="AP793"/>
  <c r="O793"/>
  <c r="Q793"/>
  <c r="AA793"/>
  <c r="AO793"/>
  <c r="P793"/>
  <c r="T793"/>
  <c r="S793"/>
  <c r="AN793"/>
  <c r="AM793"/>
  <c r="R793"/>
  <c r="AI792"/>
  <c r="AB792"/>
  <c r="AH792"/>
  <c r="AQ792"/>
  <c r="AG792"/>
  <c r="AF792"/>
  <c r="AE792"/>
  <c r="AD792"/>
  <c r="AK792"/>
  <c r="AS792"/>
  <c r="AJ792"/>
  <c r="AR792"/>
  <c r="AP792"/>
  <c r="O792"/>
  <c r="Q792"/>
  <c r="AA792"/>
  <c r="AO792"/>
  <c r="P792"/>
  <c r="T792"/>
  <c r="S792"/>
  <c r="AN792"/>
  <c r="AM792"/>
  <c r="R792"/>
  <c r="AI791"/>
  <c r="AB791"/>
  <c r="AH791"/>
  <c r="AQ791"/>
  <c r="AG791"/>
  <c r="AF791"/>
  <c r="AE791"/>
  <c r="AD791"/>
  <c r="AK791"/>
  <c r="AS791"/>
  <c r="AJ791"/>
  <c r="AR791"/>
  <c r="AP791"/>
  <c r="O791"/>
  <c r="Q791"/>
  <c r="AA791"/>
  <c r="AO791"/>
  <c r="P791"/>
  <c r="T791"/>
  <c r="S791"/>
  <c r="AN791"/>
  <c r="AM791"/>
  <c r="R791"/>
  <c r="AI790"/>
  <c r="AB790"/>
  <c r="AH790"/>
  <c r="AQ790"/>
  <c r="AG790"/>
  <c r="AF790"/>
  <c r="AE790"/>
  <c r="AD790"/>
  <c r="AK790"/>
  <c r="AS790"/>
  <c r="AJ790"/>
  <c r="AR790"/>
  <c r="AP790"/>
  <c r="O790"/>
  <c r="Q790"/>
  <c r="AA790"/>
  <c r="AO790"/>
  <c r="P790"/>
  <c r="T790"/>
  <c r="S790"/>
  <c r="AN790"/>
  <c r="AM790"/>
  <c r="R790"/>
  <c r="AI789"/>
  <c r="AB789"/>
  <c r="AH789"/>
  <c r="AQ789"/>
  <c r="AG789"/>
  <c r="AF789"/>
  <c r="AE789"/>
  <c r="AD789"/>
  <c r="AK789"/>
  <c r="AS789"/>
  <c r="AJ789"/>
  <c r="AR789"/>
  <c r="AP789"/>
  <c r="O789"/>
  <c r="Q789"/>
  <c r="AA789"/>
  <c r="AO789"/>
  <c r="P789"/>
  <c r="T789"/>
  <c r="S789"/>
  <c r="AN789"/>
  <c r="AM789"/>
  <c r="R789"/>
  <c r="AI788"/>
  <c r="AB788"/>
  <c r="AH788"/>
  <c r="AQ788"/>
  <c r="AG788"/>
  <c r="AF788"/>
  <c r="AE788"/>
  <c r="AD788"/>
  <c r="AK788"/>
  <c r="AS788"/>
  <c r="AJ788"/>
  <c r="AR788"/>
  <c r="AP788"/>
  <c r="O788"/>
  <c r="Q788"/>
  <c r="AA788"/>
  <c r="AO788"/>
  <c r="P788"/>
  <c r="T788"/>
  <c r="S788"/>
  <c r="AN788"/>
  <c r="AM788"/>
  <c r="R788"/>
  <c r="AI787"/>
  <c r="AB787"/>
  <c r="AH787"/>
  <c r="AQ787"/>
  <c r="AG787"/>
  <c r="AF787"/>
  <c r="AE787"/>
  <c r="AD787"/>
  <c r="AK787"/>
  <c r="AS787"/>
  <c r="AJ787"/>
  <c r="AR787"/>
  <c r="AP787"/>
  <c r="O787"/>
  <c r="Q787"/>
  <c r="AA787"/>
  <c r="AO787"/>
  <c r="P787"/>
  <c r="T787"/>
  <c r="S787"/>
  <c r="AN787"/>
  <c r="AM787"/>
  <c r="R787"/>
  <c r="AI786"/>
  <c r="AB786"/>
  <c r="AH786"/>
  <c r="AQ786"/>
  <c r="AG786"/>
  <c r="AF786"/>
  <c r="AE786"/>
  <c r="AD786"/>
  <c r="AK786"/>
  <c r="AS786"/>
  <c r="AJ786"/>
  <c r="AR786"/>
  <c r="AP786"/>
  <c r="O786"/>
  <c r="Q786"/>
  <c r="AA786"/>
  <c r="AO786"/>
  <c r="P786"/>
  <c r="T786"/>
  <c r="S786"/>
  <c r="AN786"/>
  <c r="AM786"/>
  <c r="R786"/>
  <c r="AI785"/>
  <c r="AB785"/>
  <c r="AH785"/>
  <c r="AQ785"/>
  <c r="AG785"/>
  <c r="AF785"/>
  <c r="AE785"/>
  <c r="AD785"/>
  <c r="AK785"/>
  <c r="AS785"/>
  <c r="AJ785"/>
  <c r="AR785"/>
  <c r="AP785"/>
  <c r="O785"/>
  <c r="Q785"/>
  <c r="AA785"/>
  <c r="AO785"/>
  <c r="P785"/>
  <c r="T785"/>
  <c r="S785"/>
  <c r="AN785"/>
  <c r="AM785"/>
  <c r="R785"/>
  <c r="AI784"/>
  <c r="AB784"/>
  <c r="AH784"/>
  <c r="AQ784"/>
  <c r="AG784"/>
  <c r="AF784"/>
  <c r="AE784"/>
  <c r="AD784"/>
  <c r="AK784"/>
  <c r="AS784"/>
  <c r="AJ784"/>
  <c r="AR784"/>
  <c r="AP784"/>
  <c r="O784"/>
  <c r="Q784"/>
  <c r="AA784"/>
  <c r="AO784"/>
  <c r="P784"/>
  <c r="T784"/>
  <c r="S784"/>
  <c r="AN784"/>
  <c r="AM784"/>
  <c r="R784"/>
  <c r="AI783"/>
  <c r="AB783"/>
  <c r="AH783"/>
  <c r="AQ783"/>
  <c r="AG783"/>
  <c r="AF783"/>
  <c r="AE783"/>
  <c r="AD783"/>
  <c r="AK783"/>
  <c r="AS783"/>
  <c r="AJ783"/>
  <c r="AR783"/>
  <c r="AP783"/>
  <c r="O783"/>
  <c r="Q783"/>
  <c r="AA783"/>
  <c r="AO783"/>
  <c r="P783"/>
  <c r="T783"/>
  <c r="S783"/>
  <c r="AN783"/>
  <c r="AM783"/>
  <c r="R783"/>
  <c r="AI782"/>
  <c r="AB782"/>
  <c r="AH782"/>
  <c r="AQ782"/>
  <c r="AG782"/>
  <c r="AF782"/>
  <c r="AE782"/>
  <c r="AD782"/>
  <c r="AK782"/>
  <c r="AS782"/>
  <c r="AJ782"/>
  <c r="AR782"/>
  <c r="AP782"/>
  <c r="O782"/>
  <c r="Q782"/>
  <c r="AA782"/>
  <c r="AO782"/>
  <c r="P782"/>
  <c r="T782"/>
  <c r="S782"/>
  <c r="AN782"/>
  <c r="AM782"/>
  <c r="R782"/>
  <c r="AI781"/>
  <c r="AB781"/>
  <c r="AH781"/>
  <c r="AQ781"/>
  <c r="AG781"/>
  <c r="AF781"/>
  <c r="AE781"/>
  <c r="AD781"/>
  <c r="AK781"/>
  <c r="AS781"/>
  <c r="AJ781"/>
  <c r="AR781"/>
  <c r="AP781"/>
  <c r="O781"/>
  <c r="Q781"/>
  <c r="AA781"/>
  <c r="AO781"/>
  <c r="P781"/>
  <c r="T781"/>
  <c r="S781"/>
  <c r="AN781"/>
  <c r="AM781"/>
  <c r="R781"/>
  <c r="AI780"/>
  <c r="AB780"/>
  <c r="AH780"/>
  <c r="AQ780"/>
  <c r="AG780"/>
  <c r="AF780"/>
  <c r="AE780"/>
  <c r="AD780"/>
  <c r="AK780"/>
  <c r="AS780"/>
  <c r="AJ780"/>
  <c r="AR780"/>
  <c r="AP780"/>
  <c r="O780"/>
  <c r="Q780"/>
  <c r="AA780"/>
  <c r="AO780"/>
  <c r="P780"/>
  <c r="T780"/>
  <c r="S780"/>
  <c r="AN780"/>
  <c r="AM780"/>
  <c r="R780"/>
  <c r="AI779"/>
  <c r="AB779"/>
  <c r="AH779"/>
  <c r="AQ779"/>
  <c r="AG779"/>
  <c r="AF779"/>
  <c r="AE779"/>
  <c r="AD779"/>
  <c r="AK779"/>
  <c r="AS779"/>
  <c r="AJ779"/>
  <c r="AR779"/>
  <c r="AP779"/>
  <c r="O779"/>
  <c r="Q779"/>
  <c r="AA779"/>
  <c r="AO779"/>
  <c r="P779"/>
  <c r="T779"/>
  <c r="S779"/>
  <c r="AN779"/>
  <c r="AM779"/>
  <c r="R779"/>
  <c r="AI778"/>
  <c r="AB778"/>
  <c r="AH778"/>
  <c r="AQ778"/>
  <c r="AG778"/>
  <c r="AF778"/>
  <c r="AE778"/>
  <c r="AD778"/>
  <c r="AK778"/>
  <c r="AS778"/>
  <c r="AJ778"/>
  <c r="AR778"/>
  <c r="AP778"/>
  <c r="O778"/>
  <c r="Q778"/>
  <c r="AA778"/>
  <c r="AO778"/>
  <c r="P778"/>
  <c r="T778"/>
  <c r="S778"/>
  <c r="AN778"/>
  <c r="AM778"/>
  <c r="R778"/>
  <c r="AI777"/>
  <c r="AB777"/>
  <c r="AH777"/>
  <c r="AQ777"/>
  <c r="AG777"/>
  <c r="AF777"/>
  <c r="AE777"/>
  <c r="AD777"/>
  <c r="AK777"/>
  <c r="AS777"/>
  <c r="AJ777"/>
  <c r="AR777"/>
  <c r="AP777"/>
  <c r="O777"/>
  <c r="Q777"/>
  <c r="AA777"/>
  <c r="AO777"/>
  <c r="P777"/>
  <c r="T777"/>
  <c r="S777"/>
  <c r="AN777"/>
  <c r="AM777"/>
  <c r="R777"/>
  <c r="AI776"/>
  <c r="AB776"/>
  <c r="AH776"/>
  <c r="AQ776"/>
  <c r="AG776"/>
  <c r="AF776"/>
  <c r="AE776"/>
  <c r="AD776"/>
  <c r="AK776"/>
  <c r="AS776"/>
  <c r="AJ776"/>
  <c r="AR776"/>
  <c r="AP776"/>
  <c r="O776"/>
  <c r="Q776"/>
  <c r="AA776"/>
  <c r="AO776"/>
  <c r="P776"/>
  <c r="T776"/>
  <c r="S776"/>
  <c r="AN776"/>
  <c r="AM776"/>
  <c r="R776"/>
  <c r="AI775"/>
  <c r="AB775"/>
  <c r="AH775"/>
  <c r="AQ775"/>
  <c r="AG775"/>
  <c r="AF775"/>
  <c r="AE775"/>
  <c r="AD775"/>
  <c r="AK775"/>
  <c r="AS775"/>
  <c r="AJ775"/>
  <c r="AR775"/>
  <c r="AP775"/>
  <c r="O775"/>
  <c r="Q775"/>
  <c r="AA775"/>
  <c r="AO775"/>
  <c r="P775"/>
  <c r="T775"/>
  <c r="S775"/>
  <c r="AN775"/>
  <c r="AM775"/>
  <c r="R775"/>
  <c r="AI774"/>
  <c r="AB774"/>
  <c r="AH774"/>
  <c r="AQ774"/>
  <c r="AG774"/>
  <c r="AF774"/>
  <c r="AE774"/>
  <c r="AD774"/>
  <c r="AK774"/>
  <c r="AS774"/>
  <c r="AJ774"/>
  <c r="AR774"/>
  <c r="AP774"/>
  <c r="O774"/>
  <c r="Q774"/>
  <c r="AA774"/>
  <c r="AO774"/>
  <c r="P774"/>
  <c r="T774"/>
  <c r="S774"/>
  <c r="AN774"/>
  <c r="AM774"/>
  <c r="R774"/>
  <c r="AI773"/>
  <c r="AB773"/>
  <c r="AH773"/>
  <c r="AQ773"/>
  <c r="AG773"/>
  <c r="AF773"/>
  <c r="AE773"/>
  <c r="AD773"/>
  <c r="AK773"/>
  <c r="AS773"/>
  <c r="AJ773"/>
  <c r="AR773"/>
  <c r="AP773"/>
  <c r="O773"/>
  <c r="Q773"/>
  <c r="AA773"/>
  <c r="AO773"/>
  <c r="P773"/>
  <c r="T773"/>
  <c r="S773"/>
  <c r="AN773"/>
  <c r="AM773"/>
  <c r="R773"/>
  <c r="AI772"/>
  <c r="AB772"/>
  <c r="AH772"/>
  <c r="AQ772"/>
  <c r="AG772"/>
  <c r="AF772"/>
  <c r="AE772"/>
  <c r="AD772"/>
  <c r="AK772"/>
  <c r="AS772"/>
  <c r="AJ772"/>
  <c r="AR772"/>
  <c r="AP772"/>
  <c r="O772"/>
  <c r="Q772"/>
  <c r="AA772"/>
  <c r="AO772"/>
  <c r="P772"/>
  <c r="T772"/>
  <c r="S772"/>
  <c r="AN772"/>
  <c r="AM772"/>
  <c r="R772"/>
  <c r="AI771"/>
  <c r="AB771"/>
  <c r="AH771"/>
  <c r="AQ771"/>
  <c r="AG771"/>
  <c r="AF771"/>
  <c r="AE771"/>
  <c r="AD771"/>
  <c r="AK771"/>
  <c r="AS771"/>
  <c r="AJ771"/>
  <c r="AR771"/>
  <c r="AP771"/>
  <c r="O771"/>
  <c r="Q771"/>
  <c r="AA771"/>
  <c r="AO771"/>
  <c r="P771"/>
  <c r="T771"/>
  <c r="S771"/>
  <c r="AN771"/>
  <c r="AM771"/>
  <c r="R771"/>
  <c r="AI770"/>
  <c r="AB770"/>
  <c r="AH770"/>
  <c r="AQ770"/>
  <c r="AG770"/>
  <c r="AF770"/>
  <c r="AE770"/>
  <c r="AD770"/>
  <c r="AK770"/>
  <c r="AS770"/>
  <c r="AJ770"/>
  <c r="AR770"/>
  <c r="AP770"/>
  <c r="O770"/>
  <c r="Q770"/>
  <c r="AA770"/>
  <c r="AO770"/>
  <c r="P770"/>
  <c r="T770"/>
  <c r="S770"/>
  <c r="AN770"/>
  <c r="AM770"/>
  <c r="R770"/>
  <c r="AI769"/>
  <c r="AB769"/>
  <c r="AH769"/>
  <c r="AQ769"/>
  <c r="AG769"/>
  <c r="AF769"/>
  <c r="AE769"/>
  <c r="AD769"/>
  <c r="AK769"/>
  <c r="AS769"/>
  <c r="AJ769"/>
  <c r="AR769"/>
  <c r="AP769"/>
  <c r="O769"/>
  <c r="Q769"/>
  <c r="AA769"/>
  <c r="AO769"/>
  <c r="P769"/>
  <c r="T769"/>
  <c r="S769"/>
  <c r="AN769"/>
  <c r="AM769"/>
  <c r="R769"/>
  <c r="AI768"/>
  <c r="AB768"/>
  <c r="AH768"/>
  <c r="AQ768"/>
  <c r="AG768"/>
  <c r="AF768"/>
  <c r="AE768"/>
  <c r="AD768"/>
  <c r="AK768"/>
  <c r="AS768"/>
  <c r="AJ768"/>
  <c r="AR768"/>
  <c r="AP768"/>
  <c r="O768"/>
  <c r="Q768"/>
  <c r="AA768"/>
  <c r="AO768"/>
  <c r="P768"/>
  <c r="T768"/>
  <c r="S768"/>
  <c r="AN768"/>
  <c r="AM768"/>
  <c r="R768"/>
  <c r="AI767"/>
  <c r="AB767"/>
  <c r="AH767"/>
  <c r="AQ767"/>
  <c r="AG767"/>
  <c r="AF767"/>
  <c r="AE767"/>
  <c r="AD767"/>
  <c r="AK767"/>
  <c r="AS767"/>
  <c r="AJ767"/>
  <c r="AR767"/>
  <c r="AP767"/>
  <c r="O767"/>
  <c r="Q767"/>
  <c r="AA767"/>
  <c r="AO767"/>
  <c r="P767"/>
  <c r="T767"/>
  <c r="S767"/>
  <c r="AN767"/>
  <c r="AM767"/>
  <c r="R767"/>
  <c r="AI766"/>
  <c r="AB766"/>
  <c r="AH766"/>
  <c r="AQ766"/>
  <c r="AG766"/>
  <c r="AF766"/>
  <c r="AE766"/>
  <c r="AD766"/>
  <c r="AK766"/>
  <c r="AS766"/>
  <c r="AJ766"/>
  <c r="AR766"/>
  <c r="AP766"/>
  <c r="O766"/>
  <c r="Q766"/>
  <c r="AA766"/>
  <c r="AO766"/>
  <c r="P766"/>
  <c r="T766"/>
  <c r="S766"/>
  <c r="AN766"/>
  <c r="AM766"/>
  <c r="R766"/>
  <c r="AI765"/>
  <c r="AB765"/>
  <c r="AH765"/>
  <c r="AQ765"/>
  <c r="AG765"/>
  <c r="AF765"/>
  <c r="AE765"/>
  <c r="AD765"/>
  <c r="AK765"/>
  <c r="AS765"/>
  <c r="AJ765"/>
  <c r="AR765"/>
  <c r="AP765"/>
  <c r="O765"/>
  <c r="Q765"/>
  <c r="AA765"/>
  <c r="AO765"/>
  <c r="P765"/>
  <c r="T765"/>
  <c r="S765"/>
  <c r="AN765"/>
  <c r="AM765"/>
  <c r="R765"/>
  <c r="AI764"/>
  <c r="AB764"/>
  <c r="AH764"/>
  <c r="AQ764"/>
  <c r="AG764"/>
  <c r="AF764"/>
  <c r="AE764"/>
  <c r="AD764"/>
  <c r="AK764"/>
  <c r="AS764"/>
  <c r="AJ764"/>
  <c r="AR764"/>
  <c r="AP764"/>
  <c r="O764"/>
  <c r="Q764"/>
  <c r="AA764"/>
  <c r="AO764"/>
  <c r="P764"/>
  <c r="T764"/>
  <c r="S764"/>
  <c r="AN764"/>
  <c r="AM764"/>
  <c r="R764"/>
  <c r="AI763"/>
  <c r="AB763"/>
  <c r="AH763"/>
  <c r="AQ763"/>
  <c r="AG763"/>
  <c r="AF763"/>
  <c r="AE763"/>
  <c r="AD763"/>
  <c r="AK763"/>
  <c r="AS763"/>
  <c r="AJ763"/>
  <c r="AR763"/>
  <c r="AP763"/>
  <c r="O763"/>
  <c r="Q763"/>
  <c r="AA763"/>
  <c r="AO763"/>
  <c r="P763"/>
  <c r="T763"/>
  <c r="S763"/>
  <c r="AN763"/>
  <c r="AM763"/>
  <c r="R763"/>
  <c r="AI762"/>
  <c r="AB762"/>
  <c r="AH762"/>
  <c r="AQ762"/>
  <c r="AG762"/>
  <c r="AF762"/>
  <c r="AE762"/>
  <c r="AD762"/>
  <c r="AK762"/>
  <c r="AS762"/>
  <c r="AJ762"/>
  <c r="AR762"/>
  <c r="AP762"/>
  <c r="O762"/>
  <c r="Q762"/>
  <c r="AA762"/>
  <c r="AO762"/>
  <c r="P762"/>
  <c r="T762"/>
  <c r="S762"/>
  <c r="AN762"/>
  <c r="AM762"/>
  <c r="R762"/>
  <c r="AI761"/>
  <c r="AB761"/>
  <c r="AH761"/>
  <c r="AQ761"/>
  <c r="AG761"/>
  <c r="AF761"/>
  <c r="AE761"/>
  <c r="AD761"/>
  <c r="AK761"/>
  <c r="AS761"/>
  <c r="AJ761"/>
  <c r="AR761"/>
  <c r="AP761"/>
  <c r="O761"/>
  <c r="Q761"/>
  <c r="AA761"/>
  <c r="AO761"/>
  <c r="P761"/>
  <c r="T761"/>
  <c r="S761"/>
  <c r="AN761"/>
  <c r="AM761"/>
  <c r="R761"/>
  <c r="AI760"/>
  <c r="AB760"/>
  <c r="AH760"/>
  <c r="AQ760"/>
  <c r="AG760"/>
  <c r="AF760"/>
  <c r="AE760"/>
  <c r="AD760"/>
  <c r="AK760"/>
  <c r="AS760"/>
  <c r="AJ760"/>
  <c r="AR760"/>
  <c r="AP760"/>
  <c r="O760"/>
  <c r="Q760"/>
  <c r="AA760"/>
  <c r="AO760"/>
  <c r="P760"/>
  <c r="T760"/>
  <c r="S760"/>
  <c r="AN760"/>
  <c r="AM760"/>
  <c r="R760"/>
  <c r="AI759"/>
  <c r="AB759"/>
  <c r="AH759"/>
  <c r="AQ759"/>
  <c r="AG759"/>
  <c r="AF759"/>
  <c r="AE759"/>
  <c r="AD759"/>
  <c r="AK759"/>
  <c r="AS759"/>
  <c r="AJ759"/>
  <c r="AR759"/>
  <c r="AP759"/>
  <c r="O759"/>
  <c r="Q759"/>
  <c r="AA759"/>
  <c r="AO759"/>
  <c r="P759"/>
  <c r="T759"/>
  <c r="S759"/>
  <c r="AN759"/>
  <c r="AM759"/>
  <c r="R759"/>
  <c r="AI758"/>
  <c r="AB758"/>
  <c r="AH758"/>
  <c r="AQ758"/>
  <c r="AG758"/>
  <c r="AF758"/>
  <c r="AE758"/>
  <c r="AD758"/>
  <c r="AK758"/>
  <c r="AS758"/>
  <c r="AJ758"/>
  <c r="AR758"/>
  <c r="AP758"/>
  <c r="O758"/>
  <c r="Q758"/>
  <c r="AA758"/>
  <c r="AO758"/>
  <c r="P758"/>
  <c r="T758"/>
  <c r="S758"/>
  <c r="AN758"/>
  <c r="AM758"/>
  <c r="R758"/>
  <c r="AI757"/>
  <c r="AB757"/>
  <c r="AH757"/>
  <c r="AQ757"/>
  <c r="AG757"/>
  <c r="AF757"/>
  <c r="AE757"/>
  <c r="AD757"/>
  <c r="AK757"/>
  <c r="AS757"/>
  <c r="AJ757"/>
  <c r="AR757"/>
  <c r="AP757"/>
  <c r="O757"/>
  <c r="Q757"/>
  <c r="AA757"/>
  <c r="AO757"/>
  <c r="P757"/>
  <c r="T757"/>
  <c r="S757"/>
  <c r="AN757"/>
  <c r="AM757"/>
  <c r="R757"/>
  <c r="AI756"/>
  <c r="AB756"/>
  <c r="AH756"/>
  <c r="AQ756"/>
  <c r="AG756"/>
  <c r="AF756"/>
  <c r="AE756"/>
  <c r="AD756"/>
  <c r="AK756"/>
  <c r="AS756"/>
  <c r="AJ756"/>
  <c r="AR756"/>
  <c r="AP756"/>
  <c r="O756"/>
  <c r="Q756"/>
  <c r="AA756"/>
  <c r="AO756"/>
  <c r="P756"/>
  <c r="T756"/>
  <c r="S756"/>
  <c r="AN756"/>
  <c r="AM756"/>
  <c r="R756"/>
  <c r="AI755"/>
  <c r="AB755"/>
  <c r="AH755"/>
  <c r="AQ755"/>
  <c r="AG755"/>
  <c r="AF755"/>
  <c r="AE755"/>
  <c r="AD755"/>
  <c r="AK755"/>
  <c r="AS755"/>
  <c r="AJ755"/>
  <c r="AR755"/>
  <c r="AP755"/>
  <c r="O755"/>
  <c r="Q755"/>
  <c r="AA755"/>
  <c r="AO755"/>
  <c r="P755"/>
  <c r="T755"/>
  <c r="S755"/>
  <c r="AN755"/>
  <c r="AM755"/>
  <c r="R755"/>
  <c r="AI754"/>
  <c r="AB754"/>
  <c r="AH754"/>
  <c r="AQ754"/>
  <c r="AG754"/>
  <c r="AF754"/>
  <c r="AE754"/>
  <c r="AD754"/>
  <c r="AK754"/>
  <c r="AS754"/>
  <c r="AJ754"/>
  <c r="AR754"/>
  <c r="AP754"/>
  <c r="O754"/>
  <c r="Q754"/>
  <c r="AA754"/>
  <c r="AO754"/>
  <c r="P754"/>
  <c r="T754"/>
  <c r="S754"/>
  <c r="AN754"/>
  <c r="AM754"/>
  <c r="R754"/>
  <c r="AI753"/>
  <c r="AB753"/>
  <c r="AH753"/>
  <c r="AQ753"/>
  <c r="AG753"/>
  <c r="AF753"/>
  <c r="AE753"/>
  <c r="AD753"/>
  <c r="AK753"/>
  <c r="AS753"/>
  <c r="AJ753"/>
  <c r="AR753"/>
  <c r="AP753"/>
  <c r="O753"/>
  <c r="Q753"/>
  <c r="AA753"/>
  <c r="AO753"/>
  <c r="P753"/>
  <c r="T753"/>
  <c r="S753"/>
  <c r="AN753"/>
  <c r="AM753"/>
  <c r="R753"/>
  <c r="AI752"/>
  <c r="AB752"/>
  <c r="AH752"/>
  <c r="AQ752"/>
  <c r="AG752"/>
  <c r="AF752"/>
  <c r="AE752"/>
  <c r="AD752"/>
  <c r="AK752"/>
  <c r="AS752"/>
  <c r="AJ752"/>
  <c r="AR752"/>
  <c r="AP752"/>
  <c r="O752"/>
  <c r="Q752"/>
  <c r="AA752"/>
  <c r="AO752"/>
  <c r="P752"/>
  <c r="T752"/>
  <c r="S752"/>
  <c r="AN752"/>
  <c r="AM752"/>
  <c r="R752"/>
  <c r="AI751"/>
  <c r="AB751"/>
  <c r="AH751"/>
  <c r="AQ751"/>
  <c r="AG751"/>
  <c r="AF751"/>
  <c r="AE751"/>
  <c r="AD751"/>
  <c r="AK751"/>
  <c r="AS751"/>
  <c r="AJ751"/>
  <c r="AR751"/>
  <c r="AP751"/>
  <c r="O751"/>
  <c r="Q751"/>
  <c r="AA751"/>
  <c r="AO751"/>
  <c r="P751"/>
  <c r="T751"/>
  <c r="S751"/>
  <c r="AN751"/>
  <c r="AM751"/>
  <c r="R751"/>
  <c r="AI750"/>
  <c r="AB750"/>
  <c r="AH750"/>
  <c r="AQ750"/>
  <c r="AG750"/>
  <c r="AF750"/>
  <c r="AE750"/>
  <c r="AD750"/>
  <c r="AK750"/>
  <c r="AS750"/>
  <c r="AJ750"/>
  <c r="AR750"/>
  <c r="AP750"/>
  <c r="O750"/>
  <c r="Q750"/>
  <c r="AA750"/>
  <c r="AO750"/>
  <c r="P750"/>
  <c r="T750"/>
  <c r="S750"/>
  <c r="AN750"/>
  <c r="AM750"/>
  <c r="R750"/>
  <c r="AI749"/>
  <c r="AB749"/>
  <c r="AH749"/>
  <c r="AQ749"/>
  <c r="AG749"/>
  <c r="AF749"/>
  <c r="AE749"/>
  <c r="AD749"/>
  <c r="AK749"/>
  <c r="AS749"/>
  <c r="AJ749"/>
  <c r="AR749"/>
  <c r="AP749"/>
  <c r="O749"/>
  <c r="Q749"/>
  <c r="AA749"/>
  <c r="AO749"/>
  <c r="P749"/>
  <c r="T749"/>
  <c r="S749"/>
  <c r="AN749"/>
  <c r="AM749"/>
  <c r="R749"/>
  <c r="AI748"/>
  <c r="AB748"/>
  <c r="AH748"/>
  <c r="AQ748"/>
  <c r="AG748"/>
  <c r="AF748"/>
  <c r="AE748"/>
  <c r="AD748"/>
  <c r="AK748"/>
  <c r="AS748"/>
  <c r="AJ748"/>
  <c r="AR748"/>
  <c r="AP748"/>
  <c r="O748"/>
  <c r="Q748"/>
  <c r="AA748"/>
  <c r="AO748"/>
  <c r="P748"/>
  <c r="T748"/>
  <c r="S748"/>
  <c r="AN748"/>
  <c r="AM748"/>
  <c r="R748"/>
  <c r="AI747"/>
  <c r="AB747"/>
  <c r="AH747"/>
  <c r="AQ747"/>
  <c r="AG747"/>
  <c r="AF747"/>
  <c r="AE747"/>
  <c r="AD747"/>
  <c r="AK747"/>
  <c r="AS747"/>
  <c r="AJ747"/>
  <c r="AR747"/>
  <c r="AP747"/>
  <c r="O747"/>
  <c r="Q747"/>
  <c r="AA747"/>
  <c r="AO747"/>
  <c r="P747"/>
  <c r="T747"/>
  <c r="S747"/>
  <c r="AN747"/>
  <c r="AM747"/>
  <c r="R747"/>
  <c r="AI746"/>
  <c r="AB746"/>
  <c r="AH746"/>
  <c r="AQ746"/>
  <c r="AG746"/>
  <c r="AF746"/>
  <c r="AE746"/>
  <c r="AD746"/>
  <c r="AK746"/>
  <c r="AS746"/>
  <c r="AJ746"/>
  <c r="AR746"/>
  <c r="AP746"/>
  <c r="O746"/>
  <c r="Q746"/>
  <c r="AA746"/>
  <c r="AO746"/>
  <c r="P746"/>
  <c r="T746"/>
  <c r="S746"/>
  <c r="AN746"/>
  <c r="AM746"/>
  <c r="R746"/>
  <c r="AI745"/>
  <c r="AB745"/>
  <c r="AH745"/>
  <c r="AQ745"/>
  <c r="AG745"/>
  <c r="AF745"/>
  <c r="AE745"/>
  <c r="AD745"/>
  <c r="AK745"/>
  <c r="AS745"/>
  <c r="AJ745"/>
  <c r="AR745"/>
  <c r="AP745"/>
  <c r="O745"/>
  <c r="Q745"/>
  <c r="AA745"/>
  <c r="AO745"/>
  <c r="P745"/>
  <c r="T745"/>
  <c r="S745"/>
  <c r="AN745"/>
  <c r="AM745"/>
  <c r="R745"/>
  <c r="AI744"/>
  <c r="AB744"/>
  <c r="AH744"/>
  <c r="AQ744"/>
  <c r="AG744"/>
  <c r="AF744"/>
  <c r="AE744"/>
  <c r="AD744"/>
  <c r="AK744"/>
  <c r="AS744"/>
  <c r="AJ744"/>
  <c r="AR744"/>
  <c r="AP744"/>
  <c r="O744"/>
  <c r="Q744"/>
  <c r="AA744"/>
  <c r="AO744"/>
  <c r="P744"/>
  <c r="T744"/>
  <c r="S744"/>
  <c r="AN744"/>
  <c r="AM744"/>
  <c r="R744"/>
  <c r="AI743"/>
  <c r="AB743"/>
  <c r="AH743"/>
  <c r="AQ743"/>
  <c r="AG743"/>
  <c r="AF743"/>
  <c r="AE743"/>
  <c r="AD743"/>
  <c r="AK743"/>
  <c r="AS743"/>
  <c r="AJ743"/>
  <c r="AR743"/>
  <c r="AP743"/>
  <c r="O743"/>
  <c r="Q743"/>
  <c r="AA743"/>
  <c r="AO743"/>
  <c r="P743"/>
  <c r="T743"/>
  <c r="S743"/>
  <c r="AN743"/>
  <c r="AM743"/>
  <c r="R743"/>
  <c r="AI742"/>
  <c r="AB742"/>
  <c r="AH742"/>
  <c r="AQ742"/>
  <c r="AG742"/>
  <c r="AF742"/>
  <c r="AE742"/>
  <c r="AD742"/>
  <c r="AK742"/>
  <c r="AS742"/>
  <c r="AJ742"/>
  <c r="AR742"/>
  <c r="AP742"/>
  <c r="O742"/>
  <c r="Q742"/>
  <c r="AA742"/>
  <c r="AO742"/>
  <c r="P742"/>
  <c r="T742"/>
  <c r="S742"/>
  <c r="AN742"/>
  <c r="AM742"/>
  <c r="R742"/>
  <c r="AI741"/>
  <c r="AB741"/>
  <c r="AH741"/>
  <c r="AQ741"/>
  <c r="AG741"/>
  <c r="AF741"/>
  <c r="AE741"/>
  <c r="AD741"/>
  <c r="AK741"/>
  <c r="AS741"/>
  <c r="AJ741"/>
  <c r="AR741"/>
  <c r="AP741"/>
  <c r="O741"/>
  <c r="Q741"/>
  <c r="AA741"/>
  <c r="AO741"/>
  <c r="P741"/>
  <c r="T741"/>
  <c r="S741"/>
  <c r="AN741"/>
  <c r="AM741"/>
  <c r="R741"/>
  <c r="AI740"/>
  <c r="AB740"/>
  <c r="AH740"/>
  <c r="AQ740"/>
  <c r="AG740"/>
  <c r="AF740"/>
  <c r="AE740"/>
  <c r="AD740"/>
  <c r="AK740"/>
  <c r="AS740"/>
  <c r="AJ740"/>
  <c r="AR740"/>
  <c r="AP740"/>
  <c r="O740"/>
  <c r="Q740"/>
  <c r="AA740"/>
  <c r="AO740"/>
  <c r="P740"/>
  <c r="T740"/>
  <c r="S740"/>
  <c r="AN740"/>
  <c r="AM740"/>
  <c r="R740"/>
  <c r="AI739"/>
  <c r="AB739"/>
  <c r="AH739"/>
  <c r="AQ739"/>
  <c r="AG739"/>
  <c r="AF739"/>
  <c r="AE739"/>
  <c r="AD739"/>
  <c r="AK739"/>
  <c r="AS739"/>
  <c r="AJ739"/>
  <c r="AR739"/>
  <c r="AP739"/>
  <c r="O739"/>
  <c r="Q739"/>
  <c r="AA739"/>
  <c r="AO739"/>
  <c r="P739"/>
  <c r="T739"/>
  <c r="S739"/>
  <c r="AN739"/>
  <c r="AM739"/>
  <c r="R739"/>
  <c r="AI738"/>
  <c r="AB738"/>
  <c r="AH738"/>
  <c r="AQ738"/>
  <c r="AG738"/>
  <c r="AF738"/>
  <c r="AE738"/>
  <c r="AD738"/>
  <c r="AK738"/>
  <c r="AS738"/>
  <c r="AJ738"/>
  <c r="AR738"/>
  <c r="AP738"/>
  <c r="O738"/>
  <c r="Q738"/>
  <c r="AA738"/>
  <c r="AO738"/>
  <c r="P738"/>
  <c r="T738"/>
  <c r="S738"/>
  <c r="AN738"/>
  <c r="AM738"/>
  <c r="R738"/>
  <c r="AI737"/>
  <c r="AB737"/>
  <c r="AH737"/>
  <c r="AQ737"/>
  <c r="AG737"/>
  <c r="AF737"/>
  <c r="AE737"/>
  <c r="AD737"/>
  <c r="AK737"/>
  <c r="AS737"/>
  <c r="AJ737"/>
  <c r="AR737"/>
  <c r="AP737"/>
  <c r="O737"/>
  <c r="Q737"/>
  <c r="AA737"/>
  <c r="AO737"/>
  <c r="P737"/>
  <c r="T737"/>
  <c r="S737"/>
  <c r="AN737"/>
  <c r="AM737"/>
  <c r="R737"/>
  <c r="AI736"/>
  <c r="AB736"/>
  <c r="AH736"/>
  <c r="AQ736"/>
  <c r="AG736"/>
  <c r="AF736"/>
  <c r="AE736"/>
  <c r="AD736"/>
  <c r="AK736"/>
  <c r="AS736"/>
  <c r="AJ736"/>
  <c r="AR736"/>
  <c r="AP736"/>
  <c r="O736"/>
  <c r="Q736"/>
  <c r="AA736"/>
  <c r="AO736"/>
  <c r="P736"/>
  <c r="T736"/>
  <c r="S736"/>
  <c r="AN736"/>
  <c r="AM736"/>
  <c r="R736"/>
  <c r="AI735"/>
  <c r="AB735"/>
  <c r="AH735"/>
  <c r="AQ735"/>
  <c r="AG735"/>
  <c r="AF735"/>
  <c r="AE735"/>
  <c r="AD735"/>
  <c r="AK735"/>
  <c r="AS735"/>
  <c r="AJ735"/>
  <c r="AR735"/>
  <c r="AP735"/>
  <c r="O735"/>
  <c r="Q735"/>
  <c r="AA735"/>
  <c r="AO735"/>
  <c r="P735"/>
  <c r="T735"/>
  <c r="S735"/>
  <c r="AN735"/>
  <c r="AM735"/>
  <c r="R735"/>
  <c r="AI734"/>
  <c r="AB734"/>
  <c r="AH734"/>
  <c r="AQ734"/>
  <c r="AG734"/>
  <c r="AF734"/>
  <c r="AE734"/>
  <c r="AD734"/>
  <c r="AK734"/>
  <c r="AS734"/>
  <c r="AJ734"/>
  <c r="AR734"/>
  <c r="AP734"/>
  <c r="O734"/>
  <c r="Q734"/>
  <c r="AA734"/>
  <c r="AO734"/>
  <c r="P734"/>
  <c r="T734"/>
  <c r="S734"/>
  <c r="AN734"/>
  <c r="AM734"/>
  <c r="R734"/>
  <c r="AI733"/>
  <c r="AB733"/>
  <c r="AH733"/>
  <c r="AQ733"/>
  <c r="AG733"/>
  <c r="AF733"/>
  <c r="AE733"/>
  <c r="AD733"/>
  <c r="AK733"/>
  <c r="AS733"/>
  <c r="AJ733"/>
  <c r="AR733"/>
  <c r="AP733"/>
  <c r="O733"/>
  <c r="Q733"/>
  <c r="AA733"/>
  <c r="AO733"/>
  <c r="P733"/>
  <c r="T733"/>
  <c r="S733"/>
  <c r="AN733"/>
  <c r="AM733"/>
  <c r="R733"/>
  <c r="AI732"/>
  <c r="AB732"/>
  <c r="AH732"/>
  <c r="AQ732"/>
  <c r="AG732"/>
  <c r="AF732"/>
  <c r="AE732"/>
  <c r="AD732"/>
  <c r="AK732"/>
  <c r="AS732"/>
  <c r="AJ732"/>
  <c r="AR732"/>
  <c r="AP732"/>
  <c r="O732"/>
  <c r="Q732"/>
  <c r="AA732"/>
  <c r="AO732"/>
  <c r="P732"/>
  <c r="T732"/>
  <c r="S732"/>
  <c r="AN732"/>
  <c r="AM732"/>
  <c r="R732"/>
  <c r="AI731"/>
  <c r="AB731"/>
  <c r="AH731"/>
  <c r="AQ731"/>
  <c r="AG731"/>
  <c r="AF731"/>
  <c r="AE731"/>
  <c r="AD731"/>
  <c r="AK731"/>
  <c r="AS731"/>
  <c r="AJ731"/>
  <c r="AR731"/>
  <c r="AP731"/>
  <c r="O731"/>
  <c r="Q731"/>
  <c r="AA731"/>
  <c r="AO731"/>
  <c r="P731"/>
  <c r="T731"/>
  <c r="S731"/>
  <c r="AN731"/>
  <c r="AM731"/>
  <c r="R731"/>
  <c r="AI730"/>
  <c r="AB730"/>
  <c r="AH730"/>
  <c r="AQ730"/>
  <c r="AG730"/>
  <c r="AF730"/>
  <c r="AE730"/>
  <c r="AD730"/>
  <c r="AK730"/>
  <c r="AS730"/>
  <c r="AJ730"/>
  <c r="AR730"/>
  <c r="AP730"/>
  <c r="O730"/>
  <c r="Q730"/>
  <c r="AA730"/>
  <c r="AO730"/>
  <c r="P730"/>
  <c r="T730"/>
  <c r="S730"/>
  <c r="AN730"/>
  <c r="AM730"/>
  <c r="R730"/>
  <c r="AI729"/>
  <c r="AB729"/>
  <c r="AH729"/>
  <c r="AQ729"/>
  <c r="AG729"/>
  <c r="AF729"/>
  <c r="AE729"/>
  <c r="AD729"/>
  <c r="AK729"/>
  <c r="AS729"/>
  <c r="AJ729"/>
  <c r="AR729"/>
  <c r="AP729"/>
  <c r="O729"/>
  <c r="Q729"/>
  <c r="AA729"/>
  <c r="AO729"/>
  <c r="P729"/>
  <c r="T729"/>
  <c r="S729"/>
  <c r="AN729"/>
  <c r="AM729"/>
  <c r="R729"/>
  <c r="AI728"/>
  <c r="AB728"/>
  <c r="AH728"/>
  <c r="AQ728"/>
  <c r="AG728"/>
  <c r="AF728"/>
  <c r="AE728"/>
  <c r="AD728"/>
  <c r="AK728"/>
  <c r="AS728"/>
  <c r="AJ728"/>
  <c r="AR728"/>
  <c r="AP728"/>
  <c r="O728"/>
  <c r="Q728"/>
  <c r="AA728"/>
  <c r="AO728"/>
  <c r="P728"/>
  <c r="T728"/>
  <c r="S728"/>
  <c r="AN728"/>
  <c r="AM728"/>
  <c r="R728"/>
  <c r="AI727"/>
  <c r="AB727"/>
  <c r="AH727"/>
  <c r="AQ727"/>
  <c r="AG727"/>
  <c r="AF727"/>
  <c r="AE727"/>
  <c r="AD727"/>
  <c r="AK727"/>
  <c r="AS727"/>
  <c r="AJ727"/>
  <c r="AR727"/>
  <c r="AP727"/>
  <c r="O727"/>
  <c r="Q727"/>
  <c r="AA727"/>
  <c r="AO727"/>
  <c r="P727"/>
  <c r="T727"/>
  <c r="S727"/>
  <c r="AN727"/>
  <c r="AM727"/>
  <c r="R727"/>
  <c r="AI726"/>
  <c r="AB726"/>
  <c r="AH726"/>
  <c r="AQ726"/>
  <c r="AG726"/>
  <c r="AF726"/>
  <c r="AE726"/>
  <c r="AD726"/>
  <c r="AK726"/>
  <c r="AS726"/>
  <c r="AJ726"/>
  <c r="AR726"/>
  <c r="AP726"/>
  <c r="O726"/>
  <c r="Q726"/>
  <c r="AA726"/>
  <c r="AO726"/>
  <c r="P726"/>
  <c r="T726"/>
  <c r="S726"/>
  <c r="AN726"/>
  <c r="AM726"/>
  <c r="R726"/>
  <c r="AI725"/>
  <c r="AB725"/>
  <c r="AH725"/>
  <c r="AQ725"/>
  <c r="AG725"/>
  <c r="AF725"/>
  <c r="AE725"/>
  <c r="AD725"/>
  <c r="AK725"/>
  <c r="AS725"/>
  <c r="AJ725"/>
  <c r="AR725"/>
  <c r="AP725"/>
  <c r="O725"/>
  <c r="Q725"/>
  <c r="AA725"/>
  <c r="AO725"/>
  <c r="P725"/>
  <c r="T725"/>
  <c r="S725"/>
  <c r="AN725"/>
  <c r="AM725"/>
  <c r="R725"/>
  <c r="AI724"/>
  <c r="AB724"/>
  <c r="AH724"/>
  <c r="AQ724"/>
  <c r="AG724"/>
  <c r="AF724"/>
  <c r="AE724"/>
  <c r="AD724"/>
  <c r="AK724"/>
  <c r="AS724"/>
  <c r="AJ724"/>
  <c r="AR724"/>
  <c r="AP724"/>
  <c r="O724"/>
  <c r="Q724"/>
  <c r="AA724"/>
  <c r="AO724"/>
  <c r="P724"/>
  <c r="T724"/>
  <c r="S724"/>
  <c r="AN724"/>
  <c r="AM724"/>
  <c r="R724"/>
  <c r="AI723"/>
  <c r="AB723"/>
  <c r="AH723"/>
  <c r="AQ723"/>
  <c r="AG723"/>
  <c r="AF723"/>
  <c r="AE723"/>
  <c r="AD723"/>
  <c r="AK723"/>
  <c r="AS723"/>
  <c r="AJ723"/>
  <c r="AR723"/>
  <c r="AP723"/>
  <c r="O723"/>
  <c r="Q723"/>
  <c r="AA723"/>
  <c r="AO723"/>
  <c r="P723"/>
  <c r="T723"/>
  <c r="S723"/>
  <c r="AN723"/>
  <c r="AM723"/>
  <c r="R723"/>
  <c r="AI722"/>
  <c r="AB722"/>
  <c r="AH722"/>
  <c r="AQ722"/>
  <c r="AG722"/>
  <c r="AF722"/>
  <c r="AE722"/>
  <c r="AD722"/>
  <c r="AK722"/>
  <c r="AS722"/>
  <c r="AJ722"/>
  <c r="AR722"/>
  <c r="AP722"/>
  <c r="O722"/>
  <c r="Q722"/>
  <c r="AA722"/>
  <c r="AO722"/>
  <c r="P722"/>
  <c r="T722"/>
  <c r="S722"/>
  <c r="AN722"/>
  <c r="AM722"/>
  <c r="R722"/>
  <c r="AI721"/>
  <c r="AB721"/>
  <c r="AH721"/>
  <c r="AQ721"/>
  <c r="AG721"/>
  <c r="AF721"/>
  <c r="AE721"/>
  <c r="AD721"/>
  <c r="AK721"/>
  <c r="AS721"/>
  <c r="AJ721"/>
  <c r="AR721"/>
  <c r="AP721"/>
  <c r="O721"/>
  <c r="Q721"/>
  <c r="AA721"/>
  <c r="AO721"/>
  <c r="P721"/>
  <c r="T721"/>
  <c r="S721"/>
  <c r="AN721"/>
  <c r="AM721"/>
  <c r="R721"/>
  <c r="AI720"/>
  <c r="AB720"/>
  <c r="AH720"/>
  <c r="AQ720"/>
  <c r="AG720"/>
  <c r="AF720"/>
  <c r="AE720"/>
  <c r="AD720"/>
  <c r="AK720"/>
  <c r="AS720"/>
  <c r="AJ720"/>
  <c r="AR720"/>
  <c r="AP720"/>
  <c r="O720"/>
  <c r="Q720"/>
  <c r="AA720"/>
  <c r="AO720"/>
  <c r="P720"/>
  <c r="T720"/>
  <c r="S720"/>
  <c r="AN720"/>
  <c r="AM720"/>
  <c r="R720"/>
  <c r="AI719"/>
  <c r="AB719"/>
  <c r="AH719"/>
  <c r="AQ719"/>
  <c r="AG719"/>
  <c r="AF719"/>
  <c r="AE719"/>
  <c r="AD719"/>
  <c r="AK719"/>
  <c r="AS719"/>
  <c r="AJ719"/>
  <c r="AR719"/>
  <c r="AP719"/>
  <c r="O719"/>
  <c r="Q719"/>
  <c r="AA719"/>
  <c r="AO719"/>
  <c r="P719"/>
  <c r="T719"/>
  <c r="S719"/>
  <c r="AN719"/>
  <c r="AM719"/>
  <c r="R719"/>
  <c r="AI718"/>
  <c r="AB718"/>
  <c r="AH718"/>
  <c r="AQ718"/>
  <c r="AG718"/>
  <c r="AF718"/>
  <c r="AE718"/>
  <c r="AD718"/>
  <c r="AK718"/>
  <c r="AS718"/>
  <c r="AJ718"/>
  <c r="AR718"/>
  <c r="AP718"/>
  <c r="O718"/>
  <c r="Q718"/>
  <c r="AA718"/>
  <c r="AO718"/>
  <c r="P718"/>
  <c r="T718"/>
  <c r="S718"/>
  <c r="AN718"/>
  <c r="AM718"/>
  <c r="R718"/>
  <c r="AI717"/>
  <c r="AB717"/>
  <c r="AH717"/>
  <c r="AQ717"/>
  <c r="AG717"/>
  <c r="AF717"/>
  <c r="AE717"/>
  <c r="AD717"/>
  <c r="AK717"/>
  <c r="AS717"/>
  <c r="AJ717"/>
  <c r="AR717"/>
  <c r="AP717"/>
  <c r="O717"/>
  <c r="Q717"/>
  <c r="AA717"/>
  <c r="AO717"/>
  <c r="P717"/>
  <c r="T717"/>
  <c r="S717"/>
  <c r="AN717"/>
  <c r="AM717"/>
  <c r="R717"/>
  <c r="AI716"/>
  <c r="AB716"/>
  <c r="AH716"/>
  <c r="AQ716"/>
  <c r="AG716"/>
  <c r="AF716"/>
  <c r="AE716"/>
  <c r="AD716"/>
  <c r="AK716"/>
  <c r="AS716"/>
  <c r="AJ716"/>
  <c r="AR716"/>
  <c r="AP716"/>
  <c r="O716"/>
  <c r="Q716"/>
  <c r="AA716"/>
  <c r="AO716"/>
  <c r="P716"/>
  <c r="T716"/>
  <c r="S716"/>
  <c r="AN716"/>
  <c r="AM716"/>
  <c r="R716"/>
  <c r="AI715"/>
  <c r="AB715"/>
  <c r="AH715"/>
  <c r="AQ715"/>
  <c r="AG715"/>
  <c r="AF715"/>
  <c r="AE715"/>
  <c r="AD715"/>
  <c r="AK715"/>
  <c r="AS715"/>
  <c r="AJ715"/>
  <c r="AR715"/>
  <c r="AP715"/>
  <c r="O715"/>
  <c r="Q715"/>
  <c r="AA715"/>
  <c r="AO715"/>
  <c r="P715"/>
  <c r="T715"/>
  <c r="S715"/>
  <c r="AN715"/>
  <c r="AM715"/>
  <c r="R715"/>
  <c r="AI714"/>
  <c r="AB714"/>
  <c r="AH714"/>
  <c r="AQ714"/>
  <c r="AG714"/>
  <c r="AF714"/>
  <c r="AE714"/>
  <c r="AD714"/>
  <c r="AK714"/>
  <c r="AS714"/>
  <c r="AJ714"/>
  <c r="AR714"/>
  <c r="AP714"/>
  <c r="O714"/>
  <c r="Q714"/>
  <c r="AA714"/>
  <c r="AO714"/>
  <c r="P714"/>
  <c r="T714"/>
  <c r="S714"/>
  <c r="AN714"/>
  <c r="AM714"/>
  <c r="R714"/>
  <c r="AI713"/>
  <c r="AB713"/>
  <c r="AH713"/>
  <c r="AQ713"/>
  <c r="AG713"/>
  <c r="AF713"/>
  <c r="AE713"/>
  <c r="AD713"/>
  <c r="AK713"/>
  <c r="AS713"/>
  <c r="AJ713"/>
  <c r="AR713"/>
  <c r="AP713"/>
  <c r="O713"/>
  <c r="Q713"/>
  <c r="AA713"/>
  <c r="AO713"/>
  <c r="P713"/>
  <c r="T713"/>
  <c r="S713"/>
  <c r="AN713"/>
  <c r="AM713"/>
  <c r="R713"/>
  <c r="AI712"/>
  <c r="AB712"/>
  <c r="AH712"/>
  <c r="AQ712"/>
  <c r="AG712"/>
  <c r="AF712"/>
  <c r="AE712"/>
  <c r="AD712"/>
  <c r="AK712"/>
  <c r="AS712"/>
  <c r="AJ712"/>
  <c r="AR712"/>
  <c r="AP712"/>
  <c r="O712"/>
  <c r="Q712"/>
  <c r="AA712"/>
  <c r="AO712"/>
  <c r="P712"/>
  <c r="T712"/>
  <c r="S712"/>
  <c r="AN712"/>
  <c r="AM712"/>
  <c r="R712"/>
  <c r="AI711"/>
  <c r="AB711"/>
  <c r="AH711"/>
  <c r="AQ711"/>
  <c r="AG711"/>
  <c r="AF711"/>
  <c r="AE711"/>
  <c r="AD711"/>
  <c r="AK711"/>
  <c r="AS711"/>
  <c r="AJ711"/>
  <c r="AR711"/>
  <c r="AP711"/>
  <c r="O711"/>
  <c r="Q711"/>
  <c r="AA711"/>
  <c r="AO711"/>
  <c r="P711"/>
  <c r="T711"/>
  <c r="S711"/>
  <c r="AN711"/>
  <c r="AM711"/>
  <c r="R711"/>
  <c r="AI710"/>
  <c r="AB710"/>
  <c r="AH710"/>
  <c r="AQ710"/>
  <c r="AG710"/>
  <c r="AF710"/>
  <c r="AE710"/>
  <c r="AD710"/>
  <c r="AK710"/>
  <c r="AS710"/>
  <c r="AJ710"/>
  <c r="AR710"/>
  <c r="AP710"/>
  <c r="O710"/>
  <c r="Q710"/>
  <c r="AA710"/>
  <c r="AO710"/>
  <c r="P710"/>
  <c r="T710"/>
  <c r="S710"/>
  <c r="AN710"/>
  <c r="AM710"/>
  <c r="R710"/>
  <c r="AI709"/>
  <c r="AB709"/>
  <c r="AH709"/>
  <c r="AQ709"/>
  <c r="AG709"/>
  <c r="AF709"/>
  <c r="AE709"/>
  <c r="AD709"/>
  <c r="AK709"/>
  <c r="AS709"/>
  <c r="AJ709"/>
  <c r="AR709"/>
  <c r="AP709"/>
  <c r="O709"/>
  <c r="Q709"/>
  <c r="AA709"/>
  <c r="AO709"/>
  <c r="P709"/>
  <c r="T709"/>
  <c r="S709"/>
  <c r="AN709"/>
  <c r="AM709"/>
  <c r="R709"/>
  <c r="AI708"/>
  <c r="AB708"/>
  <c r="AH708"/>
  <c r="AQ708"/>
  <c r="AG708"/>
  <c r="AF708"/>
  <c r="AE708"/>
  <c r="AD708"/>
  <c r="AK708"/>
  <c r="AS708"/>
  <c r="AJ708"/>
  <c r="AR708"/>
  <c r="AP708"/>
  <c r="O708"/>
  <c r="Q708"/>
  <c r="AA708"/>
  <c r="AO708"/>
  <c r="P708"/>
  <c r="T708"/>
  <c r="S708"/>
  <c r="AN708"/>
  <c r="AM708"/>
  <c r="R708"/>
  <c r="AI707"/>
  <c r="AB707"/>
  <c r="AH707"/>
  <c r="AQ707"/>
  <c r="AG707"/>
  <c r="AF707"/>
  <c r="AE707"/>
  <c r="AD707"/>
  <c r="AK707"/>
  <c r="AS707"/>
  <c r="AJ707"/>
  <c r="AR707"/>
  <c r="AP707"/>
  <c r="O707"/>
  <c r="Q707"/>
  <c r="AA707"/>
  <c r="AO707"/>
  <c r="P707"/>
  <c r="T707"/>
  <c r="S707"/>
  <c r="AN707"/>
  <c r="AM707"/>
  <c r="R707"/>
  <c r="AI706"/>
  <c r="AB706"/>
  <c r="AH706"/>
  <c r="AQ706"/>
  <c r="AG706"/>
  <c r="AF706"/>
  <c r="AE706"/>
  <c r="AD706"/>
  <c r="AK706"/>
  <c r="AS706"/>
  <c r="AJ706"/>
  <c r="AR706"/>
  <c r="AP706"/>
  <c r="O706"/>
  <c r="Q706"/>
  <c r="AA706"/>
  <c r="AO706"/>
  <c r="P706"/>
  <c r="T706"/>
  <c r="S706"/>
  <c r="AN706"/>
  <c r="AM706"/>
  <c r="R706"/>
  <c r="AI705"/>
  <c r="AB705"/>
  <c r="AH705"/>
  <c r="AQ705"/>
  <c r="AG705"/>
  <c r="AF705"/>
  <c r="AE705"/>
  <c r="AD705"/>
  <c r="AK705"/>
  <c r="AS705"/>
  <c r="AJ705"/>
  <c r="AR705"/>
  <c r="AP705"/>
  <c r="O705"/>
  <c r="Q705"/>
  <c r="AA705"/>
  <c r="AO705"/>
  <c r="P705"/>
  <c r="T705"/>
  <c r="S705"/>
  <c r="AN705"/>
  <c r="AM705"/>
  <c r="R705"/>
  <c r="AI704"/>
  <c r="AB704"/>
  <c r="AH704"/>
  <c r="AQ704"/>
  <c r="AG704"/>
  <c r="AF704"/>
  <c r="AE704"/>
  <c r="AD704"/>
  <c r="AK704"/>
  <c r="AS704"/>
  <c r="AJ704"/>
  <c r="AR704"/>
  <c r="AP704"/>
  <c r="O704"/>
  <c r="Q704"/>
  <c r="AA704"/>
  <c r="AO704"/>
  <c r="P704"/>
  <c r="T704"/>
  <c r="S704"/>
  <c r="AN704"/>
  <c r="AM704"/>
  <c r="R704"/>
  <c r="AI703"/>
  <c r="AB703"/>
  <c r="AH703"/>
  <c r="AQ703"/>
  <c r="AG703"/>
  <c r="AF703"/>
  <c r="AE703"/>
  <c r="AD703"/>
  <c r="AK703"/>
  <c r="AS703"/>
  <c r="AJ703"/>
  <c r="AR703"/>
  <c r="AP703"/>
  <c r="O703"/>
  <c r="Q703"/>
  <c r="AA703"/>
  <c r="AO703"/>
  <c r="P703"/>
  <c r="T703"/>
  <c r="S703"/>
  <c r="AN703"/>
  <c r="AM703"/>
  <c r="R703"/>
  <c r="AI702"/>
  <c r="AB702"/>
  <c r="AH702"/>
  <c r="AQ702"/>
  <c r="AG702"/>
  <c r="AF702"/>
  <c r="AE702"/>
  <c r="AD702"/>
  <c r="AK702"/>
  <c r="AS702"/>
  <c r="AJ702"/>
  <c r="AR702"/>
  <c r="AP702"/>
  <c r="O702"/>
  <c r="Q702"/>
  <c r="AA702"/>
  <c r="AO702"/>
  <c r="P702"/>
  <c r="T702"/>
  <c r="S702"/>
  <c r="AN702"/>
  <c r="AM702"/>
  <c r="R702"/>
  <c r="AI701"/>
  <c r="AB701"/>
  <c r="AH701"/>
  <c r="AQ701"/>
  <c r="AG701"/>
  <c r="AF701"/>
  <c r="AE701"/>
  <c r="AD701"/>
  <c r="AK701"/>
  <c r="AS701"/>
  <c r="AJ701"/>
  <c r="AR701"/>
  <c r="AP701"/>
  <c r="O701"/>
  <c r="Q701"/>
  <c r="AA701"/>
  <c r="AO701"/>
  <c r="P701"/>
  <c r="T701"/>
  <c r="S701"/>
  <c r="AN701"/>
  <c r="AM701"/>
  <c r="R701"/>
  <c r="AI700"/>
  <c r="AB700"/>
  <c r="AH700"/>
  <c r="AQ700"/>
  <c r="AG700"/>
  <c r="AF700"/>
  <c r="AE700"/>
  <c r="AD700"/>
  <c r="AK700"/>
  <c r="AS700"/>
  <c r="AJ700"/>
  <c r="AR700"/>
  <c r="AP700"/>
  <c r="O700"/>
  <c r="Q700"/>
  <c r="AA700"/>
  <c r="AO700"/>
  <c r="P700"/>
  <c r="T700"/>
  <c r="S700"/>
  <c r="AN700"/>
  <c r="AM700"/>
  <c r="R700"/>
  <c r="AI699"/>
  <c r="AB699"/>
  <c r="AH699"/>
  <c r="AQ699"/>
  <c r="AG699"/>
  <c r="AF699"/>
  <c r="AE699"/>
  <c r="AD699"/>
  <c r="AK699"/>
  <c r="AS699"/>
  <c r="AJ699"/>
  <c r="AR699"/>
  <c r="AP699"/>
  <c r="O699"/>
  <c r="Q699"/>
  <c r="AA699"/>
  <c r="AO699"/>
  <c r="P699"/>
  <c r="T699"/>
  <c r="S699"/>
  <c r="AN699"/>
  <c r="AM699"/>
  <c r="R699"/>
  <c r="AI698"/>
  <c r="AB698"/>
  <c r="AH698"/>
  <c r="AQ698"/>
  <c r="AG698"/>
  <c r="AF698"/>
  <c r="AE698"/>
  <c r="AD698"/>
  <c r="AK698"/>
  <c r="AS698"/>
  <c r="AJ698"/>
  <c r="AR698"/>
  <c r="AP698"/>
  <c r="O698"/>
  <c r="Q698"/>
  <c r="AA698"/>
  <c r="AO698"/>
  <c r="P698"/>
  <c r="T698"/>
  <c r="S698"/>
  <c r="AN698"/>
  <c r="AM698"/>
  <c r="R698"/>
  <c r="AI697"/>
  <c r="AB697"/>
  <c r="AH697"/>
  <c r="AQ697"/>
  <c r="AG697"/>
  <c r="AF697"/>
  <c r="AE697"/>
  <c r="AD697"/>
  <c r="AK697"/>
  <c r="AS697"/>
  <c r="AJ697"/>
  <c r="AR697"/>
  <c r="AP697"/>
  <c r="O697"/>
  <c r="Q697"/>
  <c r="AA697"/>
  <c r="AO697"/>
  <c r="P697"/>
  <c r="T697"/>
  <c r="S697"/>
  <c r="AN697"/>
  <c r="AM697"/>
  <c r="R697"/>
  <c r="AI696"/>
  <c r="AB696"/>
  <c r="AH696"/>
  <c r="AQ696"/>
  <c r="AG696"/>
  <c r="AF696"/>
  <c r="AE696"/>
  <c r="AD696"/>
  <c r="AK696"/>
  <c r="AS696"/>
  <c r="AJ696"/>
  <c r="AR696"/>
  <c r="AP696"/>
  <c r="O696"/>
  <c r="Q696"/>
  <c r="AA696"/>
  <c r="AO696"/>
  <c r="P696"/>
  <c r="T696"/>
  <c r="S696"/>
  <c r="AN696"/>
  <c r="AM696"/>
  <c r="R696"/>
  <c r="AI695"/>
  <c r="AB695"/>
  <c r="AH695"/>
  <c r="AQ695"/>
  <c r="AG695"/>
  <c r="AF695"/>
  <c r="AE695"/>
  <c r="AD695"/>
  <c r="AK695"/>
  <c r="AS695"/>
  <c r="AJ695"/>
  <c r="AR695"/>
  <c r="AP695"/>
  <c r="O695"/>
  <c r="Q695"/>
  <c r="AA695"/>
  <c r="AO695"/>
  <c r="P695"/>
  <c r="T695"/>
  <c r="S695"/>
  <c r="AN695"/>
  <c r="AM695"/>
  <c r="R695"/>
  <c r="AI694"/>
  <c r="AB694"/>
  <c r="AH694"/>
  <c r="AQ694"/>
  <c r="AG694"/>
  <c r="AF694"/>
  <c r="AE694"/>
  <c r="AD694"/>
  <c r="AK694"/>
  <c r="AS694"/>
  <c r="AJ694"/>
  <c r="AR694"/>
  <c r="AP694"/>
  <c r="O694"/>
  <c r="Q694"/>
  <c r="AA694"/>
  <c r="AO694"/>
  <c r="P694"/>
  <c r="T694"/>
  <c r="S694"/>
  <c r="AN694"/>
  <c r="AM694"/>
  <c r="R694"/>
  <c r="AI693"/>
  <c r="AB693"/>
  <c r="AH693"/>
  <c r="AQ693"/>
  <c r="AG693"/>
  <c r="AF693"/>
  <c r="AE693"/>
  <c r="AD693"/>
  <c r="AK693"/>
  <c r="AS693"/>
  <c r="AJ693"/>
  <c r="AR693"/>
  <c r="AP693"/>
  <c r="O693"/>
  <c r="Q693"/>
  <c r="AA693"/>
  <c r="AO693"/>
  <c r="P693"/>
  <c r="T693"/>
  <c r="S693"/>
  <c r="AN693"/>
  <c r="AM693"/>
  <c r="R693"/>
  <c r="AI692"/>
  <c r="AB692"/>
  <c r="AH692"/>
  <c r="AQ692"/>
  <c r="AG692"/>
  <c r="AF692"/>
  <c r="AE692"/>
  <c r="AD692"/>
  <c r="AK692"/>
  <c r="AS692"/>
  <c r="AJ692"/>
  <c r="AR692"/>
  <c r="AP692"/>
  <c r="O692"/>
  <c r="Q692"/>
  <c r="AA692"/>
  <c r="AO692"/>
  <c r="P692"/>
  <c r="T692"/>
  <c r="S692"/>
  <c r="AN692"/>
  <c r="AM692"/>
  <c r="R692"/>
  <c r="AI691"/>
  <c r="AB691"/>
  <c r="AH691"/>
  <c r="AQ691"/>
  <c r="AG691"/>
  <c r="AF691"/>
  <c r="AE691"/>
  <c r="AD691"/>
  <c r="AK691"/>
  <c r="AS691"/>
  <c r="AJ691"/>
  <c r="AR691"/>
  <c r="AP691"/>
  <c r="O691"/>
  <c r="Q691"/>
  <c r="AA691"/>
  <c r="AO691"/>
  <c r="P691"/>
  <c r="T691"/>
  <c r="S691"/>
  <c r="AN691"/>
  <c r="AM691"/>
  <c r="R691"/>
  <c r="AI690"/>
  <c r="AB690"/>
  <c r="AH690"/>
  <c r="AQ690"/>
  <c r="AG690"/>
  <c r="AF690"/>
  <c r="AE690"/>
  <c r="AD690"/>
  <c r="AK690"/>
  <c r="AS690"/>
  <c r="AJ690"/>
  <c r="AR690"/>
  <c r="AP690"/>
  <c r="O690"/>
  <c r="Q690"/>
  <c r="AA690"/>
  <c r="AO690"/>
  <c r="P690"/>
  <c r="T690"/>
  <c r="S690"/>
  <c r="AN690"/>
  <c r="AM690"/>
  <c r="R690"/>
  <c r="AI689"/>
  <c r="AB689"/>
  <c r="AH689"/>
  <c r="AQ689"/>
  <c r="AG689"/>
  <c r="AF689"/>
  <c r="AE689"/>
  <c r="AD689"/>
  <c r="AK689"/>
  <c r="AS689"/>
  <c r="AJ689"/>
  <c r="AR689"/>
  <c r="AP689"/>
  <c r="O689"/>
  <c r="Q689"/>
  <c r="AA689"/>
  <c r="AO689"/>
  <c r="P689"/>
  <c r="T689"/>
  <c r="S689"/>
  <c r="AN689"/>
  <c r="AM689"/>
  <c r="R689"/>
  <c r="AI688"/>
  <c r="AB688"/>
  <c r="AH688"/>
  <c r="AQ688"/>
  <c r="AG688"/>
  <c r="AF688"/>
  <c r="AE688"/>
  <c r="AD688"/>
  <c r="AK688"/>
  <c r="AS688"/>
  <c r="AJ688"/>
  <c r="AR688"/>
  <c r="AP688"/>
  <c r="O688"/>
  <c r="Q688"/>
  <c r="AA688"/>
  <c r="AO688"/>
  <c r="P688"/>
  <c r="T688"/>
  <c r="S688"/>
  <c r="AN688"/>
  <c r="AM688"/>
  <c r="R688"/>
  <c r="AI687"/>
  <c r="AB687"/>
  <c r="AH687"/>
  <c r="AQ687"/>
  <c r="AG687"/>
  <c r="AF687"/>
  <c r="AE687"/>
  <c r="AD687"/>
  <c r="AK687"/>
  <c r="AS687"/>
  <c r="AJ687"/>
  <c r="AR687"/>
  <c r="AP687"/>
  <c r="O687"/>
  <c r="Q687"/>
  <c r="AA687"/>
  <c r="AO687"/>
  <c r="P687"/>
  <c r="T687"/>
  <c r="S687"/>
  <c r="AN687"/>
  <c r="AM687"/>
  <c r="R687"/>
  <c r="AI686"/>
  <c r="AB686"/>
  <c r="AH686"/>
  <c r="AQ686"/>
  <c r="AG686"/>
  <c r="AF686"/>
  <c r="AE686"/>
  <c r="AD686"/>
  <c r="AK686"/>
  <c r="AS686"/>
  <c r="AJ686"/>
  <c r="AR686"/>
  <c r="AP686"/>
  <c r="O686"/>
  <c r="Q686"/>
  <c r="AA686"/>
  <c r="AO686"/>
  <c r="P686"/>
  <c r="T686"/>
  <c r="S686"/>
  <c r="AN686"/>
  <c r="AM686"/>
  <c r="R686"/>
  <c r="AI685"/>
  <c r="AB685"/>
  <c r="AH685"/>
  <c r="AQ685"/>
  <c r="AG685"/>
  <c r="AF685"/>
  <c r="AE685"/>
  <c r="AD685"/>
  <c r="AK685"/>
  <c r="AS685"/>
  <c r="AJ685"/>
  <c r="AR685"/>
  <c r="AP685"/>
  <c r="O685"/>
  <c r="Q685"/>
  <c r="AA685"/>
  <c r="AO685"/>
  <c r="P685"/>
  <c r="T685"/>
  <c r="S685"/>
  <c r="AN685"/>
  <c r="AM685"/>
  <c r="R685"/>
  <c r="AI684"/>
  <c r="AB684"/>
  <c r="AH684"/>
  <c r="AQ684"/>
  <c r="AG684"/>
  <c r="AF684"/>
  <c r="AE684"/>
  <c r="AD684"/>
  <c r="AK684"/>
  <c r="AS684"/>
  <c r="AJ684"/>
  <c r="AR684"/>
  <c r="AP684"/>
  <c r="O684"/>
  <c r="Q684"/>
  <c r="AA684"/>
  <c r="AO684"/>
  <c r="P684"/>
  <c r="T684"/>
  <c r="S684"/>
  <c r="AN684"/>
  <c r="AM684"/>
  <c r="R684"/>
  <c r="AI683"/>
  <c r="AB683"/>
  <c r="AH683"/>
  <c r="AQ683"/>
  <c r="AG683"/>
  <c r="AF683"/>
  <c r="AE683"/>
  <c r="AD683"/>
  <c r="AK683"/>
  <c r="AS683"/>
  <c r="AJ683"/>
  <c r="AR683"/>
  <c r="AP683"/>
  <c r="O683"/>
  <c r="Q683"/>
  <c r="AA683"/>
  <c r="AO683"/>
  <c r="P683"/>
  <c r="T683"/>
  <c r="S683"/>
  <c r="AN683"/>
  <c r="AM683"/>
  <c r="R683"/>
  <c r="AI682"/>
  <c r="AB682"/>
  <c r="AH682"/>
  <c r="AQ682"/>
  <c r="AG682"/>
  <c r="AF682"/>
  <c r="AE682"/>
  <c r="AD682"/>
  <c r="AK682"/>
  <c r="AS682"/>
  <c r="AJ682"/>
  <c r="AR682"/>
  <c r="AP682"/>
  <c r="O682"/>
  <c r="Q682"/>
  <c r="AA682"/>
  <c r="AO682"/>
  <c r="P682"/>
  <c r="T682"/>
  <c r="S682"/>
  <c r="AN682"/>
  <c r="AM682"/>
  <c r="R682"/>
  <c r="AI681"/>
  <c r="AB681"/>
  <c r="AH681"/>
  <c r="AQ681"/>
  <c r="AG681"/>
  <c r="AF681"/>
  <c r="AE681"/>
  <c r="AD681"/>
  <c r="AK681"/>
  <c r="AS681"/>
  <c r="AJ681"/>
  <c r="AR681"/>
  <c r="AP681"/>
  <c r="O681"/>
  <c r="Q681"/>
  <c r="AA681"/>
  <c r="AO681"/>
  <c r="P681"/>
  <c r="T681"/>
  <c r="S681"/>
  <c r="AN681"/>
  <c r="AM681"/>
  <c r="R681"/>
  <c r="AI680"/>
  <c r="AB680"/>
  <c r="AH680"/>
  <c r="AQ680"/>
  <c r="AG680"/>
  <c r="AF680"/>
  <c r="AE680"/>
  <c r="AD680"/>
  <c r="AK680"/>
  <c r="AS680"/>
  <c r="AJ680"/>
  <c r="AR680"/>
  <c r="AP680"/>
  <c r="O680"/>
  <c r="Q680"/>
  <c r="AA680"/>
  <c r="AO680"/>
  <c r="P680"/>
  <c r="T680"/>
  <c r="S680"/>
  <c r="AN680"/>
  <c r="AM680"/>
  <c r="R680"/>
  <c r="AI679"/>
  <c r="AB679"/>
  <c r="AH679"/>
  <c r="AQ679"/>
  <c r="AG679"/>
  <c r="AF679"/>
  <c r="AE679"/>
  <c r="AD679"/>
  <c r="AK679"/>
  <c r="AS679"/>
  <c r="AJ679"/>
  <c r="AR679"/>
  <c r="AP679"/>
  <c r="O679"/>
  <c r="Q679"/>
  <c r="AA679"/>
  <c r="AO679"/>
  <c r="P679"/>
  <c r="T679"/>
  <c r="S679"/>
  <c r="AN679"/>
  <c r="AM679"/>
  <c r="R679"/>
  <c r="AI678"/>
  <c r="AB678"/>
  <c r="AH678"/>
  <c r="AQ678"/>
  <c r="AG678"/>
  <c r="AF678"/>
  <c r="AE678"/>
  <c r="AD678"/>
  <c r="AK678"/>
  <c r="AS678"/>
  <c r="AJ678"/>
  <c r="AR678"/>
  <c r="AP678"/>
  <c r="O678"/>
  <c r="Q678"/>
  <c r="AA678"/>
  <c r="AO678"/>
  <c r="P678"/>
  <c r="T678"/>
  <c r="S678"/>
  <c r="AN678"/>
  <c r="AM678"/>
  <c r="R678"/>
  <c r="AI677"/>
  <c r="AB677"/>
  <c r="AH677"/>
  <c r="AQ677"/>
  <c r="AG677"/>
  <c r="AF677"/>
  <c r="AE677"/>
  <c r="AD677"/>
  <c r="AK677"/>
  <c r="AS677"/>
  <c r="AJ677"/>
  <c r="AR677"/>
  <c r="AP677"/>
  <c r="O677"/>
  <c r="Q677"/>
  <c r="AA677"/>
  <c r="AO677"/>
  <c r="P677"/>
  <c r="T677"/>
  <c r="S677"/>
  <c r="AN677"/>
  <c r="AM677"/>
  <c r="R677"/>
  <c r="AI676"/>
  <c r="AB676"/>
  <c r="AH676"/>
  <c r="AQ676"/>
  <c r="AG676"/>
  <c r="AF676"/>
  <c r="AE676"/>
  <c r="AD676"/>
  <c r="AK676"/>
  <c r="AS676"/>
  <c r="AJ676"/>
  <c r="AR676"/>
  <c r="AP676"/>
  <c r="O676"/>
  <c r="Q676"/>
  <c r="AA676"/>
  <c r="AO676"/>
  <c r="P676"/>
  <c r="T676"/>
  <c r="S676"/>
  <c r="AN676"/>
  <c r="AM676"/>
  <c r="R676"/>
  <c r="AI675"/>
  <c r="AB675"/>
  <c r="AH675"/>
  <c r="AQ675"/>
  <c r="AG675"/>
  <c r="AF675"/>
  <c r="AE675"/>
  <c r="AD675"/>
  <c r="AK675"/>
  <c r="AS675"/>
  <c r="AJ675"/>
  <c r="AR675"/>
  <c r="AP675"/>
  <c r="O675"/>
  <c r="Q675"/>
  <c r="AA675"/>
  <c r="AO675"/>
  <c r="P675"/>
  <c r="T675"/>
  <c r="S675"/>
  <c r="AN675"/>
  <c r="AM675"/>
  <c r="R675"/>
  <c r="AI674"/>
  <c r="AB674"/>
  <c r="AH674"/>
  <c r="AQ674"/>
  <c r="AG674"/>
  <c r="AF674"/>
  <c r="AE674"/>
  <c r="AD674"/>
  <c r="AK674"/>
  <c r="AS674"/>
  <c r="AJ674"/>
  <c r="AR674"/>
  <c r="AP674"/>
  <c r="O674"/>
  <c r="Q674"/>
  <c r="AA674"/>
  <c r="AO674"/>
  <c r="P674"/>
  <c r="T674"/>
  <c r="S674"/>
  <c r="AN674"/>
  <c r="AM674"/>
  <c r="R674"/>
  <c r="AI673"/>
  <c r="AB673"/>
  <c r="AH673"/>
  <c r="AQ673"/>
  <c r="AG673"/>
  <c r="AF673"/>
  <c r="AE673"/>
  <c r="AD673"/>
  <c r="AK673"/>
  <c r="AS673"/>
  <c r="AJ673"/>
  <c r="AR673"/>
  <c r="AP673"/>
  <c r="O673"/>
  <c r="Q673"/>
  <c r="AA673"/>
  <c r="AO673"/>
  <c r="P673"/>
  <c r="T673"/>
  <c r="S673"/>
  <c r="AN673"/>
  <c r="AM673"/>
  <c r="R673"/>
  <c r="AI672"/>
  <c r="AB672"/>
  <c r="AH672"/>
  <c r="AQ672"/>
  <c r="AG672"/>
  <c r="AF672"/>
  <c r="AE672"/>
  <c r="AD672"/>
  <c r="AK672"/>
  <c r="AS672"/>
  <c r="AJ672"/>
  <c r="AR672"/>
  <c r="AP672"/>
  <c r="O672"/>
  <c r="Q672"/>
  <c r="AA672"/>
  <c r="AO672"/>
  <c r="P672"/>
  <c r="T672"/>
  <c r="S672"/>
  <c r="AN672"/>
  <c r="AM672"/>
  <c r="R672"/>
  <c r="AI671"/>
  <c r="AB671"/>
  <c r="AH671"/>
  <c r="AQ671"/>
  <c r="AG671"/>
  <c r="AF671"/>
  <c r="AE671"/>
  <c r="AD671"/>
  <c r="AK671"/>
  <c r="AS671"/>
  <c r="AJ671"/>
  <c r="AR671"/>
  <c r="AP671"/>
  <c r="O671"/>
  <c r="Q671"/>
  <c r="AA671"/>
  <c r="AO671"/>
  <c r="P671"/>
  <c r="T671"/>
  <c r="S671"/>
  <c r="AN671"/>
  <c r="AM671"/>
  <c r="R671"/>
  <c r="AI670"/>
  <c r="AB670"/>
  <c r="AH670"/>
  <c r="AQ670"/>
  <c r="AG670"/>
  <c r="AF670"/>
  <c r="AE670"/>
  <c r="AD670"/>
  <c r="AK670"/>
  <c r="AS670"/>
  <c r="AJ670"/>
  <c r="AR670"/>
  <c r="AP670"/>
  <c r="O670"/>
  <c r="Q670"/>
  <c r="AA670"/>
  <c r="AO670"/>
  <c r="P670"/>
  <c r="T670"/>
  <c r="S670"/>
  <c r="AN670"/>
  <c r="AM670"/>
  <c r="R670"/>
  <c r="AI669"/>
  <c r="AB669"/>
  <c r="AH669"/>
  <c r="AQ669"/>
  <c r="AG669"/>
  <c r="AF669"/>
  <c r="AE669"/>
  <c r="AD669"/>
  <c r="AK669"/>
  <c r="AS669"/>
  <c r="AJ669"/>
  <c r="AR669"/>
  <c r="AP669"/>
  <c r="O669"/>
  <c r="Q669"/>
  <c r="AA669"/>
  <c r="AO669"/>
  <c r="P669"/>
  <c r="T669"/>
  <c r="S669"/>
  <c r="AN669"/>
  <c r="AM669"/>
  <c r="R669"/>
  <c r="AI668"/>
  <c r="AB668"/>
  <c r="AH668"/>
  <c r="AQ668"/>
  <c r="AG668"/>
  <c r="AF668"/>
  <c r="AE668"/>
  <c r="AD668"/>
  <c r="AK668"/>
  <c r="AS668"/>
  <c r="AJ668"/>
  <c r="AR668"/>
  <c r="AP668"/>
  <c r="O668"/>
  <c r="Q668"/>
  <c r="AA668"/>
  <c r="AO668"/>
  <c r="P668"/>
  <c r="T668"/>
  <c r="S668"/>
  <c r="AN668"/>
  <c r="AM668"/>
  <c r="R668"/>
  <c r="AI667"/>
  <c r="AB667"/>
  <c r="AH667"/>
  <c r="AQ667"/>
  <c r="AG667"/>
  <c r="AF667"/>
  <c r="AE667"/>
  <c r="AD667"/>
  <c r="AK667"/>
  <c r="AS667"/>
  <c r="AJ667"/>
  <c r="AR667"/>
  <c r="AP667"/>
  <c r="O667"/>
  <c r="Q667"/>
  <c r="AA667"/>
  <c r="AO667"/>
  <c r="P667"/>
  <c r="T667"/>
  <c r="S667"/>
  <c r="AN667"/>
  <c r="AM667"/>
  <c r="R667"/>
  <c r="AI666"/>
  <c r="AB666"/>
  <c r="AH666"/>
  <c r="AQ666"/>
  <c r="AG666"/>
  <c r="AF666"/>
  <c r="AE666"/>
  <c r="AD666"/>
  <c r="AK666"/>
  <c r="AS666"/>
  <c r="AJ666"/>
  <c r="AR666"/>
  <c r="AP666"/>
  <c r="O666"/>
  <c r="Q666"/>
  <c r="AA666"/>
  <c r="AO666"/>
  <c r="P666"/>
  <c r="T666"/>
  <c r="S666"/>
  <c r="AN666"/>
  <c r="AM666"/>
  <c r="R666"/>
  <c r="AI665"/>
  <c r="AB665"/>
  <c r="AH665"/>
  <c r="AQ665"/>
  <c r="AG665"/>
  <c r="AF665"/>
  <c r="AE665"/>
  <c r="AD665"/>
  <c r="AK665"/>
  <c r="AS665"/>
  <c r="AJ665"/>
  <c r="AR665"/>
  <c r="AP665"/>
  <c r="O665"/>
  <c r="Q665"/>
  <c r="AA665"/>
  <c r="AO665"/>
  <c r="P665"/>
  <c r="T665"/>
  <c r="S665"/>
  <c r="AN665"/>
  <c r="AM665"/>
  <c r="R665"/>
  <c r="AI664"/>
  <c r="AB664"/>
  <c r="AH664"/>
  <c r="AQ664"/>
  <c r="AG664"/>
  <c r="AF664"/>
  <c r="AE664"/>
  <c r="AD664"/>
  <c r="AK664"/>
  <c r="AS664"/>
  <c r="AJ664"/>
  <c r="AR664"/>
  <c r="AP664"/>
  <c r="O664"/>
  <c r="Q664"/>
  <c r="AA664"/>
  <c r="AO664"/>
  <c r="P664"/>
  <c r="T664"/>
  <c r="S664"/>
  <c r="AN664"/>
  <c r="AM664"/>
  <c r="R664"/>
  <c r="AI663"/>
  <c r="AB663"/>
  <c r="AH663"/>
  <c r="AQ663"/>
  <c r="AG663"/>
  <c r="AF663"/>
  <c r="AE663"/>
  <c r="AD663"/>
  <c r="AK663"/>
  <c r="AS663"/>
  <c r="AJ663"/>
  <c r="AR663"/>
  <c r="AP663"/>
  <c r="O663"/>
  <c r="Q663"/>
  <c r="AA663"/>
  <c r="AO663"/>
  <c r="P663"/>
  <c r="T663"/>
  <c r="S663"/>
  <c r="AN663"/>
  <c r="AM663"/>
  <c r="R663"/>
  <c r="AI662"/>
  <c r="AB662"/>
  <c r="AH662"/>
  <c r="AQ662"/>
  <c r="AG662"/>
  <c r="AF662"/>
  <c r="AE662"/>
  <c r="AD662"/>
  <c r="AK662"/>
  <c r="AS662"/>
  <c r="AJ662"/>
  <c r="AR662"/>
  <c r="AP662"/>
  <c r="O662"/>
  <c r="Q662"/>
  <c r="AA662"/>
  <c r="AO662"/>
  <c r="P662"/>
  <c r="T662"/>
  <c r="S662"/>
  <c r="AN662"/>
  <c r="AM662"/>
  <c r="R662"/>
  <c r="AI661"/>
  <c r="AB661"/>
  <c r="AH661"/>
  <c r="AQ661"/>
  <c r="AG661"/>
  <c r="AF661"/>
  <c r="AE661"/>
  <c r="AD661"/>
  <c r="AK661"/>
  <c r="AS661"/>
  <c r="AJ661"/>
  <c r="AR661"/>
  <c r="AP661"/>
  <c r="O661"/>
  <c r="Q661"/>
  <c r="AA661"/>
  <c r="AO661"/>
  <c r="P661"/>
  <c r="T661"/>
  <c r="S661"/>
  <c r="AN661"/>
  <c r="AM661"/>
  <c r="R661"/>
  <c r="AI660"/>
  <c r="AB660"/>
  <c r="AH660"/>
  <c r="AQ660"/>
  <c r="AG660"/>
  <c r="AF660"/>
  <c r="AE660"/>
  <c r="AD660"/>
  <c r="AK660"/>
  <c r="AS660"/>
  <c r="AJ660"/>
  <c r="AR660"/>
  <c r="AP660"/>
  <c r="O660"/>
  <c r="Q660"/>
  <c r="AA660"/>
  <c r="AO660"/>
  <c r="P660"/>
  <c r="T660"/>
  <c r="S660"/>
  <c r="AN660"/>
  <c r="AM660"/>
  <c r="R660"/>
  <c r="AI659"/>
  <c r="AB659"/>
  <c r="AH659"/>
  <c r="AQ659"/>
  <c r="AG659"/>
  <c r="AF659"/>
  <c r="AE659"/>
  <c r="AD659"/>
  <c r="AK659"/>
  <c r="AS659"/>
  <c r="AJ659"/>
  <c r="AR659"/>
  <c r="AP659"/>
  <c r="O659"/>
  <c r="Q659"/>
  <c r="AA659"/>
  <c r="AO659"/>
  <c r="P659"/>
  <c r="T659"/>
  <c r="S659"/>
  <c r="AN659"/>
  <c r="AM659"/>
  <c r="R659"/>
  <c r="AI658"/>
  <c r="AB658"/>
  <c r="AH658"/>
  <c r="AQ658"/>
  <c r="AG658"/>
  <c r="AF658"/>
  <c r="AE658"/>
  <c r="AD658"/>
  <c r="AK658"/>
  <c r="AS658"/>
  <c r="AJ658"/>
  <c r="AR658"/>
  <c r="AP658"/>
  <c r="O658"/>
  <c r="Q658"/>
  <c r="AA658"/>
  <c r="AO658"/>
  <c r="P658"/>
  <c r="T658"/>
  <c r="S658"/>
  <c r="AN658"/>
  <c r="AM658"/>
  <c r="R658"/>
  <c r="AI657"/>
  <c r="AB657"/>
  <c r="AH657"/>
  <c r="AQ657"/>
  <c r="AG657"/>
  <c r="AF657"/>
  <c r="AE657"/>
  <c r="AD657"/>
  <c r="AK657"/>
  <c r="AS657"/>
  <c r="AJ657"/>
  <c r="AR657"/>
  <c r="AP657"/>
  <c r="O657"/>
  <c r="Q657"/>
  <c r="AA657"/>
  <c r="AO657"/>
  <c r="P657"/>
  <c r="T657"/>
  <c r="S657"/>
  <c r="AN657"/>
  <c r="AM657"/>
  <c r="R657"/>
  <c r="AI656"/>
  <c r="AB656"/>
  <c r="AH656"/>
  <c r="AQ656"/>
  <c r="AG656"/>
  <c r="AF656"/>
  <c r="AE656"/>
  <c r="AD656"/>
  <c r="AK656"/>
  <c r="AS656"/>
  <c r="AJ656"/>
  <c r="AR656"/>
  <c r="AP656"/>
  <c r="O656"/>
  <c r="Q656"/>
  <c r="AA656"/>
  <c r="AO656"/>
  <c r="P656"/>
  <c r="T656"/>
  <c r="S656"/>
  <c r="AN656"/>
  <c r="AM656"/>
  <c r="R656"/>
  <c r="AI655"/>
  <c r="AB655"/>
  <c r="AH655"/>
  <c r="AQ655"/>
  <c r="AG655"/>
  <c r="AF655"/>
  <c r="AE655"/>
  <c r="AD655"/>
  <c r="AK655"/>
  <c r="AS655"/>
  <c r="AJ655"/>
  <c r="AR655"/>
  <c r="AP655"/>
  <c r="O655"/>
  <c r="Q655"/>
  <c r="AA655"/>
  <c r="AO655"/>
  <c r="P655"/>
  <c r="T655"/>
  <c r="S655"/>
  <c r="AN655"/>
  <c r="AM655"/>
  <c r="R655"/>
  <c r="AI654"/>
  <c r="AB654"/>
  <c r="AH654"/>
  <c r="AQ654"/>
  <c r="AG654"/>
  <c r="AF654"/>
  <c r="AE654"/>
  <c r="AD654"/>
  <c r="AK654"/>
  <c r="AS654"/>
  <c r="AJ654"/>
  <c r="AR654"/>
  <c r="AP654"/>
  <c r="O654"/>
  <c r="Q654"/>
  <c r="AA654"/>
  <c r="AO654"/>
  <c r="P654"/>
  <c r="T654"/>
  <c r="S654"/>
  <c r="AN654"/>
  <c r="AM654"/>
  <c r="R654"/>
  <c r="AI653"/>
  <c r="AB653"/>
  <c r="AH653"/>
  <c r="AQ653"/>
  <c r="AG653"/>
  <c r="AF653"/>
  <c r="AE653"/>
  <c r="AD653"/>
  <c r="AK653"/>
  <c r="AS653"/>
  <c r="AJ653"/>
  <c r="AR653"/>
  <c r="AP653"/>
  <c r="O653"/>
  <c r="Q653"/>
  <c r="AA653"/>
  <c r="AO653"/>
  <c r="P653"/>
  <c r="T653"/>
  <c r="S653"/>
  <c r="AN653"/>
  <c r="AM653"/>
  <c r="R653"/>
  <c r="AI652"/>
  <c r="AB652"/>
  <c r="AH652"/>
  <c r="AQ652"/>
  <c r="AG652"/>
  <c r="AF652"/>
  <c r="AE652"/>
  <c r="AD652"/>
  <c r="AK652"/>
  <c r="AS652"/>
  <c r="AJ652"/>
  <c r="AR652"/>
  <c r="AP652"/>
  <c r="O652"/>
  <c r="Q652"/>
  <c r="AA652"/>
  <c r="AO652"/>
  <c r="P652"/>
  <c r="T652"/>
  <c r="S652"/>
  <c r="AN652"/>
  <c r="AM652"/>
  <c r="R652"/>
  <c r="AI651"/>
  <c r="AB651"/>
  <c r="AH651"/>
  <c r="AQ651"/>
  <c r="AG651"/>
  <c r="AF651"/>
  <c r="AE651"/>
  <c r="AD651"/>
  <c r="AK651"/>
  <c r="AS651"/>
  <c r="AJ651"/>
  <c r="AR651"/>
  <c r="AP651"/>
  <c r="O651"/>
  <c r="Q651"/>
  <c r="AA651"/>
  <c r="AO651"/>
  <c r="P651"/>
  <c r="T651"/>
  <c r="S651"/>
  <c r="AN651"/>
  <c r="AM651"/>
  <c r="R651"/>
  <c r="AI650"/>
  <c r="AB650"/>
  <c r="AH650"/>
  <c r="AQ650"/>
  <c r="AG650"/>
  <c r="AF650"/>
  <c r="AE650"/>
  <c r="AD650"/>
  <c r="AK650"/>
  <c r="AS650"/>
  <c r="AJ650"/>
  <c r="AR650"/>
  <c r="AP650"/>
  <c r="O650"/>
  <c r="Q650"/>
  <c r="AA650"/>
  <c r="AO650"/>
  <c r="P650"/>
  <c r="T650"/>
  <c r="S650"/>
  <c r="AN650"/>
  <c r="AM650"/>
  <c r="R650"/>
  <c r="AI649"/>
  <c r="AB649"/>
  <c r="AH649"/>
  <c r="AQ649"/>
  <c r="AG649"/>
  <c r="AF649"/>
  <c r="AE649"/>
  <c r="AD649"/>
  <c r="AK649"/>
  <c r="AS649"/>
  <c r="AJ649"/>
  <c r="AR649"/>
  <c r="AP649"/>
  <c r="O649"/>
  <c r="Q649"/>
  <c r="AA649"/>
  <c r="AO649"/>
  <c r="P649"/>
  <c r="T649"/>
  <c r="S649"/>
  <c r="AN649"/>
  <c r="AM649"/>
  <c r="R649"/>
  <c r="AI648"/>
  <c r="AB648"/>
  <c r="AH648"/>
  <c r="AQ648"/>
  <c r="AG648"/>
  <c r="AF648"/>
  <c r="AE648"/>
  <c r="AD648"/>
  <c r="AK648"/>
  <c r="AS648"/>
  <c r="AJ648"/>
  <c r="AR648"/>
  <c r="AP648"/>
  <c r="O648"/>
  <c r="Q648"/>
  <c r="AA648"/>
  <c r="AO648"/>
  <c r="P648"/>
  <c r="T648"/>
  <c r="S648"/>
  <c r="AN648"/>
  <c r="AM648"/>
  <c r="R648"/>
  <c r="AI647"/>
  <c r="AB647"/>
  <c r="AH647"/>
  <c r="AQ647"/>
  <c r="AG647"/>
  <c r="AF647"/>
  <c r="AE647"/>
  <c r="AD647"/>
  <c r="AK647"/>
  <c r="AS647"/>
  <c r="AJ647"/>
  <c r="AR647"/>
  <c r="AP647"/>
  <c r="O647"/>
  <c r="Q647"/>
  <c r="AA647"/>
  <c r="AO647"/>
  <c r="P647"/>
  <c r="T647"/>
  <c r="S647"/>
  <c r="AN647"/>
  <c r="AM647"/>
  <c r="R647"/>
  <c r="AI646"/>
  <c r="AB646"/>
  <c r="AH646"/>
  <c r="AQ646"/>
  <c r="AG646"/>
  <c r="AF646"/>
  <c r="AE646"/>
  <c r="AD646"/>
  <c r="AK646"/>
  <c r="AS646"/>
  <c r="AJ646"/>
  <c r="AR646"/>
  <c r="AP646"/>
  <c r="O646"/>
  <c r="Q646"/>
  <c r="AA646"/>
  <c r="AO646"/>
  <c r="P646"/>
  <c r="T646"/>
  <c r="S646"/>
  <c r="AN646"/>
  <c r="AM646"/>
  <c r="R646"/>
  <c r="AI645"/>
  <c r="AB645"/>
  <c r="AH645"/>
  <c r="AQ645"/>
  <c r="AG645"/>
  <c r="AF645"/>
  <c r="AE645"/>
  <c r="AD645"/>
  <c r="AK645"/>
  <c r="AS645"/>
  <c r="AJ645"/>
  <c r="AR645"/>
  <c r="AP645"/>
  <c r="O645"/>
  <c r="Q645"/>
  <c r="AA645"/>
  <c r="AO645"/>
  <c r="P645"/>
  <c r="T645"/>
  <c r="S645"/>
  <c r="AN645"/>
  <c r="AM645"/>
  <c r="R645"/>
  <c r="AI644"/>
  <c r="AB644"/>
  <c r="AH644"/>
  <c r="AQ644"/>
  <c r="AG644"/>
  <c r="AF644"/>
  <c r="AE644"/>
  <c r="AD644"/>
  <c r="AK644"/>
  <c r="AS644"/>
  <c r="AJ644"/>
  <c r="AR644"/>
  <c r="AP644"/>
  <c r="O644"/>
  <c r="Q644"/>
  <c r="AA644"/>
  <c r="AO644"/>
  <c r="P644"/>
  <c r="T644"/>
  <c r="S644"/>
  <c r="AN644"/>
  <c r="AM644"/>
  <c r="R644"/>
  <c r="AI643"/>
  <c r="AB643"/>
  <c r="AH643"/>
  <c r="AQ643"/>
  <c r="AG643"/>
  <c r="AF643"/>
  <c r="AE643"/>
  <c r="AD643"/>
  <c r="AK643"/>
  <c r="AS643"/>
  <c r="AJ643"/>
  <c r="AR643"/>
  <c r="AP643"/>
  <c r="O643"/>
  <c r="Q643"/>
  <c r="AA643"/>
  <c r="AO643"/>
  <c r="P643"/>
  <c r="T643"/>
  <c r="S643"/>
  <c r="AN643"/>
  <c r="AM643"/>
  <c r="R643"/>
  <c r="AI642"/>
  <c r="AB642"/>
  <c r="AH642"/>
  <c r="AQ642"/>
  <c r="AG642"/>
  <c r="AF642"/>
  <c r="AE642"/>
  <c r="AD642"/>
  <c r="AK642"/>
  <c r="AS642"/>
  <c r="AJ642"/>
  <c r="AR642"/>
  <c r="AP642"/>
  <c r="O642"/>
  <c r="Q642"/>
  <c r="AA642"/>
  <c r="AO642"/>
  <c r="P642"/>
  <c r="T642"/>
  <c r="S642"/>
  <c r="AN642"/>
  <c r="AM642"/>
  <c r="R642"/>
  <c r="AI641"/>
  <c r="AB641"/>
  <c r="AH641"/>
  <c r="AQ641"/>
  <c r="AG641"/>
  <c r="AF641"/>
  <c r="AE641"/>
  <c r="AD641"/>
  <c r="AK641"/>
  <c r="AS641"/>
  <c r="AJ641"/>
  <c r="AR641"/>
  <c r="AP641"/>
  <c r="O641"/>
  <c r="Q641"/>
  <c r="AA641"/>
  <c r="AO641"/>
  <c r="P641"/>
  <c r="T641"/>
  <c r="S641"/>
  <c r="AN641"/>
  <c r="AM641"/>
  <c r="R641"/>
  <c r="AI640"/>
  <c r="AB640"/>
  <c r="AH640"/>
  <c r="AQ640"/>
  <c r="AG640"/>
  <c r="AF640"/>
  <c r="AE640"/>
  <c r="AD640"/>
  <c r="AK640"/>
  <c r="AS640"/>
  <c r="AJ640"/>
  <c r="AR640"/>
  <c r="AP640"/>
  <c r="O640"/>
  <c r="Q640"/>
  <c r="AA640"/>
  <c r="AO640"/>
  <c r="P640"/>
  <c r="T640"/>
  <c r="S640"/>
  <c r="AN640"/>
  <c r="AM640"/>
  <c r="R640"/>
  <c r="AI639"/>
  <c r="AB639"/>
  <c r="AH639"/>
  <c r="AQ639"/>
  <c r="AG639"/>
  <c r="AF639"/>
  <c r="AE639"/>
  <c r="AD639"/>
  <c r="AK639"/>
  <c r="AS639"/>
  <c r="AJ639"/>
  <c r="AR639"/>
  <c r="AP639"/>
  <c r="O639"/>
  <c r="Q639"/>
  <c r="AA639"/>
  <c r="AO639"/>
  <c r="P639"/>
  <c r="T639"/>
  <c r="S639"/>
  <c r="AN639"/>
  <c r="AM639"/>
  <c r="R639"/>
  <c r="AI638"/>
  <c r="AB638"/>
  <c r="AH638"/>
  <c r="AQ638"/>
  <c r="AG638"/>
  <c r="AF638"/>
  <c r="AE638"/>
  <c r="AD638"/>
  <c r="AK638"/>
  <c r="AS638"/>
  <c r="AJ638"/>
  <c r="AR638"/>
  <c r="AP638"/>
  <c r="O638"/>
  <c r="Q638"/>
  <c r="AA638"/>
  <c r="AO638"/>
  <c r="P638"/>
  <c r="T638"/>
  <c r="S638"/>
  <c r="AN638"/>
  <c r="AM638"/>
  <c r="R638"/>
  <c r="AI637"/>
  <c r="AB637"/>
  <c r="AH637"/>
  <c r="AQ637"/>
  <c r="AG637"/>
  <c r="AF637"/>
  <c r="AE637"/>
  <c r="AD637"/>
  <c r="AK637"/>
  <c r="AS637"/>
  <c r="AJ637"/>
  <c r="AR637"/>
  <c r="AP637"/>
  <c r="O637"/>
  <c r="Q637"/>
  <c r="AA637"/>
  <c r="AO637"/>
  <c r="P637"/>
  <c r="T637"/>
  <c r="S637"/>
  <c r="AN637"/>
  <c r="AM637"/>
  <c r="R637"/>
  <c r="AI636"/>
  <c r="AB636"/>
  <c r="AH636"/>
  <c r="AQ636"/>
  <c r="AG636"/>
  <c r="AF636"/>
  <c r="AE636"/>
  <c r="AD636"/>
  <c r="AK636"/>
  <c r="AS636"/>
  <c r="AJ636"/>
  <c r="AR636"/>
  <c r="AP636"/>
  <c r="O636"/>
  <c r="Q636"/>
  <c r="AA636"/>
  <c r="AO636"/>
  <c r="P636"/>
  <c r="T636"/>
  <c r="S636"/>
  <c r="AN636"/>
  <c r="AM636"/>
  <c r="R636"/>
  <c r="AI635"/>
  <c r="AB635"/>
  <c r="AH635"/>
  <c r="AQ635"/>
  <c r="AG635"/>
  <c r="AF635"/>
  <c r="AE635"/>
  <c r="AD635"/>
  <c r="AK635"/>
  <c r="AS635"/>
  <c r="AJ635"/>
  <c r="AR635"/>
  <c r="AP635"/>
  <c r="O635"/>
  <c r="Q635"/>
  <c r="AA635"/>
  <c r="AO635"/>
  <c r="P635"/>
  <c r="T635"/>
  <c r="S635"/>
  <c r="AN635"/>
  <c r="AM635"/>
  <c r="R635"/>
  <c r="AI634"/>
  <c r="AB634"/>
  <c r="AH634"/>
  <c r="AQ634"/>
  <c r="AG634"/>
  <c r="AF634"/>
  <c r="AE634"/>
  <c r="AD634"/>
  <c r="AK634"/>
  <c r="AS634"/>
  <c r="AJ634"/>
  <c r="AR634"/>
  <c r="AP634"/>
  <c r="O634"/>
  <c r="Q634"/>
  <c r="AA634"/>
  <c r="AO634"/>
  <c r="P634"/>
  <c r="T634"/>
  <c r="S634"/>
  <c r="AN634"/>
  <c r="AM634"/>
  <c r="R634"/>
  <c r="AI633"/>
  <c r="AB633"/>
  <c r="AH633"/>
  <c r="AQ633"/>
  <c r="AG633"/>
  <c r="AF633"/>
  <c r="AE633"/>
  <c r="AD633"/>
  <c r="AK633"/>
  <c r="AS633"/>
  <c r="AJ633"/>
  <c r="AR633"/>
  <c r="AP633"/>
  <c r="O633"/>
  <c r="Q633"/>
  <c r="AA633"/>
  <c r="AO633"/>
  <c r="P633"/>
  <c r="T633"/>
  <c r="S633"/>
  <c r="AN633"/>
  <c r="AM633"/>
  <c r="R633"/>
  <c r="AI632"/>
  <c r="AB632"/>
  <c r="AH632"/>
  <c r="AQ632"/>
  <c r="AG632"/>
  <c r="AF632"/>
  <c r="AE632"/>
  <c r="AD632"/>
  <c r="AK632"/>
  <c r="AS632"/>
  <c r="AJ632"/>
  <c r="AR632"/>
  <c r="AP632"/>
  <c r="O632"/>
  <c r="Q632"/>
  <c r="AA632"/>
  <c r="AO632"/>
  <c r="P632"/>
  <c r="T632"/>
  <c r="S632"/>
  <c r="AN632"/>
  <c r="AM632"/>
  <c r="R632"/>
  <c r="AI631"/>
  <c r="AB631"/>
  <c r="AH631"/>
  <c r="AQ631"/>
  <c r="AG631"/>
  <c r="AF631"/>
  <c r="AE631"/>
  <c r="AD631"/>
  <c r="AK631"/>
  <c r="AS631"/>
  <c r="AJ631"/>
  <c r="AR631"/>
  <c r="AP631"/>
  <c r="O631"/>
  <c r="Q631"/>
  <c r="AA631"/>
  <c r="AO631"/>
  <c r="P631"/>
  <c r="T631"/>
  <c r="S631"/>
  <c r="AN631"/>
  <c r="AM631"/>
  <c r="R631"/>
  <c r="AI630"/>
  <c r="AB630"/>
  <c r="AH630"/>
  <c r="AQ630"/>
  <c r="AG630"/>
  <c r="AF630"/>
  <c r="AE630"/>
  <c r="AD630"/>
  <c r="AK630"/>
  <c r="AS630"/>
  <c r="AJ630"/>
  <c r="AR630"/>
  <c r="AP630"/>
  <c r="O630"/>
  <c r="Q630"/>
  <c r="AA630"/>
  <c r="AO630"/>
  <c r="P630"/>
  <c r="T630"/>
  <c r="S630"/>
  <c r="AN630"/>
  <c r="AM630"/>
  <c r="R630"/>
  <c r="AI629"/>
  <c r="AB629"/>
  <c r="AH629"/>
  <c r="AQ629"/>
  <c r="AG629"/>
  <c r="AF629"/>
  <c r="AE629"/>
  <c r="AD629"/>
  <c r="AK629"/>
  <c r="AS629"/>
  <c r="AJ629"/>
  <c r="AR629"/>
  <c r="AP629"/>
  <c r="O629"/>
  <c r="Q629"/>
  <c r="AA629"/>
  <c r="AO629"/>
  <c r="P629"/>
  <c r="T629"/>
  <c r="S629"/>
  <c r="AN629"/>
  <c r="AM629"/>
  <c r="R629"/>
  <c r="AI628"/>
  <c r="AB628"/>
  <c r="AH628"/>
  <c r="AQ628"/>
  <c r="AG628"/>
  <c r="AF628"/>
  <c r="AE628"/>
  <c r="AD628"/>
  <c r="AK628"/>
  <c r="AS628"/>
  <c r="AJ628"/>
  <c r="AR628"/>
  <c r="AP628"/>
  <c r="O628"/>
  <c r="Q628"/>
  <c r="AA628"/>
  <c r="AO628"/>
  <c r="P628"/>
  <c r="T628"/>
  <c r="S628"/>
  <c r="AN628"/>
  <c r="AM628"/>
  <c r="R628"/>
  <c r="AI627"/>
  <c r="AB627"/>
  <c r="AH627"/>
  <c r="AQ627"/>
  <c r="AG627"/>
  <c r="AF627"/>
  <c r="AE627"/>
  <c r="AD627"/>
  <c r="AK627"/>
  <c r="AS627"/>
  <c r="AJ627"/>
  <c r="AR627"/>
  <c r="AP627"/>
  <c r="O627"/>
  <c r="Q627"/>
  <c r="AA627"/>
  <c r="AO627"/>
  <c r="P627"/>
  <c r="T627"/>
  <c r="S627"/>
  <c r="AN627"/>
  <c r="AM627"/>
  <c r="R627"/>
  <c r="AI626"/>
  <c r="AB626"/>
  <c r="AH626"/>
  <c r="AQ626"/>
  <c r="AG626"/>
  <c r="AF626"/>
  <c r="AE626"/>
  <c r="AD626"/>
  <c r="AK626"/>
  <c r="AS626"/>
  <c r="AJ626"/>
  <c r="AR626"/>
  <c r="AP626"/>
  <c r="O626"/>
  <c r="Q626"/>
  <c r="AA626"/>
  <c r="AO626"/>
  <c r="P626"/>
  <c r="T626"/>
  <c r="S626"/>
  <c r="AN626"/>
  <c r="AM626"/>
  <c r="R626"/>
  <c r="AI625"/>
  <c r="AB625"/>
  <c r="AH625"/>
  <c r="AQ625"/>
  <c r="AG625"/>
  <c r="AF625"/>
  <c r="AE625"/>
  <c r="AD625"/>
  <c r="AK625"/>
  <c r="AS625"/>
  <c r="AJ625"/>
  <c r="AR625"/>
  <c r="AP625"/>
  <c r="O625"/>
  <c r="Q625"/>
  <c r="AA625"/>
  <c r="AO625"/>
  <c r="P625"/>
  <c r="T625"/>
  <c r="S625"/>
  <c r="AN625"/>
  <c r="AM625"/>
  <c r="R625"/>
  <c r="AI624"/>
  <c r="AB624"/>
  <c r="AH624"/>
  <c r="AQ624"/>
  <c r="AG624"/>
  <c r="AF624"/>
  <c r="AE624"/>
  <c r="AD624"/>
  <c r="AK624"/>
  <c r="AS624"/>
  <c r="AJ624"/>
  <c r="AR624"/>
  <c r="AP624"/>
  <c r="O624"/>
  <c r="Q624"/>
  <c r="AA624"/>
  <c r="AO624"/>
  <c r="P624"/>
  <c r="T624"/>
  <c r="S624"/>
  <c r="AN624"/>
  <c r="AM624"/>
  <c r="R624"/>
  <c r="AI623"/>
  <c r="AB623"/>
  <c r="AH623"/>
  <c r="AQ623"/>
  <c r="AG623"/>
  <c r="AF623"/>
  <c r="AE623"/>
  <c r="AD623"/>
  <c r="AK623"/>
  <c r="AS623"/>
  <c r="AJ623"/>
  <c r="AR623"/>
  <c r="AP623"/>
  <c r="O623"/>
  <c r="Q623"/>
  <c r="AA623"/>
  <c r="AO623"/>
  <c r="P623"/>
  <c r="T623"/>
  <c r="S623"/>
  <c r="AN623"/>
  <c r="AM623"/>
  <c r="R623"/>
  <c r="AI622"/>
  <c r="AB622"/>
  <c r="AH622"/>
  <c r="AQ622"/>
  <c r="AG622"/>
  <c r="AF622"/>
  <c r="AE622"/>
  <c r="AD622"/>
  <c r="AK622"/>
  <c r="AS622"/>
  <c r="AJ622"/>
  <c r="AR622"/>
  <c r="AP622"/>
  <c r="O622"/>
  <c r="Q622"/>
  <c r="AA622"/>
  <c r="AO622"/>
  <c r="P622"/>
  <c r="T622"/>
  <c r="S622"/>
  <c r="AN622"/>
  <c r="AM622"/>
  <c r="R622"/>
  <c r="AI621"/>
  <c r="AB621"/>
  <c r="AH621"/>
  <c r="AQ621"/>
  <c r="AG621"/>
  <c r="AF621"/>
  <c r="AE621"/>
  <c r="AD621"/>
  <c r="AK621"/>
  <c r="AS621"/>
  <c r="AJ621"/>
  <c r="AR621"/>
  <c r="AP621"/>
  <c r="O621"/>
  <c r="Q621"/>
  <c r="AA621"/>
  <c r="AO621"/>
  <c r="P621"/>
  <c r="T621"/>
  <c r="S621"/>
  <c r="AN621"/>
  <c r="AM621"/>
  <c r="R621"/>
  <c r="AI620"/>
  <c r="AB620"/>
  <c r="AH620"/>
  <c r="AQ620"/>
  <c r="AG620"/>
  <c r="AF620"/>
  <c r="AE620"/>
  <c r="AD620"/>
  <c r="AK620"/>
  <c r="AS620"/>
  <c r="AJ620"/>
  <c r="AR620"/>
  <c r="AP620"/>
  <c r="O620"/>
  <c r="Q620"/>
  <c r="AA620"/>
  <c r="AO620"/>
  <c r="P620"/>
  <c r="T620"/>
  <c r="S620"/>
  <c r="AN620"/>
  <c r="AM620"/>
  <c r="R620"/>
  <c r="AI619"/>
  <c r="AB619"/>
  <c r="AH619"/>
  <c r="AQ619"/>
  <c r="AG619"/>
  <c r="AF619"/>
  <c r="AE619"/>
  <c r="AD619"/>
  <c r="AK619"/>
  <c r="AS619"/>
  <c r="AJ619"/>
  <c r="AR619"/>
  <c r="AP619"/>
  <c r="O619"/>
  <c r="Q619"/>
  <c r="AA619"/>
  <c r="AO619"/>
  <c r="P619"/>
  <c r="T619"/>
  <c r="S619"/>
  <c r="AN619"/>
  <c r="AM619"/>
  <c r="R619"/>
  <c r="AI618"/>
  <c r="AB618"/>
  <c r="AH618"/>
  <c r="AQ618"/>
  <c r="AG618"/>
  <c r="AF618"/>
  <c r="AE618"/>
  <c r="AD618"/>
  <c r="AK618"/>
  <c r="AS618"/>
  <c r="AJ618"/>
  <c r="AR618"/>
  <c r="AP618"/>
  <c r="O618"/>
  <c r="Q618"/>
  <c r="AA618"/>
  <c r="AO618"/>
  <c r="P618"/>
  <c r="T618"/>
  <c r="S618"/>
  <c r="AN618"/>
  <c r="AM618"/>
  <c r="R618"/>
  <c r="AI617"/>
  <c r="AB617"/>
  <c r="AH617"/>
  <c r="AQ617"/>
  <c r="AG617"/>
  <c r="AF617"/>
  <c r="AE617"/>
  <c r="AD617"/>
  <c r="AK617"/>
  <c r="AS617"/>
  <c r="AJ617"/>
  <c r="AR617"/>
  <c r="AP617"/>
  <c r="O617"/>
  <c r="Q617"/>
  <c r="AA617"/>
  <c r="AO617"/>
  <c r="P617"/>
  <c r="T617"/>
  <c r="S617"/>
  <c r="AN617"/>
  <c r="AM617"/>
  <c r="R617"/>
  <c r="AI616"/>
  <c r="AB616"/>
  <c r="AH616"/>
  <c r="AQ616"/>
  <c r="AG616"/>
  <c r="AF616"/>
  <c r="AE616"/>
  <c r="AD616"/>
  <c r="AK616"/>
  <c r="AS616"/>
  <c r="AJ616"/>
  <c r="AR616"/>
  <c r="AP616"/>
  <c r="O616"/>
  <c r="Q616"/>
  <c r="AA616"/>
  <c r="AO616"/>
  <c r="P616"/>
  <c r="T616"/>
  <c r="S616"/>
  <c r="AN616"/>
  <c r="AM616"/>
  <c r="R616"/>
  <c r="AI615"/>
  <c r="AB615"/>
  <c r="AH615"/>
  <c r="AQ615"/>
  <c r="AG615"/>
  <c r="AF615"/>
  <c r="AE615"/>
  <c r="AD615"/>
  <c r="AK615"/>
  <c r="AS615"/>
  <c r="AJ615"/>
  <c r="AR615"/>
  <c r="AP615"/>
  <c r="O615"/>
  <c r="Q615"/>
  <c r="AA615"/>
  <c r="AO615"/>
  <c r="P615"/>
  <c r="T615"/>
  <c r="S615"/>
  <c r="AN615"/>
  <c r="AM615"/>
  <c r="R615"/>
  <c r="AI614"/>
  <c r="AB614"/>
  <c r="AH614"/>
  <c r="AQ614"/>
  <c r="AG614"/>
  <c r="AF614"/>
  <c r="AE614"/>
  <c r="AD614"/>
  <c r="AK614"/>
  <c r="AS614"/>
  <c r="AJ614"/>
  <c r="AR614"/>
  <c r="AP614"/>
  <c r="O614"/>
  <c r="Q614"/>
  <c r="AA614"/>
  <c r="AO614"/>
  <c r="P614"/>
  <c r="T614"/>
  <c r="S614"/>
  <c r="AN614"/>
  <c r="AM614"/>
  <c r="R614"/>
  <c r="AI613"/>
  <c r="AB613"/>
  <c r="AH613"/>
  <c r="AQ613"/>
  <c r="AG613"/>
  <c r="AF613"/>
  <c r="AE613"/>
  <c r="AD613"/>
  <c r="AK613"/>
  <c r="AS613"/>
  <c r="AJ613"/>
  <c r="AR613"/>
  <c r="AP613"/>
  <c r="O613"/>
  <c r="Q613"/>
  <c r="AA613"/>
  <c r="AO613"/>
  <c r="P613"/>
  <c r="T613"/>
  <c r="S613"/>
  <c r="AN613"/>
  <c r="AM613"/>
  <c r="R613"/>
  <c r="AI612"/>
  <c r="AB612"/>
  <c r="AH612"/>
  <c r="AQ612"/>
  <c r="AG612"/>
  <c r="AF612"/>
  <c r="AE612"/>
  <c r="AD612"/>
  <c r="AK612"/>
  <c r="AS612"/>
  <c r="AJ612"/>
  <c r="AR612"/>
  <c r="AP612"/>
  <c r="O612"/>
  <c r="Q612"/>
  <c r="AA612"/>
  <c r="AO612"/>
  <c r="P612"/>
  <c r="T612"/>
  <c r="S612"/>
  <c r="AN612"/>
  <c r="AM612"/>
  <c r="R612"/>
  <c r="AI611"/>
  <c r="AB611"/>
  <c r="AH611"/>
  <c r="AQ611"/>
  <c r="AG611"/>
  <c r="AF611"/>
  <c r="AE611"/>
  <c r="AD611"/>
  <c r="AK611"/>
  <c r="AS611"/>
  <c r="AJ611"/>
  <c r="AR611"/>
  <c r="AP611"/>
  <c r="O611"/>
  <c r="Q611"/>
  <c r="AA611"/>
  <c r="AO611"/>
  <c r="P611"/>
  <c r="T611"/>
  <c r="S611"/>
  <c r="AN611"/>
  <c r="AM611"/>
  <c r="R611"/>
  <c r="AI610"/>
  <c r="AB610"/>
  <c r="AH610"/>
  <c r="AQ610"/>
  <c r="AG610"/>
  <c r="AF610"/>
  <c r="AE610"/>
  <c r="AD610"/>
  <c r="AK610"/>
  <c r="AS610"/>
  <c r="AJ610"/>
  <c r="AR610"/>
  <c r="AP610"/>
  <c r="O610"/>
  <c r="Q610"/>
  <c r="AA610"/>
  <c r="AO610"/>
  <c r="P610"/>
  <c r="T610"/>
  <c r="S610"/>
  <c r="AN610"/>
  <c r="AM610"/>
  <c r="R610"/>
  <c r="AI609"/>
  <c r="AB609"/>
  <c r="AH609"/>
  <c r="AQ609"/>
  <c r="AG609"/>
  <c r="AF609"/>
  <c r="AE609"/>
  <c r="AD609"/>
  <c r="AK609"/>
  <c r="AS609"/>
  <c r="AJ609"/>
  <c r="AR609"/>
  <c r="AP609"/>
  <c r="O609"/>
  <c r="Q609"/>
  <c r="AA609"/>
  <c r="AO609"/>
  <c r="P609"/>
  <c r="T609"/>
  <c r="S609"/>
  <c r="AN609"/>
  <c r="AM609"/>
  <c r="R609"/>
  <c r="AI608"/>
  <c r="AB608"/>
  <c r="AH608"/>
  <c r="AQ608"/>
  <c r="AG608"/>
  <c r="AF608"/>
  <c r="AE608"/>
  <c r="AD608"/>
  <c r="AK608"/>
  <c r="AS608"/>
  <c r="AJ608"/>
  <c r="AR608"/>
  <c r="AP608"/>
  <c r="O608"/>
  <c r="Q608"/>
  <c r="AA608"/>
  <c r="AO608"/>
  <c r="P608"/>
  <c r="T608"/>
  <c r="S608"/>
  <c r="AN608"/>
  <c r="AM608"/>
  <c r="R608"/>
  <c r="AI607"/>
  <c r="AB607"/>
  <c r="AH607"/>
  <c r="AQ607"/>
  <c r="AG607"/>
  <c r="AF607"/>
  <c r="AE607"/>
  <c r="AD607"/>
  <c r="AK607"/>
  <c r="AS607"/>
  <c r="AJ607"/>
  <c r="AR607"/>
  <c r="AP607"/>
  <c r="O607"/>
  <c r="Q607"/>
  <c r="AA607"/>
  <c r="AO607"/>
  <c r="P607"/>
  <c r="T607"/>
  <c r="S607"/>
  <c r="AN607"/>
  <c r="AM607"/>
  <c r="R607"/>
  <c r="AI606"/>
  <c r="AB606"/>
  <c r="AH606"/>
  <c r="AQ606"/>
  <c r="AG606"/>
  <c r="AF606"/>
  <c r="AE606"/>
  <c r="AD606"/>
  <c r="AK606"/>
  <c r="AS606"/>
  <c r="AJ606"/>
  <c r="AR606"/>
  <c r="AP606"/>
  <c r="O606"/>
  <c r="Q606"/>
  <c r="AA606"/>
  <c r="AO606"/>
  <c r="P606"/>
  <c r="T606"/>
  <c r="S606"/>
  <c r="AN606"/>
  <c r="AM606"/>
  <c r="R606"/>
  <c r="AI605"/>
  <c r="AB605"/>
  <c r="AH605"/>
  <c r="AQ605"/>
  <c r="AG605"/>
  <c r="AF605"/>
  <c r="AE605"/>
  <c r="AD605"/>
  <c r="AK605"/>
  <c r="AS605"/>
  <c r="AJ605"/>
  <c r="AR605"/>
  <c r="AP605"/>
  <c r="O605"/>
  <c r="Q605"/>
  <c r="AA605"/>
  <c r="AO605"/>
  <c r="P605"/>
  <c r="T605"/>
  <c r="S605"/>
  <c r="AN605"/>
  <c r="AM605"/>
  <c r="R605"/>
  <c r="AI604"/>
  <c r="AB604"/>
  <c r="AH604"/>
  <c r="AQ604"/>
  <c r="AG604"/>
  <c r="AF604"/>
  <c r="AE604"/>
  <c r="AD604"/>
  <c r="AK604"/>
  <c r="AS604"/>
  <c r="AJ604"/>
  <c r="AR604"/>
  <c r="AP604"/>
  <c r="O604"/>
  <c r="Q604"/>
  <c r="AA604"/>
  <c r="AO604"/>
  <c r="P604"/>
  <c r="T604"/>
  <c r="S604"/>
  <c r="AN604"/>
  <c r="AM604"/>
  <c r="R604"/>
  <c r="AI603"/>
  <c r="AB603"/>
  <c r="AH603"/>
  <c r="AQ603"/>
  <c r="AG603"/>
  <c r="AF603"/>
  <c r="AE603"/>
  <c r="AD603"/>
  <c r="AK603"/>
  <c r="AS603"/>
  <c r="AJ603"/>
  <c r="AR603"/>
  <c r="AP603"/>
  <c r="O603"/>
  <c r="Q603"/>
  <c r="AA603"/>
  <c r="AO603"/>
  <c r="P603"/>
  <c r="T603"/>
  <c r="S603"/>
  <c r="AN603"/>
  <c r="AM603"/>
  <c r="R603"/>
  <c r="AI602"/>
  <c r="AB602"/>
  <c r="AH602"/>
  <c r="AQ602"/>
  <c r="AG602"/>
  <c r="AF602"/>
  <c r="AE602"/>
  <c r="AD602"/>
  <c r="AK602"/>
  <c r="AS602"/>
  <c r="AJ602"/>
  <c r="AR602"/>
  <c r="AP602"/>
  <c r="O602"/>
  <c r="Q602"/>
  <c r="AA602"/>
  <c r="AO602"/>
  <c r="P602"/>
  <c r="T602"/>
  <c r="S602"/>
  <c r="AN602"/>
  <c r="AM602"/>
  <c r="R602"/>
  <c r="AI601"/>
  <c r="AB601"/>
  <c r="AH601"/>
  <c r="AQ601"/>
  <c r="AG601"/>
  <c r="AF601"/>
  <c r="AE601"/>
  <c r="AD601"/>
  <c r="AK601"/>
  <c r="AS601"/>
  <c r="AJ601"/>
  <c r="AR601"/>
  <c r="AP601"/>
  <c r="O601"/>
  <c r="Q601"/>
  <c r="AA601"/>
  <c r="AO601"/>
  <c r="P601"/>
  <c r="T601"/>
  <c r="S601"/>
  <c r="AN601"/>
  <c r="AM601"/>
  <c r="R601"/>
  <c r="AI600"/>
  <c r="AB600"/>
  <c r="AH600"/>
  <c r="AQ600"/>
  <c r="AG600"/>
  <c r="AF600"/>
  <c r="AE600"/>
  <c r="AD600"/>
  <c r="AK600"/>
  <c r="AS600"/>
  <c r="AJ600"/>
  <c r="AR600"/>
  <c r="AP600"/>
  <c r="O600"/>
  <c r="Q600"/>
  <c r="AA600"/>
  <c r="AO600"/>
  <c r="P600"/>
  <c r="T600"/>
  <c r="S600"/>
  <c r="AN600"/>
  <c r="AM600"/>
  <c r="R600"/>
  <c r="AI599"/>
  <c r="AB599"/>
  <c r="AH599"/>
  <c r="AQ599"/>
  <c r="AG599"/>
  <c r="AF599"/>
  <c r="AE599"/>
  <c r="AD599"/>
  <c r="AK599"/>
  <c r="AS599"/>
  <c r="AJ599"/>
  <c r="AR599"/>
  <c r="AP599"/>
  <c r="O599"/>
  <c r="Q599"/>
  <c r="AA599"/>
  <c r="AO599"/>
  <c r="P599"/>
  <c r="T599"/>
  <c r="S599"/>
  <c r="AN599"/>
  <c r="AM599"/>
  <c r="R599"/>
  <c r="AI598"/>
  <c r="AB598"/>
  <c r="AH598"/>
  <c r="AQ598"/>
  <c r="AG598"/>
  <c r="AF598"/>
  <c r="AE598"/>
  <c r="AD598"/>
  <c r="AK598"/>
  <c r="AS598"/>
  <c r="AJ598"/>
  <c r="AR598"/>
  <c r="AP598"/>
  <c r="O598"/>
  <c r="Q598"/>
  <c r="AA598"/>
  <c r="AO598"/>
  <c r="P598"/>
  <c r="T598"/>
  <c r="S598"/>
  <c r="AN598"/>
  <c r="AM598"/>
  <c r="R598"/>
  <c r="AI597"/>
  <c r="AB597"/>
  <c r="AH597"/>
  <c r="AQ597"/>
  <c r="AG597"/>
  <c r="AF597"/>
  <c r="AE597"/>
  <c r="AD597"/>
  <c r="AK597"/>
  <c r="AS597"/>
  <c r="AJ597"/>
  <c r="AR597"/>
  <c r="AP597"/>
  <c r="O597"/>
  <c r="Q597"/>
  <c r="AA597"/>
  <c r="AO597"/>
  <c r="P597"/>
  <c r="T597"/>
  <c r="S597"/>
  <c r="AN597"/>
  <c r="AM597"/>
  <c r="R597"/>
  <c r="AI596"/>
  <c r="AB596"/>
  <c r="AH596"/>
  <c r="AQ596"/>
  <c r="AG596"/>
  <c r="AF596"/>
  <c r="AE596"/>
  <c r="AD596"/>
  <c r="AK596"/>
  <c r="AS596"/>
  <c r="AJ596"/>
  <c r="AR596"/>
  <c r="AP596"/>
  <c r="O596"/>
  <c r="Q596"/>
  <c r="AA596"/>
  <c r="AO596"/>
  <c r="P596"/>
  <c r="T596"/>
  <c r="S596"/>
  <c r="AN596"/>
  <c r="AM596"/>
  <c r="R596"/>
  <c r="AI595"/>
  <c r="AB595"/>
  <c r="AH595"/>
  <c r="AQ595"/>
  <c r="AG595"/>
  <c r="AF595"/>
  <c r="AE595"/>
  <c r="AD595"/>
  <c r="AK595"/>
  <c r="AS595"/>
  <c r="AJ595"/>
  <c r="AR595"/>
  <c r="AP595"/>
  <c r="O595"/>
  <c r="Q595"/>
  <c r="AA595"/>
  <c r="AO595"/>
  <c r="P595"/>
  <c r="T595"/>
  <c r="S595"/>
  <c r="AN595"/>
  <c r="AM595"/>
  <c r="R595"/>
  <c r="AI594"/>
  <c r="AB594"/>
  <c r="AH594"/>
  <c r="AQ594"/>
  <c r="AG594"/>
  <c r="AF594"/>
  <c r="AE594"/>
  <c r="AD594"/>
  <c r="AK594"/>
  <c r="AS594"/>
  <c r="AJ594"/>
  <c r="AR594"/>
  <c r="AP594"/>
  <c r="O594"/>
  <c r="Q594"/>
  <c r="AA594"/>
  <c r="AO594"/>
  <c r="P594"/>
  <c r="T594"/>
  <c r="S594"/>
  <c r="AN594"/>
  <c r="AM594"/>
  <c r="R594"/>
  <c r="AI593"/>
  <c r="AB593"/>
  <c r="AH593"/>
  <c r="AQ593"/>
  <c r="AG593"/>
  <c r="AF593"/>
  <c r="AE593"/>
  <c r="AD593"/>
  <c r="AK593"/>
  <c r="AS593"/>
  <c r="AJ593"/>
  <c r="AR593"/>
  <c r="AP593"/>
  <c r="O593"/>
  <c r="Q593"/>
  <c r="AA593"/>
  <c r="AO593"/>
  <c r="P593"/>
  <c r="T593"/>
  <c r="S593"/>
  <c r="AN593"/>
  <c r="AM593"/>
  <c r="R593"/>
  <c r="AI592"/>
  <c r="AB592"/>
  <c r="AH592"/>
  <c r="AQ592"/>
  <c r="AG592"/>
  <c r="AF592"/>
  <c r="AE592"/>
  <c r="AD592"/>
  <c r="AK592"/>
  <c r="AS592"/>
  <c r="AJ592"/>
  <c r="AR592"/>
  <c r="AP592"/>
  <c r="O592"/>
  <c r="Q592"/>
  <c r="AA592"/>
  <c r="AO592"/>
  <c r="P592"/>
  <c r="T592"/>
  <c r="S592"/>
  <c r="AN592"/>
  <c r="AM592"/>
  <c r="R592"/>
  <c r="AI591"/>
  <c r="AB591"/>
  <c r="AH591"/>
  <c r="AQ591"/>
  <c r="AG591"/>
  <c r="AF591"/>
  <c r="AE591"/>
  <c r="AD591"/>
  <c r="AK591"/>
  <c r="AS591"/>
  <c r="AJ591"/>
  <c r="AR591"/>
  <c r="AP591"/>
  <c r="O591"/>
  <c r="Q591"/>
  <c r="AA591"/>
  <c r="AO591"/>
  <c r="P591"/>
  <c r="T591"/>
  <c r="S591"/>
  <c r="AN591"/>
  <c r="AM591"/>
  <c r="R591"/>
  <c r="AI590"/>
  <c r="AB590"/>
  <c r="AH590"/>
  <c r="AQ590"/>
  <c r="AG590"/>
  <c r="AF590"/>
  <c r="AE590"/>
  <c r="AD590"/>
  <c r="AK590"/>
  <c r="AS590"/>
  <c r="AJ590"/>
  <c r="AR590"/>
  <c r="AP590"/>
  <c r="O590"/>
  <c r="Q590"/>
  <c r="AA590"/>
  <c r="AO590"/>
  <c r="P590"/>
  <c r="T590"/>
  <c r="S590"/>
  <c r="AN590"/>
  <c r="AM590"/>
  <c r="R590"/>
  <c r="AI589"/>
  <c r="AB589"/>
  <c r="AH589"/>
  <c r="AQ589"/>
  <c r="AG589"/>
  <c r="AF589"/>
  <c r="AE589"/>
  <c r="AD589"/>
  <c r="AK589"/>
  <c r="AS589"/>
  <c r="AJ589"/>
  <c r="AR589"/>
  <c r="AP589"/>
  <c r="O589"/>
  <c r="Q589"/>
  <c r="AA589"/>
  <c r="AO589"/>
  <c r="P589"/>
  <c r="T589"/>
  <c r="S589"/>
  <c r="AN589"/>
  <c r="AM589"/>
  <c r="R589"/>
  <c r="AI588"/>
  <c r="AB588"/>
  <c r="AH588"/>
  <c r="AQ588"/>
  <c r="AG588"/>
  <c r="AF588"/>
  <c r="AE588"/>
  <c r="AD588"/>
  <c r="AK588"/>
  <c r="AS588"/>
  <c r="AJ588"/>
  <c r="AR588"/>
  <c r="AP588"/>
  <c r="O588"/>
  <c r="Q588"/>
  <c r="AA588"/>
  <c r="AO588"/>
  <c r="P588"/>
  <c r="T588"/>
  <c r="S588"/>
  <c r="AN588"/>
  <c r="AM588"/>
  <c r="R588"/>
  <c r="AI587"/>
  <c r="AB587"/>
  <c r="AH587"/>
  <c r="AQ587"/>
  <c r="AG587"/>
  <c r="AF587"/>
  <c r="AE587"/>
  <c r="AD587"/>
  <c r="AK587"/>
  <c r="AS587"/>
  <c r="AJ587"/>
  <c r="AR587"/>
  <c r="AP587"/>
  <c r="O587"/>
  <c r="Q587"/>
  <c r="AA587"/>
  <c r="AO587"/>
  <c r="P587"/>
  <c r="T587"/>
  <c r="S587"/>
  <c r="AN587"/>
  <c r="AM587"/>
  <c r="R587"/>
  <c r="AI586"/>
  <c r="AB586"/>
  <c r="AH586"/>
  <c r="AQ586"/>
  <c r="AG586"/>
  <c r="AF586"/>
  <c r="AE586"/>
  <c r="AD586"/>
  <c r="AK586"/>
  <c r="AS586"/>
  <c r="AJ586"/>
  <c r="AR586"/>
  <c r="AP586"/>
  <c r="O586"/>
  <c r="Q586"/>
  <c r="AA586"/>
  <c r="AO586"/>
  <c r="P586"/>
  <c r="T586"/>
  <c r="S586"/>
  <c r="AN586"/>
  <c r="AM586"/>
  <c r="R586"/>
  <c r="AI585"/>
  <c r="AB585"/>
  <c r="AH585"/>
  <c r="AQ585"/>
  <c r="AG585"/>
  <c r="AF585"/>
  <c r="AE585"/>
  <c r="AD585"/>
  <c r="AK585"/>
  <c r="AS585"/>
  <c r="AJ585"/>
  <c r="AR585"/>
  <c r="AP585"/>
  <c r="O585"/>
  <c r="Q585"/>
  <c r="AA585"/>
  <c r="AO585"/>
  <c r="P585"/>
  <c r="T585"/>
  <c r="S585"/>
  <c r="AN585"/>
  <c r="AM585"/>
  <c r="R585"/>
  <c r="AI584"/>
  <c r="AB584"/>
  <c r="AH584"/>
  <c r="AQ584"/>
  <c r="AG584"/>
  <c r="AF584"/>
  <c r="AE584"/>
  <c r="AD584"/>
  <c r="AK584"/>
  <c r="AS584"/>
  <c r="AJ584"/>
  <c r="AR584"/>
  <c r="AP584"/>
  <c r="O584"/>
  <c r="Q584"/>
  <c r="AA584"/>
  <c r="AO584"/>
  <c r="P584"/>
  <c r="T584"/>
  <c r="S584"/>
  <c r="AN584"/>
  <c r="AM584"/>
  <c r="R584"/>
  <c r="AI583"/>
  <c r="AB583"/>
  <c r="AH583"/>
  <c r="AQ583"/>
  <c r="AG583"/>
  <c r="AF583"/>
  <c r="AE583"/>
  <c r="AD583"/>
  <c r="AK583"/>
  <c r="AS583"/>
  <c r="AJ583"/>
  <c r="AR583"/>
  <c r="AP583"/>
  <c r="O583"/>
  <c r="Q583"/>
  <c r="AA583"/>
  <c r="AO583"/>
  <c r="P583"/>
  <c r="T583"/>
  <c r="S583"/>
  <c r="AN583"/>
  <c r="AM583"/>
  <c r="R583"/>
  <c r="AI582"/>
  <c r="AB582"/>
  <c r="AH582"/>
  <c r="AQ582"/>
  <c r="AG582"/>
  <c r="AF582"/>
  <c r="AE582"/>
  <c r="AD582"/>
  <c r="AK582"/>
  <c r="AS582"/>
  <c r="AJ582"/>
  <c r="AR582"/>
  <c r="AP582"/>
  <c r="O582"/>
  <c r="Q582"/>
  <c r="AA582"/>
  <c r="AO582"/>
  <c r="P582"/>
  <c r="T582"/>
  <c r="S582"/>
  <c r="AN582"/>
  <c r="AM582"/>
  <c r="R582"/>
  <c r="AI581"/>
  <c r="AB581"/>
  <c r="AH581"/>
  <c r="AQ581"/>
  <c r="AG581"/>
  <c r="AF581"/>
  <c r="AE581"/>
  <c r="AD581"/>
  <c r="AK581"/>
  <c r="AS581"/>
  <c r="AJ581"/>
  <c r="AR581"/>
  <c r="AP581"/>
  <c r="O581"/>
  <c r="Q581"/>
  <c r="AA581"/>
  <c r="AO581"/>
  <c r="P581"/>
  <c r="T581"/>
  <c r="S581"/>
  <c r="AN581"/>
  <c r="AM581"/>
  <c r="R581"/>
  <c r="AI580"/>
  <c r="AB580"/>
  <c r="AH580"/>
  <c r="AQ580"/>
  <c r="AG580"/>
  <c r="AF580"/>
  <c r="AE580"/>
  <c r="AD580"/>
  <c r="AK580"/>
  <c r="AS580"/>
  <c r="AJ580"/>
  <c r="AR580"/>
  <c r="AP580"/>
  <c r="O580"/>
  <c r="Q580"/>
  <c r="AA580"/>
  <c r="AO580"/>
  <c r="P580"/>
  <c r="T580"/>
  <c r="S580"/>
  <c r="AN580"/>
  <c r="AM580"/>
  <c r="R580"/>
  <c r="AI579"/>
  <c r="AB579"/>
  <c r="AH579"/>
  <c r="AQ579"/>
  <c r="AG579"/>
  <c r="AF579"/>
  <c r="AE579"/>
  <c r="AD579"/>
  <c r="AK579"/>
  <c r="AS579"/>
  <c r="AJ579"/>
  <c r="AR579"/>
  <c r="AP579"/>
  <c r="O579"/>
  <c r="Q579"/>
  <c r="AA579"/>
  <c r="AO579"/>
  <c r="P579"/>
  <c r="T579"/>
  <c r="S579"/>
  <c r="AN579"/>
  <c r="AM579"/>
  <c r="R579"/>
  <c r="AI578"/>
  <c r="AB578"/>
  <c r="AH578"/>
  <c r="AQ578"/>
  <c r="AG578"/>
  <c r="AF578"/>
  <c r="AE578"/>
  <c r="AD578"/>
  <c r="AK578"/>
  <c r="AS578"/>
  <c r="AJ578"/>
  <c r="AR578"/>
  <c r="AP578"/>
  <c r="O578"/>
  <c r="Q578"/>
  <c r="AA578"/>
  <c r="AO578"/>
  <c r="P578"/>
  <c r="T578"/>
  <c r="S578"/>
  <c r="AN578"/>
  <c r="AM578"/>
  <c r="R578"/>
  <c r="AI577"/>
  <c r="AB577"/>
  <c r="AH577"/>
  <c r="AQ577"/>
  <c r="AG577"/>
  <c r="AF577"/>
  <c r="AE577"/>
  <c r="AD577"/>
  <c r="AK577"/>
  <c r="AS577"/>
  <c r="AJ577"/>
  <c r="AR577"/>
  <c r="AP577"/>
  <c r="O577"/>
  <c r="Q577"/>
  <c r="AA577"/>
  <c r="AO577"/>
  <c r="P577"/>
  <c r="T577"/>
  <c r="S577"/>
  <c r="AN577"/>
  <c r="AM577"/>
  <c r="R577"/>
  <c r="AI576"/>
  <c r="AB576"/>
  <c r="AH576"/>
  <c r="AQ576"/>
  <c r="AG576"/>
  <c r="AF576"/>
  <c r="AE576"/>
  <c r="AD576"/>
  <c r="AK576"/>
  <c r="AS576"/>
  <c r="AJ576"/>
  <c r="AR576"/>
  <c r="AP576"/>
  <c r="O576"/>
  <c r="Q576"/>
  <c r="AA576"/>
  <c r="AO576"/>
  <c r="P576"/>
  <c r="T576"/>
  <c r="S576"/>
  <c r="AN576"/>
  <c r="AM576"/>
  <c r="R576"/>
  <c r="AI575"/>
  <c r="AB575"/>
  <c r="AH575"/>
  <c r="AQ575"/>
  <c r="AG575"/>
  <c r="AF575"/>
  <c r="AE575"/>
  <c r="AD575"/>
  <c r="AK575"/>
  <c r="AS575"/>
  <c r="AJ575"/>
  <c r="AR575"/>
  <c r="AP575"/>
  <c r="O575"/>
  <c r="Q575"/>
  <c r="AA575"/>
  <c r="AO575"/>
  <c r="P575"/>
  <c r="T575"/>
  <c r="S575"/>
  <c r="AN575"/>
  <c r="AM575"/>
  <c r="R575"/>
  <c r="AI574"/>
  <c r="AB574"/>
  <c r="AH574"/>
  <c r="AQ574"/>
  <c r="AG574"/>
  <c r="AF574"/>
  <c r="AE574"/>
  <c r="AD574"/>
  <c r="AK574"/>
  <c r="AS574"/>
  <c r="AJ574"/>
  <c r="AR574"/>
  <c r="AP574"/>
  <c r="O574"/>
  <c r="Q574"/>
  <c r="AA574"/>
  <c r="AO574"/>
  <c r="P574"/>
  <c r="T574"/>
  <c r="S574"/>
  <c r="AN574"/>
  <c r="AM574"/>
  <c r="R574"/>
  <c r="AI573"/>
  <c r="AB573"/>
  <c r="AH573"/>
  <c r="AQ573"/>
  <c r="AG573"/>
  <c r="AF573"/>
  <c r="AE573"/>
  <c r="AD573"/>
  <c r="AK573"/>
  <c r="AS573"/>
  <c r="AJ573"/>
  <c r="AR573"/>
  <c r="AP573"/>
  <c r="O573"/>
  <c r="Q573"/>
  <c r="AA573"/>
  <c r="AO573"/>
  <c r="P573"/>
  <c r="T573"/>
  <c r="S573"/>
  <c r="AN573"/>
  <c r="AM573"/>
  <c r="R573"/>
  <c r="AI572"/>
  <c r="AB572"/>
  <c r="AH572"/>
  <c r="AQ572"/>
  <c r="AG572"/>
  <c r="AF572"/>
  <c r="AE572"/>
  <c r="AD572"/>
  <c r="AK572"/>
  <c r="AS572"/>
  <c r="AJ572"/>
  <c r="AR572"/>
  <c r="AP572"/>
  <c r="O572"/>
  <c r="Q572"/>
  <c r="AA572"/>
  <c r="AO572"/>
  <c r="P572"/>
  <c r="T572"/>
  <c r="S572"/>
  <c r="AN572"/>
  <c r="AM572"/>
  <c r="R572"/>
  <c r="AI571"/>
  <c r="AB571"/>
  <c r="AH571"/>
  <c r="AQ571"/>
  <c r="AG571"/>
  <c r="AF571"/>
  <c r="AE571"/>
  <c r="AD571"/>
  <c r="AK571"/>
  <c r="AS571"/>
  <c r="AJ571"/>
  <c r="AR571"/>
  <c r="AP571"/>
  <c r="O571"/>
  <c r="Q571"/>
  <c r="AA571"/>
  <c r="AO571"/>
  <c r="P571"/>
  <c r="T571"/>
  <c r="S571"/>
  <c r="AN571"/>
  <c r="AM571"/>
  <c r="R571"/>
  <c r="AI570"/>
  <c r="AB570"/>
  <c r="AH570"/>
  <c r="AQ570"/>
  <c r="AG570"/>
  <c r="AF570"/>
  <c r="AE570"/>
  <c r="AD570"/>
  <c r="AK570"/>
  <c r="AS570"/>
  <c r="AJ570"/>
  <c r="AR570"/>
  <c r="AP570"/>
  <c r="O570"/>
  <c r="Q570"/>
  <c r="AA570"/>
  <c r="AO570"/>
  <c r="P570"/>
  <c r="T570"/>
  <c r="S570"/>
  <c r="AN570"/>
  <c r="AM570"/>
  <c r="R570"/>
  <c r="AI569"/>
  <c r="AB569"/>
  <c r="AH569"/>
  <c r="AQ569"/>
  <c r="AG569"/>
  <c r="AF569"/>
  <c r="AE569"/>
  <c r="AD569"/>
  <c r="AK569"/>
  <c r="AS569"/>
  <c r="AJ569"/>
  <c r="AR569"/>
  <c r="AP569"/>
  <c r="O569"/>
  <c r="Q569"/>
  <c r="AA569"/>
  <c r="AO569"/>
  <c r="P569"/>
  <c r="T569"/>
  <c r="S569"/>
  <c r="AN569"/>
  <c r="AM569"/>
  <c r="R569"/>
  <c r="AI568"/>
  <c r="AB568"/>
  <c r="AH568"/>
  <c r="AQ568"/>
  <c r="AG568"/>
  <c r="AF568"/>
  <c r="AE568"/>
  <c r="AD568"/>
  <c r="AK568"/>
  <c r="AS568"/>
  <c r="AJ568"/>
  <c r="AR568"/>
  <c r="AP568"/>
  <c r="O568"/>
  <c r="Q568"/>
  <c r="AA568"/>
  <c r="AO568"/>
  <c r="P568"/>
  <c r="T568"/>
  <c r="S568"/>
  <c r="AN568"/>
  <c r="AM568"/>
  <c r="R568"/>
  <c r="AI567"/>
  <c r="AB567"/>
  <c r="AH567"/>
  <c r="AQ567"/>
  <c r="AG567"/>
  <c r="AF567"/>
  <c r="AE567"/>
  <c r="AD567"/>
  <c r="AK567"/>
  <c r="AS567"/>
  <c r="AJ567"/>
  <c r="AR567"/>
  <c r="AP567"/>
  <c r="O567"/>
  <c r="Q567"/>
  <c r="AA567"/>
  <c r="AO567"/>
  <c r="P567"/>
  <c r="T567"/>
  <c r="S567"/>
  <c r="AN567"/>
  <c r="AM567"/>
  <c r="R567"/>
  <c r="AI566"/>
  <c r="AB566"/>
  <c r="AH566"/>
  <c r="AQ566"/>
  <c r="AG566"/>
  <c r="AF566"/>
  <c r="AE566"/>
  <c r="AD566"/>
  <c r="AK566"/>
  <c r="AS566"/>
  <c r="AJ566"/>
  <c r="AR566"/>
  <c r="AP566"/>
  <c r="O566"/>
  <c r="Q566"/>
  <c r="AA566"/>
  <c r="AO566"/>
  <c r="P566"/>
  <c r="T566"/>
  <c r="S566"/>
  <c r="AN566"/>
  <c r="AM566"/>
  <c r="R566"/>
  <c r="AI565"/>
  <c r="AB565"/>
  <c r="AH565"/>
  <c r="AQ565"/>
  <c r="AG565"/>
  <c r="AF565"/>
  <c r="AE565"/>
  <c r="AD565"/>
  <c r="AK565"/>
  <c r="AS565"/>
  <c r="AJ565"/>
  <c r="AR565"/>
  <c r="AP565"/>
  <c r="O565"/>
  <c r="Q565"/>
  <c r="AA565"/>
  <c r="AO565"/>
  <c r="P565"/>
  <c r="T565"/>
  <c r="S565"/>
  <c r="AN565"/>
  <c r="AM565"/>
  <c r="R565"/>
  <c r="AI564"/>
  <c r="AB564"/>
  <c r="AH564"/>
  <c r="AQ564"/>
  <c r="AG564"/>
  <c r="AF564"/>
  <c r="AE564"/>
  <c r="AD564"/>
  <c r="AK564"/>
  <c r="AS564"/>
  <c r="AJ564"/>
  <c r="AR564"/>
  <c r="AP564"/>
  <c r="O564"/>
  <c r="Q564"/>
  <c r="AA564"/>
  <c r="AO564"/>
  <c r="P564"/>
  <c r="T564"/>
  <c r="S564"/>
  <c r="AN564"/>
  <c r="AM564"/>
  <c r="R564"/>
  <c r="AI563"/>
  <c r="AB563"/>
  <c r="AH563"/>
  <c r="AQ563"/>
  <c r="AG563"/>
  <c r="AF563"/>
  <c r="AE563"/>
  <c r="AD563"/>
  <c r="AK563"/>
  <c r="AS563"/>
  <c r="AJ563"/>
  <c r="AR563"/>
  <c r="AP563"/>
  <c r="O563"/>
  <c r="Q563"/>
  <c r="AA563"/>
  <c r="AO563"/>
  <c r="P563"/>
  <c r="T563"/>
  <c r="S563"/>
  <c r="AN563"/>
  <c r="AM563"/>
  <c r="R563"/>
  <c r="AI562"/>
  <c r="AB562"/>
  <c r="AH562"/>
  <c r="AQ562"/>
  <c r="AG562"/>
  <c r="AF562"/>
  <c r="AE562"/>
  <c r="AD562"/>
  <c r="AK562"/>
  <c r="AS562"/>
  <c r="AJ562"/>
  <c r="AR562"/>
  <c r="AP562"/>
  <c r="O562"/>
  <c r="Q562"/>
  <c r="AA562"/>
  <c r="AO562"/>
  <c r="P562"/>
  <c r="T562"/>
  <c r="S562"/>
  <c r="AN562"/>
  <c r="AM562"/>
  <c r="R562"/>
  <c r="AI561"/>
  <c r="AB561"/>
  <c r="AH561"/>
  <c r="AQ561"/>
  <c r="AG561"/>
  <c r="AF561"/>
  <c r="AE561"/>
  <c r="AD561"/>
  <c r="AK561"/>
  <c r="AS561"/>
  <c r="AJ561"/>
  <c r="AR561"/>
  <c r="AP561"/>
  <c r="O561"/>
  <c r="Q561"/>
  <c r="AA561"/>
  <c r="AO561"/>
  <c r="P561"/>
  <c r="T561"/>
  <c r="S561"/>
  <c r="AN561"/>
  <c r="AM561"/>
  <c r="R561"/>
  <c r="AI560"/>
  <c r="AB560"/>
  <c r="AH560"/>
  <c r="AQ560"/>
  <c r="AG560"/>
  <c r="AF560"/>
  <c r="AE560"/>
  <c r="AD560"/>
  <c r="AK560"/>
  <c r="AS560"/>
  <c r="AJ560"/>
  <c r="AR560"/>
  <c r="AP560"/>
  <c r="O560"/>
  <c r="Q560"/>
  <c r="AA560"/>
  <c r="AO560"/>
  <c r="P560"/>
  <c r="T560"/>
  <c r="S560"/>
  <c r="AN560"/>
  <c r="AM560"/>
  <c r="R560"/>
  <c r="AI559"/>
  <c r="AB559"/>
  <c r="AH559"/>
  <c r="AQ559"/>
  <c r="AG559"/>
  <c r="AF559"/>
  <c r="AE559"/>
  <c r="AD559"/>
  <c r="AK559"/>
  <c r="AS559"/>
  <c r="AJ559"/>
  <c r="AR559"/>
  <c r="AP559"/>
  <c r="O559"/>
  <c r="Q559"/>
  <c r="AA559"/>
  <c r="AO559"/>
  <c r="P559"/>
  <c r="T559"/>
  <c r="S559"/>
  <c r="AN559"/>
  <c r="AM559"/>
  <c r="R559"/>
  <c r="AI558"/>
  <c r="AB558"/>
  <c r="AH558"/>
  <c r="AQ558"/>
  <c r="AG558"/>
  <c r="AF558"/>
  <c r="AE558"/>
  <c r="AD558"/>
  <c r="AK558"/>
  <c r="AS558"/>
  <c r="AJ558"/>
  <c r="AR558"/>
  <c r="AP558"/>
  <c r="O558"/>
  <c r="Q558"/>
  <c r="AA558"/>
  <c r="AO558"/>
  <c r="P558"/>
  <c r="T558"/>
  <c r="S558"/>
  <c r="AN558"/>
  <c r="AM558"/>
  <c r="R558"/>
  <c r="AI557"/>
  <c r="AB557"/>
  <c r="AH557"/>
  <c r="AQ557"/>
  <c r="AG557"/>
  <c r="AF557"/>
  <c r="AE557"/>
  <c r="AD557"/>
  <c r="AK557"/>
  <c r="AS557"/>
  <c r="AJ557"/>
  <c r="AR557"/>
  <c r="AP557"/>
  <c r="O557"/>
  <c r="Q557"/>
  <c r="AA557"/>
  <c r="AO557"/>
  <c r="P557"/>
  <c r="T557"/>
  <c r="S557"/>
  <c r="AN557"/>
  <c r="AM557"/>
  <c r="R557"/>
  <c r="AI556"/>
  <c r="AB556"/>
  <c r="AH556"/>
  <c r="AQ556"/>
  <c r="AG556"/>
  <c r="AF556"/>
  <c r="AE556"/>
  <c r="AD556"/>
  <c r="AK556"/>
  <c r="AS556"/>
  <c r="AJ556"/>
  <c r="AR556"/>
  <c r="AP556"/>
  <c r="O556"/>
  <c r="Q556"/>
  <c r="AA556"/>
  <c r="AO556"/>
  <c r="P556"/>
  <c r="T556"/>
  <c r="S556"/>
  <c r="AN556"/>
  <c r="AM556"/>
  <c r="R556"/>
  <c r="AI555"/>
  <c r="AB555"/>
  <c r="AH555"/>
  <c r="AQ555"/>
  <c r="AG555"/>
  <c r="AF555"/>
  <c r="AE555"/>
  <c r="AD555"/>
  <c r="AK555"/>
  <c r="AS555"/>
  <c r="AJ555"/>
  <c r="AR555"/>
  <c r="AP555"/>
  <c r="O555"/>
  <c r="Q555"/>
  <c r="AA555"/>
  <c r="AO555"/>
  <c r="P555"/>
  <c r="T555"/>
  <c r="S555"/>
  <c r="AN555"/>
  <c r="AM555"/>
  <c r="R555"/>
  <c r="AI554"/>
  <c r="AB554"/>
  <c r="AH554"/>
  <c r="AQ554"/>
  <c r="AG554"/>
  <c r="AF554"/>
  <c r="AE554"/>
  <c r="AD554"/>
  <c r="AK554"/>
  <c r="AS554"/>
  <c r="AJ554"/>
  <c r="AR554"/>
  <c r="AP554"/>
  <c r="O554"/>
  <c r="Q554"/>
  <c r="AA554"/>
  <c r="AO554"/>
  <c r="P554"/>
  <c r="T554"/>
  <c r="S554"/>
  <c r="AN554"/>
  <c r="AM554"/>
  <c r="R554"/>
  <c r="AI553"/>
  <c r="AB553"/>
  <c r="AH553"/>
  <c r="AQ553"/>
  <c r="AG553"/>
  <c r="AF553"/>
  <c r="AE553"/>
  <c r="AD553"/>
  <c r="AK553"/>
  <c r="AS553"/>
  <c r="AJ553"/>
  <c r="AR553"/>
  <c r="AP553"/>
  <c r="O553"/>
  <c r="Q553"/>
  <c r="AA553"/>
  <c r="AO553"/>
  <c r="P553"/>
  <c r="T553"/>
  <c r="S553"/>
  <c r="AN553"/>
  <c r="AM553"/>
  <c r="R553"/>
  <c r="AI552"/>
  <c r="AB552"/>
  <c r="AH552"/>
  <c r="AQ552"/>
  <c r="AG552"/>
  <c r="AF552"/>
  <c r="AE552"/>
  <c r="AD552"/>
  <c r="AK552"/>
  <c r="AS552"/>
  <c r="AJ552"/>
  <c r="AR552"/>
  <c r="AP552"/>
  <c r="O552"/>
  <c r="Q552"/>
  <c r="AA552"/>
  <c r="AO552"/>
  <c r="P552"/>
  <c r="T552"/>
  <c r="S552"/>
  <c r="AN552"/>
  <c r="AM552"/>
  <c r="R552"/>
  <c r="AI551"/>
  <c r="AB551"/>
  <c r="AH551"/>
  <c r="AQ551"/>
  <c r="AG551"/>
  <c r="AF551"/>
  <c r="AE551"/>
  <c r="AD551"/>
  <c r="AK551"/>
  <c r="AS551"/>
  <c r="AJ551"/>
  <c r="AR551"/>
  <c r="AP551"/>
  <c r="O551"/>
  <c r="Q551"/>
  <c r="AA551"/>
  <c r="AO551"/>
  <c r="P551"/>
  <c r="T551"/>
  <c r="S551"/>
  <c r="AN551"/>
  <c r="AM551"/>
  <c r="R551"/>
  <c r="AI550"/>
  <c r="AB550"/>
  <c r="AH550"/>
  <c r="AQ550"/>
  <c r="AG550"/>
  <c r="AF550"/>
  <c r="AE550"/>
  <c r="AD550"/>
  <c r="AK550"/>
  <c r="AS550"/>
  <c r="AJ550"/>
  <c r="AR550"/>
  <c r="AP550"/>
  <c r="O550"/>
  <c r="Q550"/>
  <c r="AA550"/>
  <c r="AO550"/>
  <c r="P550"/>
  <c r="T550"/>
  <c r="S550"/>
  <c r="AN550"/>
  <c r="AM550"/>
  <c r="R550"/>
  <c r="AI549"/>
  <c r="AB549"/>
  <c r="AH549"/>
  <c r="AQ549"/>
  <c r="AG549"/>
  <c r="AF549"/>
  <c r="AE549"/>
  <c r="AD549"/>
  <c r="AK549"/>
  <c r="AS549"/>
  <c r="AJ549"/>
  <c r="AR549"/>
  <c r="AP549"/>
  <c r="O549"/>
  <c r="Q549"/>
  <c r="AA549"/>
  <c r="AO549"/>
  <c r="P549"/>
  <c r="T549"/>
  <c r="S549"/>
  <c r="AN549"/>
  <c r="AM549"/>
  <c r="R549"/>
  <c r="AI548"/>
  <c r="AB548"/>
  <c r="AH548"/>
  <c r="AQ548"/>
  <c r="AG548"/>
  <c r="AF548"/>
  <c r="AE548"/>
  <c r="AD548"/>
  <c r="AK548"/>
  <c r="AS548"/>
  <c r="AJ548"/>
  <c r="AR548"/>
  <c r="AP548"/>
  <c r="O548"/>
  <c r="Q548"/>
  <c r="AA548"/>
  <c r="AO548"/>
  <c r="P548"/>
  <c r="T548"/>
  <c r="S548"/>
  <c r="AN548"/>
  <c r="AM548"/>
  <c r="R548"/>
  <c r="AI547"/>
  <c r="AB547"/>
  <c r="AH547"/>
  <c r="AQ547"/>
  <c r="AG547"/>
  <c r="AF547"/>
  <c r="AE547"/>
  <c r="AD547"/>
  <c r="AK547"/>
  <c r="AS547"/>
  <c r="AJ547"/>
  <c r="AR547"/>
  <c r="AP547"/>
  <c r="O547"/>
  <c r="Q547"/>
  <c r="AA547"/>
  <c r="AO547"/>
  <c r="P547"/>
  <c r="T547"/>
  <c r="S547"/>
  <c r="AN547"/>
  <c r="AM547"/>
  <c r="R547"/>
  <c r="AI546"/>
  <c r="AB546"/>
  <c r="AH546"/>
  <c r="AQ546"/>
  <c r="AG546"/>
  <c r="AF546"/>
  <c r="AE546"/>
  <c r="AD546"/>
  <c r="AK546"/>
  <c r="AS546"/>
  <c r="AJ546"/>
  <c r="AR546"/>
  <c r="AP546"/>
  <c r="O546"/>
  <c r="Q546"/>
  <c r="AA546"/>
  <c r="AO546"/>
  <c r="P546"/>
  <c r="T546"/>
  <c r="S546"/>
  <c r="AN546"/>
  <c r="AM546"/>
  <c r="R546"/>
  <c r="AI545"/>
  <c r="AB545"/>
  <c r="AH545"/>
  <c r="AQ545"/>
  <c r="AG545"/>
  <c r="AF545"/>
  <c r="AE545"/>
  <c r="AD545"/>
  <c r="AK545"/>
  <c r="AS545"/>
  <c r="AJ545"/>
  <c r="AR545"/>
  <c r="AP545"/>
  <c r="O545"/>
  <c r="Q545"/>
  <c r="AA545"/>
  <c r="AO545"/>
  <c r="P545"/>
  <c r="T545"/>
  <c r="S545"/>
  <c r="AN545"/>
  <c r="AM545"/>
  <c r="R545"/>
  <c r="AI544"/>
  <c r="AB544"/>
  <c r="AH544"/>
  <c r="AQ544"/>
  <c r="AG544"/>
  <c r="AF544"/>
  <c r="AE544"/>
  <c r="AD544"/>
  <c r="AK544"/>
  <c r="AS544"/>
  <c r="AJ544"/>
  <c r="AR544"/>
  <c r="AP544"/>
  <c r="O544"/>
  <c r="Q544"/>
  <c r="AA544"/>
  <c r="AO544"/>
  <c r="P544"/>
  <c r="T544"/>
  <c r="S544"/>
  <c r="AN544"/>
  <c r="AM544"/>
  <c r="R544"/>
  <c r="AI543"/>
  <c r="AB543"/>
  <c r="AH543"/>
  <c r="AQ543"/>
  <c r="AG543"/>
  <c r="AF543"/>
  <c r="AE543"/>
  <c r="AD543"/>
  <c r="AK543"/>
  <c r="AS543"/>
  <c r="AJ543"/>
  <c r="AR543"/>
  <c r="AP543"/>
  <c r="O543"/>
  <c r="Q543"/>
  <c r="AA543"/>
  <c r="AO543"/>
  <c r="P543"/>
  <c r="T543"/>
  <c r="S543"/>
  <c r="AN543"/>
  <c r="AM543"/>
  <c r="R543"/>
  <c r="AI542"/>
  <c r="AB542"/>
  <c r="AH542"/>
  <c r="AQ542"/>
  <c r="AG542"/>
  <c r="AF542"/>
  <c r="AE542"/>
  <c r="AD542"/>
  <c r="AK542"/>
  <c r="AS542"/>
  <c r="AJ542"/>
  <c r="AR542"/>
  <c r="AP542"/>
  <c r="O542"/>
  <c r="Q542"/>
  <c r="AA542"/>
  <c r="AO542"/>
  <c r="P542"/>
  <c r="T542"/>
  <c r="S542"/>
  <c r="AN542"/>
  <c r="AM542"/>
  <c r="R542"/>
  <c r="AI541"/>
  <c r="AB541"/>
  <c r="AH541"/>
  <c r="AQ541"/>
  <c r="AG541"/>
  <c r="AF541"/>
  <c r="AE541"/>
  <c r="AD541"/>
  <c r="AK541"/>
  <c r="AS541"/>
  <c r="AJ541"/>
  <c r="AR541"/>
  <c r="AP541"/>
  <c r="O541"/>
  <c r="Q541"/>
  <c r="AA541"/>
  <c r="AO541"/>
  <c r="P541"/>
  <c r="T541"/>
  <c r="S541"/>
  <c r="AN541"/>
  <c r="AM541"/>
  <c r="R541"/>
  <c r="AI540"/>
  <c r="AB540"/>
  <c r="AH540"/>
  <c r="AQ540"/>
  <c r="AG540"/>
  <c r="AF540"/>
  <c r="AE540"/>
  <c r="AD540"/>
  <c r="AK540"/>
  <c r="AS540"/>
  <c r="AJ540"/>
  <c r="AR540"/>
  <c r="AP540"/>
  <c r="O540"/>
  <c r="Q540"/>
  <c r="AA540"/>
  <c r="AO540"/>
  <c r="P540"/>
  <c r="T540"/>
  <c r="S540"/>
  <c r="AN540"/>
  <c r="AM540"/>
  <c r="R540"/>
  <c r="AI539"/>
  <c r="AB539"/>
  <c r="AH539"/>
  <c r="AQ539"/>
  <c r="AG539"/>
  <c r="AF539"/>
  <c r="AE539"/>
  <c r="AD539"/>
  <c r="AK539"/>
  <c r="AS539"/>
  <c r="AJ539"/>
  <c r="AR539"/>
  <c r="AP539"/>
  <c r="O539"/>
  <c r="Q539"/>
  <c r="AA539"/>
  <c r="AO539"/>
  <c r="P539"/>
  <c r="T539"/>
  <c r="S539"/>
  <c r="AN539"/>
  <c r="AM539"/>
  <c r="R539"/>
  <c r="AI538"/>
  <c r="AB538"/>
  <c r="AH538"/>
  <c r="AQ538"/>
  <c r="AG538"/>
  <c r="AF538"/>
  <c r="AE538"/>
  <c r="AD538"/>
  <c r="AK538"/>
  <c r="AS538"/>
  <c r="AJ538"/>
  <c r="AR538"/>
  <c r="AP538"/>
  <c r="O538"/>
  <c r="Q538"/>
  <c r="AA538"/>
  <c r="AO538"/>
  <c r="P538"/>
  <c r="T538"/>
  <c r="S538"/>
  <c r="AN538"/>
  <c r="AM538"/>
  <c r="R538"/>
  <c r="AI537"/>
  <c r="AB537"/>
  <c r="AH537"/>
  <c r="AQ537"/>
  <c r="AG537"/>
  <c r="AF537"/>
  <c r="AE537"/>
  <c r="AD537"/>
  <c r="AK537"/>
  <c r="AS537"/>
  <c r="AJ537"/>
  <c r="AR537"/>
  <c r="AP537"/>
  <c r="O537"/>
  <c r="Q537"/>
  <c r="AA537"/>
  <c r="AO537"/>
  <c r="P537"/>
  <c r="T537"/>
  <c r="S537"/>
  <c r="AN537"/>
  <c r="AM537"/>
  <c r="R537"/>
  <c r="AI536"/>
  <c r="AB536"/>
  <c r="AH536"/>
  <c r="AQ536"/>
  <c r="AG536"/>
  <c r="AF536"/>
  <c r="AE536"/>
  <c r="AD536"/>
  <c r="AK536"/>
  <c r="AS536"/>
  <c r="AJ536"/>
  <c r="AR536"/>
  <c r="AP536"/>
  <c r="O536"/>
  <c r="Q536"/>
  <c r="AA536"/>
  <c r="AO536"/>
  <c r="P536"/>
  <c r="T536"/>
  <c r="S536"/>
  <c r="AN536"/>
  <c r="AM536"/>
  <c r="R536"/>
  <c r="AI535"/>
  <c r="AB535"/>
  <c r="AH535"/>
  <c r="AQ535"/>
  <c r="AG535"/>
  <c r="AF535"/>
  <c r="AE535"/>
  <c r="AD535"/>
  <c r="AK535"/>
  <c r="AS535"/>
  <c r="AJ535"/>
  <c r="AR535"/>
  <c r="AP535"/>
  <c r="O535"/>
  <c r="Q535"/>
  <c r="AA535"/>
  <c r="AO535"/>
  <c r="P535"/>
  <c r="T535"/>
  <c r="S535"/>
  <c r="AN535"/>
  <c r="AM535"/>
  <c r="R535"/>
  <c r="AI534"/>
  <c r="AB534"/>
  <c r="AH534"/>
  <c r="AQ534"/>
  <c r="AG534"/>
  <c r="AF534"/>
  <c r="AE534"/>
  <c r="AD534"/>
  <c r="AK534"/>
  <c r="AS534"/>
  <c r="AJ534"/>
  <c r="AR534"/>
  <c r="AP534"/>
  <c r="O534"/>
  <c r="Q534"/>
  <c r="AA534"/>
  <c r="AO534"/>
  <c r="P534"/>
  <c r="T534"/>
  <c r="S534"/>
  <c r="AN534"/>
  <c r="AM534"/>
  <c r="R534"/>
  <c r="AI533"/>
  <c r="AB533"/>
  <c r="AH533"/>
  <c r="AQ533"/>
  <c r="AG533"/>
  <c r="AF533"/>
  <c r="AE533"/>
  <c r="AD533"/>
  <c r="AK533"/>
  <c r="AS533"/>
  <c r="AJ533"/>
  <c r="AR533"/>
  <c r="AP533"/>
  <c r="O533"/>
  <c r="Q533"/>
  <c r="AA533"/>
  <c r="AO533"/>
  <c r="P533"/>
  <c r="T533"/>
  <c r="S533"/>
  <c r="AN533"/>
  <c r="AM533"/>
  <c r="R533"/>
  <c r="AI532"/>
  <c r="AB532"/>
  <c r="AH532"/>
  <c r="AQ532"/>
  <c r="AG532"/>
  <c r="AF532"/>
  <c r="AE532"/>
  <c r="AD532"/>
  <c r="AK532"/>
  <c r="AS532"/>
  <c r="AJ532"/>
  <c r="AR532"/>
  <c r="AP532"/>
  <c r="O532"/>
  <c r="Q532"/>
  <c r="AA532"/>
  <c r="AO532"/>
  <c r="P532"/>
  <c r="T532"/>
  <c r="S532"/>
  <c r="AN532"/>
  <c r="AM532"/>
  <c r="R532"/>
  <c r="AI531"/>
  <c r="AB531"/>
  <c r="AH531"/>
  <c r="AQ531"/>
  <c r="AG531"/>
  <c r="AF531"/>
  <c r="AE531"/>
  <c r="AD531"/>
  <c r="AK531"/>
  <c r="AS531"/>
  <c r="AJ531"/>
  <c r="AR531"/>
  <c r="AP531"/>
  <c r="O531"/>
  <c r="Q531"/>
  <c r="AA531"/>
  <c r="AO531"/>
  <c r="P531"/>
  <c r="T531"/>
  <c r="S531"/>
  <c r="AN531"/>
  <c r="AM531"/>
  <c r="R531"/>
  <c r="AI530"/>
  <c r="AB530"/>
  <c r="AH530"/>
  <c r="AQ530"/>
  <c r="AG530"/>
  <c r="AF530"/>
  <c r="AE530"/>
  <c r="AD530"/>
  <c r="AK530"/>
  <c r="AS530"/>
  <c r="AJ530"/>
  <c r="AR530"/>
  <c r="AP530"/>
  <c r="O530"/>
  <c r="Q530"/>
  <c r="AA530"/>
  <c r="AO530"/>
  <c r="P530"/>
  <c r="T530"/>
  <c r="S530"/>
  <c r="AN530"/>
  <c r="AM530"/>
  <c r="R530"/>
  <c r="AI529"/>
  <c r="AB529"/>
  <c r="AH529"/>
  <c r="AQ529"/>
  <c r="AG529"/>
  <c r="AF529"/>
  <c r="AE529"/>
  <c r="AD529"/>
  <c r="AK529"/>
  <c r="AS529"/>
  <c r="AJ529"/>
  <c r="AR529"/>
  <c r="AP529"/>
  <c r="O529"/>
  <c r="Q529"/>
  <c r="AA529"/>
  <c r="AO529"/>
  <c r="P529"/>
  <c r="T529"/>
  <c r="S529"/>
  <c r="AN529"/>
  <c r="AM529"/>
  <c r="R529"/>
  <c r="AI528"/>
  <c r="AB528"/>
  <c r="AH528"/>
  <c r="AQ528"/>
  <c r="AG528"/>
  <c r="AF528"/>
  <c r="AE528"/>
  <c r="AD528"/>
  <c r="AK528"/>
  <c r="AS528"/>
  <c r="AJ528"/>
  <c r="AR528"/>
  <c r="AP528"/>
  <c r="O528"/>
  <c r="Q528"/>
  <c r="AA528"/>
  <c r="AO528"/>
  <c r="P528"/>
  <c r="T528"/>
  <c r="S528"/>
  <c r="AN528"/>
  <c r="AM528"/>
  <c r="R528"/>
  <c r="AI527"/>
  <c r="AB527"/>
  <c r="AH527"/>
  <c r="AQ527"/>
  <c r="AG527"/>
  <c r="AF527"/>
  <c r="AE527"/>
  <c r="AD527"/>
  <c r="AK527"/>
  <c r="AS527"/>
  <c r="AJ527"/>
  <c r="AR527"/>
  <c r="AP527"/>
  <c r="O527"/>
  <c r="Q527"/>
  <c r="AA527"/>
  <c r="AO527"/>
  <c r="P527"/>
  <c r="T527"/>
  <c r="S527"/>
  <c r="AN527"/>
  <c r="AM527"/>
  <c r="R527"/>
  <c r="AI526"/>
  <c r="AB526"/>
  <c r="AH526"/>
  <c r="AQ526"/>
  <c r="AG526"/>
  <c r="AF526"/>
  <c r="AE526"/>
  <c r="AD526"/>
  <c r="AK526"/>
  <c r="AS526"/>
  <c r="AJ526"/>
  <c r="AR526"/>
  <c r="AP526"/>
  <c r="O526"/>
  <c r="Q526"/>
  <c r="AA526"/>
  <c r="AO526"/>
  <c r="P526"/>
  <c r="T526"/>
  <c r="S526"/>
  <c r="AN526"/>
  <c r="AM526"/>
  <c r="R526"/>
  <c r="AI525"/>
  <c r="AB525"/>
  <c r="AH525"/>
  <c r="AQ525"/>
  <c r="AG525"/>
  <c r="AF525"/>
  <c r="AE525"/>
  <c r="AD525"/>
  <c r="AK525"/>
  <c r="AS525"/>
  <c r="AJ525"/>
  <c r="AR525"/>
  <c r="AP525"/>
  <c r="O525"/>
  <c r="Q525"/>
  <c r="AA525"/>
  <c r="AO525"/>
  <c r="P525"/>
  <c r="T525"/>
  <c r="S525"/>
  <c r="AN525"/>
  <c r="AM525"/>
  <c r="R525"/>
  <c r="AI524"/>
  <c r="AB524"/>
  <c r="AH524"/>
  <c r="AQ524"/>
  <c r="AG524"/>
  <c r="AF524"/>
  <c r="AE524"/>
  <c r="AD524"/>
  <c r="AK524"/>
  <c r="AS524"/>
  <c r="AJ524"/>
  <c r="AR524"/>
  <c r="AP524"/>
  <c r="O524"/>
  <c r="Q524"/>
  <c r="AA524"/>
  <c r="AO524"/>
  <c r="P524"/>
  <c r="T524"/>
  <c r="S524"/>
  <c r="AN524"/>
  <c r="AM524"/>
  <c r="R524"/>
  <c r="AI523"/>
  <c r="AB523"/>
  <c r="AH523"/>
  <c r="AQ523"/>
  <c r="AG523"/>
  <c r="AF523"/>
  <c r="AE523"/>
  <c r="AD523"/>
  <c r="AK523"/>
  <c r="AS523"/>
  <c r="AJ523"/>
  <c r="AR523"/>
  <c r="AP523"/>
  <c r="O523"/>
  <c r="Q523"/>
  <c r="AA523"/>
  <c r="AO523"/>
  <c r="P523"/>
  <c r="T523"/>
  <c r="S523"/>
  <c r="AN523"/>
  <c r="AM523"/>
  <c r="R523"/>
  <c r="AI522"/>
  <c r="AB522"/>
  <c r="AH522"/>
  <c r="AQ522"/>
  <c r="AG522"/>
  <c r="AF522"/>
  <c r="AE522"/>
  <c r="AD522"/>
  <c r="AK522"/>
  <c r="AS522"/>
  <c r="AJ522"/>
  <c r="AR522"/>
  <c r="AP522"/>
  <c r="O522"/>
  <c r="Q522"/>
  <c r="AA522"/>
  <c r="AO522"/>
  <c r="P522"/>
  <c r="T522"/>
  <c r="S522"/>
  <c r="AN522"/>
  <c r="AM522"/>
  <c r="R522"/>
  <c r="AI521"/>
  <c r="AB521"/>
  <c r="AH521"/>
  <c r="AQ521"/>
  <c r="AG521"/>
  <c r="AF521"/>
  <c r="AE521"/>
  <c r="AD521"/>
  <c r="AK521"/>
  <c r="AS521"/>
  <c r="AJ521"/>
  <c r="AR521"/>
  <c r="AP521"/>
  <c r="O521"/>
  <c r="Q521"/>
  <c r="AA521"/>
  <c r="AO521"/>
  <c r="P521"/>
  <c r="T521"/>
  <c r="S521"/>
  <c r="AN521"/>
  <c r="AM521"/>
  <c r="R521"/>
  <c r="AI520"/>
  <c r="AB520"/>
  <c r="AH520"/>
  <c r="AQ520"/>
  <c r="AG520"/>
  <c r="AF520"/>
  <c r="AE520"/>
  <c r="AD520"/>
  <c r="AK520"/>
  <c r="AS520"/>
  <c r="AJ520"/>
  <c r="AR520"/>
  <c r="AP520"/>
  <c r="O520"/>
  <c r="Q520"/>
  <c r="AA520"/>
  <c r="AO520"/>
  <c r="P520"/>
  <c r="T520"/>
  <c r="S520"/>
  <c r="AN520"/>
  <c r="AM520"/>
  <c r="R520"/>
  <c r="AI519"/>
  <c r="AB519"/>
  <c r="AH519"/>
  <c r="AQ519"/>
  <c r="AG519"/>
  <c r="AF519"/>
  <c r="AE519"/>
  <c r="AD519"/>
  <c r="AK519"/>
  <c r="AS519"/>
  <c r="AJ519"/>
  <c r="AR519"/>
  <c r="AP519"/>
  <c r="O519"/>
  <c r="Q519"/>
  <c r="AA519"/>
  <c r="AO519"/>
  <c r="P519"/>
  <c r="T519"/>
  <c r="S519"/>
  <c r="AN519"/>
  <c r="AM519"/>
  <c r="R519"/>
  <c r="AI518"/>
  <c r="AB518"/>
  <c r="AH518"/>
  <c r="AQ518"/>
  <c r="AG518"/>
  <c r="AF518"/>
  <c r="AE518"/>
  <c r="AD518"/>
  <c r="AK518"/>
  <c r="AS518"/>
  <c r="AJ518"/>
  <c r="AR518"/>
  <c r="AP518"/>
  <c r="O518"/>
  <c r="Q518"/>
  <c r="AA518"/>
  <c r="AO518"/>
  <c r="P518"/>
  <c r="T518"/>
  <c r="S518"/>
  <c r="AN518"/>
  <c r="AM518"/>
  <c r="R518"/>
  <c r="AI517"/>
  <c r="AB517"/>
  <c r="AH517"/>
  <c r="AQ517"/>
  <c r="AG517"/>
  <c r="AF517"/>
  <c r="AE517"/>
  <c r="AD517"/>
  <c r="AK517"/>
  <c r="AS517"/>
  <c r="AJ517"/>
  <c r="AR517"/>
  <c r="AP517"/>
  <c r="O517"/>
  <c r="Q517"/>
  <c r="AA517"/>
  <c r="AO517"/>
  <c r="P517"/>
  <c r="T517"/>
  <c r="S517"/>
  <c r="AN517"/>
  <c r="AM517"/>
  <c r="R517"/>
  <c r="AI516"/>
  <c r="AB516"/>
  <c r="AH516"/>
  <c r="AQ516"/>
  <c r="AG516"/>
  <c r="AF516"/>
  <c r="AE516"/>
  <c r="AD516"/>
  <c r="AK516"/>
  <c r="AS516"/>
  <c r="AJ516"/>
  <c r="AR516"/>
  <c r="AP516"/>
  <c r="O516"/>
  <c r="Q516"/>
  <c r="AA516"/>
  <c r="AO516"/>
  <c r="P516"/>
  <c r="T516"/>
  <c r="S516"/>
  <c r="AN516"/>
  <c r="AM516"/>
  <c r="R516"/>
  <c r="AI515"/>
  <c r="AB515"/>
  <c r="AH515"/>
  <c r="AQ515"/>
  <c r="AG515"/>
  <c r="AF515"/>
  <c r="AE515"/>
  <c r="AD515"/>
  <c r="AK515"/>
  <c r="AS515"/>
  <c r="AJ515"/>
  <c r="AR515"/>
  <c r="AP515"/>
  <c r="O515"/>
  <c r="Q515"/>
  <c r="AA515"/>
  <c r="AO515"/>
  <c r="P515"/>
  <c r="T515"/>
  <c r="S515"/>
  <c r="AN515"/>
  <c r="AM515"/>
  <c r="R515"/>
  <c r="AI514"/>
  <c r="AB514"/>
  <c r="AH514"/>
  <c r="AQ514"/>
  <c r="AG514"/>
  <c r="AF514"/>
  <c r="AE514"/>
  <c r="AD514"/>
  <c r="AK514"/>
  <c r="AS514"/>
  <c r="AJ514"/>
  <c r="AR514"/>
  <c r="AP514"/>
  <c r="O514"/>
  <c r="Q514"/>
  <c r="AA514"/>
  <c r="AO514"/>
  <c r="P514"/>
  <c r="T514"/>
  <c r="S514"/>
  <c r="AN514"/>
  <c r="AM514"/>
  <c r="R514"/>
  <c r="AI513"/>
  <c r="AB513"/>
  <c r="AH513"/>
  <c r="AQ513"/>
  <c r="AG513"/>
  <c r="AF513"/>
  <c r="AE513"/>
  <c r="AD513"/>
  <c r="AK513"/>
  <c r="AS513"/>
  <c r="AJ513"/>
  <c r="AR513"/>
  <c r="AP513"/>
  <c r="O513"/>
  <c r="Q513"/>
  <c r="AA513"/>
  <c r="AO513"/>
  <c r="P513"/>
  <c r="T513"/>
  <c r="S513"/>
  <c r="AN513"/>
  <c r="AM513"/>
  <c r="R513"/>
  <c r="AI512"/>
  <c r="AB512"/>
  <c r="AH512"/>
  <c r="AQ512"/>
  <c r="AG512"/>
  <c r="AF512"/>
  <c r="AE512"/>
  <c r="AD512"/>
  <c r="AK512"/>
  <c r="AS512"/>
  <c r="AJ512"/>
  <c r="AR512"/>
  <c r="AP512"/>
  <c r="O512"/>
  <c r="Q512"/>
  <c r="AA512"/>
  <c r="AO512"/>
  <c r="P512"/>
  <c r="T512"/>
  <c r="S512"/>
  <c r="AN512"/>
  <c r="AM512"/>
  <c r="R512"/>
  <c r="AI511"/>
  <c r="AB511"/>
  <c r="AH511"/>
  <c r="AQ511"/>
  <c r="AG511"/>
  <c r="AF511"/>
  <c r="AE511"/>
  <c r="AD511"/>
  <c r="AK511"/>
  <c r="AS511"/>
  <c r="AJ511"/>
  <c r="AR511"/>
  <c r="AP511"/>
  <c r="O511"/>
  <c r="Q511"/>
  <c r="AA511"/>
  <c r="AO511"/>
  <c r="P511"/>
  <c r="T511"/>
  <c r="S511"/>
  <c r="AN511"/>
  <c r="AM511"/>
  <c r="R511"/>
  <c r="AI510"/>
  <c r="AB510"/>
  <c r="AH510"/>
  <c r="AQ510"/>
  <c r="AG510"/>
  <c r="AF510"/>
  <c r="AE510"/>
  <c r="AD510"/>
  <c r="AK510"/>
  <c r="AS510"/>
  <c r="AJ510"/>
  <c r="AR510"/>
  <c r="AP510"/>
  <c r="O510"/>
  <c r="Q510"/>
  <c r="AA510"/>
  <c r="AO510"/>
  <c r="P510"/>
  <c r="T510"/>
  <c r="S510"/>
  <c r="AN510"/>
  <c r="AM510"/>
  <c r="R510"/>
  <c r="AI509"/>
  <c r="AB509"/>
  <c r="AH509"/>
  <c r="AQ509"/>
  <c r="AG509"/>
  <c r="AF509"/>
  <c r="AE509"/>
  <c r="AD509"/>
  <c r="AK509"/>
  <c r="AS509"/>
  <c r="AJ509"/>
  <c r="AR509"/>
  <c r="AP509"/>
  <c r="O509"/>
  <c r="Q509"/>
  <c r="AA509"/>
  <c r="AO509"/>
  <c r="P509"/>
  <c r="T509"/>
  <c r="S509"/>
  <c r="AN509"/>
  <c r="AM509"/>
  <c r="R509"/>
  <c r="AI508"/>
  <c r="AB508"/>
  <c r="AH508"/>
  <c r="AQ508"/>
  <c r="AG508"/>
  <c r="AF508"/>
  <c r="AE508"/>
  <c r="AD508"/>
  <c r="AK508"/>
  <c r="AS508"/>
  <c r="AJ508"/>
  <c r="AR508"/>
  <c r="AP508"/>
  <c r="O508"/>
  <c r="Q508"/>
  <c r="AA508"/>
  <c r="AO508"/>
  <c r="P508"/>
  <c r="T508"/>
  <c r="S508"/>
  <c r="AN508"/>
  <c r="AM508"/>
  <c r="R508"/>
  <c r="AI507"/>
  <c r="AB507"/>
  <c r="AH507"/>
  <c r="AQ507"/>
  <c r="AG507"/>
  <c r="AF507"/>
  <c r="AE507"/>
  <c r="AD507"/>
  <c r="AK507"/>
  <c r="AS507"/>
  <c r="AJ507"/>
  <c r="AR507"/>
  <c r="AP507"/>
  <c r="O507"/>
  <c r="Q507"/>
  <c r="AA507"/>
  <c r="AO507"/>
  <c r="P507"/>
  <c r="T507"/>
  <c r="S507"/>
  <c r="AN507"/>
  <c r="AM507"/>
  <c r="R507"/>
  <c r="AI506"/>
  <c r="AB506"/>
  <c r="AH506"/>
  <c r="AQ506"/>
  <c r="AG506"/>
  <c r="AF506"/>
  <c r="AE506"/>
  <c r="AD506"/>
  <c r="AK506"/>
  <c r="AS506"/>
  <c r="AJ506"/>
  <c r="AR506"/>
  <c r="AP506"/>
  <c r="O506"/>
  <c r="Q506"/>
  <c r="AA506"/>
  <c r="AO506"/>
  <c r="P506"/>
  <c r="T506"/>
  <c r="S506"/>
  <c r="AN506"/>
  <c r="AM506"/>
  <c r="R506"/>
  <c r="AI505"/>
  <c r="AB505"/>
  <c r="AH505"/>
  <c r="AQ505"/>
  <c r="AG505"/>
  <c r="AF505"/>
  <c r="AE505"/>
  <c r="AD505"/>
  <c r="AK505"/>
  <c r="AS505"/>
  <c r="AJ505"/>
  <c r="AR505"/>
  <c r="AP505"/>
  <c r="O505"/>
  <c r="Q505"/>
  <c r="AA505"/>
  <c r="AO505"/>
  <c r="P505"/>
  <c r="T505"/>
  <c r="S505"/>
  <c r="AN505"/>
  <c r="AM505"/>
  <c r="R505"/>
  <c r="AI504"/>
  <c r="AB504"/>
  <c r="AH504"/>
  <c r="AQ504"/>
  <c r="AG504"/>
  <c r="AF504"/>
  <c r="AE504"/>
  <c r="AD504"/>
  <c r="AK504"/>
  <c r="AS504"/>
  <c r="AJ504"/>
  <c r="AR504"/>
  <c r="AP504"/>
  <c r="O504"/>
  <c r="Q504"/>
  <c r="AA504"/>
  <c r="AO504"/>
  <c r="P504"/>
  <c r="T504"/>
  <c r="S504"/>
  <c r="AN504"/>
  <c r="AM504"/>
  <c r="R504"/>
  <c r="AI503"/>
  <c r="AB503"/>
  <c r="AH503"/>
  <c r="AQ503"/>
  <c r="AG503"/>
  <c r="AF503"/>
  <c r="AE503"/>
  <c r="AD503"/>
  <c r="AK503"/>
  <c r="AS503"/>
  <c r="AJ503"/>
  <c r="AR503"/>
  <c r="AP503"/>
  <c r="O503"/>
  <c r="Q503"/>
  <c r="AA503"/>
  <c r="AO503"/>
  <c r="P503"/>
  <c r="T503"/>
  <c r="S503"/>
  <c r="AN503"/>
  <c r="AM503"/>
  <c r="R503"/>
  <c r="AI502"/>
  <c r="AB502"/>
  <c r="AH502"/>
  <c r="AQ502"/>
  <c r="AG502"/>
  <c r="AF502"/>
  <c r="AE502"/>
  <c r="AD502"/>
  <c r="AK502"/>
  <c r="AS502"/>
  <c r="AJ502"/>
  <c r="AR502"/>
  <c r="AP502"/>
  <c r="O502"/>
  <c r="Q502"/>
  <c r="AA502"/>
  <c r="AO502"/>
  <c r="P502"/>
  <c r="T502"/>
  <c r="S502"/>
  <c r="AN502"/>
  <c r="AM502"/>
  <c r="R502"/>
  <c r="AI501"/>
  <c r="AB501"/>
  <c r="AH501"/>
  <c r="AQ501"/>
  <c r="AG501"/>
  <c r="AF501"/>
  <c r="AE501"/>
  <c r="AD501"/>
  <c r="AK501"/>
  <c r="AS501"/>
  <c r="AJ501"/>
  <c r="AR501"/>
  <c r="AP501"/>
  <c r="O501"/>
  <c r="Q501"/>
  <c r="AA501"/>
  <c r="AO501"/>
  <c r="P501"/>
  <c r="T501"/>
  <c r="S501"/>
  <c r="AN501"/>
  <c r="AM501"/>
  <c r="R501"/>
  <c r="AI500"/>
  <c r="AB500"/>
  <c r="AH500"/>
  <c r="AQ500"/>
  <c r="AG500"/>
  <c r="AF500"/>
  <c r="AE500"/>
  <c r="AD500"/>
  <c r="AK500"/>
  <c r="AS500"/>
  <c r="AJ500"/>
  <c r="AR500"/>
  <c r="AP500"/>
  <c r="O500"/>
  <c r="Q500"/>
  <c r="AA500"/>
  <c r="AO500"/>
  <c r="P500"/>
  <c r="T500"/>
  <c r="S500"/>
  <c r="AN500"/>
  <c r="AM500"/>
  <c r="R500"/>
  <c r="AI499"/>
  <c r="AB499"/>
  <c r="AH499"/>
  <c r="AQ499"/>
  <c r="AG499"/>
  <c r="AF499"/>
  <c r="AE499"/>
  <c r="AD499"/>
  <c r="AK499"/>
  <c r="AS499"/>
  <c r="AJ499"/>
  <c r="AR499"/>
  <c r="AP499"/>
  <c r="O499"/>
  <c r="Q499"/>
  <c r="AA499"/>
  <c r="AO499"/>
  <c r="P499"/>
  <c r="T499"/>
  <c r="S499"/>
  <c r="AN499"/>
  <c r="AM499"/>
  <c r="R499"/>
  <c r="AI498"/>
  <c r="AB498"/>
  <c r="AH498"/>
  <c r="AQ498"/>
  <c r="AG498"/>
  <c r="AF498"/>
  <c r="AE498"/>
  <c r="AD498"/>
  <c r="AK498"/>
  <c r="AS498"/>
  <c r="AJ498"/>
  <c r="AR498"/>
  <c r="AP498"/>
  <c r="O498"/>
  <c r="Q498"/>
  <c r="AA498"/>
  <c r="AO498"/>
  <c r="P498"/>
  <c r="T498"/>
  <c r="S498"/>
  <c r="AN498"/>
  <c r="AM498"/>
  <c r="R498"/>
  <c r="AI497"/>
  <c r="AB497"/>
  <c r="AH497"/>
  <c r="AQ497"/>
  <c r="AG497"/>
  <c r="AF497"/>
  <c r="AE497"/>
  <c r="AD497"/>
  <c r="AK497"/>
  <c r="AS497"/>
  <c r="AJ497"/>
  <c r="AR497"/>
  <c r="AP497"/>
  <c r="O497"/>
  <c r="Q497"/>
  <c r="AA497"/>
  <c r="AO497"/>
  <c r="P497"/>
  <c r="T497"/>
  <c r="S497"/>
  <c r="AN497"/>
  <c r="AM497"/>
  <c r="R497"/>
  <c r="AI496"/>
  <c r="AB496"/>
  <c r="AH496"/>
  <c r="AQ496"/>
  <c r="AG496"/>
  <c r="AF496"/>
  <c r="AE496"/>
  <c r="AD496"/>
  <c r="AK496"/>
  <c r="AS496"/>
  <c r="AJ496"/>
  <c r="AR496"/>
  <c r="AP496"/>
  <c r="O496"/>
  <c r="Q496"/>
  <c r="AA496"/>
  <c r="AO496"/>
  <c r="P496"/>
  <c r="T496"/>
  <c r="S496"/>
  <c r="AN496"/>
  <c r="AM496"/>
  <c r="R496"/>
  <c r="AI495"/>
  <c r="AB495"/>
  <c r="AH495"/>
  <c r="AQ495"/>
  <c r="AG495"/>
  <c r="AF495"/>
  <c r="AE495"/>
  <c r="AD495"/>
  <c r="AK495"/>
  <c r="AS495"/>
  <c r="AJ495"/>
  <c r="AR495"/>
  <c r="AP495"/>
  <c r="O495"/>
  <c r="Q495"/>
  <c r="AA495"/>
  <c r="AO495"/>
  <c r="P495"/>
  <c r="T495"/>
  <c r="S495"/>
  <c r="AN495"/>
  <c r="AM495"/>
  <c r="R495"/>
  <c r="AI494"/>
  <c r="AB494"/>
  <c r="AH494"/>
  <c r="AQ494"/>
  <c r="AG494"/>
  <c r="AF494"/>
  <c r="AE494"/>
  <c r="AD494"/>
  <c r="AK494"/>
  <c r="AS494"/>
  <c r="AJ494"/>
  <c r="AR494"/>
  <c r="AP494"/>
  <c r="O494"/>
  <c r="Q494"/>
  <c r="AA494"/>
  <c r="AO494"/>
  <c r="P494"/>
  <c r="T494"/>
  <c r="S494"/>
  <c r="AN494"/>
  <c r="AM494"/>
  <c r="R494"/>
  <c r="AI493"/>
  <c r="AB493"/>
  <c r="AH493"/>
  <c r="AQ493"/>
  <c r="AG493"/>
  <c r="AF493"/>
  <c r="AE493"/>
  <c r="AD493"/>
  <c r="AK493"/>
  <c r="AS493"/>
  <c r="AJ493"/>
  <c r="AR493"/>
  <c r="AP493"/>
  <c r="O493"/>
  <c r="Q493"/>
  <c r="AA493"/>
  <c r="AO493"/>
  <c r="P493"/>
  <c r="T493"/>
  <c r="S493"/>
  <c r="AN493"/>
  <c r="AM493"/>
  <c r="R493"/>
  <c r="AI492"/>
  <c r="AB492"/>
  <c r="AH492"/>
  <c r="AQ492"/>
  <c r="AG492"/>
  <c r="AF492"/>
  <c r="AE492"/>
  <c r="AD492"/>
  <c r="AK492"/>
  <c r="AS492"/>
  <c r="AJ492"/>
  <c r="AR492"/>
  <c r="AP492"/>
  <c r="O492"/>
  <c r="Q492"/>
  <c r="AA492"/>
  <c r="AO492"/>
  <c r="P492"/>
  <c r="T492"/>
  <c r="S492"/>
  <c r="AN492"/>
  <c r="AM492"/>
  <c r="R492"/>
  <c r="AI491"/>
  <c r="AB491"/>
  <c r="AH491"/>
  <c r="AQ491"/>
  <c r="AG491"/>
  <c r="AF491"/>
  <c r="AE491"/>
  <c r="AD491"/>
  <c r="AK491"/>
  <c r="AS491"/>
  <c r="AJ491"/>
  <c r="AR491"/>
  <c r="AP491"/>
  <c r="O491"/>
  <c r="Q491"/>
  <c r="AA491"/>
  <c r="AO491"/>
  <c r="P491"/>
  <c r="T491"/>
  <c r="S491"/>
  <c r="AN491"/>
  <c r="AM491"/>
  <c r="R491"/>
  <c r="AI490"/>
  <c r="AB490"/>
  <c r="AH490"/>
  <c r="AQ490"/>
  <c r="AG490"/>
  <c r="AF490"/>
  <c r="AE490"/>
  <c r="AD490"/>
  <c r="AK490"/>
  <c r="AS490"/>
  <c r="AJ490"/>
  <c r="AR490"/>
  <c r="AP490"/>
  <c r="O490"/>
  <c r="Q490"/>
  <c r="AA490"/>
  <c r="AO490"/>
  <c r="P490"/>
  <c r="T490"/>
  <c r="S490"/>
  <c r="AN490"/>
  <c r="AM490"/>
  <c r="R490"/>
  <c r="AI489"/>
  <c r="AB489"/>
  <c r="AH489"/>
  <c r="AQ489"/>
  <c r="AG489"/>
  <c r="AF489"/>
  <c r="AE489"/>
  <c r="AD489"/>
  <c r="AK489"/>
  <c r="AS489"/>
  <c r="AJ489"/>
  <c r="AR489"/>
  <c r="AP489"/>
  <c r="O489"/>
  <c r="Q489"/>
  <c r="AA489"/>
  <c r="AO489"/>
  <c r="P489"/>
  <c r="T489"/>
  <c r="S489"/>
  <c r="AN489"/>
  <c r="AM489"/>
  <c r="R489"/>
  <c r="AI488"/>
  <c r="AB488"/>
  <c r="AH488"/>
  <c r="AQ488"/>
  <c r="AG488"/>
  <c r="AF488"/>
  <c r="AE488"/>
  <c r="AD488"/>
  <c r="AK488"/>
  <c r="AS488"/>
  <c r="AJ488"/>
  <c r="AR488"/>
  <c r="AP488"/>
  <c r="O488"/>
  <c r="Q488"/>
  <c r="AA488"/>
  <c r="AO488"/>
  <c r="P488"/>
  <c r="T488"/>
  <c r="S488"/>
  <c r="AN488"/>
  <c r="AM488"/>
  <c r="R488"/>
  <c r="AI487"/>
  <c r="AB487"/>
  <c r="AH487"/>
  <c r="AQ487"/>
  <c r="AG487"/>
  <c r="AF487"/>
  <c r="AE487"/>
  <c r="AD487"/>
  <c r="AK487"/>
  <c r="AS487"/>
  <c r="AJ487"/>
  <c r="AR487"/>
  <c r="AP487"/>
  <c r="O487"/>
  <c r="Q487"/>
  <c r="AA487"/>
  <c r="AO487"/>
  <c r="P487"/>
  <c r="T487"/>
  <c r="S487"/>
  <c r="AN487"/>
  <c r="AM487"/>
  <c r="R487"/>
  <c r="AI486"/>
  <c r="AB486"/>
  <c r="AH486"/>
  <c r="AQ486"/>
  <c r="AG486"/>
  <c r="AF486"/>
  <c r="AE486"/>
  <c r="AD486"/>
  <c r="AK486"/>
  <c r="AS486"/>
  <c r="AJ486"/>
  <c r="AR486"/>
  <c r="AP486"/>
  <c r="O486"/>
  <c r="Q486"/>
  <c r="AA486"/>
  <c r="AO486"/>
  <c r="P486"/>
  <c r="T486"/>
  <c r="S486"/>
  <c r="AN486"/>
  <c r="AM486"/>
  <c r="R486"/>
  <c r="AI485"/>
  <c r="AB485"/>
  <c r="AH485"/>
  <c r="AQ485"/>
  <c r="AG485"/>
  <c r="AF485"/>
  <c r="AE485"/>
  <c r="AD485"/>
  <c r="AK485"/>
  <c r="AS485"/>
  <c r="AJ485"/>
  <c r="AR485"/>
  <c r="AP485"/>
  <c r="O485"/>
  <c r="Q485"/>
  <c r="AA485"/>
  <c r="AO485"/>
  <c r="P485"/>
  <c r="T485"/>
  <c r="S485"/>
  <c r="AN485"/>
  <c r="AM485"/>
  <c r="R485"/>
  <c r="AI484"/>
  <c r="AB484"/>
  <c r="AH484"/>
  <c r="AQ484"/>
  <c r="AG484"/>
  <c r="AF484"/>
  <c r="AE484"/>
  <c r="AD484"/>
  <c r="AK484"/>
  <c r="AS484"/>
  <c r="AJ484"/>
  <c r="AR484"/>
  <c r="AP484"/>
  <c r="O484"/>
  <c r="Q484"/>
  <c r="AA484"/>
  <c r="AO484"/>
  <c r="P484"/>
  <c r="T484"/>
  <c r="S484"/>
  <c r="AN484"/>
  <c r="AM484"/>
  <c r="R484"/>
  <c r="AI483"/>
  <c r="AB483"/>
  <c r="AH483"/>
  <c r="AQ483"/>
  <c r="AG483"/>
  <c r="AF483"/>
  <c r="AE483"/>
  <c r="AD483"/>
  <c r="AK483"/>
  <c r="AS483"/>
  <c r="AJ483"/>
  <c r="AR483"/>
  <c r="AP483"/>
  <c r="O483"/>
  <c r="Q483"/>
  <c r="AA483"/>
  <c r="AO483"/>
  <c r="P483"/>
  <c r="T483"/>
  <c r="S483"/>
  <c r="AN483"/>
  <c r="AM483"/>
  <c r="R483"/>
  <c r="AI482"/>
  <c r="AB482"/>
  <c r="AH482"/>
  <c r="AQ482"/>
  <c r="AG482"/>
  <c r="AF482"/>
  <c r="AE482"/>
  <c r="AD482"/>
  <c r="AK482"/>
  <c r="AS482"/>
  <c r="AJ482"/>
  <c r="AR482"/>
  <c r="AP482"/>
  <c r="O482"/>
  <c r="Q482"/>
  <c r="AA482"/>
  <c r="AO482"/>
  <c r="P482"/>
  <c r="T482"/>
  <c r="S482"/>
  <c r="AN482"/>
  <c r="AM482"/>
  <c r="R482"/>
  <c r="AI481"/>
  <c r="AB481"/>
  <c r="AH481"/>
  <c r="AQ481"/>
  <c r="AG481"/>
  <c r="AF481"/>
  <c r="AE481"/>
  <c r="AD481"/>
  <c r="AK481"/>
  <c r="AS481"/>
  <c r="AJ481"/>
  <c r="AR481"/>
  <c r="AP481"/>
  <c r="O481"/>
  <c r="Q481"/>
  <c r="AA481"/>
  <c r="AO481"/>
  <c r="P481"/>
  <c r="T481"/>
  <c r="S481"/>
  <c r="AN481"/>
  <c r="AM481"/>
  <c r="R481"/>
  <c r="AI480"/>
  <c r="AB480"/>
  <c r="AH480"/>
  <c r="AQ480"/>
  <c r="AG480"/>
  <c r="AF480"/>
  <c r="AE480"/>
  <c r="AD480"/>
  <c r="AK480"/>
  <c r="AS480"/>
  <c r="AJ480"/>
  <c r="AR480"/>
  <c r="AP480"/>
  <c r="O480"/>
  <c r="Q480"/>
  <c r="AA480"/>
  <c r="AO480"/>
  <c r="P480"/>
  <c r="T480"/>
  <c r="S480"/>
  <c r="AN480"/>
  <c r="AM480"/>
  <c r="R480"/>
  <c r="AI479"/>
  <c r="AB479"/>
  <c r="AH479"/>
  <c r="AQ479"/>
  <c r="AG479"/>
  <c r="AF479"/>
  <c r="AE479"/>
  <c r="AD479"/>
  <c r="AK479"/>
  <c r="AS479"/>
  <c r="AJ479"/>
  <c r="AR479"/>
  <c r="AP479"/>
  <c r="O479"/>
  <c r="Q479"/>
  <c r="AA479"/>
  <c r="AO479"/>
  <c r="P479"/>
  <c r="T479"/>
  <c r="S479"/>
  <c r="AN479"/>
  <c r="AM479"/>
  <c r="R479"/>
  <c r="AI478"/>
  <c r="AB478"/>
  <c r="AH478"/>
  <c r="AQ478"/>
  <c r="AG478"/>
  <c r="AF478"/>
  <c r="AE478"/>
  <c r="AD478"/>
  <c r="AK478"/>
  <c r="AS478"/>
  <c r="AJ478"/>
  <c r="AR478"/>
  <c r="AP478"/>
  <c r="O478"/>
  <c r="Q478"/>
  <c r="AA478"/>
  <c r="AO478"/>
  <c r="P478"/>
  <c r="T478"/>
  <c r="S478"/>
  <c r="AN478"/>
  <c r="AM478"/>
  <c r="R478"/>
  <c r="AI477"/>
  <c r="AB477"/>
  <c r="AH477"/>
  <c r="AQ477"/>
  <c r="AG477"/>
  <c r="AF477"/>
  <c r="AE477"/>
  <c r="AD477"/>
  <c r="AK477"/>
  <c r="AS477"/>
  <c r="AJ477"/>
  <c r="AR477"/>
  <c r="AP477"/>
  <c r="O477"/>
  <c r="Q477"/>
  <c r="AA477"/>
  <c r="AO477"/>
  <c r="P477"/>
  <c r="T477"/>
  <c r="S477"/>
  <c r="AN477"/>
  <c r="AM477"/>
  <c r="R477"/>
  <c r="AI476"/>
  <c r="AB476"/>
  <c r="AH476"/>
  <c r="AQ476"/>
  <c r="AG476"/>
  <c r="AF476"/>
  <c r="AE476"/>
  <c r="AD476"/>
  <c r="AK476"/>
  <c r="AS476"/>
  <c r="AJ476"/>
  <c r="AR476"/>
  <c r="AP476"/>
  <c r="O476"/>
  <c r="Q476"/>
  <c r="AA476"/>
  <c r="AO476"/>
  <c r="P476"/>
  <c r="T476"/>
  <c r="S476"/>
  <c r="AN476"/>
  <c r="AM476"/>
  <c r="R476"/>
  <c r="AI475"/>
  <c r="AB475"/>
  <c r="AH475"/>
  <c r="AQ475"/>
  <c r="AG475"/>
  <c r="AF475"/>
  <c r="AE475"/>
  <c r="AD475"/>
  <c r="AK475"/>
  <c r="AS475"/>
  <c r="AJ475"/>
  <c r="AR475"/>
  <c r="AP475"/>
  <c r="O475"/>
  <c r="Q475"/>
  <c r="AA475"/>
  <c r="AO475"/>
  <c r="P475"/>
  <c r="T475"/>
  <c r="S475"/>
  <c r="AN475"/>
  <c r="AM475"/>
  <c r="R475"/>
  <c r="AI474"/>
  <c r="AB474"/>
  <c r="AH474"/>
  <c r="AQ474"/>
  <c r="AG474"/>
  <c r="AF474"/>
  <c r="AE474"/>
  <c r="AD474"/>
  <c r="AK474"/>
  <c r="AS474"/>
  <c r="AJ474"/>
  <c r="AR474"/>
  <c r="AP474"/>
  <c r="O474"/>
  <c r="Q474"/>
  <c r="AA474"/>
  <c r="AO474"/>
  <c r="P474"/>
  <c r="T474"/>
  <c r="S474"/>
  <c r="AN474"/>
  <c r="AM474"/>
  <c r="R474"/>
  <c r="AI473"/>
  <c r="AB473"/>
  <c r="AH473"/>
  <c r="AQ473"/>
  <c r="AG473"/>
  <c r="AF473"/>
  <c r="AE473"/>
  <c r="AD473"/>
  <c r="AK473"/>
  <c r="AS473"/>
  <c r="AJ473"/>
  <c r="AR473"/>
  <c r="AP473"/>
  <c r="O473"/>
  <c r="Q473"/>
  <c r="AA473"/>
  <c r="AO473"/>
  <c r="P473"/>
  <c r="T473"/>
  <c r="S473"/>
  <c r="AN473"/>
  <c r="AM473"/>
  <c r="R473"/>
  <c r="AI472"/>
  <c r="AB472"/>
  <c r="AH472"/>
  <c r="AQ472"/>
  <c r="AG472"/>
  <c r="AF472"/>
  <c r="AE472"/>
  <c r="AD472"/>
  <c r="AK472"/>
  <c r="AS472"/>
  <c r="AJ472"/>
  <c r="AR472"/>
  <c r="AP472"/>
  <c r="O472"/>
  <c r="Q472"/>
  <c r="AA472"/>
  <c r="AO472"/>
  <c r="P472"/>
  <c r="T472"/>
  <c r="S472"/>
  <c r="AN472"/>
  <c r="AM472"/>
  <c r="R472"/>
  <c r="AI471"/>
  <c r="AB471"/>
  <c r="AH471"/>
  <c r="AQ471"/>
  <c r="AG471"/>
  <c r="AF471"/>
  <c r="AE471"/>
  <c r="AD471"/>
  <c r="AK471"/>
  <c r="AS471"/>
  <c r="AJ471"/>
  <c r="AR471"/>
  <c r="AP471"/>
  <c r="O471"/>
  <c r="Q471"/>
  <c r="AA471"/>
  <c r="AO471"/>
  <c r="P471"/>
  <c r="T471"/>
  <c r="S471"/>
  <c r="AN471"/>
  <c r="AM471"/>
  <c r="R471"/>
  <c r="AI470"/>
  <c r="AB470"/>
  <c r="AH470"/>
  <c r="AQ470"/>
  <c r="AG470"/>
  <c r="AF470"/>
  <c r="AE470"/>
  <c r="AD470"/>
  <c r="AK470"/>
  <c r="AS470"/>
  <c r="AJ470"/>
  <c r="AR470"/>
  <c r="AP470"/>
  <c r="O470"/>
  <c r="Q470"/>
  <c r="AA470"/>
  <c r="AO470"/>
  <c r="P470"/>
  <c r="T470"/>
  <c r="S470"/>
  <c r="AN470"/>
  <c r="AM470"/>
  <c r="R470"/>
  <c r="AI469"/>
  <c r="AB469"/>
  <c r="AH469"/>
  <c r="AQ469"/>
  <c r="AG469"/>
  <c r="AF469"/>
  <c r="AE469"/>
  <c r="AD469"/>
  <c r="AK469"/>
  <c r="AS469"/>
  <c r="AJ469"/>
  <c r="AR469"/>
  <c r="AP469"/>
  <c r="O469"/>
  <c r="Q469"/>
  <c r="AA469"/>
  <c r="AO469"/>
  <c r="P469"/>
  <c r="T469"/>
  <c r="S469"/>
  <c r="AN469"/>
  <c r="AM469"/>
  <c r="R469"/>
  <c r="AI468"/>
  <c r="AB468"/>
  <c r="AH468"/>
  <c r="AQ468"/>
  <c r="AG468"/>
  <c r="AF468"/>
  <c r="AE468"/>
  <c r="AD468"/>
  <c r="AK468"/>
  <c r="AS468"/>
  <c r="AJ468"/>
  <c r="AR468"/>
  <c r="AP468"/>
  <c r="O468"/>
  <c r="Q468"/>
  <c r="AA468"/>
  <c r="AO468"/>
  <c r="P468"/>
  <c r="T468"/>
  <c r="S468"/>
  <c r="AN468"/>
  <c r="AM468"/>
  <c r="R468"/>
  <c r="AI467"/>
  <c r="AB467"/>
  <c r="AH467"/>
  <c r="AQ467"/>
  <c r="AG467"/>
  <c r="AF467"/>
  <c r="AE467"/>
  <c r="AD467"/>
  <c r="AK467"/>
  <c r="AS467"/>
  <c r="AJ467"/>
  <c r="AR467"/>
  <c r="AP467"/>
  <c r="O467"/>
  <c r="Q467"/>
  <c r="AA467"/>
  <c r="AO467"/>
  <c r="P467"/>
  <c r="T467"/>
  <c r="S467"/>
  <c r="AN467"/>
  <c r="AM467"/>
  <c r="R467"/>
  <c r="AI466"/>
  <c r="AB466"/>
  <c r="AH466"/>
  <c r="AQ466"/>
  <c r="AG466"/>
  <c r="AF466"/>
  <c r="AE466"/>
  <c r="AD466"/>
  <c r="AK466"/>
  <c r="AS466"/>
  <c r="AJ466"/>
  <c r="AR466"/>
  <c r="AP466"/>
  <c r="O466"/>
  <c r="Q466"/>
  <c r="AA466"/>
  <c r="AO466"/>
  <c r="P466"/>
  <c r="T466"/>
  <c r="S466"/>
  <c r="AN466"/>
  <c r="AM466"/>
  <c r="R466"/>
  <c r="AI465"/>
  <c r="AB465"/>
  <c r="AH465"/>
  <c r="AQ465"/>
  <c r="AG465"/>
  <c r="AF465"/>
  <c r="AE465"/>
  <c r="AD465"/>
  <c r="AK465"/>
  <c r="AS465"/>
  <c r="AJ465"/>
  <c r="AR465"/>
  <c r="AP465"/>
  <c r="O465"/>
  <c r="Q465"/>
  <c r="AA465"/>
  <c r="AO465"/>
  <c r="P465"/>
  <c r="T465"/>
  <c r="S465"/>
  <c r="AN465"/>
  <c r="AM465"/>
  <c r="R465"/>
  <c r="AI464"/>
  <c r="AB464"/>
  <c r="AH464"/>
  <c r="AQ464"/>
  <c r="AG464"/>
  <c r="AF464"/>
  <c r="AE464"/>
  <c r="AD464"/>
  <c r="AK464"/>
  <c r="AS464"/>
  <c r="AJ464"/>
  <c r="AR464"/>
  <c r="AP464"/>
  <c r="O464"/>
  <c r="Q464"/>
  <c r="AA464"/>
  <c r="AO464"/>
  <c r="P464"/>
  <c r="T464"/>
  <c r="S464"/>
  <c r="AN464"/>
  <c r="AM464"/>
  <c r="R464"/>
  <c r="AI463"/>
  <c r="AB463"/>
  <c r="AH463"/>
  <c r="AQ463"/>
  <c r="AG463"/>
  <c r="AF463"/>
  <c r="AE463"/>
  <c r="AD463"/>
  <c r="AK463"/>
  <c r="AS463"/>
  <c r="AJ463"/>
  <c r="AR463"/>
  <c r="AP463"/>
  <c r="O463"/>
  <c r="Q463"/>
  <c r="AA463"/>
  <c r="AO463"/>
  <c r="P463"/>
  <c r="T463"/>
  <c r="S463"/>
  <c r="AN463"/>
  <c r="AM463"/>
  <c r="R463"/>
  <c r="AI462"/>
  <c r="AB462"/>
  <c r="AH462"/>
  <c r="AQ462"/>
  <c r="AG462"/>
  <c r="AF462"/>
  <c r="AE462"/>
  <c r="AD462"/>
  <c r="AK462"/>
  <c r="AS462"/>
  <c r="AJ462"/>
  <c r="AR462"/>
  <c r="AP462"/>
  <c r="O462"/>
  <c r="Q462"/>
  <c r="AA462"/>
  <c r="AO462"/>
  <c r="P462"/>
  <c r="T462"/>
  <c r="S462"/>
  <c r="AN462"/>
  <c r="AM462"/>
  <c r="R462"/>
  <c r="AI461"/>
  <c r="AB461"/>
  <c r="AH461"/>
  <c r="AQ461"/>
  <c r="AG461"/>
  <c r="AF461"/>
  <c r="AE461"/>
  <c r="AD461"/>
  <c r="AK461"/>
  <c r="AS461"/>
  <c r="AJ461"/>
  <c r="AR461"/>
  <c r="AP461"/>
  <c r="O461"/>
  <c r="Q461"/>
  <c r="AA461"/>
  <c r="AO461"/>
  <c r="P461"/>
  <c r="T461"/>
  <c r="S461"/>
  <c r="AN461"/>
  <c r="AM461"/>
  <c r="R461"/>
  <c r="AI460"/>
  <c r="AB460"/>
  <c r="AH460"/>
  <c r="AQ460"/>
  <c r="AG460"/>
  <c r="AF460"/>
  <c r="AE460"/>
  <c r="AD460"/>
  <c r="AK460"/>
  <c r="AS460"/>
  <c r="AJ460"/>
  <c r="AR460"/>
  <c r="AP460"/>
  <c r="O460"/>
  <c r="Q460"/>
  <c r="AA460"/>
  <c r="AO460"/>
  <c r="P460"/>
  <c r="T460"/>
  <c r="S460"/>
  <c r="AN460"/>
  <c r="AM460"/>
  <c r="R460"/>
  <c r="AI459"/>
  <c r="AB459"/>
  <c r="AH459"/>
  <c r="AQ459"/>
  <c r="AG459"/>
  <c r="AF459"/>
  <c r="AE459"/>
  <c r="AD459"/>
  <c r="AK459"/>
  <c r="AS459"/>
  <c r="AJ459"/>
  <c r="AR459"/>
  <c r="AP459"/>
  <c r="O459"/>
  <c r="Q459"/>
  <c r="AA459"/>
  <c r="AO459"/>
  <c r="P459"/>
  <c r="T459"/>
  <c r="S459"/>
  <c r="AN459"/>
  <c r="AM459"/>
  <c r="R459"/>
  <c r="AI458"/>
  <c r="AB458"/>
  <c r="AH458"/>
  <c r="AQ458"/>
  <c r="AG458"/>
  <c r="AF458"/>
  <c r="AE458"/>
  <c r="AD458"/>
  <c r="AK458"/>
  <c r="AS458"/>
  <c r="AJ458"/>
  <c r="AR458"/>
  <c r="AP458"/>
  <c r="O458"/>
  <c r="Q458"/>
  <c r="AA458"/>
  <c r="AO458"/>
  <c r="P458"/>
  <c r="T458"/>
  <c r="S458"/>
  <c r="AN458"/>
  <c r="AM458"/>
  <c r="R458"/>
  <c r="AI457"/>
  <c r="AB457"/>
  <c r="AH457"/>
  <c r="AQ457"/>
  <c r="AG457"/>
  <c r="AF457"/>
  <c r="AE457"/>
  <c r="AD457"/>
  <c r="AK457"/>
  <c r="AS457"/>
  <c r="AJ457"/>
  <c r="AR457"/>
  <c r="AP457"/>
  <c r="O457"/>
  <c r="Q457"/>
  <c r="AA457"/>
  <c r="AO457"/>
  <c r="P457"/>
  <c r="T457"/>
  <c r="S457"/>
  <c r="AN457"/>
  <c r="AM457"/>
  <c r="R457"/>
  <c r="AI456"/>
  <c r="AB456"/>
  <c r="AH456"/>
  <c r="AQ456"/>
  <c r="AG456"/>
  <c r="AF456"/>
  <c r="AE456"/>
  <c r="AD456"/>
  <c r="AK456"/>
  <c r="AS456"/>
  <c r="AJ456"/>
  <c r="AR456"/>
  <c r="AP456"/>
  <c r="O456"/>
  <c r="Q456"/>
  <c r="AA456"/>
  <c r="AO456"/>
  <c r="P456"/>
  <c r="T456"/>
  <c r="S456"/>
  <c r="AN456"/>
  <c r="AM456"/>
  <c r="R456"/>
  <c r="AI455"/>
  <c r="AB455"/>
  <c r="AH455"/>
  <c r="AQ455"/>
  <c r="AG455"/>
  <c r="AF455"/>
  <c r="AE455"/>
  <c r="AD455"/>
  <c r="AK455"/>
  <c r="AS455"/>
  <c r="AJ455"/>
  <c r="AR455"/>
  <c r="AP455"/>
  <c r="O455"/>
  <c r="Q455"/>
  <c r="AA455"/>
  <c r="AO455"/>
  <c r="P455"/>
  <c r="T455"/>
  <c r="S455"/>
  <c r="AN455"/>
  <c r="AM455"/>
  <c r="R455"/>
  <c r="AI454"/>
  <c r="AB454"/>
  <c r="AH454"/>
  <c r="AQ454"/>
  <c r="AG454"/>
  <c r="AF454"/>
  <c r="AE454"/>
  <c r="AD454"/>
  <c r="AK454"/>
  <c r="AS454"/>
  <c r="AJ454"/>
  <c r="AR454"/>
  <c r="AP454"/>
  <c r="O454"/>
  <c r="Q454"/>
  <c r="AA454"/>
  <c r="AO454"/>
  <c r="P454"/>
  <c r="T454"/>
  <c r="S454"/>
  <c r="AN454"/>
  <c r="AM454"/>
  <c r="R454"/>
  <c r="AI453"/>
  <c r="AB453"/>
  <c r="AH453"/>
  <c r="AQ453"/>
  <c r="AG453"/>
  <c r="AF453"/>
  <c r="AE453"/>
  <c r="AD453"/>
  <c r="AK453"/>
  <c r="AS453"/>
  <c r="AJ453"/>
  <c r="AR453"/>
  <c r="AP453"/>
  <c r="O453"/>
  <c r="Q453"/>
  <c r="AA453"/>
  <c r="AO453"/>
  <c r="P453"/>
  <c r="T453"/>
  <c r="S453"/>
  <c r="AN453"/>
  <c r="AM453"/>
  <c r="R453"/>
  <c r="AI452"/>
  <c r="AB452"/>
  <c r="AH452"/>
  <c r="AQ452"/>
  <c r="AG452"/>
  <c r="AF452"/>
  <c r="AE452"/>
  <c r="AD452"/>
  <c r="AK452"/>
  <c r="AS452"/>
  <c r="AJ452"/>
  <c r="AR452"/>
  <c r="AP452"/>
  <c r="O452"/>
  <c r="Q452"/>
  <c r="AA452"/>
  <c r="AO452"/>
  <c r="P452"/>
  <c r="T452"/>
  <c r="S452"/>
  <c r="AN452"/>
  <c r="AM452"/>
  <c r="R452"/>
  <c r="AI451"/>
  <c r="AB451"/>
  <c r="AH451"/>
  <c r="AQ451"/>
  <c r="AG451"/>
  <c r="AF451"/>
  <c r="AE451"/>
  <c r="AD451"/>
  <c r="AK451"/>
  <c r="AS451"/>
  <c r="AJ451"/>
  <c r="AR451"/>
  <c r="AP451"/>
  <c r="O451"/>
  <c r="Q451"/>
  <c r="AA451"/>
  <c r="AO451"/>
  <c r="P451"/>
  <c r="T451"/>
  <c r="S451"/>
  <c r="AN451"/>
  <c r="AM451"/>
  <c r="R451"/>
  <c r="AI450"/>
  <c r="AB450"/>
  <c r="AH450"/>
  <c r="AQ450"/>
  <c r="AG450"/>
  <c r="AF450"/>
  <c r="AE450"/>
  <c r="AD450"/>
  <c r="AK450"/>
  <c r="AS450"/>
  <c r="AJ450"/>
  <c r="AR450"/>
  <c r="AP450"/>
  <c r="O450"/>
  <c r="Q450"/>
  <c r="AA450"/>
  <c r="AO450"/>
  <c r="P450"/>
  <c r="T450"/>
  <c r="S450"/>
  <c r="AN450"/>
  <c r="AM450"/>
  <c r="R450"/>
  <c r="AI449"/>
  <c r="AB449"/>
  <c r="AH449"/>
  <c r="AQ449"/>
  <c r="AG449"/>
  <c r="AF449"/>
  <c r="AE449"/>
  <c r="AD449"/>
  <c r="AK449"/>
  <c r="AS449"/>
  <c r="AJ449"/>
  <c r="AR449"/>
  <c r="AP449"/>
  <c r="O449"/>
  <c r="Q449"/>
  <c r="AA449"/>
  <c r="AO449"/>
  <c r="P449"/>
  <c r="T449"/>
  <c r="S449"/>
  <c r="AN449"/>
  <c r="AM449"/>
  <c r="R449"/>
  <c r="AI448"/>
  <c r="AB448"/>
  <c r="AH448"/>
  <c r="AQ448"/>
  <c r="AG448"/>
  <c r="AF448"/>
  <c r="AE448"/>
  <c r="AD448"/>
  <c r="AK448"/>
  <c r="AS448"/>
  <c r="AJ448"/>
  <c r="AR448"/>
  <c r="AP448"/>
  <c r="O448"/>
  <c r="Q448"/>
  <c r="AA448"/>
  <c r="AO448"/>
  <c r="P448"/>
  <c r="T448"/>
  <c r="S448"/>
  <c r="AN448"/>
  <c r="AM448"/>
  <c r="R448"/>
  <c r="AI447"/>
  <c r="AB447"/>
  <c r="AH447"/>
  <c r="AQ447"/>
  <c r="AG447"/>
  <c r="AF447"/>
  <c r="AE447"/>
  <c r="AD447"/>
  <c r="AK447"/>
  <c r="AS447"/>
  <c r="AJ447"/>
  <c r="AR447"/>
  <c r="AP447"/>
  <c r="O447"/>
  <c r="Q447"/>
  <c r="AA447"/>
  <c r="AO447"/>
  <c r="P447"/>
  <c r="T447"/>
  <c r="S447"/>
  <c r="AN447"/>
  <c r="AM447"/>
  <c r="R447"/>
  <c r="AI446"/>
  <c r="AB446"/>
  <c r="AH446"/>
  <c r="AQ446"/>
  <c r="AG446"/>
  <c r="AF446"/>
  <c r="AE446"/>
  <c r="AD446"/>
  <c r="AK446"/>
  <c r="AS446"/>
  <c r="AJ446"/>
  <c r="AR446"/>
  <c r="AP446"/>
  <c r="O446"/>
  <c r="Q446"/>
  <c r="AA446"/>
  <c r="AO446"/>
  <c r="P446"/>
  <c r="T446"/>
  <c r="S446"/>
  <c r="AN446"/>
  <c r="AM446"/>
  <c r="R446"/>
  <c r="AI445"/>
  <c r="AB445"/>
  <c r="AH445"/>
  <c r="AQ445"/>
  <c r="AG445"/>
  <c r="AF445"/>
  <c r="AE445"/>
  <c r="AD445"/>
  <c r="AK445"/>
  <c r="AS445"/>
  <c r="AJ445"/>
  <c r="AR445"/>
  <c r="AP445"/>
  <c r="O445"/>
  <c r="Q445"/>
  <c r="AA445"/>
  <c r="AO445"/>
  <c r="P445"/>
  <c r="T445"/>
  <c r="S445"/>
  <c r="AN445"/>
  <c r="AM445"/>
  <c r="R445"/>
  <c r="AI444"/>
  <c r="AB444"/>
  <c r="AH444"/>
  <c r="AQ444"/>
  <c r="AG444"/>
  <c r="AF444"/>
  <c r="AE444"/>
  <c r="AD444"/>
  <c r="AK444"/>
  <c r="AS444"/>
  <c r="AJ444"/>
  <c r="AR444"/>
  <c r="AP444"/>
  <c r="O444"/>
  <c r="Q444"/>
  <c r="AA444"/>
  <c r="AO444"/>
  <c r="P444"/>
  <c r="T444"/>
  <c r="S444"/>
  <c r="AN444"/>
  <c r="AM444"/>
  <c r="R444"/>
  <c r="AI443"/>
  <c r="AB443"/>
  <c r="AH443"/>
  <c r="AQ443"/>
  <c r="AG443"/>
  <c r="AF443"/>
  <c r="AE443"/>
  <c r="AD443"/>
  <c r="AK443"/>
  <c r="AS443"/>
  <c r="AJ443"/>
  <c r="AR443"/>
  <c r="AP443"/>
  <c r="O443"/>
  <c r="Q443"/>
  <c r="AA443"/>
  <c r="AO443"/>
  <c r="P443"/>
  <c r="T443"/>
  <c r="S443"/>
  <c r="AN443"/>
  <c r="AM443"/>
  <c r="R443"/>
  <c r="AI442"/>
  <c r="AB442"/>
  <c r="AH442"/>
  <c r="AQ442"/>
  <c r="AG442"/>
  <c r="AF442"/>
  <c r="AE442"/>
  <c r="AD442"/>
  <c r="AK442"/>
  <c r="AS442"/>
  <c r="AJ442"/>
  <c r="AR442"/>
  <c r="AP442"/>
  <c r="O442"/>
  <c r="Q442"/>
  <c r="AA442"/>
  <c r="AO442"/>
  <c r="P442"/>
  <c r="T442"/>
  <c r="S442"/>
  <c r="AN442"/>
  <c r="AM442"/>
  <c r="R442"/>
  <c r="AI441"/>
  <c r="AB441"/>
  <c r="AH441"/>
  <c r="AQ441"/>
  <c r="AG441"/>
  <c r="AF441"/>
  <c r="AE441"/>
  <c r="AD441"/>
  <c r="AK441"/>
  <c r="AS441"/>
  <c r="AJ441"/>
  <c r="AR441"/>
  <c r="AP441"/>
  <c r="O441"/>
  <c r="Q441"/>
  <c r="AA441"/>
  <c r="AO441"/>
  <c r="P441"/>
  <c r="T441"/>
  <c r="S441"/>
  <c r="AN441"/>
  <c r="AM441"/>
  <c r="R441"/>
  <c r="AI440"/>
  <c r="AB440"/>
  <c r="AH440"/>
  <c r="AQ440"/>
  <c r="AG440"/>
  <c r="AF440"/>
  <c r="AE440"/>
  <c r="AD440"/>
  <c r="AK440"/>
  <c r="AS440"/>
  <c r="AJ440"/>
  <c r="AR440"/>
  <c r="AP440"/>
  <c r="O440"/>
  <c r="Q440"/>
  <c r="AA440"/>
  <c r="AO440"/>
  <c r="P440"/>
  <c r="T440"/>
  <c r="S440"/>
  <c r="AN440"/>
  <c r="AM440"/>
  <c r="R440"/>
  <c r="AI439"/>
  <c r="AB439"/>
  <c r="AH439"/>
  <c r="AQ439"/>
  <c r="AG439"/>
  <c r="AF439"/>
  <c r="AE439"/>
  <c r="AD439"/>
  <c r="AK439"/>
  <c r="AS439"/>
  <c r="AJ439"/>
  <c r="AR439"/>
  <c r="AP439"/>
  <c r="O439"/>
  <c r="Q439"/>
  <c r="AA439"/>
  <c r="AO439"/>
  <c r="P439"/>
  <c r="T439"/>
  <c r="S439"/>
  <c r="AN439"/>
  <c r="AM439"/>
  <c r="R439"/>
  <c r="AI438"/>
  <c r="AB438"/>
  <c r="AH438"/>
  <c r="AQ438"/>
  <c r="AG438"/>
  <c r="AF438"/>
  <c r="AE438"/>
  <c r="AD438"/>
  <c r="AK438"/>
  <c r="AS438"/>
  <c r="AJ438"/>
  <c r="AR438"/>
  <c r="AP438"/>
  <c r="O438"/>
  <c r="Q438"/>
  <c r="AA438"/>
  <c r="AO438"/>
  <c r="P438"/>
  <c r="T438"/>
  <c r="S438"/>
  <c r="AN438"/>
  <c r="AM438"/>
  <c r="R438"/>
  <c r="AI437"/>
  <c r="AB437"/>
  <c r="AH437"/>
  <c r="AQ437"/>
  <c r="AG437"/>
  <c r="AF437"/>
  <c r="AE437"/>
  <c r="AD437"/>
  <c r="AK437"/>
  <c r="AS437"/>
  <c r="AJ437"/>
  <c r="AR437"/>
  <c r="AP437"/>
  <c r="O437"/>
  <c r="Q437"/>
  <c r="AA437"/>
  <c r="AO437"/>
  <c r="P437"/>
  <c r="T437"/>
  <c r="S437"/>
  <c r="AN437"/>
  <c r="AM437"/>
  <c r="R437"/>
  <c r="AI436"/>
  <c r="AB436"/>
  <c r="AH436"/>
  <c r="AQ436"/>
  <c r="AG436"/>
  <c r="AF436"/>
  <c r="AE436"/>
  <c r="AD436"/>
  <c r="AK436"/>
  <c r="AS436"/>
  <c r="AJ436"/>
  <c r="AR436"/>
  <c r="AP436"/>
  <c r="O436"/>
  <c r="Q436"/>
  <c r="AA436"/>
  <c r="AO436"/>
  <c r="P436"/>
  <c r="T436"/>
  <c r="S436"/>
  <c r="AN436"/>
  <c r="AM436"/>
  <c r="R436"/>
  <c r="AI435"/>
  <c r="AB435"/>
  <c r="AH435"/>
  <c r="AQ435"/>
  <c r="AG435"/>
  <c r="AF435"/>
  <c r="AE435"/>
  <c r="AD435"/>
  <c r="AK435"/>
  <c r="AS435"/>
  <c r="AJ435"/>
  <c r="AR435"/>
  <c r="AP435"/>
  <c r="O435"/>
  <c r="Q435"/>
  <c r="AA435"/>
  <c r="AO435"/>
  <c r="P435"/>
  <c r="T435"/>
  <c r="S435"/>
  <c r="AN435"/>
  <c r="AM435"/>
  <c r="R435"/>
  <c r="AI434"/>
  <c r="AB434"/>
  <c r="AH434"/>
  <c r="AQ434"/>
  <c r="AG434"/>
  <c r="AF434"/>
  <c r="AE434"/>
  <c r="AD434"/>
  <c r="AK434"/>
  <c r="AS434"/>
  <c r="AJ434"/>
  <c r="AR434"/>
  <c r="AP434"/>
  <c r="O434"/>
  <c r="Q434"/>
  <c r="AA434"/>
  <c r="AO434"/>
  <c r="P434"/>
  <c r="T434"/>
  <c r="S434"/>
  <c r="AN434"/>
  <c r="AM434"/>
  <c r="R434"/>
  <c r="AI433"/>
  <c r="AB433"/>
  <c r="AH433"/>
  <c r="AQ433"/>
  <c r="AG433"/>
  <c r="AF433"/>
  <c r="AE433"/>
  <c r="AD433"/>
  <c r="AK433"/>
  <c r="AS433"/>
  <c r="AJ433"/>
  <c r="AR433"/>
  <c r="AP433"/>
  <c r="O433"/>
  <c r="Q433"/>
  <c r="AA433"/>
  <c r="AO433"/>
  <c r="P433"/>
  <c r="T433"/>
  <c r="S433"/>
  <c r="AN433"/>
  <c r="AM433"/>
  <c r="R433"/>
  <c r="AI432"/>
  <c r="AB432"/>
  <c r="AH432"/>
  <c r="AQ432"/>
  <c r="AG432"/>
  <c r="AF432"/>
  <c r="AE432"/>
  <c r="AD432"/>
  <c r="AK432"/>
  <c r="AS432"/>
  <c r="AJ432"/>
  <c r="AR432"/>
  <c r="AP432"/>
  <c r="O432"/>
  <c r="Q432"/>
  <c r="AA432"/>
  <c r="AO432"/>
  <c r="P432"/>
  <c r="T432"/>
  <c r="S432"/>
  <c r="AN432"/>
  <c r="AM432"/>
  <c r="R432"/>
  <c r="AI431"/>
  <c r="AB431"/>
  <c r="AH431"/>
  <c r="AQ431"/>
  <c r="AG431"/>
  <c r="AF431"/>
  <c r="AE431"/>
  <c r="AD431"/>
  <c r="AK431"/>
  <c r="AS431"/>
  <c r="AJ431"/>
  <c r="AR431"/>
  <c r="AP431"/>
  <c r="O431"/>
  <c r="Q431"/>
  <c r="AA431"/>
  <c r="AO431"/>
  <c r="P431"/>
  <c r="T431"/>
  <c r="S431"/>
  <c r="AN431"/>
  <c r="AM431"/>
  <c r="R431"/>
  <c r="AI430"/>
  <c r="AB430"/>
  <c r="AH430"/>
  <c r="AQ430"/>
  <c r="AG430"/>
  <c r="AF430"/>
  <c r="AE430"/>
  <c r="AD430"/>
  <c r="AK430"/>
  <c r="AS430"/>
  <c r="AJ430"/>
  <c r="AR430"/>
  <c r="AP430"/>
  <c r="O430"/>
  <c r="Q430"/>
  <c r="AA430"/>
  <c r="AO430"/>
  <c r="P430"/>
  <c r="T430"/>
  <c r="S430"/>
  <c r="AN430"/>
  <c r="AM430"/>
  <c r="R430"/>
  <c r="AI429"/>
  <c r="AB429"/>
  <c r="AH429"/>
  <c r="AQ429"/>
  <c r="AG429"/>
  <c r="AF429"/>
  <c r="AE429"/>
  <c r="AD429"/>
  <c r="AK429"/>
  <c r="AS429"/>
  <c r="AJ429"/>
  <c r="AR429"/>
  <c r="AP429"/>
  <c r="O429"/>
  <c r="Q429"/>
  <c r="AA429"/>
  <c r="AO429"/>
  <c r="P429"/>
  <c r="T429"/>
  <c r="S429"/>
  <c r="AN429"/>
  <c r="AM429"/>
  <c r="R429"/>
  <c r="AI428"/>
  <c r="AB428"/>
  <c r="AH428"/>
  <c r="AQ428"/>
  <c r="AG428"/>
  <c r="AF428"/>
  <c r="AE428"/>
  <c r="AD428"/>
  <c r="AK428"/>
  <c r="AS428"/>
  <c r="AJ428"/>
  <c r="AR428"/>
  <c r="AP428"/>
  <c r="O428"/>
  <c r="Q428"/>
  <c r="AA428"/>
  <c r="AO428"/>
  <c r="P428"/>
  <c r="T428"/>
  <c r="S428"/>
  <c r="AN428"/>
  <c r="AM428"/>
  <c r="R428"/>
  <c r="AI427"/>
  <c r="AB427"/>
  <c r="AH427"/>
  <c r="AQ427"/>
  <c r="AG427"/>
  <c r="AF427"/>
  <c r="AE427"/>
  <c r="AD427"/>
  <c r="AK427"/>
  <c r="AS427"/>
  <c r="AJ427"/>
  <c r="AR427"/>
  <c r="AP427"/>
  <c r="O427"/>
  <c r="Q427"/>
  <c r="AA427"/>
  <c r="AO427"/>
  <c r="P427"/>
  <c r="T427"/>
  <c r="S427"/>
  <c r="AN427"/>
  <c r="AM427"/>
  <c r="R427"/>
  <c r="AI426"/>
  <c r="AB426"/>
  <c r="AH426"/>
  <c r="AQ426"/>
  <c r="AG426"/>
  <c r="AF426"/>
  <c r="AE426"/>
  <c r="AD426"/>
  <c r="AK426"/>
  <c r="AS426"/>
  <c r="AJ426"/>
  <c r="AR426"/>
  <c r="AP426"/>
  <c r="O426"/>
  <c r="Q426"/>
  <c r="AA426"/>
  <c r="AO426"/>
  <c r="P426"/>
  <c r="T426"/>
  <c r="S426"/>
  <c r="AN426"/>
  <c r="AM426"/>
  <c r="R426"/>
  <c r="AI425"/>
  <c r="AB425"/>
  <c r="AH425"/>
  <c r="AQ425"/>
  <c r="AG425"/>
  <c r="AF425"/>
  <c r="AE425"/>
  <c r="AD425"/>
  <c r="AK425"/>
  <c r="AS425"/>
  <c r="AJ425"/>
  <c r="AR425"/>
  <c r="AP425"/>
  <c r="O425"/>
  <c r="Q425"/>
  <c r="AA425"/>
  <c r="AO425"/>
  <c r="P425"/>
  <c r="T425"/>
  <c r="S425"/>
  <c r="AN425"/>
  <c r="AM425"/>
  <c r="R425"/>
  <c r="AI424"/>
  <c r="AB424"/>
  <c r="AH424"/>
  <c r="AQ424"/>
  <c r="AG424"/>
  <c r="AF424"/>
  <c r="AE424"/>
  <c r="AD424"/>
  <c r="AK424"/>
  <c r="AS424"/>
  <c r="AJ424"/>
  <c r="AR424"/>
  <c r="AP424"/>
  <c r="O424"/>
  <c r="Q424"/>
  <c r="AA424"/>
  <c r="AO424"/>
  <c r="P424"/>
  <c r="T424"/>
  <c r="S424"/>
  <c r="AN424"/>
  <c r="AM424"/>
  <c r="R424"/>
  <c r="AI423"/>
  <c r="AB423"/>
  <c r="AH423"/>
  <c r="AQ423"/>
  <c r="AG423"/>
  <c r="AF423"/>
  <c r="AE423"/>
  <c r="AD423"/>
  <c r="AK423"/>
  <c r="AS423"/>
  <c r="AJ423"/>
  <c r="AR423"/>
  <c r="AP423"/>
  <c r="O423"/>
  <c r="Q423"/>
  <c r="AA423"/>
  <c r="AO423"/>
  <c r="P423"/>
  <c r="T423"/>
  <c r="S423"/>
  <c r="AN423"/>
  <c r="AM423"/>
  <c r="R423"/>
  <c r="AI422"/>
  <c r="AB422"/>
  <c r="AH422"/>
  <c r="AQ422"/>
  <c r="AG422"/>
  <c r="AF422"/>
  <c r="AE422"/>
  <c r="AD422"/>
  <c r="AK422"/>
  <c r="AS422"/>
  <c r="AJ422"/>
  <c r="AR422"/>
  <c r="AP422"/>
  <c r="O422"/>
  <c r="Q422"/>
  <c r="AA422"/>
  <c r="AO422"/>
  <c r="P422"/>
  <c r="T422"/>
  <c r="S422"/>
  <c r="AN422"/>
  <c r="AM422"/>
  <c r="R422"/>
  <c r="AI421"/>
  <c r="AB421"/>
  <c r="AH421"/>
  <c r="AQ421"/>
  <c r="AG421"/>
  <c r="AF421"/>
  <c r="AE421"/>
  <c r="AD421"/>
  <c r="AK421"/>
  <c r="AS421"/>
  <c r="AJ421"/>
  <c r="AR421"/>
  <c r="AP421"/>
  <c r="O421"/>
  <c r="Q421"/>
  <c r="AA421"/>
  <c r="AO421"/>
  <c r="P421"/>
  <c r="T421"/>
  <c r="S421"/>
  <c r="AN421"/>
  <c r="AM421"/>
  <c r="R421"/>
  <c r="AI420"/>
  <c r="AB420"/>
  <c r="AH420"/>
  <c r="AQ420"/>
  <c r="AG420"/>
  <c r="AF420"/>
  <c r="AE420"/>
  <c r="AD420"/>
  <c r="AK420"/>
  <c r="AS420"/>
  <c r="AJ420"/>
  <c r="AR420"/>
  <c r="AP420"/>
  <c r="O420"/>
  <c r="Q420"/>
  <c r="AA420"/>
  <c r="AO420"/>
  <c r="P420"/>
  <c r="T420"/>
  <c r="S420"/>
  <c r="AN420"/>
  <c r="AM420"/>
  <c r="R420"/>
  <c r="AI419"/>
  <c r="AB419"/>
  <c r="AH419"/>
  <c r="AQ419"/>
  <c r="AG419"/>
  <c r="AF419"/>
  <c r="AE419"/>
  <c r="AD419"/>
  <c r="AK419"/>
  <c r="AS419"/>
  <c r="AJ419"/>
  <c r="AR419"/>
  <c r="AP419"/>
  <c r="O419"/>
  <c r="Q419"/>
  <c r="AA419"/>
  <c r="AO419"/>
  <c r="P419"/>
  <c r="T419"/>
  <c r="S419"/>
  <c r="AN419"/>
  <c r="AM419"/>
  <c r="R419"/>
  <c r="AI418"/>
  <c r="AB418"/>
  <c r="AH418"/>
  <c r="AQ418"/>
  <c r="AG418"/>
  <c r="AF418"/>
  <c r="AE418"/>
  <c r="AD418"/>
  <c r="AK418"/>
  <c r="AS418"/>
  <c r="AJ418"/>
  <c r="AR418"/>
  <c r="AP418"/>
  <c r="O418"/>
  <c r="Q418"/>
  <c r="AA418"/>
  <c r="AO418"/>
  <c r="P418"/>
  <c r="T418"/>
  <c r="S418"/>
  <c r="AN418"/>
  <c r="AM418"/>
  <c r="R418"/>
  <c r="AI417"/>
  <c r="AB417"/>
  <c r="AH417"/>
  <c r="AQ417"/>
  <c r="AG417"/>
  <c r="AF417"/>
  <c r="AE417"/>
  <c r="AD417"/>
  <c r="AK417"/>
  <c r="AS417"/>
  <c r="AJ417"/>
  <c r="AR417"/>
  <c r="AP417"/>
  <c r="O417"/>
  <c r="Q417"/>
  <c r="AA417"/>
  <c r="AO417"/>
  <c r="P417"/>
  <c r="T417"/>
  <c r="S417"/>
  <c r="AN417"/>
  <c r="AM417"/>
  <c r="R417"/>
  <c r="AI416"/>
  <c r="AB416"/>
  <c r="AH416"/>
  <c r="AQ416"/>
  <c r="AG416"/>
  <c r="AF416"/>
  <c r="AE416"/>
  <c r="AD416"/>
  <c r="AK416"/>
  <c r="AS416"/>
  <c r="AJ416"/>
  <c r="AR416"/>
  <c r="AP416"/>
  <c r="O416"/>
  <c r="Q416"/>
  <c r="AA416"/>
  <c r="AO416"/>
  <c r="P416"/>
  <c r="T416"/>
  <c r="S416"/>
  <c r="AN416"/>
  <c r="AM416"/>
  <c r="R416"/>
  <c r="AI415"/>
  <c r="AB415"/>
  <c r="AH415"/>
  <c r="AQ415"/>
  <c r="AG415"/>
  <c r="AF415"/>
  <c r="AE415"/>
  <c r="AD415"/>
  <c r="AK415"/>
  <c r="AS415"/>
  <c r="AJ415"/>
  <c r="AR415"/>
  <c r="AP415"/>
  <c r="O415"/>
  <c r="Q415"/>
  <c r="AA415"/>
  <c r="AO415"/>
  <c r="P415"/>
  <c r="T415"/>
  <c r="S415"/>
  <c r="AN415"/>
  <c r="AM415"/>
  <c r="R415"/>
  <c r="AI414"/>
  <c r="AB414"/>
  <c r="AH414"/>
  <c r="AQ414"/>
  <c r="AG414"/>
  <c r="AF414"/>
  <c r="AE414"/>
  <c r="AD414"/>
  <c r="AK414"/>
  <c r="AS414"/>
  <c r="AJ414"/>
  <c r="AR414"/>
  <c r="AP414"/>
  <c r="O414"/>
  <c r="Q414"/>
  <c r="AA414"/>
  <c r="AO414"/>
  <c r="P414"/>
  <c r="T414"/>
  <c r="S414"/>
  <c r="AN414"/>
  <c r="AM414"/>
  <c r="R414"/>
  <c r="AI413"/>
  <c r="AB413"/>
  <c r="AH413"/>
  <c r="AQ413"/>
  <c r="AG413"/>
  <c r="AF413"/>
  <c r="AE413"/>
  <c r="AD413"/>
  <c r="AK413"/>
  <c r="AS413"/>
  <c r="AJ413"/>
  <c r="AR413"/>
  <c r="AP413"/>
  <c r="O413"/>
  <c r="Q413"/>
  <c r="AA413"/>
  <c r="AO413"/>
  <c r="P413"/>
  <c r="T413"/>
  <c r="S413"/>
  <c r="AN413"/>
  <c r="AM413"/>
  <c r="R413"/>
  <c r="AI412"/>
  <c r="AB412"/>
  <c r="AH412"/>
  <c r="AQ412"/>
  <c r="AG412"/>
  <c r="AF412"/>
  <c r="AE412"/>
  <c r="AD412"/>
  <c r="AK412"/>
  <c r="AS412"/>
  <c r="AJ412"/>
  <c r="AR412"/>
  <c r="AP412"/>
  <c r="O412"/>
  <c r="Q412"/>
  <c r="AA412"/>
  <c r="AO412"/>
  <c r="P412"/>
  <c r="T412"/>
  <c r="S412"/>
  <c r="AN412"/>
  <c r="AM412"/>
  <c r="R412"/>
  <c r="AI411"/>
  <c r="AB411"/>
  <c r="AH411"/>
  <c r="AQ411"/>
  <c r="AG411"/>
  <c r="AF411"/>
  <c r="AE411"/>
  <c r="AD411"/>
  <c r="AK411"/>
  <c r="AS411"/>
  <c r="AJ411"/>
  <c r="AR411"/>
  <c r="AP411"/>
  <c r="O411"/>
  <c r="Q411"/>
  <c r="AA411"/>
  <c r="AO411"/>
  <c r="P411"/>
  <c r="T411"/>
  <c r="S411"/>
  <c r="AN411"/>
  <c r="AM411"/>
  <c r="R411"/>
  <c r="AI410"/>
  <c r="AB410"/>
  <c r="AH410"/>
  <c r="AQ410"/>
  <c r="AG410"/>
  <c r="AF410"/>
  <c r="AE410"/>
  <c r="AD410"/>
  <c r="AK410"/>
  <c r="AS410"/>
  <c r="AJ410"/>
  <c r="AR410"/>
  <c r="AP410"/>
  <c r="O410"/>
  <c r="Q410"/>
  <c r="AA410"/>
  <c r="AO410"/>
  <c r="P410"/>
  <c r="T410"/>
  <c r="S410"/>
  <c r="AN410"/>
  <c r="AM410"/>
  <c r="R410"/>
  <c r="AI409"/>
  <c r="AB409"/>
  <c r="AH409"/>
  <c r="AQ409"/>
  <c r="AG409"/>
  <c r="AF409"/>
  <c r="AE409"/>
  <c r="AD409"/>
  <c r="AK409"/>
  <c r="AS409"/>
  <c r="AJ409"/>
  <c r="AR409"/>
  <c r="AP409"/>
  <c r="O409"/>
  <c r="Q409"/>
  <c r="AA409"/>
  <c r="AO409"/>
  <c r="P409"/>
  <c r="T409"/>
  <c r="S409"/>
  <c r="AN409"/>
  <c r="AM409"/>
  <c r="R409"/>
  <c r="AI408"/>
  <c r="AB408"/>
  <c r="AH408"/>
  <c r="AQ408"/>
  <c r="AG408"/>
  <c r="AF408"/>
  <c r="AE408"/>
  <c r="AD408"/>
  <c r="AK408"/>
  <c r="AS408"/>
  <c r="AJ408"/>
  <c r="AR408"/>
  <c r="AP408"/>
  <c r="O408"/>
  <c r="Q408"/>
  <c r="AA408"/>
  <c r="AO408"/>
  <c r="P408"/>
  <c r="T408"/>
  <c r="S408"/>
  <c r="AN408"/>
  <c r="AM408"/>
  <c r="R408"/>
  <c r="AI407"/>
  <c r="AB407"/>
  <c r="AH407"/>
  <c r="AQ407"/>
  <c r="AG407"/>
  <c r="AF407"/>
  <c r="AE407"/>
  <c r="AD407"/>
  <c r="AK407"/>
  <c r="AS407"/>
  <c r="AJ407"/>
  <c r="AR407"/>
  <c r="AP407"/>
  <c r="O407"/>
  <c r="Q407"/>
  <c r="AA407"/>
  <c r="AO407"/>
  <c r="P407"/>
  <c r="T407"/>
  <c r="S407"/>
  <c r="AN407"/>
  <c r="AM407"/>
  <c r="R407"/>
  <c r="AI406"/>
  <c r="AB406"/>
  <c r="AH406"/>
  <c r="AQ406"/>
  <c r="AG406"/>
  <c r="AF406"/>
  <c r="AE406"/>
  <c r="AD406"/>
  <c r="AK406"/>
  <c r="AS406"/>
  <c r="AJ406"/>
  <c r="AR406"/>
  <c r="AP406"/>
  <c r="O406"/>
  <c r="Q406"/>
  <c r="AA406"/>
  <c r="AO406"/>
  <c r="P406"/>
  <c r="T406"/>
  <c r="S406"/>
  <c r="AN406"/>
  <c r="AM406"/>
  <c r="R406"/>
  <c r="AI405"/>
  <c r="AB405"/>
  <c r="AH405"/>
  <c r="AQ405"/>
  <c r="AG405"/>
  <c r="AF405"/>
  <c r="AE405"/>
  <c r="AD405"/>
  <c r="AK405"/>
  <c r="AS405"/>
  <c r="AJ405"/>
  <c r="AR405"/>
  <c r="AP405"/>
  <c r="O405"/>
  <c r="Q405"/>
  <c r="AA405"/>
  <c r="AO405"/>
  <c r="P405"/>
  <c r="T405"/>
  <c r="S405"/>
  <c r="AN405"/>
  <c r="AM405"/>
  <c r="R405"/>
  <c r="AI404"/>
  <c r="AB404"/>
  <c r="AH404"/>
  <c r="AQ404"/>
  <c r="AG404"/>
  <c r="AF404"/>
  <c r="AE404"/>
  <c r="AD404"/>
  <c r="AK404"/>
  <c r="AS404"/>
  <c r="AJ404"/>
  <c r="AR404"/>
  <c r="AP404"/>
  <c r="O404"/>
  <c r="Q404"/>
  <c r="AA404"/>
  <c r="AO404"/>
  <c r="P404"/>
  <c r="T404"/>
  <c r="S404"/>
  <c r="AN404"/>
  <c r="AM404"/>
  <c r="R404"/>
  <c r="AI403"/>
  <c r="AB403"/>
  <c r="AH403"/>
  <c r="AQ403"/>
  <c r="AG403"/>
  <c r="AF403"/>
  <c r="AE403"/>
  <c r="AD403"/>
  <c r="AK403"/>
  <c r="AS403"/>
  <c r="AJ403"/>
  <c r="AR403"/>
  <c r="AP403"/>
  <c r="O403"/>
  <c r="Q403"/>
  <c r="AA403"/>
  <c r="AO403"/>
  <c r="P403"/>
  <c r="T403"/>
  <c r="S403"/>
  <c r="AN403"/>
  <c r="AM403"/>
  <c r="R403"/>
  <c r="AI402"/>
  <c r="AB402"/>
  <c r="AH402"/>
  <c r="AQ402"/>
  <c r="AG402"/>
  <c r="AF402"/>
  <c r="AE402"/>
  <c r="AD402"/>
  <c r="AK402"/>
  <c r="AS402"/>
  <c r="AJ402"/>
  <c r="AR402"/>
  <c r="AP402"/>
  <c r="O402"/>
  <c r="Q402"/>
  <c r="AA402"/>
  <c r="AO402"/>
  <c r="P402"/>
  <c r="T402"/>
  <c r="S402"/>
  <c r="AN402"/>
  <c r="AM402"/>
  <c r="R402"/>
  <c r="AI401"/>
  <c r="AB401"/>
  <c r="AH401"/>
  <c r="AQ401"/>
  <c r="AG401"/>
  <c r="AF401"/>
  <c r="AE401"/>
  <c r="AD401"/>
  <c r="AK401"/>
  <c r="AS401"/>
  <c r="AJ401"/>
  <c r="AR401"/>
  <c r="AP401"/>
  <c r="O401"/>
  <c r="Q401"/>
  <c r="AA401"/>
  <c r="AO401"/>
  <c r="P401"/>
  <c r="T401"/>
  <c r="S401"/>
  <c r="AN401"/>
  <c r="AM401"/>
  <c r="R401"/>
  <c r="AI400"/>
  <c r="AB400"/>
  <c r="AH400"/>
  <c r="AQ400"/>
  <c r="AG400"/>
  <c r="AF400"/>
  <c r="AE400"/>
  <c r="AD400"/>
  <c r="AK400"/>
  <c r="AS400"/>
  <c r="AJ400"/>
  <c r="AR400"/>
  <c r="AP400"/>
  <c r="O400"/>
  <c r="Q400"/>
  <c r="AA400"/>
  <c r="AO400"/>
  <c r="P400"/>
  <c r="T400"/>
  <c r="S400"/>
  <c r="AN400"/>
  <c r="AM400"/>
  <c r="R400"/>
  <c r="AI399"/>
  <c r="AB399"/>
  <c r="AH399"/>
  <c r="AQ399"/>
  <c r="AG399"/>
  <c r="AF399"/>
  <c r="AE399"/>
  <c r="AD399"/>
  <c r="AK399"/>
  <c r="AS399"/>
  <c r="AJ399"/>
  <c r="AR399"/>
  <c r="AP399"/>
  <c r="O399"/>
  <c r="Q399"/>
  <c r="AA399"/>
  <c r="AO399"/>
  <c r="P399"/>
  <c r="T399"/>
  <c r="S399"/>
  <c r="AN399"/>
  <c r="AM399"/>
  <c r="R399"/>
  <c r="AI398"/>
  <c r="AB398"/>
  <c r="AH398"/>
  <c r="AQ398"/>
  <c r="AG398"/>
  <c r="AF398"/>
  <c r="AE398"/>
  <c r="AD398"/>
  <c r="AK398"/>
  <c r="AS398"/>
  <c r="AJ398"/>
  <c r="AR398"/>
  <c r="AP398"/>
  <c r="O398"/>
  <c r="Q398"/>
  <c r="AA398"/>
  <c r="AO398"/>
  <c r="P398"/>
  <c r="T398"/>
  <c r="S398"/>
  <c r="AN398"/>
  <c r="AM398"/>
  <c r="R398"/>
  <c r="AI397"/>
  <c r="AB397"/>
  <c r="AH397"/>
  <c r="AQ397"/>
  <c r="AG397"/>
  <c r="AF397"/>
  <c r="AE397"/>
  <c r="AD397"/>
  <c r="AK397"/>
  <c r="AS397"/>
  <c r="AJ397"/>
  <c r="AR397"/>
  <c r="AP397"/>
  <c r="O397"/>
  <c r="Q397"/>
  <c r="AA397"/>
  <c r="AO397"/>
  <c r="P397"/>
  <c r="T397"/>
  <c r="S397"/>
  <c r="AN397"/>
  <c r="AM397"/>
  <c r="R397"/>
  <c r="AI396"/>
  <c r="AB396"/>
  <c r="AH396"/>
  <c r="AQ396"/>
  <c r="AG396"/>
  <c r="AF396"/>
  <c r="AE396"/>
  <c r="AD396"/>
  <c r="AK396"/>
  <c r="AS396"/>
  <c r="AJ396"/>
  <c r="AR396"/>
  <c r="AP396"/>
  <c r="O396"/>
  <c r="Q396"/>
  <c r="AA396"/>
  <c r="AO396"/>
  <c r="P396"/>
  <c r="T396"/>
  <c r="S396"/>
  <c r="AN396"/>
  <c r="AM396"/>
  <c r="R396"/>
  <c r="AI395"/>
  <c r="AB395"/>
  <c r="AH395"/>
  <c r="AQ395"/>
  <c r="AG395"/>
  <c r="AF395"/>
  <c r="AE395"/>
  <c r="AD395"/>
  <c r="AK395"/>
  <c r="AS395"/>
  <c r="AJ395"/>
  <c r="AR395"/>
  <c r="AP395"/>
  <c r="O395"/>
  <c r="Q395"/>
  <c r="AA395"/>
  <c r="AO395"/>
  <c r="P395"/>
  <c r="T395"/>
  <c r="S395"/>
  <c r="AN395"/>
  <c r="AM395"/>
  <c r="R395"/>
  <c r="AI394"/>
  <c r="AB394"/>
  <c r="AH394"/>
  <c r="AQ394"/>
  <c r="AG394"/>
  <c r="AF394"/>
  <c r="AE394"/>
  <c r="AD394"/>
  <c r="AK394"/>
  <c r="AS394"/>
  <c r="AJ394"/>
  <c r="AR394"/>
  <c r="AP394"/>
  <c r="O394"/>
  <c r="Q394"/>
  <c r="AA394"/>
  <c r="AO394"/>
  <c r="P394"/>
  <c r="T394"/>
  <c r="S394"/>
  <c r="AN394"/>
  <c r="AM394"/>
  <c r="R394"/>
  <c r="AI393"/>
  <c r="AB393"/>
  <c r="AH393"/>
  <c r="AQ393"/>
  <c r="AG393"/>
  <c r="AF393"/>
  <c r="AE393"/>
  <c r="AD393"/>
  <c r="AK393"/>
  <c r="AS393"/>
  <c r="AJ393"/>
  <c r="AR393"/>
  <c r="AP393"/>
  <c r="O393"/>
  <c r="Q393"/>
  <c r="AA393"/>
  <c r="AO393"/>
  <c r="P393"/>
  <c r="T393"/>
  <c r="S393"/>
  <c r="AN393"/>
  <c r="AM393"/>
  <c r="R393"/>
  <c r="AI392"/>
  <c r="AB392"/>
  <c r="AH392"/>
  <c r="AQ392"/>
  <c r="AG392"/>
  <c r="AF392"/>
  <c r="AE392"/>
  <c r="AD392"/>
  <c r="AK392"/>
  <c r="AS392"/>
  <c r="AJ392"/>
  <c r="AR392"/>
  <c r="AP392"/>
  <c r="O392"/>
  <c r="Q392"/>
  <c r="AA392"/>
  <c r="AO392"/>
  <c r="P392"/>
  <c r="T392"/>
  <c r="S392"/>
  <c r="AN392"/>
  <c r="AM392"/>
  <c r="R392"/>
  <c r="AI391"/>
  <c r="AB391"/>
  <c r="AH391"/>
  <c r="AQ391"/>
  <c r="AG391"/>
  <c r="AF391"/>
  <c r="AE391"/>
  <c r="AD391"/>
  <c r="AK391"/>
  <c r="AS391"/>
  <c r="AJ391"/>
  <c r="AR391"/>
  <c r="AP391"/>
  <c r="O391"/>
  <c r="Q391"/>
  <c r="AA391"/>
  <c r="AO391"/>
  <c r="P391"/>
  <c r="T391"/>
  <c r="S391"/>
  <c r="AN391"/>
  <c r="AM391"/>
  <c r="R391"/>
  <c r="AI390"/>
  <c r="AB390"/>
  <c r="AH390"/>
  <c r="AQ390"/>
  <c r="AG390"/>
  <c r="AF390"/>
  <c r="AE390"/>
  <c r="AD390"/>
  <c r="AK390"/>
  <c r="AS390"/>
  <c r="AJ390"/>
  <c r="AR390"/>
  <c r="AP390"/>
  <c r="O390"/>
  <c r="Q390"/>
  <c r="AA390"/>
  <c r="AO390"/>
  <c r="P390"/>
  <c r="T390"/>
  <c r="S390"/>
  <c r="AN390"/>
  <c r="AM390"/>
  <c r="R390"/>
  <c r="AI389"/>
  <c r="AB389"/>
  <c r="AH389"/>
  <c r="AQ389"/>
  <c r="AG389"/>
  <c r="AF389"/>
  <c r="AE389"/>
  <c r="AD389"/>
  <c r="AK389"/>
  <c r="AS389"/>
  <c r="AJ389"/>
  <c r="AR389"/>
  <c r="AP389"/>
  <c r="O389"/>
  <c r="Q389"/>
  <c r="AA389"/>
  <c r="AO389"/>
  <c r="P389"/>
  <c r="T389"/>
  <c r="S389"/>
  <c r="AN389"/>
  <c r="AM389"/>
  <c r="R389"/>
  <c r="AI388"/>
  <c r="AB388"/>
  <c r="AH388"/>
  <c r="AQ388"/>
  <c r="AG388"/>
  <c r="AF388"/>
  <c r="AE388"/>
  <c r="AD388"/>
  <c r="AK388"/>
  <c r="AS388"/>
  <c r="AJ388"/>
  <c r="AR388"/>
  <c r="AP388"/>
  <c r="O388"/>
  <c r="Q388"/>
  <c r="AA388"/>
  <c r="AO388"/>
  <c r="P388"/>
  <c r="T388"/>
  <c r="S388"/>
  <c r="AN388"/>
  <c r="AM388"/>
  <c r="R388"/>
  <c r="AI387"/>
  <c r="AB387"/>
  <c r="AH387"/>
  <c r="AQ387"/>
  <c r="AG387"/>
  <c r="AF387"/>
  <c r="AE387"/>
  <c r="AD387"/>
  <c r="AK387"/>
  <c r="AS387"/>
  <c r="AJ387"/>
  <c r="AR387"/>
  <c r="AP387"/>
  <c r="O387"/>
  <c r="Q387"/>
  <c r="AA387"/>
  <c r="AO387"/>
  <c r="P387"/>
  <c r="T387"/>
  <c r="S387"/>
  <c r="AN387"/>
  <c r="AM387"/>
  <c r="R387"/>
  <c r="AI386"/>
  <c r="AB386"/>
  <c r="AH386"/>
  <c r="AQ386"/>
  <c r="AG386"/>
  <c r="AF386"/>
  <c r="AE386"/>
  <c r="AD386"/>
  <c r="AK386"/>
  <c r="AS386"/>
  <c r="AJ386"/>
  <c r="AR386"/>
  <c r="AP386"/>
  <c r="O386"/>
  <c r="Q386"/>
  <c r="AA386"/>
  <c r="AO386"/>
  <c r="P386"/>
  <c r="T386"/>
  <c r="S386"/>
  <c r="AN386"/>
  <c r="AM386"/>
  <c r="R386"/>
  <c r="AI385"/>
  <c r="AB385"/>
  <c r="AH385"/>
  <c r="AQ385"/>
  <c r="AG385"/>
  <c r="AF385"/>
  <c r="AE385"/>
  <c r="AD385"/>
  <c r="AK385"/>
  <c r="AS385"/>
  <c r="AJ385"/>
  <c r="AR385"/>
  <c r="AP385"/>
  <c r="O385"/>
  <c r="Q385"/>
  <c r="AA385"/>
  <c r="AO385"/>
  <c r="P385"/>
  <c r="T385"/>
  <c r="S385"/>
  <c r="AN385"/>
  <c r="AM385"/>
  <c r="R385"/>
  <c r="AI384"/>
  <c r="AB384"/>
  <c r="AH384"/>
  <c r="AQ384"/>
  <c r="AG384"/>
  <c r="AF384"/>
  <c r="AE384"/>
  <c r="AD384"/>
  <c r="AK384"/>
  <c r="AS384"/>
  <c r="AJ384"/>
  <c r="AR384"/>
  <c r="AP384"/>
  <c r="O384"/>
  <c r="Q384"/>
  <c r="AA384"/>
  <c r="AO384"/>
  <c r="P384"/>
  <c r="T384"/>
  <c r="S384"/>
  <c r="AN384"/>
  <c r="AM384"/>
  <c r="R384"/>
  <c r="AI383"/>
  <c r="AB383"/>
  <c r="AH383"/>
  <c r="AQ383"/>
  <c r="AG383"/>
  <c r="AF383"/>
  <c r="AE383"/>
  <c r="AD383"/>
  <c r="AK383"/>
  <c r="AS383"/>
  <c r="AJ383"/>
  <c r="AR383"/>
  <c r="AP383"/>
  <c r="O383"/>
  <c r="Q383"/>
  <c r="AA383"/>
  <c r="AO383"/>
  <c r="P383"/>
  <c r="T383"/>
  <c r="S383"/>
  <c r="AN383"/>
  <c r="AM383"/>
  <c r="R383"/>
  <c r="AI382"/>
  <c r="AB382"/>
  <c r="AH382"/>
  <c r="AQ382"/>
  <c r="AG382"/>
  <c r="AF382"/>
  <c r="AE382"/>
  <c r="AD382"/>
  <c r="AK382"/>
  <c r="AS382"/>
  <c r="AJ382"/>
  <c r="AR382"/>
  <c r="AP382"/>
  <c r="O382"/>
  <c r="Q382"/>
  <c r="AA382"/>
  <c r="AO382"/>
  <c r="P382"/>
  <c r="T382"/>
  <c r="S382"/>
  <c r="AN382"/>
  <c r="AM382"/>
  <c r="R382"/>
  <c r="AI381"/>
  <c r="AB381"/>
  <c r="AH381"/>
  <c r="AQ381"/>
  <c r="AG381"/>
  <c r="AF381"/>
  <c r="AE381"/>
  <c r="AD381"/>
  <c r="AK381"/>
  <c r="AS381"/>
  <c r="AJ381"/>
  <c r="AR381"/>
  <c r="AP381"/>
  <c r="O381"/>
  <c r="Q381"/>
  <c r="AA381"/>
  <c r="AO381"/>
  <c r="P381"/>
  <c r="T381"/>
  <c r="S381"/>
  <c r="AN381"/>
  <c r="AM381"/>
  <c r="R381"/>
  <c r="AI380"/>
  <c r="AB380"/>
  <c r="AH380"/>
  <c r="AQ380"/>
  <c r="AG380"/>
  <c r="AF380"/>
  <c r="AE380"/>
  <c r="AD380"/>
  <c r="AK380"/>
  <c r="AS380"/>
  <c r="AJ380"/>
  <c r="AR380"/>
  <c r="AP380"/>
  <c r="O380"/>
  <c r="Q380"/>
  <c r="AA380"/>
  <c r="AO380"/>
  <c r="P380"/>
  <c r="T380"/>
  <c r="S380"/>
  <c r="AN380"/>
  <c r="AM380"/>
  <c r="R380"/>
  <c r="AI379"/>
  <c r="AB379"/>
  <c r="AH379"/>
  <c r="AQ379"/>
  <c r="AG379"/>
  <c r="AF379"/>
  <c r="AE379"/>
  <c r="AD379"/>
  <c r="AK379"/>
  <c r="AS379"/>
  <c r="AJ379"/>
  <c r="AR379"/>
  <c r="AP379"/>
  <c r="O379"/>
  <c r="Q379"/>
  <c r="AA379"/>
  <c r="AO379"/>
  <c r="P379"/>
  <c r="T379"/>
  <c r="S379"/>
  <c r="AN379"/>
  <c r="AM379"/>
  <c r="R379"/>
  <c r="AI378"/>
  <c r="AB378"/>
  <c r="AH378"/>
  <c r="AQ378"/>
  <c r="AG378"/>
  <c r="AF378"/>
  <c r="AE378"/>
  <c r="AD378"/>
  <c r="AK378"/>
  <c r="AS378"/>
  <c r="AJ378"/>
  <c r="AR378"/>
  <c r="AP378"/>
  <c r="O378"/>
  <c r="Q378"/>
  <c r="AA378"/>
  <c r="AO378"/>
  <c r="P378"/>
  <c r="T378"/>
  <c r="S378"/>
  <c r="AN378"/>
  <c r="AM378"/>
  <c r="R378"/>
  <c r="AI377"/>
  <c r="AB377"/>
  <c r="AH377"/>
  <c r="AQ377"/>
  <c r="AG377"/>
  <c r="AF377"/>
  <c r="AE377"/>
  <c r="AD377"/>
  <c r="AK377"/>
  <c r="AS377"/>
  <c r="AJ377"/>
  <c r="AR377"/>
  <c r="AP377"/>
  <c r="O377"/>
  <c r="Q377"/>
  <c r="AA377"/>
  <c r="AO377"/>
  <c r="P377"/>
  <c r="T377"/>
  <c r="S377"/>
  <c r="AN377"/>
  <c r="AM377"/>
  <c r="R377"/>
  <c r="AI376"/>
  <c r="AB376"/>
  <c r="AH376"/>
  <c r="AQ376"/>
  <c r="AG376"/>
  <c r="AF376"/>
  <c r="AE376"/>
  <c r="AD376"/>
  <c r="AK376"/>
  <c r="AS376"/>
  <c r="AJ376"/>
  <c r="AR376"/>
  <c r="AP376"/>
  <c r="O376"/>
  <c r="Q376"/>
  <c r="AA376"/>
  <c r="AO376"/>
  <c r="P376"/>
  <c r="T376"/>
  <c r="S376"/>
  <c r="AN376"/>
  <c r="AM376"/>
  <c r="R376"/>
  <c r="AI375"/>
  <c r="AB375"/>
  <c r="AH375"/>
  <c r="AQ375"/>
  <c r="AG375"/>
  <c r="AF375"/>
  <c r="AE375"/>
  <c r="AD375"/>
  <c r="AK375"/>
  <c r="AS375"/>
  <c r="AJ375"/>
  <c r="AR375"/>
  <c r="AP375"/>
  <c r="O375"/>
  <c r="Q375"/>
  <c r="AA375"/>
  <c r="AO375"/>
  <c r="P375"/>
  <c r="T375"/>
  <c r="S375"/>
  <c r="AN375"/>
  <c r="AM375"/>
  <c r="R375"/>
  <c r="AI374"/>
  <c r="AB374"/>
  <c r="AH374"/>
  <c r="AQ374"/>
  <c r="AG374"/>
  <c r="AF374"/>
  <c r="AE374"/>
  <c r="AD374"/>
  <c r="AK374"/>
  <c r="AS374"/>
  <c r="AJ374"/>
  <c r="AR374"/>
  <c r="AP374"/>
  <c r="O374"/>
  <c r="Q374"/>
  <c r="AA374"/>
  <c r="AO374"/>
  <c r="P374"/>
  <c r="T374"/>
  <c r="S374"/>
  <c r="AN374"/>
  <c r="AM374"/>
  <c r="R374"/>
  <c r="AI373"/>
  <c r="AB373"/>
  <c r="AH373"/>
  <c r="AQ373"/>
  <c r="AG373"/>
  <c r="AF373"/>
  <c r="AE373"/>
  <c r="AD373"/>
  <c r="AK373"/>
  <c r="AS373"/>
  <c r="AJ373"/>
  <c r="AR373"/>
  <c r="AP373"/>
  <c r="O373"/>
  <c r="Q373"/>
  <c r="AA373"/>
  <c r="AO373"/>
  <c r="P373"/>
  <c r="T373"/>
  <c r="S373"/>
  <c r="AN373"/>
  <c r="AM373"/>
  <c r="R373"/>
  <c r="AI372"/>
  <c r="AB372"/>
  <c r="AH372"/>
  <c r="AQ372"/>
  <c r="AG372"/>
  <c r="AF372"/>
  <c r="AE372"/>
  <c r="AD372"/>
  <c r="AK372"/>
  <c r="AS372"/>
  <c r="AJ372"/>
  <c r="AR372"/>
  <c r="AP372"/>
  <c r="O372"/>
  <c r="Q372"/>
  <c r="AA372"/>
  <c r="AO372"/>
  <c r="P372"/>
  <c r="T372"/>
  <c r="S372"/>
  <c r="AN372"/>
  <c r="AM372"/>
  <c r="R372"/>
  <c r="AI371"/>
  <c r="AB371"/>
  <c r="AH371"/>
  <c r="AQ371"/>
  <c r="AG371"/>
  <c r="AF371"/>
  <c r="AE371"/>
  <c r="AD371"/>
  <c r="AK371"/>
  <c r="AS371"/>
  <c r="AJ371"/>
  <c r="AR371"/>
  <c r="AP371"/>
  <c r="O371"/>
  <c r="Q371"/>
  <c r="AA371"/>
  <c r="AO371"/>
  <c r="P371"/>
  <c r="T371"/>
  <c r="S371"/>
  <c r="AN371"/>
  <c r="AM371"/>
  <c r="R371"/>
  <c r="AI370"/>
  <c r="AB370"/>
  <c r="AH370"/>
  <c r="AQ370"/>
  <c r="AG370"/>
  <c r="AF370"/>
  <c r="AE370"/>
  <c r="AD370"/>
  <c r="AK370"/>
  <c r="AS370"/>
  <c r="AJ370"/>
  <c r="AR370"/>
  <c r="AP370"/>
  <c r="O370"/>
  <c r="Q370"/>
  <c r="AA370"/>
  <c r="AO370"/>
  <c r="P370"/>
  <c r="T370"/>
  <c r="S370"/>
  <c r="AN370"/>
  <c r="AM370"/>
  <c r="R370"/>
  <c r="AI369"/>
  <c r="AB369"/>
  <c r="AH369"/>
  <c r="AQ369"/>
  <c r="AG369"/>
  <c r="AF369"/>
  <c r="AE369"/>
  <c r="AD369"/>
  <c r="AK369"/>
  <c r="AS369"/>
  <c r="AJ369"/>
  <c r="AR369"/>
  <c r="AP369"/>
  <c r="O369"/>
  <c r="Q369"/>
  <c r="AA369"/>
  <c r="AO369"/>
  <c r="P369"/>
  <c r="T369"/>
  <c r="S369"/>
  <c r="AN369"/>
  <c r="AM369"/>
  <c r="R369"/>
  <c r="AI368"/>
  <c r="AB368"/>
  <c r="AH368"/>
  <c r="AQ368"/>
  <c r="AG368"/>
  <c r="AF368"/>
  <c r="AE368"/>
  <c r="AD368"/>
  <c r="AK368"/>
  <c r="AS368"/>
  <c r="AJ368"/>
  <c r="AR368"/>
  <c r="AP368"/>
  <c r="O368"/>
  <c r="Q368"/>
  <c r="AA368"/>
  <c r="AO368"/>
  <c r="P368"/>
  <c r="T368"/>
  <c r="S368"/>
  <c r="AN368"/>
  <c r="AM368"/>
  <c r="R368"/>
  <c r="AI367"/>
  <c r="AB367"/>
  <c r="AH367"/>
  <c r="AQ367"/>
  <c r="AG367"/>
  <c r="AF367"/>
  <c r="AE367"/>
  <c r="AD367"/>
  <c r="AK367"/>
  <c r="AS367"/>
  <c r="AJ367"/>
  <c r="AR367"/>
  <c r="AP367"/>
  <c r="O367"/>
  <c r="Q367"/>
  <c r="AA367"/>
  <c r="AO367"/>
  <c r="P367"/>
  <c r="T367"/>
  <c r="S367"/>
  <c r="AN367"/>
  <c r="AM367"/>
  <c r="R367"/>
  <c r="AI366"/>
  <c r="AB366"/>
  <c r="AH366"/>
  <c r="AQ366"/>
  <c r="AG366"/>
  <c r="AF366"/>
  <c r="AE366"/>
  <c r="AD366"/>
  <c r="AK366"/>
  <c r="AS366"/>
  <c r="AJ366"/>
  <c r="AR366"/>
  <c r="AP366"/>
  <c r="O366"/>
  <c r="Q366"/>
  <c r="AA366"/>
  <c r="AO366"/>
  <c r="P366"/>
  <c r="T366"/>
  <c r="S366"/>
  <c r="AN366"/>
  <c r="AM366"/>
  <c r="R366"/>
  <c r="AI365"/>
  <c r="AB365"/>
  <c r="AH365"/>
  <c r="AQ365"/>
  <c r="AG365"/>
  <c r="AF365"/>
  <c r="AE365"/>
  <c r="AD365"/>
  <c r="AK365"/>
  <c r="AS365"/>
  <c r="AJ365"/>
  <c r="AR365"/>
  <c r="AP365"/>
  <c r="O365"/>
  <c r="Q365"/>
  <c r="AA365"/>
  <c r="AO365"/>
  <c r="P365"/>
  <c r="T365"/>
  <c r="S365"/>
  <c r="AN365"/>
  <c r="AM365"/>
  <c r="R365"/>
  <c r="AI364"/>
  <c r="AB364"/>
  <c r="AH364"/>
  <c r="AQ364"/>
  <c r="AG364"/>
  <c r="AF364"/>
  <c r="AE364"/>
  <c r="AD364"/>
  <c r="AK364"/>
  <c r="AS364"/>
  <c r="AJ364"/>
  <c r="AR364"/>
  <c r="AP364"/>
  <c r="O364"/>
  <c r="Q364"/>
  <c r="AA364"/>
  <c r="AO364"/>
  <c r="P364"/>
  <c r="T364"/>
  <c r="S364"/>
  <c r="AN364"/>
  <c r="AM364"/>
  <c r="R364"/>
  <c r="AI363"/>
  <c r="AB363"/>
  <c r="AH363"/>
  <c r="AQ363"/>
  <c r="AG363"/>
  <c r="AF363"/>
  <c r="AE363"/>
  <c r="AD363"/>
  <c r="AK363"/>
  <c r="AS363"/>
  <c r="AJ363"/>
  <c r="AR363"/>
  <c r="AP363"/>
  <c r="O363"/>
  <c r="Q363"/>
  <c r="AA363"/>
  <c r="AO363"/>
  <c r="P363"/>
  <c r="T363"/>
  <c r="S363"/>
  <c r="AN363"/>
  <c r="AM363"/>
  <c r="R363"/>
  <c r="AI362"/>
  <c r="AB362"/>
  <c r="AH362"/>
  <c r="AQ362"/>
  <c r="AG362"/>
  <c r="AF362"/>
  <c r="AE362"/>
  <c r="AD362"/>
  <c r="AK362"/>
  <c r="AS362"/>
  <c r="AJ362"/>
  <c r="AR362"/>
  <c r="AP362"/>
  <c r="O362"/>
  <c r="Q362"/>
  <c r="AA362"/>
  <c r="AO362"/>
  <c r="P362"/>
  <c r="T362"/>
  <c r="S362"/>
  <c r="AN362"/>
  <c r="AM362"/>
  <c r="R362"/>
  <c r="AI361"/>
  <c r="AB361"/>
  <c r="AH361"/>
  <c r="AQ361"/>
  <c r="AG361"/>
  <c r="AF361"/>
  <c r="AE361"/>
  <c r="AD361"/>
  <c r="AK361"/>
  <c r="AS361"/>
  <c r="AJ361"/>
  <c r="AR361"/>
  <c r="AP361"/>
  <c r="O361"/>
  <c r="Q361"/>
  <c r="AA361"/>
  <c r="AO361"/>
  <c r="P361"/>
  <c r="T361"/>
  <c r="S361"/>
  <c r="AN361"/>
  <c r="AM361"/>
  <c r="R361"/>
  <c r="AI360"/>
  <c r="AB360"/>
  <c r="AH360"/>
  <c r="AQ360"/>
  <c r="AG360"/>
  <c r="AF360"/>
  <c r="AE360"/>
  <c r="AD360"/>
  <c r="AK360"/>
  <c r="AS360"/>
  <c r="AJ360"/>
  <c r="AR360"/>
  <c r="AP360"/>
  <c r="O360"/>
  <c r="Q360"/>
  <c r="AA360"/>
  <c r="AO360"/>
  <c r="P360"/>
  <c r="T360"/>
  <c r="S360"/>
  <c r="AN360"/>
  <c r="AM360"/>
  <c r="R360"/>
  <c r="AI359"/>
  <c r="AB359"/>
  <c r="AH359"/>
  <c r="AQ359"/>
  <c r="AG359"/>
  <c r="AF359"/>
  <c r="AE359"/>
  <c r="AD359"/>
  <c r="AK359"/>
  <c r="AS359"/>
  <c r="AJ359"/>
  <c r="AR359"/>
  <c r="AP359"/>
  <c r="O359"/>
  <c r="Q359"/>
  <c r="AA359"/>
  <c r="AO359"/>
  <c r="P359"/>
  <c r="T359"/>
  <c r="S359"/>
  <c r="AN359"/>
  <c r="AM359"/>
  <c r="R359"/>
  <c r="AI358"/>
  <c r="AB358"/>
  <c r="AH358"/>
  <c r="AQ358"/>
  <c r="AG358"/>
  <c r="AF358"/>
  <c r="AE358"/>
  <c r="AD358"/>
  <c r="AK358"/>
  <c r="AS358"/>
  <c r="AJ358"/>
  <c r="AR358"/>
  <c r="AP358"/>
  <c r="O358"/>
  <c r="Q358"/>
  <c r="AA358"/>
  <c r="AO358"/>
  <c r="P358"/>
  <c r="T358"/>
  <c r="S358"/>
  <c r="AN358"/>
  <c r="AM358"/>
  <c r="R358"/>
  <c r="AI357"/>
  <c r="AB357"/>
  <c r="AH357"/>
  <c r="AQ357"/>
  <c r="AG357"/>
  <c r="AF357"/>
  <c r="AE357"/>
  <c r="AD357"/>
  <c r="AK357"/>
  <c r="AS357"/>
  <c r="AJ357"/>
  <c r="AR357"/>
  <c r="AP357"/>
  <c r="O357"/>
  <c r="Q357"/>
  <c r="AA357"/>
  <c r="AO357"/>
  <c r="P357"/>
  <c r="T357"/>
  <c r="S357"/>
  <c r="AN357"/>
  <c r="AM357"/>
  <c r="R357"/>
  <c r="AI356"/>
  <c r="AB356"/>
  <c r="AH356"/>
  <c r="AQ356"/>
  <c r="AG356"/>
  <c r="AF356"/>
  <c r="AE356"/>
  <c r="AD356"/>
  <c r="AK356"/>
  <c r="AS356"/>
  <c r="AJ356"/>
  <c r="AR356"/>
  <c r="AP356"/>
  <c r="O356"/>
  <c r="Q356"/>
  <c r="AA356"/>
  <c r="AO356"/>
  <c r="P356"/>
  <c r="T356"/>
  <c r="S356"/>
  <c r="AN356"/>
  <c r="AM356"/>
  <c r="R356"/>
  <c r="AI355"/>
  <c r="AB355"/>
  <c r="AH355"/>
  <c r="AQ355"/>
  <c r="AG355"/>
  <c r="AF355"/>
  <c r="AE355"/>
  <c r="AD355"/>
  <c r="AK355"/>
  <c r="AS355"/>
  <c r="AJ355"/>
  <c r="AR355"/>
  <c r="AP355"/>
  <c r="O355"/>
  <c r="Q355"/>
  <c r="AA355"/>
  <c r="AO355"/>
  <c r="P355"/>
  <c r="T355"/>
  <c r="S355"/>
  <c r="AN355"/>
  <c r="AM355"/>
  <c r="R355"/>
  <c r="AI354"/>
  <c r="AB354"/>
  <c r="AH354"/>
  <c r="AQ354"/>
  <c r="AG354"/>
  <c r="AF354"/>
  <c r="AE354"/>
  <c r="AD354"/>
  <c r="AK354"/>
  <c r="AS354"/>
  <c r="AJ354"/>
  <c r="AR354"/>
  <c r="AP354"/>
  <c r="O354"/>
  <c r="Q354"/>
  <c r="AA354"/>
  <c r="AO354"/>
  <c r="P354"/>
  <c r="T354"/>
  <c r="S354"/>
  <c r="AN354"/>
  <c r="AM354"/>
  <c r="R354"/>
  <c r="AI353"/>
  <c r="AB353"/>
  <c r="AH353"/>
  <c r="AQ353"/>
  <c r="AG353"/>
  <c r="AF353"/>
  <c r="AE353"/>
  <c r="AD353"/>
  <c r="AK353"/>
  <c r="AS353"/>
  <c r="AJ353"/>
  <c r="AR353"/>
  <c r="AP353"/>
  <c r="O353"/>
  <c r="Q353"/>
  <c r="AA353"/>
  <c r="AO353"/>
  <c r="P353"/>
  <c r="T353"/>
  <c r="S353"/>
  <c r="AN353"/>
  <c r="AM353"/>
  <c r="R353"/>
  <c r="AI352"/>
  <c r="AB352"/>
  <c r="AH352"/>
  <c r="AQ352"/>
  <c r="AG352"/>
  <c r="AF352"/>
  <c r="AE352"/>
  <c r="AD352"/>
  <c r="AK352"/>
  <c r="AS352"/>
  <c r="AJ352"/>
  <c r="AR352"/>
  <c r="AP352"/>
  <c r="O352"/>
  <c r="Q352"/>
  <c r="AA352"/>
  <c r="AO352"/>
  <c r="P352"/>
  <c r="T352"/>
  <c r="S352"/>
  <c r="AN352"/>
  <c r="AM352"/>
  <c r="R352"/>
  <c r="AI351"/>
  <c r="AB351"/>
  <c r="AH351"/>
  <c r="AQ351"/>
  <c r="AG351"/>
  <c r="AF351"/>
  <c r="AE351"/>
  <c r="AD351"/>
  <c r="AK351"/>
  <c r="AS351"/>
  <c r="AJ351"/>
  <c r="AR351"/>
  <c r="AP351"/>
  <c r="O351"/>
  <c r="Q351"/>
  <c r="AA351"/>
  <c r="AO351"/>
  <c r="P351"/>
  <c r="T351"/>
  <c r="S351"/>
  <c r="AN351"/>
  <c r="AM351"/>
  <c r="R351"/>
  <c r="AI350"/>
  <c r="AB350"/>
  <c r="AH350"/>
  <c r="AQ350"/>
  <c r="AG350"/>
  <c r="AF350"/>
  <c r="AE350"/>
  <c r="AD350"/>
  <c r="AK350"/>
  <c r="AS350"/>
  <c r="AJ350"/>
  <c r="AR350"/>
  <c r="AP350"/>
  <c r="O350"/>
  <c r="Q350"/>
  <c r="AA350"/>
  <c r="AO350"/>
  <c r="P350"/>
  <c r="T350"/>
  <c r="S350"/>
  <c r="AN350"/>
  <c r="AM350"/>
  <c r="R350"/>
  <c r="AI349"/>
  <c r="AB349"/>
  <c r="AH349"/>
  <c r="AQ349"/>
  <c r="AG349"/>
  <c r="AF349"/>
  <c r="AE349"/>
  <c r="AD349"/>
  <c r="AK349"/>
  <c r="AS349"/>
  <c r="AJ349"/>
  <c r="AR349"/>
  <c r="AP349"/>
  <c r="O349"/>
  <c r="Q349"/>
  <c r="AA349"/>
  <c r="AO349"/>
  <c r="P349"/>
  <c r="T349"/>
  <c r="S349"/>
  <c r="AN349"/>
  <c r="AM349"/>
  <c r="R349"/>
  <c r="AI348"/>
  <c r="AB348"/>
  <c r="AH348"/>
  <c r="AQ348"/>
  <c r="AG348"/>
  <c r="AF348"/>
  <c r="AE348"/>
  <c r="AD348"/>
  <c r="AK348"/>
  <c r="AS348"/>
  <c r="AJ348"/>
  <c r="AR348"/>
  <c r="AP348"/>
  <c r="O348"/>
  <c r="Q348"/>
  <c r="AA348"/>
  <c r="AO348"/>
  <c r="P348"/>
  <c r="T348"/>
  <c r="S348"/>
  <c r="AN348"/>
  <c r="AM348"/>
  <c r="R348"/>
  <c r="AI347"/>
  <c r="AB347"/>
  <c r="AH347"/>
  <c r="AQ347"/>
  <c r="AG347"/>
  <c r="AF347"/>
  <c r="AE347"/>
  <c r="AD347"/>
  <c r="AK347"/>
  <c r="AS347"/>
  <c r="AJ347"/>
  <c r="AR347"/>
  <c r="AP347"/>
  <c r="O347"/>
  <c r="Q347"/>
  <c r="AA347"/>
  <c r="AO347"/>
  <c r="P347"/>
  <c r="T347"/>
  <c r="S347"/>
  <c r="AN347"/>
  <c r="AM347"/>
  <c r="R347"/>
  <c r="AI346"/>
  <c r="AB346"/>
  <c r="AH346"/>
  <c r="AQ346"/>
  <c r="AG346"/>
  <c r="AF346"/>
  <c r="AE346"/>
  <c r="AD346"/>
  <c r="AK346"/>
  <c r="AS346"/>
  <c r="AJ346"/>
  <c r="AR346"/>
  <c r="AP346"/>
  <c r="O346"/>
  <c r="Q346"/>
  <c r="AA346"/>
  <c r="AO346"/>
  <c r="P346"/>
  <c r="T346"/>
  <c r="S346"/>
  <c r="AN346"/>
  <c r="AM346"/>
  <c r="R346"/>
  <c r="AI345"/>
  <c r="AB345"/>
  <c r="AH345"/>
  <c r="AQ345"/>
  <c r="AG345"/>
  <c r="AF345"/>
  <c r="AE345"/>
  <c r="AD345"/>
  <c r="AK345"/>
  <c r="AS345"/>
  <c r="AJ345"/>
  <c r="AR345"/>
  <c r="AP345"/>
  <c r="O345"/>
  <c r="Q345"/>
  <c r="AA345"/>
  <c r="AO345"/>
  <c r="P345"/>
  <c r="T345"/>
  <c r="S345"/>
  <c r="AN345"/>
  <c r="AM345"/>
  <c r="R345"/>
  <c r="AI344"/>
  <c r="AB344"/>
  <c r="AH344"/>
  <c r="AQ344"/>
  <c r="AG344"/>
  <c r="AF344"/>
  <c r="AE344"/>
  <c r="AD344"/>
  <c r="AK344"/>
  <c r="AS344"/>
  <c r="AJ344"/>
  <c r="AR344"/>
  <c r="AP344"/>
  <c r="O344"/>
  <c r="Q344"/>
  <c r="AA344"/>
  <c r="AO344"/>
  <c r="P344"/>
  <c r="T344"/>
  <c r="S344"/>
  <c r="AN344"/>
  <c r="AM344"/>
  <c r="R344"/>
  <c r="AI343"/>
  <c r="AB343"/>
  <c r="AH343"/>
  <c r="AQ343"/>
  <c r="AG343"/>
  <c r="AF343"/>
  <c r="AE343"/>
  <c r="AD343"/>
  <c r="AK343"/>
  <c r="AS343"/>
  <c r="AJ343"/>
  <c r="AR343"/>
  <c r="AP343"/>
  <c r="O343"/>
  <c r="Q343"/>
  <c r="AA343"/>
  <c r="AO343"/>
  <c r="P343"/>
  <c r="T343"/>
  <c r="S343"/>
  <c r="AN343"/>
  <c r="AM343"/>
  <c r="R343"/>
  <c r="AI342"/>
  <c r="AB342"/>
  <c r="AH342"/>
  <c r="AQ342"/>
  <c r="AG342"/>
  <c r="AF342"/>
  <c r="AE342"/>
  <c r="AD342"/>
  <c r="AK342"/>
  <c r="AS342"/>
  <c r="AJ342"/>
  <c r="AR342"/>
  <c r="AP342"/>
  <c r="O342"/>
  <c r="Q342"/>
  <c r="AA342"/>
  <c r="AO342"/>
  <c r="P342"/>
  <c r="T342"/>
  <c r="S342"/>
  <c r="AN342"/>
  <c r="AM342"/>
  <c r="R342"/>
  <c r="AI341"/>
  <c r="AB341"/>
  <c r="AH341"/>
  <c r="AQ341"/>
  <c r="AG341"/>
  <c r="AF341"/>
  <c r="AE341"/>
  <c r="AD341"/>
  <c r="AK341"/>
  <c r="AS341"/>
  <c r="AJ341"/>
  <c r="AR341"/>
  <c r="AP341"/>
  <c r="O341"/>
  <c r="Q341"/>
  <c r="AA341"/>
  <c r="AO341"/>
  <c r="P341"/>
  <c r="T341"/>
  <c r="S341"/>
  <c r="AN341"/>
  <c r="AM341"/>
  <c r="R341"/>
  <c r="AI340"/>
  <c r="AB340"/>
  <c r="AH340"/>
  <c r="AQ340"/>
  <c r="AG340"/>
  <c r="AF340"/>
  <c r="AE340"/>
  <c r="AD340"/>
  <c r="AK340"/>
  <c r="AS340"/>
  <c r="AJ340"/>
  <c r="AR340"/>
  <c r="AP340"/>
  <c r="O340"/>
  <c r="Q340"/>
  <c r="AA340"/>
  <c r="AO340"/>
  <c r="P340"/>
  <c r="T340"/>
  <c r="S340"/>
  <c r="AN340"/>
  <c r="AM340"/>
  <c r="R340"/>
  <c r="AI339"/>
  <c r="AB339"/>
  <c r="AH339"/>
  <c r="AQ339"/>
  <c r="AG339"/>
  <c r="AF339"/>
  <c r="AE339"/>
  <c r="AD339"/>
  <c r="AK339"/>
  <c r="AS339"/>
  <c r="AJ339"/>
  <c r="AR339"/>
  <c r="AP339"/>
  <c r="O339"/>
  <c r="Q339"/>
  <c r="AA339"/>
  <c r="AO339"/>
  <c r="P339"/>
  <c r="T339"/>
  <c r="S339"/>
  <c r="AN339"/>
  <c r="AM339"/>
  <c r="R339"/>
  <c r="AI338"/>
  <c r="AB338"/>
  <c r="AH338"/>
  <c r="AQ338"/>
  <c r="AG338"/>
  <c r="AF338"/>
  <c r="AE338"/>
  <c r="AD338"/>
  <c r="AK338"/>
  <c r="AS338"/>
  <c r="AJ338"/>
  <c r="AR338"/>
  <c r="AP338"/>
  <c r="O338"/>
  <c r="Q338"/>
  <c r="AA338"/>
  <c r="AO338"/>
  <c r="P338"/>
  <c r="T338"/>
  <c r="S338"/>
  <c r="AN338"/>
  <c r="AM338"/>
  <c r="R338"/>
  <c r="AI337"/>
  <c r="AB337"/>
  <c r="AH337"/>
  <c r="AQ337"/>
  <c r="AG337"/>
  <c r="AF337"/>
  <c r="AE337"/>
  <c r="AD337"/>
  <c r="AK337"/>
  <c r="AS337"/>
  <c r="AJ337"/>
  <c r="AR337"/>
  <c r="AP337"/>
  <c r="O337"/>
  <c r="Q337"/>
  <c r="AA337"/>
  <c r="AO337"/>
  <c r="P337"/>
  <c r="T337"/>
  <c r="S337"/>
  <c r="AN337"/>
  <c r="AM337"/>
  <c r="R337"/>
  <c r="AI336"/>
  <c r="AB336"/>
  <c r="AH336"/>
  <c r="AQ336"/>
  <c r="AG336"/>
  <c r="AF336"/>
  <c r="AE336"/>
  <c r="AD336"/>
  <c r="AK336"/>
  <c r="AS336"/>
  <c r="AJ336"/>
  <c r="AR336"/>
  <c r="AP336"/>
  <c r="O336"/>
  <c r="Q336"/>
  <c r="AA336"/>
  <c r="AO336"/>
  <c r="P336"/>
  <c r="T336"/>
  <c r="S336"/>
  <c r="AN336"/>
  <c r="AM336"/>
  <c r="R336"/>
  <c r="AI335"/>
  <c r="AB335"/>
  <c r="AH335"/>
  <c r="AQ335"/>
  <c r="AG335"/>
  <c r="AF335"/>
  <c r="AE335"/>
  <c r="AD335"/>
  <c r="AK335"/>
  <c r="AS335"/>
  <c r="AJ335"/>
  <c r="AR335"/>
  <c r="AP335"/>
  <c r="O335"/>
  <c r="Q335"/>
  <c r="AA335"/>
  <c r="AO335"/>
  <c r="P335"/>
  <c r="T335"/>
  <c r="S335"/>
  <c r="AN335"/>
  <c r="AM335"/>
  <c r="R335"/>
  <c r="AI334"/>
  <c r="AB334"/>
  <c r="AH334"/>
  <c r="AQ334"/>
  <c r="AG334"/>
  <c r="AF334"/>
  <c r="AE334"/>
  <c r="AD334"/>
  <c r="AK334"/>
  <c r="AS334"/>
  <c r="AJ334"/>
  <c r="AR334"/>
  <c r="AP334"/>
  <c r="O334"/>
  <c r="Q334"/>
  <c r="AA334"/>
  <c r="AO334"/>
  <c r="P334"/>
  <c r="T334"/>
  <c r="S334"/>
  <c r="AN334"/>
  <c r="AM334"/>
  <c r="R334"/>
  <c r="AI333"/>
  <c r="AB333"/>
  <c r="AH333"/>
  <c r="AQ333"/>
  <c r="AG333"/>
  <c r="AF333"/>
  <c r="AE333"/>
  <c r="AD333"/>
  <c r="AK333"/>
  <c r="AS333"/>
  <c r="AJ333"/>
  <c r="AR333"/>
  <c r="AP333"/>
  <c r="O333"/>
  <c r="Q333"/>
  <c r="AA333"/>
  <c r="AO333"/>
  <c r="P333"/>
  <c r="T333"/>
  <c r="S333"/>
  <c r="AN333"/>
  <c r="AM333"/>
  <c r="R333"/>
  <c r="AI332"/>
  <c r="AB332"/>
  <c r="AH332"/>
  <c r="AQ332"/>
  <c r="AG332"/>
  <c r="AF332"/>
  <c r="AE332"/>
  <c r="AD332"/>
  <c r="AK332"/>
  <c r="AS332"/>
  <c r="AJ332"/>
  <c r="AR332"/>
  <c r="AP332"/>
  <c r="O332"/>
  <c r="Q332"/>
  <c r="AA332"/>
  <c r="AO332"/>
  <c r="P332"/>
  <c r="T332"/>
  <c r="S332"/>
  <c r="AN332"/>
  <c r="AM332"/>
  <c r="R332"/>
  <c r="AI331"/>
  <c r="AB331"/>
  <c r="AH331"/>
  <c r="AQ331"/>
  <c r="AG331"/>
  <c r="AF331"/>
  <c r="AE331"/>
  <c r="AD331"/>
  <c r="AK331"/>
  <c r="AS331"/>
  <c r="AJ331"/>
  <c r="AR331"/>
  <c r="AP331"/>
  <c r="O331"/>
  <c r="Q331"/>
  <c r="AA331"/>
  <c r="AO331"/>
  <c r="P331"/>
  <c r="T331"/>
  <c r="S331"/>
  <c r="AN331"/>
  <c r="AM331"/>
  <c r="R331"/>
  <c r="AI330"/>
  <c r="AB330"/>
  <c r="AH330"/>
  <c r="AQ330"/>
  <c r="AG330"/>
  <c r="AF330"/>
  <c r="AE330"/>
  <c r="AD330"/>
  <c r="AK330"/>
  <c r="AS330"/>
  <c r="AJ330"/>
  <c r="AR330"/>
  <c r="AP330"/>
  <c r="O330"/>
  <c r="Q330"/>
  <c r="AA330"/>
  <c r="AO330"/>
  <c r="P330"/>
  <c r="T330"/>
  <c r="S330"/>
  <c r="AN330"/>
  <c r="AM330"/>
  <c r="R330"/>
  <c r="AI329"/>
  <c r="AB329"/>
  <c r="AH329"/>
  <c r="AQ329"/>
  <c r="AG329"/>
  <c r="AF329"/>
  <c r="AE329"/>
  <c r="AD329"/>
  <c r="AK329"/>
  <c r="AS329"/>
  <c r="AJ329"/>
  <c r="AR329"/>
  <c r="AP329"/>
  <c r="O329"/>
  <c r="Q329"/>
  <c r="AA329"/>
  <c r="AO329"/>
  <c r="P329"/>
  <c r="T329"/>
  <c r="S329"/>
  <c r="AN329"/>
  <c r="AM329"/>
  <c r="R329"/>
  <c r="AI328"/>
  <c r="AB328"/>
  <c r="AH328"/>
  <c r="AQ328"/>
  <c r="AG328"/>
  <c r="AF328"/>
  <c r="AE328"/>
  <c r="AD328"/>
  <c r="AK328"/>
  <c r="AS328"/>
  <c r="AJ328"/>
  <c r="AR328"/>
  <c r="AP328"/>
  <c r="O328"/>
  <c r="Q328"/>
  <c r="AA328"/>
  <c r="AO328"/>
  <c r="P328"/>
  <c r="T328"/>
  <c r="S328"/>
  <c r="AN328"/>
  <c r="AM328"/>
  <c r="R328"/>
  <c r="AI327"/>
  <c r="AB327"/>
  <c r="AH327"/>
  <c r="AQ327"/>
  <c r="AG327"/>
  <c r="AF327"/>
  <c r="AE327"/>
  <c r="AD327"/>
  <c r="AK327"/>
  <c r="AS327"/>
  <c r="AJ327"/>
  <c r="AR327"/>
  <c r="AP327"/>
  <c r="O327"/>
  <c r="Q327"/>
  <c r="AA327"/>
  <c r="AO327"/>
  <c r="P327"/>
  <c r="T327"/>
  <c r="S327"/>
  <c r="AN327"/>
  <c r="AM327"/>
  <c r="R327"/>
  <c r="AI326"/>
  <c r="AB326"/>
  <c r="AH326"/>
  <c r="AQ326"/>
  <c r="AG326"/>
  <c r="AF326"/>
  <c r="AE326"/>
  <c r="AD326"/>
  <c r="AK326"/>
  <c r="AS326"/>
  <c r="AJ326"/>
  <c r="AR326"/>
  <c r="AP326"/>
  <c r="O326"/>
  <c r="Q326"/>
  <c r="AA326"/>
  <c r="AO326"/>
  <c r="P326"/>
  <c r="T326"/>
  <c r="S326"/>
  <c r="AN326"/>
  <c r="AM326"/>
  <c r="R326"/>
  <c r="AI325"/>
  <c r="AB325"/>
  <c r="AH325"/>
  <c r="AQ325"/>
  <c r="AG325"/>
  <c r="AF325"/>
  <c r="AE325"/>
  <c r="AD325"/>
  <c r="AK325"/>
  <c r="AS325"/>
  <c r="AJ325"/>
  <c r="AR325"/>
  <c r="AP325"/>
  <c r="O325"/>
  <c r="Q325"/>
  <c r="AA325"/>
  <c r="AO325"/>
  <c r="P325"/>
  <c r="T325"/>
  <c r="S325"/>
  <c r="AN325"/>
  <c r="AM325"/>
  <c r="R325"/>
  <c r="AI324"/>
  <c r="AB324"/>
  <c r="AH324"/>
  <c r="AQ324"/>
  <c r="AG324"/>
  <c r="AF324"/>
  <c r="AE324"/>
  <c r="AD324"/>
  <c r="AK324"/>
  <c r="AS324"/>
  <c r="AJ324"/>
  <c r="AR324"/>
  <c r="AP324"/>
  <c r="O324"/>
  <c r="Q324"/>
  <c r="AA324"/>
  <c r="AO324"/>
  <c r="P324"/>
  <c r="T324"/>
  <c r="S324"/>
  <c r="AN324"/>
  <c r="AM324"/>
  <c r="R324"/>
  <c r="AI323"/>
  <c r="AB323"/>
  <c r="AH323"/>
  <c r="AQ323"/>
  <c r="AG323"/>
  <c r="AF323"/>
  <c r="AE323"/>
  <c r="AD323"/>
  <c r="AK323"/>
  <c r="AS323"/>
  <c r="AJ323"/>
  <c r="AR323"/>
  <c r="AP323"/>
  <c r="O323"/>
  <c r="Q323"/>
  <c r="AA323"/>
  <c r="AO323"/>
  <c r="P323"/>
  <c r="T323"/>
  <c r="S323"/>
  <c r="AN323"/>
  <c r="AM323"/>
  <c r="R323"/>
  <c r="AI322"/>
  <c r="AB322"/>
  <c r="AH322"/>
  <c r="AQ322"/>
  <c r="AG322"/>
  <c r="AF322"/>
  <c r="AE322"/>
  <c r="AD322"/>
  <c r="AK322"/>
  <c r="AS322"/>
  <c r="AJ322"/>
  <c r="AR322"/>
  <c r="AP322"/>
  <c r="O322"/>
  <c r="Q322"/>
  <c r="AA322"/>
  <c r="AO322"/>
  <c r="P322"/>
  <c r="T322"/>
  <c r="S322"/>
  <c r="AN322"/>
  <c r="AM322"/>
  <c r="R322"/>
  <c r="AI321"/>
  <c r="AB321"/>
  <c r="AH321"/>
  <c r="AQ321"/>
  <c r="AG321"/>
  <c r="AF321"/>
  <c r="AE321"/>
  <c r="AD321"/>
  <c r="AK321"/>
  <c r="AS321"/>
  <c r="AJ321"/>
  <c r="AR321"/>
  <c r="AP321"/>
  <c r="O321"/>
  <c r="Q321"/>
  <c r="AA321"/>
  <c r="AO321"/>
  <c r="P321"/>
  <c r="T321"/>
  <c r="S321"/>
  <c r="AN321"/>
  <c r="AM321"/>
  <c r="R321"/>
  <c r="AI320"/>
  <c r="AB320"/>
  <c r="AH320"/>
  <c r="AQ320"/>
  <c r="AG320"/>
  <c r="AF320"/>
  <c r="AE320"/>
  <c r="AD320"/>
  <c r="AK320"/>
  <c r="AS320"/>
  <c r="AJ320"/>
  <c r="AR320"/>
  <c r="AP320"/>
  <c r="O320"/>
  <c r="Q320"/>
  <c r="AA320"/>
  <c r="AO320"/>
  <c r="P320"/>
  <c r="T320"/>
  <c r="S320"/>
  <c r="AN320"/>
  <c r="AM320"/>
  <c r="R320"/>
  <c r="AI319"/>
  <c r="AB319"/>
  <c r="AH319"/>
  <c r="AQ319"/>
  <c r="AG319"/>
  <c r="AF319"/>
  <c r="AE319"/>
  <c r="AD319"/>
  <c r="AK319"/>
  <c r="AS319"/>
  <c r="AJ319"/>
  <c r="AR319"/>
  <c r="AP319"/>
  <c r="O319"/>
  <c r="Q319"/>
  <c r="AA319"/>
  <c r="AO319"/>
  <c r="P319"/>
  <c r="T319"/>
  <c r="S319"/>
  <c r="AN319"/>
  <c r="AM319"/>
  <c r="R319"/>
  <c r="AI318"/>
  <c r="AB318"/>
  <c r="AH318"/>
  <c r="AQ318"/>
  <c r="AG318"/>
  <c r="AF318"/>
  <c r="AE318"/>
  <c r="AD318"/>
  <c r="AK318"/>
  <c r="AS318"/>
  <c r="AJ318"/>
  <c r="AR318"/>
  <c r="AP318"/>
  <c r="O318"/>
  <c r="Q318"/>
  <c r="AA318"/>
  <c r="AO318"/>
  <c r="P318"/>
  <c r="T318"/>
  <c r="S318"/>
  <c r="AN318"/>
  <c r="AM318"/>
  <c r="R318"/>
  <c r="AI317"/>
  <c r="AB317"/>
  <c r="AH317"/>
  <c r="AQ317"/>
  <c r="AG317"/>
  <c r="AF317"/>
  <c r="AE317"/>
  <c r="AD317"/>
  <c r="AK317"/>
  <c r="AS317"/>
  <c r="AJ317"/>
  <c r="AR317"/>
  <c r="AP317"/>
  <c r="O317"/>
  <c r="Q317"/>
  <c r="AA317"/>
  <c r="AO317"/>
  <c r="P317"/>
  <c r="T317"/>
  <c r="S317"/>
  <c r="AN317"/>
  <c r="AM317"/>
  <c r="R317"/>
  <c r="AI316"/>
  <c r="AB316"/>
  <c r="AH316"/>
  <c r="AQ316"/>
  <c r="AG316"/>
  <c r="AF316"/>
  <c r="AE316"/>
  <c r="AD316"/>
  <c r="AK316"/>
  <c r="AS316"/>
  <c r="AJ316"/>
  <c r="AR316"/>
  <c r="AP316"/>
  <c r="O316"/>
  <c r="Q316"/>
  <c r="AA316"/>
  <c r="AO316"/>
  <c r="P316"/>
  <c r="T316"/>
  <c r="S316"/>
  <c r="AN316"/>
  <c r="AM316"/>
  <c r="R316"/>
  <c r="AI315"/>
  <c r="AB315"/>
  <c r="AH315"/>
  <c r="AQ315"/>
  <c r="AG315"/>
  <c r="AF315"/>
  <c r="AE315"/>
  <c r="AD315"/>
  <c r="AK315"/>
  <c r="AS315"/>
  <c r="AJ315"/>
  <c r="AR315"/>
  <c r="AP315"/>
  <c r="O315"/>
  <c r="Q315"/>
  <c r="AA315"/>
  <c r="AO315"/>
  <c r="P315"/>
  <c r="T315"/>
  <c r="S315"/>
  <c r="AN315"/>
  <c r="AM315"/>
  <c r="R315"/>
  <c r="AI314"/>
  <c r="AB314"/>
  <c r="AH314"/>
  <c r="AQ314"/>
  <c r="AG314"/>
  <c r="AF314"/>
  <c r="AE314"/>
  <c r="AD314"/>
  <c r="AK314"/>
  <c r="AS314"/>
  <c r="AJ314"/>
  <c r="AR314"/>
  <c r="AP314"/>
  <c r="O314"/>
  <c r="Q314"/>
  <c r="AA314"/>
  <c r="AO314"/>
  <c r="P314"/>
  <c r="T314"/>
  <c r="S314"/>
  <c r="AN314"/>
  <c r="AM314"/>
  <c r="R314"/>
  <c r="AI313"/>
  <c r="AB313"/>
  <c r="AH313"/>
  <c r="AQ313"/>
  <c r="AG313"/>
  <c r="AF313"/>
  <c r="AE313"/>
  <c r="AD313"/>
  <c r="AK313"/>
  <c r="AS313"/>
  <c r="AJ313"/>
  <c r="AR313"/>
  <c r="AP313"/>
  <c r="O313"/>
  <c r="Q313"/>
  <c r="AA313"/>
  <c r="AO313"/>
  <c r="P313"/>
  <c r="T313"/>
  <c r="S313"/>
  <c r="AN313"/>
  <c r="AM313"/>
  <c r="R313"/>
  <c r="AI312"/>
  <c r="AB312"/>
  <c r="AH312"/>
  <c r="AQ312"/>
  <c r="AG312"/>
  <c r="AF312"/>
  <c r="AE312"/>
  <c r="AD312"/>
  <c r="AK312"/>
  <c r="AS312"/>
  <c r="AJ312"/>
  <c r="AR312"/>
  <c r="AP312"/>
  <c r="O312"/>
  <c r="Q312"/>
  <c r="AA312"/>
  <c r="AO312"/>
  <c r="P312"/>
  <c r="T312"/>
  <c r="S312"/>
  <c r="AN312"/>
  <c r="AM312"/>
  <c r="R312"/>
  <c r="AI311"/>
  <c r="AB311"/>
  <c r="AH311"/>
  <c r="AQ311"/>
  <c r="AG311"/>
  <c r="AF311"/>
  <c r="AE311"/>
  <c r="AD311"/>
  <c r="AK311"/>
  <c r="AS311"/>
  <c r="AJ311"/>
  <c r="AR311"/>
  <c r="AP311"/>
  <c r="O311"/>
  <c r="Q311"/>
  <c r="AA311"/>
  <c r="AO311"/>
  <c r="P311"/>
  <c r="T311"/>
  <c r="S311"/>
  <c r="AN311"/>
  <c r="AM311"/>
  <c r="R311"/>
  <c r="AI310"/>
  <c r="AB310"/>
  <c r="AH310"/>
  <c r="AQ310"/>
  <c r="AG310"/>
  <c r="AF310"/>
  <c r="AE310"/>
  <c r="AD310"/>
  <c r="AK310"/>
  <c r="AS310"/>
  <c r="AJ310"/>
  <c r="AR310"/>
  <c r="AP310"/>
  <c r="O310"/>
  <c r="Q310"/>
  <c r="AA310"/>
  <c r="AO310"/>
  <c r="P310"/>
  <c r="T310"/>
  <c r="S310"/>
  <c r="AN310"/>
  <c r="AM310"/>
  <c r="R310"/>
  <c r="AI309"/>
  <c r="AB309"/>
  <c r="AH309"/>
  <c r="AQ309"/>
  <c r="AG309"/>
  <c r="AF309"/>
  <c r="AE309"/>
  <c r="AD309"/>
  <c r="AK309"/>
  <c r="AS309"/>
  <c r="AJ309"/>
  <c r="AR309"/>
  <c r="AP309"/>
  <c r="O309"/>
  <c r="Q309"/>
  <c r="AA309"/>
  <c r="AO309"/>
  <c r="P309"/>
  <c r="T309"/>
  <c r="S309"/>
  <c r="AN309"/>
  <c r="AM309"/>
  <c r="R309"/>
  <c r="AI308"/>
  <c r="AB308"/>
  <c r="AH308"/>
  <c r="AQ308"/>
  <c r="AG308"/>
  <c r="AF308"/>
  <c r="AE308"/>
  <c r="AD308"/>
  <c r="AK308"/>
  <c r="AS308"/>
  <c r="AJ308"/>
  <c r="AR308"/>
  <c r="AP308"/>
  <c r="O308"/>
  <c r="Q308"/>
  <c r="AA308"/>
  <c r="AO308"/>
  <c r="P308"/>
  <c r="T308"/>
  <c r="S308"/>
  <c r="AN308"/>
  <c r="AM308"/>
  <c r="R308"/>
  <c r="AI307"/>
  <c r="AB307"/>
  <c r="AH307"/>
  <c r="AQ307"/>
  <c r="AG307"/>
  <c r="AF307"/>
  <c r="AE307"/>
  <c r="AD307"/>
  <c r="AK307"/>
  <c r="AS307"/>
  <c r="AJ307"/>
  <c r="AR307"/>
  <c r="AP307"/>
  <c r="O307"/>
  <c r="Q307"/>
  <c r="AA307"/>
  <c r="AO307"/>
  <c r="P307"/>
  <c r="T307"/>
  <c r="S307"/>
  <c r="AN307"/>
  <c r="AM307"/>
  <c r="R307"/>
  <c r="AI306"/>
  <c r="AB306"/>
  <c r="AH306"/>
  <c r="AQ306"/>
  <c r="AG306"/>
  <c r="AF306"/>
  <c r="AE306"/>
  <c r="AD306"/>
  <c r="AK306"/>
  <c r="AS306"/>
  <c r="AJ306"/>
  <c r="AR306"/>
  <c r="AP306"/>
  <c r="O306"/>
  <c r="Q306"/>
  <c r="AA306"/>
  <c r="AO306"/>
  <c r="P306"/>
  <c r="T306"/>
  <c r="S306"/>
  <c r="AN306"/>
  <c r="AM306"/>
  <c r="R306"/>
  <c r="AI305"/>
  <c r="AB305"/>
  <c r="AH305"/>
  <c r="AQ305"/>
  <c r="AG305"/>
  <c r="AF305"/>
  <c r="AE305"/>
  <c r="AD305"/>
  <c r="AK305"/>
  <c r="AS305"/>
  <c r="AJ305"/>
  <c r="AR305"/>
  <c r="AP305"/>
  <c r="O305"/>
  <c r="Q305"/>
  <c r="AA305"/>
  <c r="AO305"/>
  <c r="P305"/>
  <c r="T305"/>
  <c r="S305"/>
  <c r="AN305"/>
  <c r="AM305"/>
  <c r="R305"/>
  <c r="AI304"/>
  <c r="AB304"/>
  <c r="AH304"/>
  <c r="AQ304"/>
  <c r="AG304"/>
  <c r="AF304"/>
  <c r="AE304"/>
  <c r="AD304"/>
  <c r="AK304"/>
  <c r="AS304"/>
  <c r="AJ304"/>
  <c r="AR304"/>
  <c r="AP304"/>
  <c r="O304"/>
  <c r="Q304"/>
  <c r="AA304"/>
  <c r="AO304"/>
  <c r="P304"/>
  <c r="T304"/>
  <c r="S304"/>
  <c r="AN304"/>
  <c r="AM304"/>
  <c r="R304"/>
  <c r="AI303"/>
  <c r="AB303"/>
  <c r="AH303"/>
  <c r="AQ303"/>
  <c r="AG303"/>
  <c r="AF303"/>
  <c r="AE303"/>
  <c r="AD303"/>
  <c r="AK303"/>
  <c r="AS303"/>
  <c r="AJ303"/>
  <c r="AR303"/>
  <c r="AP303"/>
  <c r="O303"/>
  <c r="Q303"/>
  <c r="AA303"/>
  <c r="AO303"/>
  <c r="P303"/>
  <c r="T303"/>
  <c r="S303"/>
  <c r="AN303"/>
  <c r="AM303"/>
  <c r="R303"/>
  <c r="AI302"/>
  <c r="AB302"/>
  <c r="AH302"/>
  <c r="AQ302"/>
  <c r="AG302"/>
  <c r="AF302"/>
  <c r="AE302"/>
  <c r="AD302"/>
  <c r="AK302"/>
  <c r="AS302"/>
  <c r="AJ302"/>
  <c r="AR302"/>
  <c r="AP302"/>
  <c r="O302"/>
  <c r="Q302"/>
  <c r="AA302"/>
  <c r="AO302"/>
  <c r="P302"/>
  <c r="T302"/>
  <c r="S302"/>
  <c r="AN302"/>
  <c r="AM302"/>
  <c r="R302"/>
  <c r="AI301"/>
  <c r="AB301"/>
  <c r="AH301"/>
  <c r="AQ301"/>
  <c r="AG301"/>
  <c r="AF301"/>
  <c r="AE301"/>
  <c r="AD301"/>
  <c r="AK301"/>
  <c r="AS301"/>
  <c r="AJ301"/>
  <c r="AR301"/>
  <c r="AP301"/>
  <c r="O301"/>
  <c r="Q301"/>
  <c r="AA301"/>
  <c r="AO301"/>
  <c r="P301"/>
  <c r="T301"/>
  <c r="S301"/>
  <c r="AN301"/>
  <c r="AM301"/>
  <c r="R301"/>
  <c r="AI300"/>
  <c r="AB300"/>
  <c r="AH300"/>
  <c r="AQ300"/>
  <c r="AG300"/>
  <c r="AF300"/>
  <c r="AE300"/>
  <c r="AD300"/>
  <c r="AK300"/>
  <c r="AS300"/>
  <c r="AJ300"/>
  <c r="AR300"/>
  <c r="AP300"/>
  <c r="O300"/>
  <c r="Q300"/>
  <c r="AA300"/>
  <c r="AO300"/>
  <c r="P300"/>
  <c r="T300"/>
  <c r="S300"/>
  <c r="AN300"/>
  <c r="AM300"/>
  <c r="R300"/>
  <c r="AI299"/>
  <c r="AB299"/>
  <c r="AH299"/>
  <c r="AQ299"/>
  <c r="AG299"/>
  <c r="AF299"/>
  <c r="AE299"/>
  <c r="AD299"/>
  <c r="AK299"/>
  <c r="AS299"/>
  <c r="AJ299"/>
  <c r="AR299"/>
  <c r="AP299"/>
  <c r="O299"/>
  <c r="Q299"/>
  <c r="AA299"/>
  <c r="AO299"/>
  <c r="P299"/>
  <c r="T299"/>
  <c r="S299"/>
  <c r="AN299"/>
  <c r="AM299"/>
  <c r="R299"/>
  <c r="AI298"/>
  <c r="AB298"/>
  <c r="AH298"/>
  <c r="AQ298"/>
  <c r="AG298"/>
  <c r="AF298"/>
  <c r="AE298"/>
  <c r="AD298"/>
  <c r="AK298"/>
  <c r="AS298"/>
  <c r="AJ298"/>
  <c r="AR298"/>
  <c r="AP298"/>
  <c r="O298"/>
  <c r="Q298"/>
  <c r="AA298"/>
  <c r="AO298"/>
  <c r="P298"/>
  <c r="T298"/>
  <c r="S298"/>
  <c r="AN298"/>
  <c r="AM298"/>
  <c r="R298"/>
  <c r="AI297"/>
  <c r="AB297"/>
  <c r="AH297"/>
  <c r="AQ297"/>
  <c r="AG297"/>
  <c r="AF297"/>
  <c r="AE297"/>
  <c r="AD297"/>
  <c r="AK297"/>
  <c r="AS297"/>
  <c r="AJ297"/>
  <c r="AR297"/>
  <c r="AP297"/>
  <c r="O297"/>
  <c r="Q297"/>
  <c r="AA297"/>
  <c r="AO297"/>
  <c r="P297"/>
  <c r="T297"/>
  <c r="S297"/>
  <c r="AN297"/>
  <c r="AM297"/>
  <c r="R297"/>
  <c r="AI296"/>
  <c r="AB296"/>
  <c r="AH296"/>
  <c r="AQ296"/>
  <c r="AG296"/>
  <c r="AF296"/>
  <c r="AE296"/>
  <c r="AD296"/>
  <c r="AK296"/>
  <c r="AS296"/>
  <c r="AJ296"/>
  <c r="AR296"/>
  <c r="AP296"/>
  <c r="O296"/>
  <c r="Q296"/>
  <c r="AA296"/>
  <c r="AO296"/>
  <c r="P296"/>
  <c r="T296"/>
  <c r="S296"/>
  <c r="AN296"/>
  <c r="AM296"/>
  <c r="R296"/>
  <c r="AI295"/>
  <c r="AB295"/>
  <c r="AH295"/>
  <c r="AQ295"/>
  <c r="AG295"/>
  <c r="AF295"/>
  <c r="AE295"/>
  <c r="AD295"/>
  <c r="AK295"/>
  <c r="AS295"/>
  <c r="AJ295"/>
  <c r="AR295"/>
  <c r="AP295"/>
  <c r="O295"/>
  <c r="Q295"/>
  <c r="AA295"/>
  <c r="AO295"/>
  <c r="P295"/>
  <c r="T295"/>
  <c r="S295"/>
  <c r="AN295"/>
  <c r="AM295"/>
  <c r="R295"/>
  <c r="AI294"/>
  <c r="AB294"/>
  <c r="AH294"/>
  <c r="AQ294"/>
  <c r="AG294"/>
  <c r="AF294"/>
  <c r="AE294"/>
  <c r="AD294"/>
  <c r="AK294"/>
  <c r="AS294"/>
  <c r="AJ294"/>
  <c r="AR294"/>
  <c r="AP294"/>
  <c r="O294"/>
  <c r="Q294"/>
  <c r="AA294"/>
  <c r="AO294"/>
  <c r="P294"/>
  <c r="T294"/>
  <c r="S294"/>
  <c r="AN294"/>
  <c r="AM294"/>
  <c r="R294"/>
  <c r="AI293"/>
  <c r="AB293"/>
  <c r="AH293"/>
  <c r="AQ293"/>
  <c r="AG293"/>
  <c r="AF293"/>
  <c r="AE293"/>
  <c r="AD293"/>
  <c r="AK293"/>
  <c r="AS293"/>
  <c r="AJ293"/>
  <c r="AR293"/>
  <c r="AP293"/>
  <c r="O293"/>
  <c r="Q293"/>
  <c r="AA293"/>
  <c r="AO293"/>
  <c r="P293"/>
  <c r="T293"/>
  <c r="S293"/>
  <c r="AN293"/>
  <c r="AM293"/>
  <c r="R293"/>
  <c r="AI292"/>
  <c r="AB292"/>
  <c r="AH292"/>
  <c r="AQ292"/>
  <c r="AG292"/>
  <c r="AF292"/>
  <c r="AE292"/>
  <c r="AD292"/>
  <c r="AK292"/>
  <c r="AS292"/>
  <c r="AJ292"/>
  <c r="AR292"/>
  <c r="AP292"/>
  <c r="O292"/>
  <c r="Q292"/>
  <c r="AA292"/>
  <c r="AO292"/>
  <c r="P292"/>
  <c r="T292"/>
  <c r="S292"/>
  <c r="AN292"/>
  <c r="AM292"/>
  <c r="R292"/>
  <c r="AI291"/>
  <c r="AB291"/>
  <c r="AH291"/>
  <c r="AQ291"/>
  <c r="AG291"/>
  <c r="AF291"/>
  <c r="AE291"/>
  <c r="AD291"/>
  <c r="AK291"/>
  <c r="AS291"/>
  <c r="AJ291"/>
  <c r="AR291"/>
  <c r="AP291"/>
  <c r="O291"/>
  <c r="Q291"/>
  <c r="AA291"/>
  <c r="AO291"/>
  <c r="P291"/>
  <c r="T291"/>
  <c r="S291"/>
  <c r="AN291"/>
  <c r="AM291"/>
  <c r="R291"/>
  <c r="AI290"/>
  <c r="AB290"/>
  <c r="AH290"/>
  <c r="AQ290"/>
  <c r="AG290"/>
  <c r="AF290"/>
  <c r="AE290"/>
  <c r="AD290"/>
  <c r="AK290"/>
  <c r="AS290"/>
  <c r="AJ290"/>
  <c r="AR290"/>
  <c r="AP290"/>
  <c r="O290"/>
  <c r="Q290"/>
  <c r="AA290"/>
  <c r="AO290"/>
  <c r="P290"/>
  <c r="T290"/>
  <c r="S290"/>
  <c r="AN290"/>
  <c r="AM290"/>
  <c r="R290"/>
  <c r="AI289"/>
  <c r="AB289"/>
  <c r="AH289"/>
  <c r="AQ289"/>
  <c r="AG289"/>
  <c r="AF289"/>
  <c r="AE289"/>
  <c r="AD289"/>
  <c r="AK289"/>
  <c r="AS289"/>
  <c r="AJ289"/>
  <c r="AR289"/>
  <c r="AP289"/>
  <c r="O289"/>
  <c r="Q289"/>
  <c r="AA289"/>
  <c r="AO289"/>
  <c r="P289"/>
  <c r="T289"/>
  <c r="S289"/>
  <c r="AN289"/>
  <c r="AM289"/>
  <c r="R289"/>
  <c r="AI288"/>
  <c r="AB288"/>
  <c r="AH288"/>
  <c r="AQ288"/>
  <c r="AG288"/>
  <c r="AF288"/>
  <c r="AE288"/>
  <c r="AD288"/>
  <c r="AK288"/>
  <c r="AS288"/>
  <c r="AJ288"/>
  <c r="AR288"/>
  <c r="AP288"/>
  <c r="O288"/>
  <c r="Q288"/>
  <c r="AA288"/>
  <c r="AO288"/>
  <c r="P288"/>
  <c r="T288"/>
  <c r="S288"/>
  <c r="AN288"/>
  <c r="AM288"/>
  <c r="R288"/>
  <c r="AI287"/>
  <c r="AB287"/>
  <c r="AH287"/>
  <c r="AQ287"/>
  <c r="AG287"/>
  <c r="AF287"/>
  <c r="AE287"/>
  <c r="AD287"/>
  <c r="AK287"/>
  <c r="AS287"/>
  <c r="AJ287"/>
  <c r="AR287"/>
  <c r="AP287"/>
  <c r="O287"/>
  <c r="Q287"/>
  <c r="AA287"/>
  <c r="AO287"/>
  <c r="P287"/>
  <c r="T287"/>
  <c r="S287"/>
  <c r="AN287"/>
  <c r="AM287"/>
  <c r="R287"/>
  <c r="AI286"/>
  <c r="AB286"/>
  <c r="AH286"/>
  <c r="AQ286"/>
  <c r="AG286"/>
  <c r="AF286"/>
  <c r="AE286"/>
  <c r="AD286"/>
  <c r="AK286"/>
  <c r="AS286"/>
  <c r="AJ286"/>
  <c r="AR286"/>
  <c r="AP286"/>
  <c r="O286"/>
  <c r="Q286"/>
  <c r="AA286"/>
  <c r="AO286"/>
  <c r="P286"/>
  <c r="T286"/>
  <c r="S286"/>
  <c r="AN286"/>
  <c r="AM286"/>
  <c r="R286"/>
  <c r="AI285"/>
  <c r="AB285"/>
  <c r="AH285"/>
  <c r="AQ285"/>
  <c r="AG285"/>
  <c r="AF285"/>
  <c r="AE285"/>
  <c r="AD285"/>
  <c r="AK285"/>
  <c r="AS285"/>
  <c r="AJ285"/>
  <c r="AR285"/>
  <c r="AP285"/>
  <c r="O285"/>
  <c r="Q285"/>
  <c r="AA285"/>
  <c r="AO285"/>
  <c r="P285"/>
  <c r="T285"/>
  <c r="S285"/>
  <c r="AN285"/>
  <c r="AM285"/>
  <c r="R285"/>
  <c r="AI284"/>
  <c r="AB284"/>
  <c r="AH284"/>
  <c r="AQ284"/>
  <c r="AG284"/>
  <c r="AF284"/>
  <c r="AE284"/>
  <c r="AD284"/>
  <c r="AK284"/>
  <c r="AS284"/>
  <c r="AJ284"/>
  <c r="AR284"/>
  <c r="AP284"/>
  <c r="O284"/>
  <c r="Q284"/>
  <c r="AA284"/>
  <c r="AO284"/>
  <c r="P284"/>
  <c r="T284"/>
  <c r="S284"/>
  <c r="AN284"/>
  <c r="AM284"/>
  <c r="R284"/>
  <c r="AI283"/>
  <c r="AB283"/>
  <c r="AH283"/>
  <c r="AQ283"/>
  <c r="AG283"/>
  <c r="AF283"/>
  <c r="AE283"/>
  <c r="AD283"/>
  <c r="AK283"/>
  <c r="AS283"/>
  <c r="AJ283"/>
  <c r="AR283"/>
  <c r="AP283"/>
  <c r="O283"/>
  <c r="Q283"/>
  <c r="AA283"/>
  <c r="AO283"/>
  <c r="P283"/>
  <c r="T283"/>
  <c r="S283"/>
  <c r="AN283"/>
  <c r="AM283"/>
  <c r="R283"/>
  <c r="AI282"/>
  <c r="AB282"/>
  <c r="AH282"/>
  <c r="AQ282"/>
  <c r="AG282"/>
  <c r="AF282"/>
  <c r="AE282"/>
  <c r="AD282"/>
  <c r="AK282"/>
  <c r="AS282"/>
  <c r="AJ282"/>
  <c r="AR282"/>
  <c r="AP282"/>
  <c r="O282"/>
  <c r="Q282"/>
  <c r="AA282"/>
  <c r="AO282"/>
  <c r="P282"/>
  <c r="T282"/>
  <c r="S282"/>
  <c r="AN282"/>
  <c r="AM282"/>
  <c r="R282"/>
  <c r="AI281"/>
  <c r="AB281"/>
  <c r="AH281"/>
  <c r="AQ281"/>
  <c r="AG281"/>
  <c r="AF281"/>
  <c r="AE281"/>
  <c r="AD281"/>
  <c r="AK281"/>
  <c r="AS281"/>
  <c r="AJ281"/>
  <c r="AR281"/>
  <c r="AP281"/>
  <c r="O281"/>
  <c r="Q281"/>
  <c r="AA281"/>
  <c r="AO281"/>
  <c r="P281"/>
  <c r="T281"/>
  <c r="S281"/>
  <c r="AN281"/>
  <c r="AM281"/>
  <c r="R281"/>
  <c r="AI280"/>
  <c r="AB280"/>
  <c r="AH280"/>
  <c r="AQ280"/>
  <c r="AG280"/>
  <c r="AF280"/>
  <c r="AE280"/>
  <c r="AD280"/>
  <c r="AK280"/>
  <c r="AS280"/>
  <c r="AJ280"/>
  <c r="AR280"/>
  <c r="AP280"/>
  <c r="O280"/>
  <c r="Q280"/>
  <c r="AA280"/>
  <c r="AO280"/>
  <c r="P280"/>
  <c r="T280"/>
  <c r="S280"/>
  <c r="AN280"/>
  <c r="AM280"/>
  <c r="R280"/>
  <c r="AI279"/>
  <c r="AB279"/>
  <c r="AH279"/>
  <c r="AQ279"/>
  <c r="AG279"/>
  <c r="AF279"/>
  <c r="AE279"/>
  <c r="AD279"/>
  <c r="AK279"/>
  <c r="AS279"/>
  <c r="AJ279"/>
  <c r="AR279"/>
  <c r="AP279"/>
  <c r="O279"/>
  <c r="Q279"/>
  <c r="AA279"/>
  <c r="AO279"/>
  <c r="P279"/>
  <c r="T279"/>
  <c r="S279"/>
  <c r="AN279"/>
  <c r="AM279"/>
  <c r="R279"/>
  <c r="AI278"/>
  <c r="AB278"/>
  <c r="AH278"/>
  <c r="AQ278"/>
  <c r="AG278"/>
  <c r="AF278"/>
  <c r="AE278"/>
  <c r="AD278"/>
  <c r="AK278"/>
  <c r="AS278"/>
  <c r="AJ278"/>
  <c r="AR278"/>
  <c r="AP278"/>
  <c r="O278"/>
  <c r="Q278"/>
  <c r="AA278"/>
  <c r="AO278"/>
  <c r="P278"/>
  <c r="T278"/>
  <c r="S278"/>
  <c r="AN278"/>
  <c r="AM278"/>
  <c r="R278"/>
  <c r="AI277"/>
  <c r="AB277"/>
  <c r="AH277"/>
  <c r="AQ277"/>
  <c r="AG277"/>
  <c r="AF277"/>
  <c r="AE277"/>
  <c r="AD277"/>
  <c r="AK277"/>
  <c r="AS277"/>
  <c r="AJ277"/>
  <c r="AR277"/>
  <c r="AP277"/>
  <c r="O277"/>
  <c r="Q277"/>
  <c r="AA277"/>
  <c r="AO277"/>
  <c r="P277"/>
  <c r="T277"/>
  <c r="S277"/>
  <c r="AN277"/>
  <c r="AM277"/>
  <c r="R277"/>
  <c r="AI276"/>
  <c r="AB276"/>
  <c r="AH276"/>
  <c r="AQ276"/>
  <c r="AG276"/>
  <c r="AF276"/>
  <c r="AE276"/>
  <c r="AD276"/>
  <c r="AK276"/>
  <c r="AS276"/>
  <c r="AJ276"/>
  <c r="AR276"/>
  <c r="AP276"/>
  <c r="O276"/>
  <c r="Q276"/>
  <c r="AA276"/>
  <c r="AO276"/>
  <c r="P276"/>
  <c r="T276"/>
  <c r="S276"/>
  <c r="AN276"/>
  <c r="AM276"/>
  <c r="R276"/>
  <c r="AI275"/>
  <c r="AB275"/>
  <c r="AH275"/>
  <c r="AQ275"/>
  <c r="AG275"/>
  <c r="AF275"/>
  <c r="AE275"/>
  <c r="AD275"/>
  <c r="AK275"/>
  <c r="AS275"/>
  <c r="AJ275"/>
  <c r="AR275"/>
  <c r="AP275"/>
  <c r="O275"/>
  <c r="Q275"/>
  <c r="AA275"/>
  <c r="AO275"/>
  <c r="P275"/>
  <c r="T275"/>
  <c r="S275"/>
  <c r="AN275"/>
  <c r="AM275"/>
  <c r="R275"/>
  <c r="AI274"/>
  <c r="AB274"/>
  <c r="AH274"/>
  <c r="AQ274"/>
  <c r="AG274"/>
  <c r="AF274"/>
  <c r="AE274"/>
  <c r="AD274"/>
  <c r="AK274"/>
  <c r="AS274"/>
  <c r="AJ274"/>
  <c r="AR274"/>
  <c r="AP274"/>
  <c r="O274"/>
  <c r="Q274"/>
  <c r="AA274"/>
  <c r="AO274"/>
  <c r="P274"/>
  <c r="T274"/>
  <c r="S274"/>
  <c r="AN274"/>
  <c r="AM274"/>
  <c r="R274"/>
  <c r="AI273"/>
  <c r="AB273"/>
  <c r="AH273"/>
  <c r="AQ273"/>
  <c r="AG273"/>
  <c r="AF273"/>
  <c r="AE273"/>
  <c r="AD273"/>
  <c r="AK273"/>
  <c r="AS273"/>
  <c r="AJ273"/>
  <c r="AR273"/>
  <c r="AP273"/>
  <c r="O273"/>
  <c r="Q273"/>
  <c r="AA273"/>
  <c r="AO273"/>
  <c r="P273"/>
  <c r="T273"/>
  <c r="S273"/>
  <c r="AN273"/>
  <c r="AM273"/>
  <c r="R273"/>
  <c r="AI272"/>
  <c r="AB272"/>
  <c r="AH272"/>
  <c r="AQ272"/>
  <c r="AG272"/>
  <c r="AF272"/>
  <c r="AE272"/>
  <c r="AD272"/>
  <c r="AK272"/>
  <c r="AS272"/>
  <c r="AJ272"/>
  <c r="AR272"/>
  <c r="AP272"/>
  <c r="O272"/>
  <c r="Q272"/>
  <c r="AA272"/>
  <c r="AO272"/>
  <c r="P272"/>
  <c r="T272"/>
  <c r="S272"/>
  <c r="AN272"/>
  <c r="AM272"/>
  <c r="R272"/>
  <c r="AI271"/>
  <c r="AB271"/>
  <c r="AH271"/>
  <c r="AQ271"/>
  <c r="AG271"/>
  <c r="AF271"/>
  <c r="AE271"/>
  <c r="AD271"/>
  <c r="AK271"/>
  <c r="AS271"/>
  <c r="AJ271"/>
  <c r="AR271"/>
  <c r="AP271"/>
  <c r="O271"/>
  <c r="Q271"/>
  <c r="AA271"/>
  <c r="AO271"/>
  <c r="P271"/>
  <c r="T271"/>
  <c r="S271"/>
  <c r="AN271"/>
  <c r="AM271"/>
  <c r="R271"/>
  <c r="AI270"/>
  <c r="AB270"/>
  <c r="AH270"/>
  <c r="AQ270"/>
  <c r="AG270"/>
  <c r="AF270"/>
  <c r="AE270"/>
  <c r="AD270"/>
  <c r="AK270"/>
  <c r="AS270"/>
  <c r="AJ270"/>
  <c r="AR270"/>
  <c r="AP270"/>
  <c r="O270"/>
  <c r="Q270"/>
  <c r="AA270"/>
  <c r="AO270"/>
  <c r="P270"/>
  <c r="T270"/>
  <c r="S270"/>
  <c r="AN270"/>
  <c r="AM270"/>
  <c r="R270"/>
  <c r="AI269"/>
  <c r="AB269"/>
  <c r="AH269"/>
  <c r="AQ269"/>
  <c r="AG269"/>
  <c r="AF269"/>
  <c r="AE269"/>
  <c r="AD269"/>
  <c r="AK269"/>
  <c r="AS269"/>
  <c r="AJ269"/>
  <c r="AR269"/>
  <c r="AP269"/>
  <c r="O269"/>
  <c r="Q269"/>
  <c r="AA269"/>
  <c r="AO269"/>
  <c r="P269"/>
  <c r="T269"/>
  <c r="S269"/>
  <c r="AN269"/>
  <c r="AM269"/>
  <c r="R269"/>
  <c r="AI268"/>
  <c r="AB268"/>
  <c r="AH268"/>
  <c r="AQ268"/>
  <c r="AG268"/>
  <c r="AF268"/>
  <c r="AE268"/>
  <c r="AD268"/>
  <c r="AK268"/>
  <c r="AS268"/>
  <c r="AJ268"/>
  <c r="AR268"/>
  <c r="AP268"/>
  <c r="O268"/>
  <c r="Q268"/>
  <c r="AA268"/>
  <c r="AO268"/>
  <c r="P268"/>
  <c r="T268"/>
  <c r="S268"/>
  <c r="AN268"/>
  <c r="AM268"/>
  <c r="R268"/>
  <c r="AI267"/>
  <c r="AB267"/>
  <c r="AH267"/>
  <c r="AQ267"/>
  <c r="AG267"/>
  <c r="AF267"/>
  <c r="AE267"/>
  <c r="AD267"/>
  <c r="AK267"/>
  <c r="AS267"/>
  <c r="AJ267"/>
  <c r="AR267"/>
  <c r="AP267"/>
  <c r="O267"/>
  <c r="Q267"/>
  <c r="AA267"/>
  <c r="AO267"/>
  <c r="P267"/>
  <c r="T267"/>
  <c r="S267"/>
  <c r="AN267"/>
  <c r="AM267"/>
  <c r="R267"/>
  <c r="AI266"/>
  <c r="AB266"/>
  <c r="AH266"/>
  <c r="AQ266"/>
  <c r="AG266"/>
  <c r="AF266"/>
  <c r="AE266"/>
  <c r="AD266"/>
  <c r="AK266"/>
  <c r="AS266"/>
  <c r="AJ266"/>
  <c r="AR266"/>
  <c r="AP266"/>
  <c r="O266"/>
  <c r="Q266"/>
  <c r="AA266"/>
  <c r="AO266"/>
  <c r="P266"/>
  <c r="T266"/>
  <c r="S266"/>
  <c r="AN266"/>
  <c r="AM266"/>
  <c r="R266"/>
  <c r="AI265"/>
  <c r="AB265"/>
  <c r="AH265"/>
  <c r="AQ265"/>
  <c r="AG265"/>
  <c r="AF265"/>
  <c r="AE265"/>
  <c r="AD265"/>
  <c r="AK265"/>
  <c r="AS265"/>
  <c r="AJ265"/>
  <c r="AR265"/>
  <c r="AP265"/>
  <c r="O265"/>
  <c r="Q265"/>
  <c r="AA265"/>
  <c r="AO265"/>
  <c r="P265"/>
  <c r="T265"/>
  <c r="S265"/>
  <c r="AN265"/>
  <c r="AM265"/>
  <c r="R265"/>
  <c r="AI264"/>
  <c r="AB264"/>
  <c r="AH264"/>
  <c r="AQ264"/>
  <c r="AG264"/>
  <c r="AF264"/>
  <c r="AE264"/>
  <c r="AD264"/>
  <c r="AK264"/>
  <c r="AS264"/>
  <c r="AJ264"/>
  <c r="AR264"/>
  <c r="AP264"/>
  <c r="O264"/>
  <c r="Q264"/>
  <c r="AA264"/>
  <c r="AO264"/>
  <c r="P264"/>
  <c r="T264"/>
  <c r="S264"/>
  <c r="AN264"/>
  <c r="AM264"/>
  <c r="R264"/>
  <c r="AI263"/>
  <c r="AB263"/>
  <c r="AH263"/>
  <c r="AQ263"/>
  <c r="AG263"/>
  <c r="AF263"/>
  <c r="AE263"/>
  <c r="AD263"/>
  <c r="AK263"/>
  <c r="AS263"/>
  <c r="AJ263"/>
  <c r="AR263"/>
  <c r="AP263"/>
  <c r="O263"/>
  <c r="Q263"/>
  <c r="AA263"/>
  <c r="AO263"/>
  <c r="P263"/>
  <c r="T263"/>
  <c r="S263"/>
  <c r="AN263"/>
  <c r="AM263"/>
  <c r="R263"/>
  <c r="AI262"/>
  <c r="AB262"/>
  <c r="AH262"/>
  <c r="AQ262"/>
  <c r="AG262"/>
  <c r="AF262"/>
  <c r="AE262"/>
  <c r="AD262"/>
  <c r="AK262"/>
  <c r="AS262"/>
  <c r="AJ262"/>
  <c r="AR262"/>
  <c r="AP262"/>
  <c r="O262"/>
  <c r="Q262"/>
  <c r="AA262"/>
  <c r="AO262"/>
  <c r="P262"/>
  <c r="T262"/>
  <c r="S262"/>
  <c r="AN262"/>
  <c r="AM262"/>
  <c r="R262"/>
  <c r="AI261"/>
  <c r="AB261"/>
  <c r="AH261"/>
  <c r="AQ261"/>
  <c r="AG261"/>
  <c r="AF261"/>
  <c r="AE261"/>
  <c r="AD261"/>
  <c r="AK261"/>
  <c r="AS261"/>
  <c r="AJ261"/>
  <c r="AR261"/>
  <c r="AP261"/>
  <c r="O261"/>
  <c r="Q261"/>
  <c r="AA261"/>
  <c r="AO261"/>
  <c r="P261"/>
  <c r="T261"/>
  <c r="S261"/>
  <c r="AN261"/>
  <c r="AM261"/>
  <c r="R261"/>
  <c r="AI260"/>
  <c r="AB260"/>
  <c r="AH260"/>
  <c r="AQ260"/>
  <c r="AG260"/>
  <c r="AF260"/>
  <c r="AE260"/>
  <c r="AD260"/>
  <c r="AK260"/>
  <c r="AS260"/>
  <c r="AJ260"/>
  <c r="AR260"/>
  <c r="AP260"/>
  <c r="O260"/>
  <c r="Q260"/>
  <c r="AA260"/>
  <c r="AO260"/>
  <c r="P260"/>
  <c r="T260"/>
  <c r="S260"/>
  <c r="AN260"/>
  <c r="AM260"/>
  <c r="R260"/>
  <c r="AI259"/>
  <c r="AB259"/>
  <c r="AH259"/>
  <c r="AQ259"/>
  <c r="AG259"/>
  <c r="AF259"/>
  <c r="AE259"/>
  <c r="AD259"/>
  <c r="AK259"/>
  <c r="AS259"/>
  <c r="AJ259"/>
  <c r="AR259"/>
  <c r="AP259"/>
  <c r="O259"/>
  <c r="Q259"/>
  <c r="AA259"/>
  <c r="AO259"/>
  <c r="P259"/>
  <c r="T259"/>
  <c r="S259"/>
  <c r="AN259"/>
  <c r="AM259"/>
  <c r="R259"/>
  <c r="AI258"/>
  <c r="AB258"/>
  <c r="AH258"/>
  <c r="AQ258"/>
  <c r="AG258"/>
  <c r="AF258"/>
  <c r="AE258"/>
  <c r="AD258"/>
  <c r="AK258"/>
  <c r="AS258"/>
  <c r="AJ258"/>
  <c r="AR258"/>
  <c r="AP258"/>
  <c r="O258"/>
  <c r="Q258"/>
  <c r="AA258"/>
  <c r="AO258"/>
  <c r="P258"/>
  <c r="T258"/>
  <c r="S258"/>
  <c r="AN258"/>
  <c r="AM258"/>
  <c r="R258"/>
  <c r="AI257"/>
  <c r="AB257"/>
  <c r="AH257"/>
  <c r="AQ257"/>
  <c r="AG257"/>
  <c r="AF257"/>
  <c r="AE257"/>
  <c r="AD257"/>
  <c r="AK257"/>
  <c r="AS257"/>
  <c r="AJ257"/>
  <c r="AR257"/>
  <c r="AP257"/>
  <c r="O257"/>
  <c r="Q257"/>
  <c r="AA257"/>
  <c r="AO257"/>
  <c r="P257"/>
  <c r="T257"/>
  <c r="S257"/>
  <c r="AN257"/>
  <c r="AM257"/>
  <c r="R257"/>
  <c r="AI256"/>
  <c r="AB256"/>
  <c r="AH256"/>
  <c r="AQ256"/>
  <c r="AG256"/>
  <c r="AF256"/>
  <c r="AE256"/>
  <c r="AD256"/>
  <c r="AK256"/>
  <c r="AS256"/>
  <c r="AJ256"/>
  <c r="AR256"/>
  <c r="AP256"/>
  <c r="O256"/>
  <c r="Q256"/>
  <c r="AA256"/>
  <c r="AO256"/>
  <c r="P256"/>
  <c r="T256"/>
  <c r="S256"/>
  <c r="AN256"/>
  <c r="AM256"/>
  <c r="R256"/>
  <c r="AI255"/>
  <c r="AB255"/>
  <c r="AH255"/>
  <c r="AQ255"/>
  <c r="AG255"/>
  <c r="AF255"/>
  <c r="AE255"/>
  <c r="AD255"/>
  <c r="AK255"/>
  <c r="AS255"/>
  <c r="AJ255"/>
  <c r="AR255"/>
  <c r="AP255"/>
  <c r="O255"/>
  <c r="Q255"/>
  <c r="AA255"/>
  <c r="AO255"/>
  <c r="P255"/>
  <c r="T255"/>
  <c r="S255"/>
  <c r="AN255"/>
  <c r="AM255"/>
  <c r="R255"/>
  <c r="AI254"/>
  <c r="AB254"/>
  <c r="AH254"/>
  <c r="AQ254"/>
  <c r="AG254"/>
  <c r="AF254"/>
  <c r="AE254"/>
  <c r="AD254"/>
  <c r="AK254"/>
  <c r="AS254"/>
  <c r="AJ254"/>
  <c r="AR254"/>
  <c r="AP254"/>
  <c r="O254"/>
  <c r="Q254"/>
  <c r="AA254"/>
  <c r="AO254"/>
  <c r="P254"/>
  <c r="T254"/>
  <c r="S254"/>
  <c r="AN254"/>
  <c r="AM254"/>
  <c r="R254"/>
  <c r="AI253"/>
  <c r="AB253"/>
  <c r="AH253"/>
  <c r="AQ253"/>
  <c r="AG253"/>
  <c r="AF253"/>
  <c r="AE253"/>
  <c r="AD253"/>
  <c r="AK253"/>
  <c r="AS253"/>
  <c r="AJ253"/>
  <c r="AR253"/>
  <c r="AP253"/>
  <c r="O253"/>
  <c r="Q253"/>
  <c r="AA253"/>
  <c r="AO253"/>
  <c r="P253"/>
  <c r="T253"/>
  <c r="S253"/>
  <c r="AN253"/>
  <c r="AM253"/>
  <c r="R253"/>
  <c r="AI252"/>
  <c r="AB252"/>
  <c r="AH252"/>
  <c r="AQ252"/>
  <c r="AG252"/>
  <c r="AF252"/>
  <c r="AE252"/>
  <c r="AD252"/>
  <c r="AK252"/>
  <c r="AS252"/>
  <c r="AJ252"/>
  <c r="AR252"/>
  <c r="AP252"/>
  <c r="O252"/>
  <c r="Q252"/>
  <c r="AA252"/>
  <c r="AO252"/>
  <c r="P252"/>
  <c r="T252"/>
  <c r="S252"/>
  <c r="AN252"/>
  <c r="AM252"/>
  <c r="R252"/>
  <c r="AI251"/>
  <c r="AB251"/>
  <c r="AH251"/>
  <c r="AQ251"/>
  <c r="AG251"/>
  <c r="AF251"/>
  <c r="AE251"/>
  <c r="AD251"/>
  <c r="AK251"/>
  <c r="AS251"/>
  <c r="AJ251"/>
  <c r="AR251"/>
  <c r="AP251"/>
  <c r="O251"/>
  <c r="Q251"/>
  <c r="AA251"/>
  <c r="AO251"/>
  <c r="P251"/>
  <c r="T251"/>
  <c r="S251"/>
  <c r="AN251"/>
  <c r="AM251"/>
  <c r="R251"/>
  <c r="AI250"/>
  <c r="AB250"/>
  <c r="AH250"/>
  <c r="AQ250"/>
  <c r="AG250"/>
  <c r="AF250"/>
  <c r="AE250"/>
  <c r="AD250"/>
  <c r="AK250"/>
  <c r="AS250"/>
  <c r="AJ250"/>
  <c r="AR250"/>
  <c r="AP250"/>
  <c r="O250"/>
  <c r="Q250"/>
  <c r="AA250"/>
  <c r="AO250"/>
  <c r="P250"/>
  <c r="T250"/>
  <c r="S250"/>
  <c r="AN250"/>
  <c r="AM250"/>
  <c r="R250"/>
  <c r="AI249"/>
  <c r="AB249"/>
  <c r="AH249"/>
  <c r="AQ249"/>
  <c r="AG249"/>
  <c r="AF249"/>
  <c r="AE249"/>
  <c r="AD249"/>
  <c r="AK249"/>
  <c r="AS249"/>
  <c r="AJ249"/>
  <c r="AR249"/>
  <c r="AP249"/>
  <c r="O249"/>
  <c r="Q249"/>
  <c r="AA249"/>
  <c r="AO249"/>
  <c r="P249"/>
  <c r="T249"/>
  <c r="S249"/>
  <c r="AN249"/>
  <c r="AM249"/>
  <c r="R249"/>
  <c r="AI248"/>
  <c r="AB248"/>
  <c r="AH248"/>
  <c r="AQ248"/>
  <c r="AG248"/>
  <c r="AF248"/>
  <c r="AE248"/>
  <c r="AD248"/>
  <c r="AK248"/>
  <c r="AS248"/>
  <c r="AJ248"/>
  <c r="AR248"/>
  <c r="AP248"/>
  <c r="O248"/>
  <c r="Q248"/>
  <c r="AA248"/>
  <c r="AO248"/>
  <c r="P248"/>
  <c r="T248"/>
  <c r="S248"/>
  <c r="AN248"/>
  <c r="AM248"/>
  <c r="R248"/>
  <c r="AI247"/>
  <c r="AB247"/>
  <c r="AH247"/>
  <c r="AQ247"/>
  <c r="AG247"/>
  <c r="AF247"/>
  <c r="AE247"/>
  <c r="AD247"/>
  <c r="AK247"/>
  <c r="AS247"/>
  <c r="AJ247"/>
  <c r="AR247"/>
  <c r="AP247"/>
  <c r="O247"/>
  <c r="Q247"/>
  <c r="AA247"/>
  <c r="AO247"/>
  <c r="P247"/>
  <c r="T247"/>
  <c r="S247"/>
  <c r="AN247"/>
  <c r="AM247"/>
  <c r="R247"/>
  <c r="AI246"/>
  <c r="AB246"/>
  <c r="AH246"/>
  <c r="AQ246"/>
  <c r="AG246"/>
  <c r="AF246"/>
  <c r="AE246"/>
  <c r="AD246"/>
  <c r="AK246"/>
  <c r="AS246"/>
  <c r="AJ246"/>
  <c r="AR246"/>
  <c r="AP246"/>
  <c r="O246"/>
  <c r="Q246"/>
  <c r="AA246"/>
  <c r="AO246"/>
  <c r="P246"/>
  <c r="T246"/>
  <c r="S246"/>
  <c r="AN246"/>
  <c r="AM246"/>
  <c r="R246"/>
  <c r="AI245"/>
  <c r="AB245"/>
  <c r="AH245"/>
  <c r="AQ245"/>
  <c r="AG245"/>
  <c r="AF245"/>
  <c r="AE245"/>
  <c r="AD245"/>
  <c r="AK245"/>
  <c r="AS245"/>
  <c r="AJ245"/>
  <c r="AR245"/>
  <c r="AP245"/>
  <c r="O245"/>
  <c r="Q245"/>
  <c r="AA245"/>
  <c r="AO245"/>
  <c r="P245"/>
  <c r="T245"/>
  <c r="S245"/>
  <c r="AN245"/>
  <c r="AM245"/>
  <c r="R245"/>
  <c r="AI244"/>
  <c r="AB244"/>
  <c r="AH244"/>
  <c r="AQ244"/>
  <c r="AG244"/>
  <c r="AF244"/>
  <c r="AE244"/>
  <c r="AD244"/>
  <c r="AK244"/>
  <c r="AS244"/>
  <c r="AJ244"/>
  <c r="AR244"/>
  <c r="AP244"/>
  <c r="O244"/>
  <c r="Q244"/>
  <c r="AA244"/>
  <c r="AO244"/>
  <c r="P244"/>
  <c r="T244"/>
  <c r="S244"/>
  <c r="AN244"/>
  <c r="AM244"/>
  <c r="R244"/>
  <c r="AI243"/>
  <c r="AB243"/>
  <c r="AH243"/>
  <c r="AQ243"/>
  <c r="AG243"/>
  <c r="AF243"/>
  <c r="AE243"/>
  <c r="AD243"/>
  <c r="AK243"/>
  <c r="AS243"/>
  <c r="AJ243"/>
  <c r="AR243"/>
  <c r="AP243"/>
  <c r="O243"/>
  <c r="Q243"/>
  <c r="AA243"/>
  <c r="AO243"/>
  <c r="P243"/>
  <c r="T243"/>
  <c r="S243"/>
  <c r="AN243"/>
  <c r="AM243"/>
  <c r="R243"/>
  <c r="AI242"/>
  <c r="AB242"/>
  <c r="AH242"/>
  <c r="AQ242"/>
  <c r="AG242"/>
  <c r="AF242"/>
  <c r="AE242"/>
  <c r="AD242"/>
  <c r="AK242"/>
  <c r="AS242"/>
  <c r="AJ242"/>
  <c r="AR242"/>
  <c r="AP242"/>
  <c r="O242"/>
  <c r="Q242"/>
  <c r="AA242"/>
  <c r="AO242"/>
  <c r="P242"/>
  <c r="T242"/>
  <c r="S242"/>
  <c r="AN242"/>
  <c r="AM242"/>
  <c r="R242"/>
  <c r="AI241"/>
  <c r="AB241"/>
  <c r="AH241"/>
  <c r="AQ241"/>
  <c r="AG241"/>
  <c r="AF241"/>
  <c r="AE241"/>
  <c r="AD241"/>
  <c r="AK241"/>
  <c r="AS241"/>
  <c r="AJ241"/>
  <c r="AR241"/>
  <c r="AP241"/>
  <c r="O241"/>
  <c r="Q241"/>
  <c r="AA241"/>
  <c r="AO241"/>
  <c r="P241"/>
  <c r="T241"/>
  <c r="S241"/>
  <c r="AN241"/>
  <c r="AM241"/>
  <c r="R241"/>
  <c r="AI240"/>
  <c r="AB240"/>
  <c r="AH240"/>
  <c r="AQ240"/>
  <c r="AG240"/>
  <c r="AF240"/>
  <c r="AE240"/>
  <c r="AD240"/>
  <c r="AK240"/>
  <c r="AS240"/>
  <c r="AJ240"/>
  <c r="AR240"/>
  <c r="AP240"/>
  <c r="O240"/>
  <c r="Q240"/>
  <c r="AA240"/>
  <c r="AO240"/>
  <c r="P240"/>
  <c r="T240"/>
  <c r="S240"/>
  <c r="AN240"/>
  <c r="AM240"/>
  <c r="R240"/>
  <c r="AI239"/>
  <c r="AB239"/>
  <c r="AH239"/>
  <c r="AQ239"/>
  <c r="AG239"/>
  <c r="AF239"/>
  <c r="AE239"/>
  <c r="AD239"/>
  <c r="AK239"/>
  <c r="AS239"/>
  <c r="AJ239"/>
  <c r="AR239"/>
  <c r="AP239"/>
  <c r="O239"/>
  <c r="Q239"/>
  <c r="AA239"/>
  <c r="AO239"/>
  <c r="P239"/>
  <c r="T239"/>
  <c r="S239"/>
  <c r="AN239"/>
  <c r="AM239"/>
  <c r="R239"/>
  <c r="AI238"/>
  <c r="AB238"/>
  <c r="AH238"/>
  <c r="AQ238"/>
  <c r="AG238"/>
  <c r="AF238"/>
  <c r="AE238"/>
  <c r="AD238"/>
  <c r="AK238"/>
  <c r="AS238"/>
  <c r="AJ238"/>
  <c r="AR238"/>
  <c r="AP238"/>
  <c r="O238"/>
  <c r="Q238"/>
  <c r="AA238"/>
  <c r="AO238"/>
  <c r="P238"/>
  <c r="T238"/>
  <c r="S238"/>
  <c r="AN238"/>
  <c r="AM238"/>
  <c r="R238"/>
  <c r="AI237"/>
  <c r="AB237"/>
  <c r="AH237"/>
  <c r="AQ237"/>
  <c r="AG237"/>
  <c r="AF237"/>
  <c r="AE237"/>
  <c r="AD237"/>
  <c r="AK237"/>
  <c r="AS237"/>
  <c r="AJ237"/>
  <c r="AR237"/>
  <c r="AP237"/>
  <c r="O237"/>
  <c r="Q237"/>
  <c r="AA237"/>
  <c r="AO237"/>
  <c r="P237"/>
  <c r="T237"/>
  <c r="S237"/>
  <c r="AN237"/>
  <c r="AM237"/>
  <c r="R237"/>
  <c r="AI236"/>
  <c r="AB236"/>
  <c r="AH236"/>
  <c r="AQ236"/>
  <c r="AG236"/>
  <c r="AF236"/>
  <c r="AE236"/>
  <c r="AD236"/>
  <c r="AK236"/>
  <c r="AS236"/>
  <c r="AJ236"/>
  <c r="AR236"/>
  <c r="AP236"/>
  <c r="O236"/>
  <c r="Q236"/>
  <c r="AA236"/>
  <c r="AO236"/>
  <c r="P236"/>
  <c r="T236"/>
  <c r="S236"/>
  <c r="AN236"/>
  <c r="AM236"/>
  <c r="R236"/>
  <c r="AI235"/>
  <c r="AB235"/>
  <c r="AH235"/>
  <c r="AQ235"/>
  <c r="AG235"/>
  <c r="AF235"/>
  <c r="AE235"/>
  <c r="AD235"/>
  <c r="AK235"/>
  <c r="AS235"/>
  <c r="AJ235"/>
  <c r="AR235"/>
  <c r="AP235"/>
  <c r="O235"/>
  <c r="Q235"/>
  <c r="AA235"/>
  <c r="AO235"/>
  <c r="P235"/>
  <c r="T235"/>
  <c r="S235"/>
  <c r="AN235"/>
  <c r="AM235"/>
  <c r="R235"/>
  <c r="AI234"/>
  <c r="AB234"/>
  <c r="AH234"/>
  <c r="AQ234"/>
  <c r="AG234"/>
  <c r="AF234"/>
  <c r="AE234"/>
  <c r="AD234"/>
  <c r="AK234"/>
  <c r="AS234"/>
  <c r="AJ234"/>
  <c r="AR234"/>
  <c r="AP234"/>
  <c r="O234"/>
  <c r="Q234"/>
  <c r="AA234"/>
  <c r="AO234"/>
  <c r="P234"/>
  <c r="T234"/>
  <c r="S234"/>
  <c r="AN234"/>
  <c r="AM234"/>
  <c r="R234"/>
  <c r="AI233"/>
  <c r="AB233"/>
  <c r="AH233"/>
  <c r="AQ233"/>
  <c r="AG233"/>
  <c r="AF233"/>
  <c r="AE233"/>
  <c r="AD233"/>
  <c r="AK233"/>
  <c r="AS233"/>
  <c r="AJ233"/>
  <c r="AR233"/>
  <c r="AP233"/>
  <c r="O233"/>
  <c r="Q233"/>
  <c r="AA233"/>
  <c r="AO233"/>
  <c r="P233"/>
  <c r="T233"/>
  <c r="S233"/>
  <c r="AN233"/>
  <c r="AM233"/>
  <c r="R233"/>
  <c r="AI232"/>
  <c r="AB232"/>
  <c r="AH232"/>
  <c r="AQ232"/>
  <c r="AG232"/>
  <c r="AF232"/>
  <c r="AE232"/>
  <c r="AD232"/>
  <c r="AK232"/>
  <c r="AS232"/>
  <c r="AJ232"/>
  <c r="AR232"/>
  <c r="AP232"/>
  <c r="O232"/>
  <c r="Q232"/>
  <c r="AA232"/>
  <c r="AO232"/>
  <c r="P232"/>
  <c r="T232"/>
  <c r="S232"/>
  <c r="AN232"/>
  <c r="AM232"/>
  <c r="R232"/>
  <c r="AI231"/>
  <c r="AB231"/>
  <c r="AH231"/>
  <c r="AQ231"/>
  <c r="AG231"/>
  <c r="AF231"/>
  <c r="AE231"/>
  <c r="AD231"/>
  <c r="AK231"/>
  <c r="AS231"/>
  <c r="AJ231"/>
  <c r="AR231"/>
  <c r="AP231"/>
  <c r="O231"/>
  <c r="Q231"/>
  <c r="AA231"/>
  <c r="AO231"/>
  <c r="P231"/>
  <c r="T231"/>
  <c r="S231"/>
  <c r="AN231"/>
  <c r="AM231"/>
  <c r="R231"/>
  <c r="AI230"/>
  <c r="AB230"/>
  <c r="AH230"/>
  <c r="AQ230"/>
  <c r="AG230"/>
  <c r="AF230"/>
  <c r="AE230"/>
  <c r="AD230"/>
  <c r="AK230"/>
  <c r="AS230"/>
  <c r="AJ230"/>
  <c r="AR230"/>
  <c r="AP230"/>
  <c r="O230"/>
  <c r="Q230"/>
  <c r="AA230"/>
  <c r="AO230"/>
  <c r="P230"/>
  <c r="T230"/>
  <c r="S230"/>
  <c r="AN230"/>
  <c r="AM230"/>
  <c r="R230"/>
  <c r="AI229"/>
  <c r="AB229"/>
  <c r="AH229"/>
  <c r="AQ229"/>
  <c r="AG229"/>
  <c r="AF229"/>
  <c r="AE229"/>
  <c r="AD229"/>
  <c r="AK229"/>
  <c r="AS229"/>
  <c r="AJ229"/>
  <c r="AR229"/>
  <c r="AP229"/>
  <c r="O229"/>
  <c r="Q229"/>
  <c r="AA229"/>
  <c r="AO229"/>
  <c r="P229"/>
  <c r="T229"/>
  <c r="S229"/>
  <c r="AN229"/>
  <c r="AM229"/>
  <c r="R229"/>
  <c r="AI228"/>
  <c r="AB228"/>
  <c r="AH228"/>
  <c r="AQ228"/>
  <c r="AG228"/>
  <c r="AF228"/>
  <c r="AE228"/>
  <c r="AD228"/>
  <c r="AK228"/>
  <c r="AS228"/>
  <c r="AJ228"/>
  <c r="AR228"/>
  <c r="AP228"/>
  <c r="O228"/>
  <c r="Q228"/>
  <c r="AA228"/>
  <c r="AO228"/>
  <c r="P228"/>
  <c r="T228"/>
  <c r="S228"/>
  <c r="AN228"/>
  <c r="AM228"/>
  <c r="R228"/>
  <c r="AI227"/>
  <c r="AB227"/>
  <c r="AH227"/>
  <c r="AQ227"/>
  <c r="AG227"/>
  <c r="AF227"/>
  <c r="AE227"/>
  <c r="AD227"/>
  <c r="AK227"/>
  <c r="AS227"/>
  <c r="AJ227"/>
  <c r="AR227"/>
  <c r="AP227"/>
  <c r="O227"/>
  <c r="Q227"/>
  <c r="AA227"/>
  <c r="AO227"/>
  <c r="P227"/>
  <c r="T227"/>
  <c r="S227"/>
  <c r="AN227"/>
  <c r="AM227"/>
  <c r="R227"/>
  <c r="AI226"/>
  <c r="AB226"/>
  <c r="AH226"/>
  <c r="AQ226"/>
  <c r="AG226"/>
  <c r="AF226"/>
  <c r="AE226"/>
  <c r="AD226"/>
  <c r="AK226"/>
  <c r="AS226"/>
  <c r="AJ226"/>
  <c r="AR226"/>
  <c r="AP226"/>
  <c r="O226"/>
  <c r="Q226"/>
  <c r="AA226"/>
  <c r="AO226"/>
  <c r="P226"/>
  <c r="T226"/>
  <c r="S226"/>
  <c r="AN226"/>
  <c r="AM226"/>
  <c r="R226"/>
  <c r="AI225"/>
  <c r="AB225"/>
  <c r="AH225"/>
  <c r="AQ225"/>
  <c r="AG225"/>
  <c r="AF225"/>
  <c r="AE225"/>
  <c r="AD225"/>
  <c r="AK225"/>
  <c r="AS225"/>
  <c r="AJ225"/>
  <c r="AR225"/>
  <c r="AP225"/>
  <c r="O225"/>
  <c r="Q225"/>
  <c r="AA225"/>
  <c r="AO225"/>
  <c r="P225"/>
  <c r="T225"/>
  <c r="S225"/>
  <c r="AN225"/>
  <c r="AM225"/>
  <c r="R225"/>
  <c r="AI224"/>
  <c r="AB224"/>
  <c r="AH224"/>
  <c r="AQ224"/>
  <c r="AG224"/>
  <c r="AF224"/>
  <c r="AE224"/>
  <c r="AD224"/>
  <c r="AK224"/>
  <c r="AS224"/>
  <c r="AJ224"/>
  <c r="AR224"/>
  <c r="AP224"/>
  <c r="O224"/>
  <c r="Q224"/>
  <c r="AA224"/>
  <c r="AO224"/>
  <c r="P224"/>
  <c r="T224"/>
  <c r="S224"/>
  <c r="AN224"/>
  <c r="AM224"/>
  <c r="R224"/>
  <c r="AI223"/>
  <c r="AB223"/>
  <c r="AH223"/>
  <c r="AQ223"/>
  <c r="AG223"/>
  <c r="AF223"/>
  <c r="AE223"/>
  <c r="AD223"/>
  <c r="AK223"/>
  <c r="AS223"/>
  <c r="AJ223"/>
  <c r="AR223"/>
  <c r="AP223"/>
  <c r="O223"/>
  <c r="Q223"/>
  <c r="AA223"/>
  <c r="AO223"/>
  <c r="P223"/>
  <c r="T223"/>
  <c r="S223"/>
  <c r="AN223"/>
  <c r="AM223"/>
  <c r="R223"/>
  <c r="AI222"/>
  <c r="AB222"/>
  <c r="AH222"/>
  <c r="AQ222"/>
  <c r="AG222"/>
  <c r="AF222"/>
  <c r="AE222"/>
  <c r="AD222"/>
  <c r="AK222"/>
  <c r="AS222"/>
  <c r="AJ222"/>
  <c r="AR222"/>
  <c r="AP222"/>
  <c r="O222"/>
  <c r="Q222"/>
  <c r="AA222"/>
  <c r="AO222"/>
  <c r="P222"/>
  <c r="T222"/>
  <c r="S222"/>
  <c r="AN222"/>
  <c r="AM222"/>
  <c r="R222"/>
  <c r="AI221"/>
  <c r="AB221"/>
  <c r="AH221"/>
  <c r="AQ221"/>
  <c r="AG221"/>
  <c r="AF221"/>
  <c r="AE221"/>
  <c r="AD221"/>
  <c r="AK221"/>
  <c r="AS221"/>
  <c r="AJ221"/>
  <c r="AR221"/>
  <c r="AP221"/>
  <c r="O221"/>
  <c r="Q221"/>
  <c r="AA221"/>
  <c r="AO221"/>
  <c r="P221"/>
  <c r="T221"/>
  <c r="S221"/>
  <c r="AN221"/>
  <c r="AM221"/>
  <c r="R221"/>
  <c r="AI220"/>
  <c r="AB220"/>
  <c r="AH220"/>
  <c r="AQ220"/>
  <c r="AG220"/>
  <c r="AF220"/>
  <c r="AE220"/>
  <c r="AD220"/>
  <c r="AK220"/>
  <c r="AS220"/>
  <c r="AJ220"/>
  <c r="AR220"/>
  <c r="AP220"/>
  <c r="O220"/>
  <c r="Q220"/>
  <c r="AA220"/>
  <c r="AO220"/>
  <c r="P220"/>
  <c r="T220"/>
  <c r="S220"/>
  <c r="AN220"/>
  <c r="AM220"/>
  <c r="R220"/>
  <c r="AI219"/>
  <c r="AB219"/>
  <c r="AH219"/>
  <c r="AQ219"/>
  <c r="AG219"/>
  <c r="AF219"/>
  <c r="AE219"/>
  <c r="AD219"/>
  <c r="AK219"/>
  <c r="AS219"/>
  <c r="AJ219"/>
  <c r="AR219"/>
  <c r="AP219"/>
  <c r="O219"/>
  <c r="Q219"/>
  <c r="AA219"/>
  <c r="AO219"/>
  <c r="P219"/>
  <c r="T219"/>
  <c r="S219"/>
  <c r="AN219"/>
  <c r="AM219"/>
  <c r="R219"/>
  <c r="AI218"/>
  <c r="AB218"/>
  <c r="AH218"/>
  <c r="AQ218"/>
  <c r="AG218"/>
  <c r="AF218"/>
  <c r="AE218"/>
  <c r="AD218"/>
  <c r="AK218"/>
  <c r="AS218"/>
  <c r="AJ218"/>
  <c r="AR218"/>
  <c r="AP218"/>
  <c r="O218"/>
  <c r="Q218"/>
  <c r="AA218"/>
  <c r="AO218"/>
  <c r="P218"/>
  <c r="T218"/>
  <c r="S218"/>
  <c r="AN218"/>
  <c r="AM218"/>
  <c r="R218"/>
  <c r="AI217"/>
  <c r="AB217"/>
  <c r="AH217"/>
  <c r="AQ217"/>
  <c r="AG217"/>
  <c r="AF217"/>
  <c r="AE217"/>
  <c r="AD217"/>
  <c r="AK217"/>
  <c r="AS217"/>
  <c r="AJ217"/>
  <c r="AR217"/>
  <c r="AP217"/>
  <c r="O217"/>
  <c r="Q217"/>
  <c r="AA217"/>
  <c r="AO217"/>
  <c r="P217"/>
  <c r="T217"/>
  <c r="S217"/>
  <c r="AN217"/>
  <c r="AM217"/>
  <c r="R217"/>
  <c r="AI216"/>
  <c r="AB216"/>
  <c r="AH216"/>
  <c r="AQ216"/>
  <c r="AG216"/>
  <c r="AF216"/>
  <c r="AE216"/>
  <c r="AD216"/>
  <c r="AK216"/>
  <c r="AS216"/>
  <c r="AJ216"/>
  <c r="AR216"/>
  <c r="AP216"/>
  <c r="O216"/>
  <c r="Q216"/>
  <c r="AA216"/>
  <c r="AO216"/>
  <c r="P216"/>
  <c r="T216"/>
  <c r="S216"/>
  <c r="AN216"/>
  <c r="AM216"/>
  <c r="R216"/>
  <c r="AI215"/>
  <c r="AB215"/>
  <c r="AH215"/>
  <c r="AQ215"/>
  <c r="AG215"/>
  <c r="AF215"/>
  <c r="AE215"/>
  <c r="AD215"/>
  <c r="AK215"/>
  <c r="AS215"/>
  <c r="AJ215"/>
  <c r="AR215"/>
  <c r="AP215"/>
  <c r="O215"/>
  <c r="Q215"/>
  <c r="AA215"/>
  <c r="AO215"/>
  <c r="P215"/>
  <c r="T215"/>
  <c r="S215"/>
  <c r="AN215"/>
  <c r="AM215"/>
  <c r="R215"/>
  <c r="AI214"/>
  <c r="AB214"/>
  <c r="AH214"/>
  <c r="AQ214"/>
  <c r="AG214"/>
  <c r="AF214"/>
  <c r="AE214"/>
  <c r="AD214"/>
  <c r="AK214"/>
  <c r="AS214"/>
  <c r="AJ214"/>
  <c r="AR214"/>
  <c r="AP214"/>
  <c r="O214"/>
  <c r="Q214"/>
  <c r="AA214"/>
  <c r="AO214"/>
  <c r="P214"/>
  <c r="T214"/>
  <c r="S214"/>
  <c r="AN214"/>
  <c r="AM214"/>
  <c r="R214"/>
  <c r="AI213"/>
  <c r="AB213"/>
  <c r="AH213"/>
  <c r="AQ213"/>
  <c r="AG213"/>
  <c r="AF213"/>
  <c r="AE213"/>
  <c r="AD213"/>
  <c r="AK213"/>
  <c r="AS213"/>
  <c r="AJ213"/>
  <c r="AR213"/>
  <c r="AP213"/>
  <c r="O213"/>
  <c r="Q213"/>
  <c r="AA213"/>
  <c r="AO213"/>
  <c r="P213"/>
  <c r="T213"/>
  <c r="S213"/>
  <c r="AN213"/>
  <c r="AM213"/>
  <c r="R213"/>
  <c r="AI212"/>
  <c r="AB212"/>
  <c r="AH212"/>
  <c r="AQ212"/>
  <c r="AG212"/>
  <c r="AF212"/>
  <c r="AE212"/>
  <c r="AD212"/>
  <c r="AK212"/>
  <c r="AS212"/>
  <c r="AJ212"/>
  <c r="AR212"/>
  <c r="AP212"/>
  <c r="O212"/>
  <c r="Q212"/>
  <c r="AA212"/>
  <c r="AO212"/>
  <c r="P212"/>
  <c r="T212"/>
  <c r="S212"/>
  <c r="AN212"/>
  <c r="AM212"/>
  <c r="R212"/>
  <c r="AI211"/>
  <c r="AB211"/>
  <c r="AH211"/>
  <c r="AQ211"/>
  <c r="AG211"/>
  <c r="AF211"/>
  <c r="AE211"/>
  <c r="AD211"/>
  <c r="AK211"/>
  <c r="AS211"/>
  <c r="AJ211"/>
  <c r="AR211"/>
  <c r="AP211"/>
  <c r="O211"/>
  <c r="Q211"/>
  <c r="AA211"/>
  <c r="AO211"/>
  <c r="P211"/>
  <c r="T211"/>
  <c r="S211"/>
  <c r="AN211"/>
  <c r="AM211"/>
  <c r="R211"/>
  <c r="AI210"/>
  <c r="AB210"/>
  <c r="AH210"/>
  <c r="AQ210"/>
  <c r="AG210"/>
  <c r="AF210"/>
  <c r="AE210"/>
  <c r="AD210"/>
  <c r="AK210"/>
  <c r="AS210"/>
  <c r="AJ210"/>
  <c r="AR210"/>
  <c r="AP210"/>
  <c r="O210"/>
  <c r="Q210"/>
  <c r="AA210"/>
  <c r="AO210"/>
  <c r="P210"/>
  <c r="T210"/>
  <c r="S210"/>
  <c r="AN210"/>
  <c r="AM210"/>
  <c r="R210"/>
  <c r="AI209"/>
  <c r="AB209"/>
  <c r="AH209"/>
  <c r="AQ209"/>
  <c r="AG209"/>
  <c r="AF209"/>
  <c r="AE209"/>
  <c r="AD209"/>
  <c r="AK209"/>
  <c r="AS209"/>
  <c r="AJ209"/>
  <c r="AR209"/>
  <c r="AP209"/>
  <c r="O209"/>
  <c r="Q209"/>
  <c r="AA209"/>
  <c r="AO209"/>
  <c r="P209"/>
  <c r="T209"/>
  <c r="S209"/>
  <c r="AN209"/>
  <c r="AM209"/>
  <c r="R209"/>
  <c r="AI208"/>
  <c r="AB208"/>
  <c r="AH208"/>
  <c r="AQ208"/>
  <c r="AG208"/>
  <c r="AF208"/>
  <c r="AE208"/>
  <c r="AD208"/>
  <c r="AK208"/>
  <c r="AS208"/>
  <c r="AJ208"/>
  <c r="AR208"/>
  <c r="AP208"/>
  <c r="O208"/>
  <c r="Q208"/>
  <c r="AA208"/>
  <c r="AO208"/>
  <c r="P208"/>
  <c r="T208"/>
  <c r="S208"/>
  <c r="AN208"/>
  <c r="AM208"/>
  <c r="R208"/>
  <c r="AI207"/>
  <c r="AB207"/>
  <c r="AH207"/>
  <c r="AQ207"/>
  <c r="AG207"/>
  <c r="AF207"/>
  <c r="AE207"/>
  <c r="AD207"/>
  <c r="AK207"/>
  <c r="AS207"/>
  <c r="AJ207"/>
  <c r="AR207"/>
  <c r="AP207"/>
  <c r="O207"/>
  <c r="Q207"/>
  <c r="AA207"/>
  <c r="AO207"/>
  <c r="P207"/>
  <c r="T207"/>
  <c r="S207"/>
  <c r="AN207"/>
  <c r="AM207"/>
  <c r="R207"/>
  <c r="AI206"/>
  <c r="AB206"/>
  <c r="AH206"/>
  <c r="AQ206"/>
  <c r="AG206"/>
  <c r="AF206"/>
  <c r="AE206"/>
  <c r="AD206"/>
  <c r="AK206"/>
  <c r="AS206"/>
  <c r="AJ206"/>
  <c r="AR206"/>
  <c r="AP206"/>
  <c r="O206"/>
  <c r="Q206"/>
  <c r="AA206"/>
  <c r="AO206"/>
  <c r="P206"/>
  <c r="T206"/>
  <c r="S206"/>
  <c r="AN206"/>
  <c r="AM206"/>
  <c r="R206"/>
  <c r="AI205"/>
  <c r="AB205"/>
  <c r="AH205"/>
  <c r="AQ205"/>
  <c r="AG205"/>
  <c r="AF205"/>
  <c r="AE205"/>
  <c r="AD205"/>
  <c r="AK205"/>
  <c r="AS205"/>
  <c r="AJ205"/>
  <c r="AR205"/>
  <c r="AP205"/>
  <c r="O205"/>
  <c r="Q205"/>
  <c r="AA205"/>
  <c r="AO205"/>
  <c r="P205"/>
  <c r="T205"/>
  <c r="S205"/>
  <c r="AN205"/>
  <c r="AM205"/>
  <c r="R205"/>
  <c r="AI204"/>
  <c r="AB204"/>
  <c r="AH204"/>
  <c r="AQ204"/>
  <c r="AG204"/>
  <c r="AF204"/>
  <c r="AE204"/>
  <c r="AD204"/>
  <c r="AK204"/>
  <c r="AS204"/>
  <c r="AJ204"/>
  <c r="AR204"/>
  <c r="AP204"/>
  <c r="O204"/>
  <c r="Q204"/>
  <c r="AA204"/>
  <c r="AO204"/>
  <c r="P204"/>
  <c r="T204"/>
  <c r="S204"/>
  <c r="AN204"/>
  <c r="AM204"/>
  <c r="R204"/>
  <c r="AI203"/>
  <c r="AB203"/>
  <c r="AH203"/>
  <c r="AQ203"/>
  <c r="AG203"/>
  <c r="AF203"/>
  <c r="AE203"/>
  <c r="AD203"/>
  <c r="AK203"/>
  <c r="AS203"/>
  <c r="AJ203"/>
  <c r="AR203"/>
  <c r="AP203"/>
  <c r="O203"/>
  <c r="Q203"/>
  <c r="AA203"/>
  <c r="AO203"/>
  <c r="P203"/>
  <c r="T203"/>
  <c r="S203"/>
  <c r="AN203"/>
  <c r="AM203"/>
  <c r="R203"/>
  <c r="AI202"/>
  <c r="AB202"/>
  <c r="AH202"/>
  <c r="AQ202"/>
  <c r="AG202"/>
  <c r="AF202"/>
  <c r="AE202"/>
  <c r="AD202"/>
  <c r="AK202"/>
  <c r="AS202"/>
  <c r="AJ202"/>
  <c r="AR202"/>
  <c r="AP202"/>
  <c r="O202"/>
  <c r="Q202"/>
  <c r="AA202"/>
  <c r="AO202"/>
  <c r="P202"/>
  <c r="T202"/>
  <c r="S202"/>
  <c r="AN202"/>
  <c r="AM202"/>
  <c r="R202"/>
  <c r="AI201"/>
  <c r="AB201"/>
  <c r="AH201"/>
  <c r="AQ201"/>
  <c r="AG201"/>
  <c r="AF201"/>
  <c r="AE201"/>
  <c r="AD201"/>
  <c r="AK201"/>
  <c r="AS201"/>
  <c r="AJ201"/>
  <c r="AR201"/>
  <c r="AP201"/>
  <c r="O201"/>
  <c r="Q201"/>
  <c r="AA201"/>
  <c r="AO201"/>
  <c r="P201"/>
  <c r="T201"/>
  <c r="S201"/>
  <c r="AN201"/>
  <c r="AM201"/>
  <c r="R201"/>
  <c r="AI200"/>
  <c r="AB200"/>
  <c r="AH200"/>
  <c r="AQ200"/>
  <c r="AG200"/>
  <c r="AF200"/>
  <c r="AE200"/>
  <c r="AD200"/>
  <c r="AK200"/>
  <c r="AS200"/>
  <c r="AJ200"/>
  <c r="AR200"/>
  <c r="AP200"/>
  <c r="O200"/>
  <c r="Q200"/>
  <c r="AA200"/>
  <c r="AO200"/>
  <c r="P200"/>
  <c r="T200"/>
  <c r="S200"/>
  <c r="AN200"/>
  <c r="AM200"/>
  <c r="R200"/>
  <c r="AI199"/>
  <c r="AB199"/>
  <c r="AH199"/>
  <c r="AQ199"/>
  <c r="AG199"/>
  <c r="AF199"/>
  <c r="AE199"/>
  <c r="AD199"/>
  <c r="AK199"/>
  <c r="AS199"/>
  <c r="AJ199"/>
  <c r="AR199"/>
  <c r="AP199"/>
  <c r="O199"/>
  <c r="Q199"/>
  <c r="AA199"/>
  <c r="AO199"/>
  <c r="P199"/>
  <c r="T199"/>
  <c r="S199"/>
  <c r="AN199"/>
  <c r="AM199"/>
  <c r="R199"/>
  <c r="AI198"/>
  <c r="AB198"/>
  <c r="AH198"/>
  <c r="AQ198"/>
  <c r="AG198"/>
  <c r="AF198"/>
  <c r="AE198"/>
  <c r="AD198"/>
  <c r="AK198"/>
  <c r="AS198"/>
  <c r="AJ198"/>
  <c r="AR198"/>
  <c r="AP198"/>
  <c r="O198"/>
  <c r="Q198"/>
  <c r="AA198"/>
  <c r="AO198"/>
  <c r="P198"/>
  <c r="T198"/>
  <c r="S198"/>
  <c r="AN198"/>
  <c r="AM198"/>
  <c r="R198"/>
  <c r="AI197"/>
  <c r="AB197"/>
  <c r="AH197"/>
  <c r="AQ197"/>
  <c r="AG197"/>
  <c r="AF197"/>
  <c r="AE197"/>
  <c r="AD197"/>
  <c r="AK197"/>
  <c r="AS197"/>
  <c r="AJ197"/>
  <c r="AR197"/>
  <c r="AP197"/>
  <c r="O197"/>
  <c r="Q197"/>
  <c r="AA197"/>
  <c r="AO197"/>
  <c r="P197"/>
  <c r="T197"/>
  <c r="S197"/>
  <c r="AN197"/>
  <c r="AM197"/>
  <c r="R197"/>
  <c r="AI196"/>
  <c r="AB196"/>
  <c r="AH196"/>
  <c r="AQ196"/>
  <c r="AG196"/>
  <c r="AF196"/>
  <c r="AE196"/>
  <c r="AD196"/>
  <c r="AK196"/>
  <c r="AS196"/>
  <c r="AJ196"/>
  <c r="AR196"/>
  <c r="AP196"/>
  <c r="O196"/>
  <c r="Q196"/>
  <c r="AA196"/>
  <c r="AO196"/>
  <c r="P196"/>
  <c r="T196"/>
  <c r="S196"/>
  <c r="AN196"/>
  <c r="AM196"/>
  <c r="R196"/>
  <c r="AI195"/>
  <c r="AB195"/>
  <c r="AH195"/>
  <c r="AQ195"/>
  <c r="AG195"/>
  <c r="AF195"/>
  <c r="AE195"/>
  <c r="AD195"/>
  <c r="AK195"/>
  <c r="AS195"/>
  <c r="AJ195"/>
  <c r="AR195"/>
  <c r="AP195"/>
  <c r="O195"/>
  <c r="Q195"/>
  <c r="AA195"/>
  <c r="AO195"/>
  <c r="P195"/>
  <c r="T195"/>
  <c r="S195"/>
  <c r="AN195"/>
  <c r="AM195"/>
  <c r="R195"/>
  <c r="AI194"/>
  <c r="AB194"/>
  <c r="AH194"/>
  <c r="AQ194"/>
  <c r="AG194"/>
  <c r="AF194"/>
  <c r="AE194"/>
  <c r="AD194"/>
  <c r="AK194"/>
  <c r="AS194"/>
  <c r="AJ194"/>
  <c r="AR194"/>
  <c r="AP194"/>
  <c r="O194"/>
  <c r="Q194"/>
  <c r="AA194"/>
  <c r="AO194"/>
  <c r="P194"/>
  <c r="T194"/>
  <c r="S194"/>
  <c r="AN194"/>
  <c r="AM194"/>
  <c r="R194"/>
  <c r="AI193"/>
  <c r="AB193"/>
  <c r="AH193"/>
  <c r="AQ193"/>
  <c r="AG193"/>
  <c r="AF193"/>
  <c r="AE193"/>
  <c r="AD193"/>
  <c r="AK193"/>
  <c r="AS193"/>
  <c r="AJ193"/>
  <c r="AR193"/>
  <c r="AP193"/>
  <c r="O193"/>
  <c r="Q193"/>
  <c r="AA193"/>
  <c r="AO193"/>
  <c r="P193"/>
  <c r="T193"/>
  <c r="S193"/>
  <c r="AN193"/>
  <c r="AM193"/>
  <c r="R193"/>
  <c r="AI192"/>
  <c r="AB192"/>
  <c r="AH192"/>
  <c r="AQ192"/>
  <c r="AG192"/>
  <c r="AF192"/>
  <c r="AE192"/>
  <c r="AD192"/>
  <c r="AK192"/>
  <c r="AS192"/>
  <c r="AJ192"/>
  <c r="AR192"/>
  <c r="AP192"/>
  <c r="O192"/>
  <c r="Q192"/>
  <c r="AA192"/>
  <c r="AO192"/>
  <c r="P192"/>
  <c r="T192"/>
  <c r="S192"/>
  <c r="AN192"/>
  <c r="AM192"/>
  <c r="R192"/>
  <c r="AI191"/>
  <c r="AB191"/>
  <c r="AH191"/>
  <c r="AQ191"/>
  <c r="AG191"/>
  <c r="AF191"/>
  <c r="AE191"/>
  <c r="AD191"/>
  <c r="AK191"/>
  <c r="AS191"/>
  <c r="AJ191"/>
  <c r="AR191"/>
  <c r="AP191"/>
  <c r="O191"/>
  <c r="Q191"/>
  <c r="AA191"/>
  <c r="AO191"/>
  <c r="P191"/>
  <c r="T191"/>
  <c r="S191"/>
  <c r="AN191"/>
  <c r="AM191"/>
  <c r="R191"/>
  <c r="AI190"/>
  <c r="AB190"/>
  <c r="AH190"/>
  <c r="AQ190"/>
  <c r="AG190"/>
  <c r="AF190"/>
  <c r="AE190"/>
  <c r="AD190"/>
  <c r="AK190"/>
  <c r="AS190"/>
  <c r="AJ190"/>
  <c r="AR190"/>
  <c r="AP190"/>
  <c r="O190"/>
  <c r="Q190"/>
  <c r="AA190"/>
  <c r="AO190"/>
  <c r="P190"/>
  <c r="T190"/>
  <c r="S190"/>
  <c r="AN190"/>
  <c r="AM190"/>
  <c r="R190"/>
  <c r="AI189"/>
  <c r="AB189"/>
  <c r="AH189"/>
  <c r="AQ189"/>
  <c r="AG189"/>
  <c r="AF189"/>
  <c r="AE189"/>
  <c r="AD189"/>
  <c r="AK189"/>
  <c r="AS189"/>
  <c r="AJ189"/>
  <c r="AR189"/>
  <c r="AP189"/>
  <c r="O189"/>
  <c r="Q189"/>
  <c r="AA189"/>
  <c r="AO189"/>
  <c r="P189"/>
  <c r="T189"/>
  <c r="S189"/>
  <c r="AN189"/>
  <c r="AM189"/>
  <c r="R189"/>
  <c r="AI188"/>
  <c r="AB188"/>
  <c r="AH188"/>
  <c r="AQ188"/>
  <c r="AG188"/>
  <c r="AF188"/>
  <c r="AE188"/>
  <c r="AD188"/>
  <c r="AK188"/>
  <c r="AS188"/>
  <c r="AJ188"/>
  <c r="AR188"/>
  <c r="AP188"/>
  <c r="O188"/>
  <c r="Q188"/>
  <c r="AA188"/>
  <c r="AO188"/>
  <c r="P188"/>
  <c r="T188"/>
  <c r="S188"/>
  <c r="AN188"/>
  <c r="AM188"/>
  <c r="R188"/>
  <c r="AI187"/>
  <c r="AB187"/>
  <c r="AH187"/>
  <c r="AQ187"/>
  <c r="AG187"/>
  <c r="AF187"/>
  <c r="AE187"/>
  <c r="AD187"/>
  <c r="AK187"/>
  <c r="AS187"/>
  <c r="AJ187"/>
  <c r="AR187"/>
  <c r="AP187"/>
  <c r="O187"/>
  <c r="Q187"/>
  <c r="AA187"/>
  <c r="AO187"/>
  <c r="P187"/>
  <c r="T187"/>
  <c r="S187"/>
  <c r="AN187"/>
  <c r="AM187"/>
  <c r="R187"/>
  <c r="AI186"/>
  <c r="AB186"/>
  <c r="AH186"/>
  <c r="AQ186"/>
  <c r="AG186"/>
  <c r="AF186"/>
  <c r="AE186"/>
  <c r="AD186"/>
  <c r="AK186"/>
  <c r="AS186"/>
  <c r="AJ186"/>
  <c r="AR186"/>
  <c r="AP186"/>
  <c r="O186"/>
  <c r="Q186"/>
  <c r="AA186"/>
  <c r="AO186"/>
  <c r="P186"/>
  <c r="T186"/>
  <c r="S186"/>
  <c r="AN186"/>
  <c r="AM186"/>
  <c r="R186"/>
  <c r="AI185"/>
  <c r="AB185"/>
  <c r="AH185"/>
  <c r="AQ185"/>
  <c r="AG185"/>
  <c r="AF185"/>
  <c r="AE185"/>
  <c r="AD185"/>
  <c r="AK185"/>
  <c r="AS185"/>
  <c r="AJ185"/>
  <c r="AR185"/>
  <c r="AP185"/>
  <c r="O185"/>
  <c r="Q185"/>
  <c r="AA185"/>
  <c r="AO185"/>
  <c r="P185"/>
  <c r="T185"/>
  <c r="S185"/>
  <c r="AN185"/>
  <c r="AM185"/>
  <c r="R185"/>
  <c r="AI184"/>
  <c r="AB184"/>
  <c r="AH184"/>
  <c r="AQ184"/>
  <c r="AG184"/>
  <c r="AF184"/>
  <c r="AE184"/>
  <c r="AD184"/>
  <c r="AK184"/>
  <c r="AS184"/>
  <c r="AJ184"/>
  <c r="AR184"/>
  <c r="AP184"/>
  <c r="O184"/>
  <c r="Q184"/>
  <c r="AA184"/>
  <c r="AO184"/>
  <c r="P184"/>
  <c r="T184"/>
  <c r="S184"/>
  <c r="AN184"/>
  <c r="AM184"/>
  <c r="R184"/>
  <c r="AI183"/>
  <c r="AB183"/>
  <c r="AH183"/>
  <c r="AQ183"/>
  <c r="AG183"/>
  <c r="AF183"/>
  <c r="AE183"/>
  <c r="AD183"/>
  <c r="AK183"/>
  <c r="AS183"/>
  <c r="AJ183"/>
  <c r="AR183"/>
  <c r="AP183"/>
  <c r="O183"/>
  <c r="Q183"/>
  <c r="AA183"/>
  <c r="AO183"/>
  <c r="P183"/>
  <c r="T183"/>
  <c r="S183"/>
  <c r="AN183"/>
  <c r="AM183"/>
  <c r="R183"/>
  <c r="AI182"/>
  <c r="AB182"/>
  <c r="AH182"/>
  <c r="AQ182"/>
  <c r="AG182"/>
  <c r="AF182"/>
  <c r="AE182"/>
  <c r="AD182"/>
  <c r="AK182"/>
  <c r="AS182"/>
  <c r="AJ182"/>
  <c r="AR182"/>
  <c r="AP182"/>
  <c r="O182"/>
  <c r="Q182"/>
  <c r="AA182"/>
  <c r="AO182"/>
  <c r="P182"/>
  <c r="T182"/>
  <c r="S182"/>
  <c r="AN182"/>
  <c r="AM182"/>
  <c r="R182"/>
  <c r="AI181"/>
  <c r="AB181"/>
  <c r="AH181"/>
  <c r="AQ181"/>
  <c r="AG181"/>
  <c r="AF181"/>
  <c r="AE181"/>
  <c r="AD181"/>
  <c r="AK181"/>
  <c r="AS181"/>
  <c r="AJ181"/>
  <c r="AR181"/>
  <c r="AP181"/>
  <c r="O181"/>
  <c r="Q181"/>
  <c r="AA181"/>
  <c r="AO181"/>
  <c r="P181"/>
  <c r="T181"/>
  <c r="S181"/>
  <c r="AN181"/>
  <c r="AM181"/>
  <c r="R181"/>
  <c r="AI180"/>
  <c r="AB180"/>
  <c r="AH180"/>
  <c r="AQ180"/>
  <c r="AG180"/>
  <c r="AF180"/>
  <c r="AE180"/>
  <c r="AD180"/>
  <c r="AK180"/>
  <c r="AS180"/>
  <c r="AJ180"/>
  <c r="AR180"/>
  <c r="AP180"/>
  <c r="O180"/>
  <c r="Q180"/>
  <c r="AA180"/>
  <c r="AO180"/>
  <c r="P180"/>
  <c r="T180"/>
  <c r="S180"/>
  <c r="AN180"/>
  <c r="AM180"/>
  <c r="R180"/>
  <c r="AI179"/>
  <c r="AB179"/>
  <c r="AH179"/>
  <c r="AQ179"/>
  <c r="AG179"/>
  <c r="AF179"/>
  <c r="AE179"/>
  <c r="AD179"/>
  <c r="AK179"/>
  <c r="AS179"/>
  <c r="AJ179"/>
  <c r="AR179"/>
  <c r="AP179"/>
  <c r="O179"/>
  <c r="Q179"/>
  <c r="AA179"/>
  <c r="AO179"/>
  <c r="P179"/>
  <c r="T179"/>
  <c r="S179"/>
  <c r="AN179"/>
  <c r="AM179"/>
  <c r="R179"/>
  <c r="AI178"/>
  <c r="AB178"/>
  <c r="AH178"/>
  <c r="AQ178"/>
  <c r="AG178"/>
  <c r="AF178"/>
  <c r="AE178"/>
  <c r="AD178"/>
  <c r="AK178"/>
  <c r="AS178"/>
  <c r="AJ178"/>
  <c r="AR178"/>
  <c r="AP178"/>
  <c r="O178"/>
  <c r="Q178"/>
  <c r="AA178"/>
  <c r="AO178"/>
  <c r="P178"/>
  <c r="T178"/>
  <c r="S178"/>
  <c r="AN178"/>
  <c r="AM178"/>
  <c r="R178"/>
  <c r="AI177"/>
  <c r="AB177"/>
  <c r="AH177"/>
  <c r="AQ177"/>
  <c r="AG177"/>
  <c r="AF177"/>
  <c r="AE177"/>
  <c r="AD177"/>
  <c r="AK177"/>
  <c r="AS177"/>
  <c r="AJ177"/>
  <c r="AR177"/>
  <c r="AP177"/>
  <c r="O177"/>
  <c r="Q177"/>
  <c r="AA177"/>
  <c r="AO177"/>
  <c r="P177"/>
  <c r="T177"/>
  <c r="S177"/>
  <c r="AN177"/>
  <c r="AM177"/>
  <c r="R177"/>
  <c r="AI176"/>
  <c r="AB176"/>
  <c r="AH176"/>
  <c r="AQ176"/>
  <c r="AG176"/>
  <c r="AF176"/>
  <c r="AE176"/>
  <c r="AD176"/>
  <c r="AK176"/>
  <c r="AS176"/>
  <c r="AJ176"/>
  <c r="AR176"/>
  <c r="AP176"/>
  <c r="O176"/>
  <c r="Q176"/>
  <c r="AA176"/>
  <c r="AO176"/>
  <c r="P176"/>
  <c r="T176"/>
  <c r="S176"/>
  <c r="AN176"/>
  <c r="AM176"/>
  <c r="R176"/>
  <c r="AI175"/>
  <c r="AB175"/>
  <c r="AH175"/>
  <c r="AQ175"/>
  <c r="AG175"/>
  <c r="AF175"/>
  <c r="AE175"/>
  <c r="AD175"/>
  <c r="AK175"/>
  <c r="AS175"/>
  <c r="AJ175"/>
  <c r="AR175"/>
  <c r="AP175"/>
  <c r="O175"/>
  <c r="Q175"/>
  <c r="AA175"/>
  <c r="AO175"/>
  <c r="P175"/>
  <c r="T175"/>
  <c r="S175"/>
  <c r="AN175"/>
  <c r="AM175"/>
  <c r="R175"/>
  <c r="AI174"/>
  <c r="AB174"/>
  <c r="AH174"/>
  <c r="AQ174"/>
  <c r="AG174"/>
  <c r="AF174"/>
  <c r="AE174"/>
  <c r="AD174"/>
  <c r="AK174"/>
  <c r="AS174"/>
  <c r="AJ174"/>
  <c r="AR174"/>
  <c r="AP174"/>
  <c r="O174"/>
  <c r="Q174"/>
  <c r="AA174"/>
  <c r="AO174"/>
  <c r="P174"/>
  <c r="T174"/>
  <c r="S174"/>
  <c r="AN174"/>
  <c r="AM174"/>
  <c r="R174"/>
  <c r="AI173"/>
  <c r="AB173"/>
  <c r="AH173"/>
  <c r="AQ173"/>
  <c r="AG173"/>
  <c r="AF173"/>
  <c r="AE173"/>
  <c r="AD173"/>
  <c r="AK173"/>
  <c r="AS173"/>
  <c r="AJ173"/>
  <c r="AR173"/>
  <c r="AP173"/>
  <c r="O173"/>
  <c r="Q173"/>
  <c r="AA173"/>
  <c r="AO173"/>
  <c r="P173"/>
  <c r="T173"/>
  <c r="S173"/>
  <c r="AN173"/>
  <c r="AM173"/>
  <c r="R173"/>
  <c r="AI172"/>
  <c r="AB172"/>
  <c r="AH172"/>
  <c r="AQ172"/>
  <c r="AG172"/>
  <c r="AF172"/>
  <c r="AE172"/>
  <c r="AD172"/>
  <c r="AK172"/>
  <c r="AS172"/>
  <c r="AJ172"/>
  <c r="AR172"/>
  <c r="AP172"/>
  <c r="O172"/>
  <c r="Q172"/>
  <c r="AA172"/>
  <c r="AO172"/>
  <c r="P172"/>
  <c r="T172"/>
  <c r="S172"/>
  <c r="AN172"/>
  <c r="AM172"/>
  <c r="R172"/>
  <c r="AI171"/>
  <c r="AB171"/>
  <c r="AH171"/>
  <c r="AQ171"/>
  <c r="AG171"/>
  <c r="AF171"/>
  <c r="AE171"/>
  <c r="AD171"/>
  <c r="AK171"/>
  <c r="AS171"/>
  <c r="AJ171"/>
  <c r="AR171"/>
  <c r="AP171"/>
  <c r="O171"/>
  <c r="Q171"/>
  <c r="AA171"/>
  <c r="AO171"/>
  <c r="P171"/>
  <c r="T171"/>
  <c r="S171"/>
  <c r="AN171"/>
  <c r="AM171"/>
  <c r="R171"/>
  <c r="AI170"/>
  <c r="AB170"/>
  <c r="AH170"/>
  <c r="AQ170"/>
  <c r="AG170"/>
  <c r="AF170"/>
  <c r="AE170"/>
  <c r="AD170"/>
  <c r="AK170"/>
  <c r="AS170"/>
  <c r="AJ170"/>
  <c r="AR170"/>
  <c r="AP170"/>
  <c r="O170"/>
  <c r="Q170"/>
  <c r="AA170"/>
  <c r="AO170"/>
  <c r="P170"/>
  <c r="T170"/>
  <c r="S170"/>
  <c r="AN170"/>
  <c r="AM170"/>
  <c r="R170"/>
  <c r="AI169"/>
  <c r="AB169"/>
  <c r="AH169"/>
  <c r="AQ169"/>
  <c r="AG169"/>
  <c r="AF169"/>
  <c r="AE169"/>
  <c r="AD169"/>
  <c r="AK169"/>
  <c r="AS169"/>
  <c r="AJ169"/>
  <c r="AR169"/>
  <c r="AP169"/>
  <c r="O169"/>
  <c r="Q169"/>
  <c r="AA169"/>
  <c r="AO169"/>
  <c r="P169"/>
  <c r="T169"/>
  <c r="S169"/>
  <c r="AN169"/>
  <c r="AM169"/>
  <c r="R169"/>
  <c r="AI168"/>
  <c r="AB168"/>
  <c r="AH168"/>
  <c r="AQ168"/>
  <c r="AG168"/>
  <c r="AF168"/>
  <c r="AE168"/>
  <c r="AD168"/>
  <c r="AK168"/>
  <c r="AS168"/>
  <c r="AJ168"/>
  <c r="AR168"/>
  <c r="AP168"/>
  <c r="O168"/>
  <c r="Q168"/>
  <c r="AA168"/>
  <c r="AO168"/>
  <c r="P168"/>
  <c r="T168"/>
  <c r="S168"/>
  <c r="AN168"/>
  <c r="AM168"/>
  <c r="R168"/>
  <c r="AI167"/>
  <c r="AB167"/>
  <c r="AH167"/>
  <c r="AQ167"/>
  <c r="AG167"/>
  <c r="AF167"/>
  <c r="AE167"/>
  <c r="AD167"/>
  <c r="AK167"/>
  <c r="AS167"/>
  <c r="AJ167"/>
  <c r="AR167"/>
  <c r="AP167"/>
  <c r="O167"/>
  <c r="Q167"/>
  <c r="AA167"/>
  <c r="AO167"/>
  <c r="P167"/>
  <c r="T167"/>
  <c r="S167"/>
  <c r="AN167"/>
  <c r="AM167"/>
  <c r="R167"/>
  <c r="AI166"/>
  <c r="AB166"/>
  <c r="AH166"/>
  <c r="AQ166"/>
  <c r="AG166"/>
  <c r="AF166"/>
  <c r="AE166"/>
  <c r="AD166"/>
  <c r="AK166"/>
  <c r="AS166"/>
  <c r="AJ166"/>
  <c r="AR166"/>
  <c r="AP166"/>
  <c r="O166"/>
  <c r="Q166"/>
  <c r="AA166"/>
  <c r="AO166"/>
  <c r="P166"/>
  <c r="T166"/>
  <c r="S166"/>
  <c r="AN166"/>
  <c r="AM166"/>
  <c r="R166"/>
  <c r="AI165"/>
  <c r="AB165"/>
  <c r="AH165"/>
  <c r="AQ165"/>
  <c r="AG165"/>
  <c r="AF165"/>
  <c r="AE165"/>
  <c r="AD165"/>
  <c r="AK165"/>
  <c r="AS165"/>
  <c r="AJ165"/>
  <c r="AR165"/>
  <c r="AP165"/>
  <c r="O165"/>
  <c r="Q165"/>
  <c r="AA165"/>
  <c r="AO165"/>
  <c r="P165"/>
  <c r="T165"/>
  <c r="S165"/>
  <c r="AN165"/>
  <c r="AM165"/>
  <c r="R165"/>
  <c r="AI164"/>
  <c r="AB164"/>
  <c r="AH164"/>
  <c r="AQ164"/>
  <c r="AG164"/>
  <c r="AF164"/>
  <c r="AE164"/>
  <c r="AD164"/>
  <c r="AK164"/>
  <c r="AS164"/>
  <c r="AJ164"/>
  <c r="AR164"/>
  <c r="AP164"/>
  <c r="O164"/>
  <c r="Q164"/>
  <c r="AA164"/>
  <c r="AO164"/>
  <c r="P164"/>
  <c r="T164"/>
  <c r="S164"/>
  <c r="AN164"/>
  <c r="AM164"/>
  <c r="R164"/>
  <c r="AI163"/>
  <c r="AB163"/>
  <c r="AH163"/>
  <c r="AQ163"/>
  <c r="AG163"/>
  <c r="AF163"/>
  <c r="AE163"/>
  <c r="AD163"/>
  <c r="AK163"/>
  <c r="AS163"/>
  <c r="AJ163"/>
  <c r="AR163"/>
  <c r="AP163"/>
  <c r="O163"/>
  <c r="Q163"/>
  <c r="AA163"/>
  <c r="AO163"/>
  <c r="P163"/>
  <c r="T163"/>
  <c r="S163"/>
  <c r="AN163"/>
  <c r="AM163"/>
  <c r="R163"/>
  <c r="AI162"/>
  <c r="AB162"/>
  <c r="AH162"/>
  <c r="AQ162"/>
  <c r="AG162"/>
  <c r="AF162"/>
  <c r="AE162"/>
  <c r="AD162"/>
  <c r="AK162"/>
  <c r="AS162"/>
  <c r="AJ162"/>
  <c r="AR162"/>
  <c r="AP162"/>
  <c r="O162"/>
  <c r="Q162"/>
  <c r="AA162"/>
  <c r="AO162"/>
  <c r="P162"/>
  <c r="T162"/>
  <c r="S162"/>
  <c r="AN162"/>
  <c r="AM162"/>
  <c r="R162"/>
  <c r="AI161"/>
  <c r="AB161"/>
  <c r="AH161"/>
  <c r="AQ161"/>
  <c r="AG161"/>
  <c r="AF161"/>
  <c r="AE161"/>
  <c r="AD161"/>
  <c r="AK161"/>
  <c r="AS161"/>
  <c r="AJ161"/>
  <c r="AR161"/>
  <c r="AP161"/>
  <c r="O161"/>
  <c r="Q161"/>
  <c r="AA161"/>
  <c r="AO161"/>
  <c r="P161"/>
  <c r="T161"/>
  <c r="S161"/>
  <c r="AN161"/>
  <c r="AM161"/>
  <c r="R161"/>
  <c r="AI160"/>
  <c r="AB160"/>
  <c r="AH160"/>
  <c r="AQ160"/>
  <c r="AG160"/>
  <c r="AF160"/>
  <c r="AE160"/>
  <c r="AD160"/>
  <c r="AK160"/>
  <c r="AS160"/>
  <c r="AJ160"/>
  <c r="AR160"/>
  <c r="AP160"/>
  <c r="O160"/>
  <c r="Q160"/>
  <c r="AA160"/>
  <c r="AO160"/>
  <c r="P160"/>
  <c r="T160"/>
  <c r="S160"/>
  <c r="AN160"/>
  <c r="AM160"/>
  <c r="R160"/>
  <c r="AI159"/>
  <c r="AB159"/>
  <c r="AH159"/>
  <c r="AQ159"/>
  <c r="AG159"/>
  <c r="AF159"/>
  <c r="AE159"/>
  <c r="AD159"/>
  <c r="AK159"/>
  <c r="AS159"/>
  <c r="AJ159"/>
  <c r="AR159"/>
  <c r="AP159"/>
  <c r="O159"/>
  <c r="Q159"/>
  <c r="AA159"/>
  <c r="AO159"/>
  <c r="P159"/>
  <c r="T159"/>
  <c r="S159"/>
  <c r="AN159"/>
  <c r="AM159"/>
  <c r="R159"/>
  <c r="AI158"/>
  <c r="AB158"/>
  <c r="AH158"/>
  <c r="AQ158"/>
  <c r="AG158"/>
  <c r="AF158"/>
  <c r="AE158"/>
  <c r="AD158"/>
  <c r="AK158"/>
  <c r="AS158"/>
  <c r="AJ158"/>
  <c r="AR158"/>
  <c r="AP158"/>
  <c r="O158"/>
  <c r="Q158"/>
  <c r="AA158"/>
  <c r="AO158"/>
  <c r="P158"/>
  <c r="T158"/>
  <c r="S158"/>
  <c r="AN158"/>
  <c r="AM158"/>
  <c r="R158"/>
  <c r="AI157"/>
  <c r="AB157"/>
  <c r="AH157"/>
  <c r="AQ157"/>
  <c r="AG157"/>
  <c r="AF157"/>
  <c r="AE157"/>
  <c r="AD157"/>
  <c r="AK157"/>
  <c r="AS157"/>
  <c r="AJ157"/>
  <c r="AR157"/>
  <c r="AP157"/>
  <c r="O157"/>
  <c r="Q157"/>
  <c r="AA157"/>
  <c r="AO157"/>
  <c r="P157"/>
  <c r="T157"/>
  <c r="S157"/>
  <c r="AN157"/>
  <c r="AM157"/>
  <c r="R157"/>
  <c r="AI156"/>
  <c r="AB156"/>
  <c r="AH156"/>
  <c r="AQ156"/>
  <c r="AG156"/>
  <c r="AF156"/>
  <c r="AE156"/>
  <c r="AD156"/>
  <c r="AK156"/>
  <c r="AS156"/>
  <c r="AJ156"/>
  <c r="AR156"/>
  <c r="AP156"/>
  <c r="O156"/>
  <c r="Q156"/>
  <c r="AA156"/>
  <c r="AO156"/>
  <c r="P156"/>
  <c r="T156"/>
  <c r="S156"/>
  <c r="AN156"/>
  <c r="AM156"/>
  <c r="R156"/>
  <c r="AI155"/>
  <c r="AB155"/>
  <c r="AH155"/>
  <c r="AQ155"/>
  <c r="AG155"/>
  <c r="AF155"/>
  <c r="AE155"/>
  <c r="AD155"/>
  <c r="AK155"/>
  <c r="AS155"/>
  <c r="AJ155"/>
  <c r="AR155"/>
  <c r="AP155"/>
  <c r="O155"/>
  <c r="Q155"/>
  <c r="AA155"/>
  <c r="AO155"/>
  <c r="P155"/>
  <c r="T155"/>
  <c r="S155"/>
  <c r="AN155"/>
  <c r="AM155"/>
  <c r="R155"/>
  <c r="AI154"/>
  <c r="AB154"/>
  <c r="AH154"/>
  <c r="AQ154"/>
  <c r="AG154"/>
  <c r="AF154"/>
  <c r="AE154"/>
  <c r="AD154"/>
  <c r="AK154"/>
  <c r="AS154"/>
  <c r="AJ154"/>
  <c r="AR154"/>
  <c r="AP154"/>
  <c r="O154"/>
  <c r="Q154"/>
  <c r="AA154"/>
  <c r="AO154"/>
  <c r="P154"/>
  <c r="T154"/>
  <c r="S154"/>
  <c r="AN154"/>
  <c r="AM154"/>
  <c r="R154"/>
  <c r="AI153"/>
  <c r="AB153"/>
  <c r="AH153"/>
  <c r="AQ153"/>
  <c r="AG153"/>
  <c r="AF153"/>
  <c r="AE153"/>
  <c r="AD153"/>
  <c r="AK153"/>
  <c r="AS153"/>
  <c r="AJ153"/>
  <c r="AR153"/>
  <c r="AP153"/>
  <c r="O153"/>
  <c r="Q153"/>
  <c r="AA153"/>
  <c r="AO153"/>
  <c r="P153"/>
  <c r="T153"/>
  <c r="S153"/>
  <c r="AN153"/>
  <c r="AM153"/>
  <c r="R153"/>
  <c r="AI152"/>
  <c r="AB152"/>
  <c r="AH152"/>
  <c r="AQ152"/>
  <c r="AG152"/>
  <c r="AF152"/>
  <c r="AE152"/>
  <c r="AD152"/>
  <c r="AK152"/>
  <c r="AS152"/>
  <c r="AJ152"/>
  <c r="AR152"/>
  <c r="AP152"/>
  <c r="O152"/>
  <c r="Q152"/>
  <c r="AA152"/>
  <c r="AO152"/>
  <c r="P152"/>
  <c r="T152"/>
  <c r="S152"/>
  <c r="AN152"/>
  <c r="AM152"/>
  <c r="R152"/>
  <c r="AI151"/>
  <c r="AB151"/>
  <c r="AH151"/>
  <c r="AQ151"/>
  <c r="AG151"/>
  <c r="AF151"/>
  <c r="AE151"/>
  <c r="AD151"/>
  <c r="AK151"/>
  <c r="AS151"/>
  <c r="AJ151"/>
  <c r="AR151"/>
  <c r="AP151"/>
  <c r="O151"/>
  <c r="Q151"/>
  <c r="AA151"/>
  <c r="AO151"/>
  <c r="P151"/>
  <c r="T151"/>
  <c r="S151"/>
  <c r="AN151"/>
  <c r="AM151"/>
  <c r="R151"/>
  <c r="AI150"/>
  <c r="AB150"/>
  <c r="AH150"/>
  <c r="AQ150"/>
  <c r="AG150"/>
  <c r="AF150"/>
  <c r="AE150"/>
  <c r="AD150"/>
  <c r="AK150"/>
  <c r="AS150"/>
  <c r="AJ150"/>
  <c r="AR150"/>
  <c r="AP150"/>
  <c r="O150"/>
  <c r="Q150"/>
  <c r="AA150"/>
  <c r="AO150"/>
  <c r="P150"/>
  <c r="T150"/>
  <c r="S150"/>
  <c r="AN150"/>
  <c r="AM150"/>
  <c r="R150"/>
  <c r="AI149"/>
  <c r="AB149"/>
  <c r="AH149"/>
  <c r="AQ149"/>
  <c r="AG149"/>
  <c r="AF149"/>
  <c r="AE149"/>
  <c r="AD149"/>
  <c r="AK149"/>
  <c r="AS149"/>
  <c r="AJ149"/>
  <c r="AR149"/>
  <c r="AP149"/>
  <c r="O149"/>
  <c r="Q149"/>
  <c r="AA149"/>
  <c r="AO149"/>
  <c r="P149"/>
  <c r="T149"/>
  <c r="S149"/>
  <c r="AN149"/>
  <c r="AM149"/>
  <c r="R149"/>
  <c r="AI148"/>
  <c r="AB148"/>
  <c r="AH148"/>
  <c r="AQ148"/>
  <c r="AG148"/>
  <c r="AF148"/>
  <c r="AE148"/>
  <c r="AD148"/>
  <c r="AK148"/>
  <c r="AS148"/>
  <c r="AJ148"/>
  <c r="AR148"/>
  <c r="AP148"/>
  <c r="O148"/>
  <c r="Q148"/>
  <c r="AA148"/>
  <c r="AO148"/>
  <c r="P148"/>
  <c r="T148"/>
  <c r="S148"/>
  <c r="AN148"/>
  <c r="AM148"/>
  <c r="R148"/>
  <c r="AI147"/>
  <c r="AB147"/>
  <c r="AH147"/>
  <c r="AQ147"/>
  <c r="AG147"/>
  <c r="AF147"/>
  <c r="AE147"/>
  <c r="AD147"/>
  <c r="AK147"/>
  <c r="AS147"/>
  <c r="AJ147"/>
  <c r="AR147"/>
  <c r="AP147"/>
  <c r="O147"/>
  <c r="Q147"/>
  <c r="AA147"/>
  <c r="AO147"/>
  <c r="P147"/>
  <c r="T147"/>
  <c r="S147"/>
  <c r="AN147"/>
  <c r="AM147"/>
  <c r="R147"/>
  <c r="AI146"/>
  <c r="AB146"/>
  <c r="AH146"/>
  <c r="AQ146"/>
  <c r="AG146"/>
  <c r="AF146"/>
  <c r="AE146"/>
  <c r="AD146"/>
  <c r="AK146"/>
  <c r="AS146"/>
  <c r="AJ146"/>
  <c r="AR146"/>
  <c r="AP146"/>
  <c r="O146"/>
  <c r="Q146"/>
  <c r="AA146"/>
  <c r="AO146"/>
  <c r="P146"/>
  <c r="T146"/>
  <c r="S146"/>
  <c r="AN146"/>
  <c r="AM146"/>
  <c r="R146"/>
  <c r="AI145"/>
  <c r="AB145"/>
  <c r="AH145"/>
  <c r="AQ145"/>
  <c r="AG145"/>
  <c r="AF145"/>
  <c r="AE145"/>
  <c r="AD145"/>
  <c r="AK145"/>
  <c r="AS145"/>
  <c r="AJ145"/>
  <c r="AR145"/>
  <c r="AP145"/>
  <c r="O145"/>
  <c r="Q145"/>
  <c r="AA145"/>
  <c r="AO145"/>
  <c r="P145"/>
  <c r="T145"/>
  <c r="S145"/>
  <c r="AN145"/>
  <c r="AM145"/>
  <c r="R145"/>
  <c r="AI144"/>
  <c r="AB144"/>
  <c r="AH144"/>
  <c r="AQ144"/>
  <c r="AG144"/>
  <c r="AF144"/>
  <c r="AE144"/>
  <c r="AD144"/>
  <c r="AK144"/>
  <c r="AS144"/>
  <c r="AJ144"/>
  <c r="AR144"/>
  <c r="AP144"/>
  <c r="O144"/>
  <c r="Q144"/>
  <c r="AA144"/>
  <c r="AO144"/>
  <c r="P144"/>
  <c r="T144"/>
  <c r="S144"/>
  <c r="AN144"/>
  <c r="AM144"/>
  <c r="R144"/>
  <c r="AI143"/>
  <c r="AB143"/>
  <c r="AH143"/>
  <c r="AQ143"/>
  <c r="AG143"/>
  <c r="AF143"/>
  <c r="AE143"/>
  <c r="AD143"/>
  <c r="AK143"/>
  <c r="AS143"/>
  <c r="AJ143"/>
  <c r="AR143"/>
  <c r="AP143"/>
  <c r="O143"/>
  <c r="Q143"/>
  <c r="AA143"/>
  <c r="AO143"/>
  <c r="P143"/>
  <c r="T143"/>
  <c r="S143"/>
  <c r="AN143"/>
  <c r="AM143"/>
  <c r="R143"/>
  <c r="AI142"/>
  <c r="AB142"/>
  <c r="AH142"/>
  <c r="AQ142"/>
  <c r="AG142"/>
  <c r="AF142"/>
  <c r="AE142"/>
  <c r="AD142"/>
  <c r="AK142"/>
  <c r="AS142"/>
  <c r="AJ142"/>
  <c r="AR142"/>
  <c r="AP142"/>
  <c r="O142"/>
  <c r="Q142"/>
  <c r="AA142"/>
  <c r="AO142"/>
  <c r="P142"/>
  <c r="T142"/>
  <c r="S142"/>
  <c r="AN142"/>
  <c r="AM142"/>
  <c r="R142"/>
  <c r="AI141"/>
  <c r="AB141"/>
  <c r="AH141"/>
  <c r="AQ141"/>
  <c r="AG141"/>
  <c r="AF141"/>
  <c r="AE141"/>
  <c r="AD141"/>
  <c r="AK141"/>
  <c r="AS141"/>
  <c r="AJ141"/>
  <c r="AR141"/>
  <c r="AP141"/>
  <c r="O141"/>
  <c r="Q141"/>
  <c r="AA141"/>
  <c r="AO141"/>
  <c r="P141"/>
  <c r="T141"/>
  <c r="S141"/>
  <c r="AN141"/>
  <c r="AM141"/>
  <c r="R141"/>
  <c r="AI140"/>
  <c r="AB140"/>
  <c r="AH140"/>
  <c r="AQ140"/>
  <c r="AG140"/>
  <c r="AF140"/>
  <c r="AE140"/>
  <c r="AD140"/>
  <c r="AK140"/>
  <c r="AS140"/>
  <c r="AJ140"/>
  <c r="AR140"/>
  <c r="AP140"/>
  <c r="O140"/>
  <c r="Q140"/>
  <c r="AA140"/>
  <c r="AO140"/>
  <c r="P140"/>
  <c r="T140"/>
  <c r="S140"/>
  <c r="AN140"/>
  <c r="AM140"/>
  <c r="R140"/>
  <c r="AI139"/>
  <c r="AB139"/>
  <c r="AH139"/>
  <c r="AQ139"/>
  <c r="AG139"/>
  <c r="AF139"/>
  <c r="AE139"/>
  <c r="AD139"/>
  <c r="AK139"/>
  <c r="AS139"/>
  <c r="AJ139"/>
  <c r="AR139"/>
  <c r="AP139"/>
  <c r="O139"/>
  <c r="Q139"/>
  <c r="AA139"/>
  <c r="AO139"/>
  <c r="P139"/>
  <c r="T139"/>
  <c r="S139"/>
  <c r="AN139"/>
  <c r="AM139"/>
  <c r="R139"/>
  <c r="AI138"/>
  <c r="AB138"/>
  <c r="AH138"/>
  <c r="AQ138"/>
  <c r="AG138"/>
  <c r="AF138"/>
  <c r="AE138"/>
  <c r="AD138"/>
  <c r="AK138"/>
  <c r="AS138"/>
  <c r="AJ138"/>
  <c r="AR138"/>
  <c r="AP138"/>
  <c r="O138"/>
  <c r="Q138"/>
  <c r="AA138"/>
  <c r="AO138"/>
  <c r="P138"/>
  <c r="T138"/>
  <c r="S138"/>
  <c r="AN138"/>
  <c r="AM138"/>
  <c r="R138"/>
  <c r="AI137"/>
  <c r="AB137"/>
  <c r="AH137"/>
  <c r="AQ137"/>
  <c r="AG137"/>
  <c r="AF137"/>
  <c r="AE137"/>
  <c r="AD137"/>
  <c r="AK137"/>
  <c r="AS137"/>
  <c r="AJ137"/>
  <c r="AR137"/>
  <c r="AP137"/>
  <c r="O137"/>
  <c r="Q137"/>
  <c r="AA137"/>
  <c r="AO137"/>
  <c r="P137"/>
  <c r="T137"/>
  <c r="S137"/>
  <c r="AN137"/>
  <c r="AM137"/>
  <c r="R137"/>
  <c r="AI136"/>
  <c r="AB136"/>
  <c r="AH136"/>
  <c r="AQ136"/>
  <c r="AG136"/>
  <c r="AF136"/>
  <c r="AE136"/>
  <c r="AD136"/>
  <c r="AK136"/>
  <c r="AS136"/>
  <c r="AJ136"/>
  <c r="AR136"/>
  <c r="AP136"/>
  <c r="O136"/>
  <c r="Q136"/>
  <c r="AA136"/>
  <c r="AO136"/>
  <c r="P136"/>
  <c r="T136"/>
  <c r="S136"/>
  <c r="AN136"/>
  <c r="AM136"/>
  <c r="R136"/>
  <c r="AI135"/>
  <c r="AB135"/>
  <c r="AH135"/>
  <c r="AQ135"/>
  <c r="AG135"/>
  <c r="AF135"/>
  <c r="AE135"/>
  <c r="AD135"/>
  <c r="AK135"/>
  <c r="AS135"/>
  <c r="AJ135"/>
  <c r="AR135"/>
  <c r="AP135"/>
  <c r="O135"/>
  <c r="Q135"/>
  <c r="AA135"/>
  <c r="AO135"/>
  <c r="P135"/>
  <c r="T135"/>
  <c r="S135"/>
  <c r="AN135"/>
  <c r="AM135"/>
  <c r="R135"/>
  <c r="AI134"/>
  <c r="AB134"/>
  <c r="AH134"/>
  <c r="AQ134"/>
  <c r="AG134"/>
  <c r="AF134"/>
  <c r="AE134"/>
  <c r="AD134"/>
  <c r="AK134"/>
  <c r="AS134"/>
  <c r="AJ134"/>
  <c r="AR134"/>
  <c r="AP134"/>
  <c r="O134"/>
  <c r="Q134"/>
  <c r="AA134"/>
  <c r="AO134"/>
  <c r="P134"/>
  <c r="T134"/>
  <c r="S134"/>
  <c r="AN134"/>
  <c r="AM134"/>
  <c r="R134"/>
  <c r="AI133"/>
  <c r="AB133"/>
  <c r="AH133"/>
  <c r="AQ133"/>
  <c r="AG133"/>
  <c r="AF133"/>
  <c r="AE133"/>
  <c r="AD133"/>
  <c r="AK133"/>
  <c r="AS133"/>
  <c r="AJ133"/>
  <c r="AR133"/>
  <c r="AP133"/>
  <c r="O133"/>
  <c r="Q133"/>
  <c r="AA133"/>
  <c r="AO133"/>
  <c r="P133"/>
  <c r="T133"/>
  <c r="S133"/>
  <c r="AN133"/>
  <c r="AM133"/>
  <c r="R133"/>
  <c r="AI132"/>
  <c r="AB132"/>
  <c r="AH132"/>
  <c r="AQ132"/>
  <c r="AG132"/>
  <c r="AF132"/>
  <c r="AE132"/>
  <c r="AD132"/>
  <c r="AK132"/>
  <c r="AS132"/>
  <c r="AJ132"/>
  <c r="AR132"/>
  <c r="AP132"/>
  <c r="O132"/>
  <c r="Q132"/>
  <c r="AA132"/>
  <c r="AO132"/>
  <c r="P132"/>
  <c r="T132"/>
  <c r="S132"/>
  <c r="AN132"/>
  <c r="AM132"/>
  <c r="R132"/>
  <c r="AI131"/>
  <c r="AB131"/>
  <c r="AH131"/>
  <c r="AQ131"/>
  <c r="AG131"/>
  <c r="AF131"/>
  <c r="AE131"/>
  <c r="AD131"/>
  <c r="AK131"/>
  <c r="AS131"/>
  <c r="AJ131"/>
  <c r="AR131"/>
  <c r="AP131"/>
  <c r="O131"/>
  <c r="Q131"/>
  <c r="AA131"/>
  <c r="AO131"/>
  <c r="P131"/>
  <c r="T131"/>
  <c r="S131"/>
  <c r="AN131"/>
  <c r="AM131"/>
  <c r="R131"/>
  <c r="AI130"/>
  <c r="AB130"/>
  <c r="AH130"/>
  <c r="AQ130"/>
  <c r="AG130"/>
  <c r="AF130"/>
  <c r="AE130"/>
  <c r="AD130"/>
  <c r="AK130"/>
  <c r="AS130"/>
  <c r="AJ130"/>
  <c r="AR130"/>
  <c r="AP130"/>
  <c r="O130"/>
  <c r="Q130"/>
  <c r="AA130"/>
  <c r="AO130"/>
  <c r="P130"/>
  <c r="T130"/>
  <c r="S130"/>
  <c r="AN130"/>
  <c r="AM130"/>
  <c r="R130"/>
  <c r="AI129"/>
  <c r="AB129"/>
  <c r="AH129"/>
  <c r="AQ129"/>
  <c r="AG129"/>
  <c r="AF129"/>
  <c r="AE129"/>
  <c r="AD129"/>
  <c r="AK129"/>
  <c r="AS129"/>
  <c r="AJ129"/>
  <c r="AR129"/>
  <c r="AP129"/>
  <c r="O129"/>
  <c r="Q129"/>
  <c r="AA129"/>
  <c r="AO129"/>
  <c r="P129"/>
  <c r="T129"/>
  <c r="S129"/>
  <c r="AN129"/>
  <c r="AM129"/>
  <c r="R129"/>
  <c r="AI128"/>
  <c r="AB128"/>
  <c r="AH128"/>
  <c r="AQ128"/>
  <c r="AG128"/>
  <c r="AF128"/>
  <c r="AE128"/>
  <c r="AD128"/>
  <c r="AK128"/>
  <c r="AS128"/>
  <c r="AJ128"/>
  <c r="AR128"/>
  <c r="AP128"/>
  <c r="O128"/>
  <c r="Q128"/>
  <c r="AA128"/>
  <c r="AO128"/>
  <c r="P128"/>
  <c r="T128"/>
  <c r="S128"/>
  <c r="AN128"/>
  <c r="AM128"/>
  <c r="R128"/>
  <c r="AI127"/>
  <c r="AB127"/>
  <c r="AH127"/>
  <c r="AQ127"/>
  <c r="AG127"/>
  <c r="AF127"/>
  <c r="AE127"/>
  <c r="AD127"/>
  <c r="AK127"/>
  <c r="AS127"/>
  <c r="AJ127"/>
  <c r="AR127"/>
  <c r="AP127"/>
  <c r="O127"/>
  <c r="Q127"/>
  <c r="AA127"/>
  <c r="AO127"/>
  <c r="P127"/>
  <c r="T127"/>
  <c r="S127"/>
  <c r="AN127"/>
  <c r="AM127"/>
  <c r="R127"/>
  <c r="AI126"/>
  <c r="AB126"/>
  <c r="AH126"/>
  <c r="AQ126"/>
  <c r="AG126"/>
  <c r="AF126"/>
  <c r="AE126"/>
  <c r="AD126"/>
  <c r="AK126"/>
  <c r="AS126"/>
  <c r="AJ126"/>
  <c r="AR126"/>
  <c r="AP126"/>
  <c r="O126"/>
  <c r="Q126"/>
  <c r="AA126"/>
  <c r="AO126"/>
  <c r="P126"/>
  <c r="T126"/>
  <c r="S126"/>
  <c r="AN126"/>
  <c r="AM126"/>
  <c r="R126"/>
  <c r="AI125"/>
  <c r="AB125"/>
  <c r="AH125"/>
  <c r="AQ125"/>
  <c r="AG125"/>
  <c r="AF125"/>
  <c r="AE125"/>
  <c r="AD125"/>
  <c r="AK125"/>
  <c r="AS125"/>
  <c r="AJ125"/>
  <c r="AR125"/>
  <c r="AP125"/>
  <c r="O125"/>
  <c r="Q125"/>
  <c r="AA125"/>
  <c r="AO125"/>
  <c r="P125"/>
  <c r="T125"/>
  <c r="S125"/>
  <c r="AN125"/>
  <c r="AM125"/>
  <c r="R125"/>
  <c r="AI124"/>
  <c r="AB124"/>
  <c r="AH124"/>
  <c r="AQ124"/>
  <c r="AG124"/>
  <c r="AF124"/>
  <c r="AE124"/>
  <c r="AD124"/>
  <c r="AK124"/>
  <c r="AS124"/>
  <c r="AJ124"/>
  <c r="AR124"/>
  <c r="AP124"/>
  <c r="O124"/>
  <c r="Q124"/>
  <c r="AA124"/>
  <c r="AO124"/>
  <c r="P124"/>
  <c r="T124"/>
  <c r="S124"/>
  <c r="AN124"/>
  <c r="AM124"/>
  <c r="R124"/>
  <c r="AI123"/>
  <c r="AB123"/>
  <c r="AH123"/>
  <c r="AQ123"/>
  <c r="AG123"/>
  <c r="AF123"/>
  <c r="AE123"/>
  <c r="AD123"/>
  <c r="AK123"/>
  <c r="AS123"/>
  <c r="AJ123"/>
  <c r="AR123"/>
  <c r="AP123"/>
  <c r="O123"/>
  <c r="Q123"/>
  <c r="AA123"/>
  <c r="AO123"/>
  <c r="P123"/>
  <c r="T123"/>
  <c r="S123"/>
  <c r="AN123"/>
  <c r="AM123"/>
  <c r="R123"/>
  <c r="AI122"/>
  <c r="AB122"/>
  <c r="AH122"/>
  <c r="AQ122"/>
  <c r="AG122"/>
  <c r="AF122"/>
  <c r="AE122"/>
  <c r="AD122"/>
  <c r="AK122"/>
  <c r="AS122"/>
  <c r="AJ122"/>
  <c r="AR122"/>
  <c r="AP122"/>
  <c r="O122"/>
  <c r="Q122"/>
  <c r="AA122"/>
  <c r="AO122"/>
  <c r="P122"/>
  <c r="T122"/>
  <c r="S122"/>
  <c r="AN122"/>
  <c r="AM122"/>
  <c r="R122"/>
  <c r="AI121"/>
  <c r="AB121"/>
  <c r="AH121"/>
  <c r="AQ121"/>
  <c r="AG121"/>
  <c r="AF121"/>
  <c r="AE121"/>
  <c r="AD121"/>
  <c r="AK121"/>
  <c r="AS121"/>
  <c r="AJ121"/>
  <c r="AR121"/>
  <c r="AP121"/>
  <c r="O121"/>
  <c r="Q121"/>
  <c r="AA121"/>
  <c r="AO121"/>
  <c r="P121"/>
  <c r="T121"/>
  <c r="S121"/>
  <c r="AN121"/>
  <c r="AM121"/>
  <c r="R121"/>
  <c r="AI120"/>
  <c r="AB120"/>
  <c r="AH120"/>
  <c r="AQ120"/>
  <c r="AG120"/>
  <c r="AF120"/>
  <c r="AE120"/>
  <c r="AD120"/>
  <c r="AK120"/>
  <c r="AS120"/>
  <c r="AJ120"/>
  <c r="AR120"/>
  <c r="AP120"/>
  <c r="O120"/>
  <c r="Q120"/>
  <c r="AA120"/>
  <c r="AO120"/>
  <c r="P120"/>
  <c r="T120"/>
  <c r="S120"/>
  <c r="AN120"/>
  <c r="AM120"/>
  <c r="R120"/>
  <c r="AI119"/>
  <c r="AB119"/>
  <c r="AH119"/>
  <c r="AQ119"/>
  <c r="AG119"/>
  <c r="AF119"/>
  <c r="AE119"/>
  <c r="AD119"/>
  <c r="AK119"/>
  <c r="AS119"/>
  <c r="AJ119"/>
  <c r="AR119"/>
  <c r="AP119"/>
  <c r="O119"/>
  <c r="Q119"/>
  <c r="AA119"/>
  <c r="AO119"/>
  <c r="P119"/>
  <c r="T119"/>
  <c r="S119"/>
  <c r="AN119"/>
  <c r="AM119"/>
  <c r="R119"/>
  <c r="AI118"/>
  <c r="AB118"/>
  <c r="AH118"/>
  <c r="AQ118"/>
  <c r="AG118"/>
  <c r="AF118"/>
  <c r="AE118"/>
  <c r="AD118"/>
  <c r="AK118"/>
  <c r="AS118"/>
  <c r="AJ118"/>
  <c r="AR118"/>
  <c r="AP118"/>
  <c r="O118"/>
  <c r="Q118"/>
  <c r="AA118"/>
  <c r="AO118"/>
  <c r="P118"/>
  <c r="T118"/>
  <c r="S118"/>
  <c r="AN118"/>
  <c r="AM118"/>
  <c r="R118"/>
  <c r="AI117"/>
  <c r="AB117"/>
  <c r="AH117"/>
  <c r="AQ117"/>
  <c r="AG117"/>
  <c r="AF117"/>
  <c r="AE117"/>
  <c r="AD117"/>
  <c r="AK117"/>
  <c r="AS117"/>
  <c r="AJ117"/>
  <c r="AR117"/>
  <c r="AP117"/>
  <c r="O117"/>
  <c r="Q117"/>
  <c r="AA117"/>
  <c r="AO117"/>
  <c r="P117"/>
  <c r="T117"/>
  <c r="S117"/>
  <c r="AN117"/>
  <c r="AM117"/>
  <c r="R117"/>
  <c r="AI116"/>
  <c r="AB116"/>
  <c r="AH116"/>
  <c r="AQ116"/>
  <c r="AG116"/>
  <c r="AF116"/>
  <c r="AE116"/>
  <c r="AD116"/>
  <c r="AK116"/>
  <c r="AS116"/>
  <c r="AJ116"/>
  <c r="AR116"/>
  <c r="AP116"/>
  <c r="O116"/>
  <c r="Q116"/>
  <c r="AA116"/>
  <c r="AO116"/>
  <c r="P116"/>
  <c r="T116"/>
  <c r="S116"/>
  <c r="AN116"/>
  <c r="AM116"/>
  <c r="R116"/>
  <c r="AI115"/>
  <c r="AB115"/>
  <c r="AH115"/>
  <c r="AQ115"/>
  <c r="AG115"/>
  <c r="AF115"/>
  <c r="AE115"/>
  <c r="AD115"/>
  <c r="AK115"/>
  <c r="AS115"/>
  <c r="AJ115"/>
  <c r="AR115"/>
  <c r="AP115"/>
  <c r="O115"/>
  <c r="Q115"/>
  <c r="AA115"/>
  <c r="AO115"/>
  <c r="P115"/>
  <c r="T115"/>
  <c r="S115"/>
  <c r="AN115"/>
  <c r="AM115"/>
  <c r="R115"/>
  <c r="AI114"/>
  <c r="AB114"/>
  <c r="AH114"/>
  <c r="AQ114"/>
  <c r="AG114"/>
  <c r="AF114"/>
  <c r="AE114"/>
  <c r="AD114"/>
  <c r="AK114"/>
  <c r="AS114"/>
  <c r="AJ114"/>
  <c r="AR114"/>
  <c r="AP114"/>
  <c r="O114"/>
  <c r="Q114"/>
  <c r="AA114"/>
  <c r="AO114"/>
  <c r="P114"/>
  <c r="T114"/>
  <c r="S114"/>
  <c r="AN114"/>
  <c r="AM114"/>
  <c r="R114"/>
  <c r="AI113"/>
  <c r="AB113"/>
  <c r="AH113"/>
  <c r="AQ113"/>
  <c r="AG113"/>
  <c r="AF113"/>
  <c r="AE113"/>
  <c r="AD113"/>
  <c r="AK113"/>
  <c r="AS113"/>
  <c r="AJ113"/>
  <c r="AR113"/>
  <c r="AP113"/>
  <c r="O113"/>
  <c r="Q113"/>
  <c r="AA113"/>
  <c r="AO113"/>
  <c r="P113"/>
  <c r="T113"/>
  <c r="S113"/>
  <c r="AN113"/>
  <c r="AM113"/>
  <c r="R113"/>
  <c r="AI112"/>
  <c r="AB112"/>
  <c r="AH112"/>
  <c r="AQ112"/>
  <c r="AG112"/>
  <c r="AF112"/>
  <c r="AE112"/>
  <c r="AD112"/>
  <c r="AK112"/>
  <c r="AS112"/>
  <c r="AJ112"/>
  <c r="AR112"/>
  <c r="AP112"/>
  <c r="O112"/>
  <c r="Q112"/>
  <c r="AA112"/>
  <c r="AO112"/>
  <c r="P112"/>
  <c r="T112"/>
  <c r="S112"/>
  <c r="AN112"/>
  <c r="AM112"/>
  <c r="R112"/>
  <c r="AI111"/>
  <c r="AB111"/>
  <c r="AH111"/>
  <c r="AQ111"/>
  <c r="AG111"/>
  <c r="AF111"/>
  <c r="AE111"/>
  <c r="AD111"/>
  <c r="AK111"/>
  <c r="AS111"/>
  <c r="AJ111"/>
  <c r="AR111"/>
  <c r="AP111"/>
  <c r="O111"/>
  <c r="Q111"/>
  <c r="AA111"/>
  <c r="AO111"/>
  <c r="P111"/>
  <c r="T111"/>
  <c r="S111"/>
  <c r="AN111"/>
  <c r="AM111"/>
  <c r="R111"/>
  <c r="AI110"/>
  <c r="AB110"/>
  <c r="AH110"/>
  <c r="AQ110"/>
  <c r="AG110"/>
  <c r="AF110"/>
  <c r="AE110"/>
  <c r="AD110"/>
  <c r="AK110"/>
  <c r="AS110"/>
  <c r="AJ110"/>
  <c r="AR110"/>
  <c r="AP110"/>
  <c r="O110"/>
  <c r="Q110"/>
  <c r="AA110"/>
  <c r="AO110"/>
  <c r="P110"/>
  <c r="T110"/>
  <c r="S110"/>
  <c r="AN110"/>
  <c r="AM110"/>
  <c r="R110"/>
  <c r="AI109"/>
  <c r="AB109"/>
  <c r="AH109"/>
  <c r="AQ109"/>
  <c r="AG109"/>
  <c r="AF109"/>
  <c r="AE109"/>
  <c r="AD109"/>
  <c r="AK109"/>
  <c r="AS109"/>
  <c r="AJ109"/>
  <c r="AR109"/>
  <c r="AP109"/>
  <c r="O109"/>
  <c r="Q109"/>
  <c r="AA109"/>
  <c r="AO109"/>
  <c r="P109"/>
  <c r="T109"/>
  <c r="S109"/>
  <c r="AN109"/>
  <c r="AM109"/>
  <c r="R109"/>
  <c r="AI108"/>
  <c r="AB108"/>
  <c r="AH108"/>
  <c r="AQ108"/>
  <c r="AG108"/>
  <c r="AF108"/>
  <c r="AE108"/>
  <c r="AD108"/>
  <c r="AK108"/>
  <c r="AS108"/>
  <c r="AJ108"/>
  <c r="AR108"/>
  <c r="AP108"/>
  <c r="O108"/>
  <c r="Q108"/>
  <c r="AA108"/>
  <c r="AO108"/>
  <c r="P108"/>
  <c r="T108"/>
  <c r="S108"/>
  <c r="AN108"/>
  <c r="AM108"/>
  <c r="R108"/>
  <c r="AI107"/>
  <c r="AB107"/>
  <c r="AH107"/>
  <c r="AQ107"/>
  <c r="AG107"/>
  <c r="AF107"/>
  <c r="AE107"/>
  <c r="AD107"/>
  <c r="AK107"/>
  <c r="AS107"/>
  <c r="AJ107"/>
  <c r="AR107"/>
  <c r="AP107"/>
  <c r="O107"/>
  <c r="Q107"/>
  <c r="AA107"/>
  <c r="AO107"/>
  <c r="P107"/>
  <c r="T107"/>
  <c r="S107"/>
  <c r="AN107"/>
  <c r="AM107"/>
  <c r="R107"/>
  <c r="AI106"/>
  <c r="AB106"/>
  <c r="AH106"/>
  <c r="AQ106"/>
  <c r="AG106"/>
  <c r="AF106"/>
  <c r="AE106"/>
  <c r="AD106"/>
  <c r="AK106"/>
  <c r="AS106"/>
  <c r="AJ106"/>
  <c r="AR106"/>
  <c r="AP106"/>
  <c r="O106"/>
  <c r="Q106"/>
  <c r="AA106"/>
  <c r="AO106"/>
  <c r="P106"/>
  <c r="T106"/>
  <c r="S106"/>
  <c r="AN106"/>
  <c r="AM106"/>
  <c r="R106"/>
  <c r="AI105"/>
  <c r="AB105"/>
  <c r="AH105"/>
  <c r="AQ105"/>
  <c r="AG105"/>
  <c r="AF105"/>
  <c r="AE105"/>
  <c r="AD105"/>
  <c r="AK105"/>
  <c r="AS105"/>
  <c r="AJ105"/>
  <c r="AR105"/>
  <c r="AP105"/>
  <c r="O105"/>
  <c r="Q105"/>
  <c r="AA105"/>
  <c r="AO105"/>
  <c r="P105"/>
  <c r="T105"/>
  <c r="S105"/>
  <c r="AN105"/>
  <c r="AM105"/>
  <c r="R105"/>
  <c r="AI104"/>
  <c r="AB104"/>
  <c r="AH104"/>
  <c r="AQ104"/>
  <c r="AG104"/>
  <c r="AF104"/>
  <c r="AE104"/>
  <c r="AD104"/>
  <c r="AK104"/>
  <c r="AS104"/>
  <c r="AJ104"/>
  <c r="AR104"/>
  <c r="AP104"/>
  <c r="O104"/>
  <c r="Q104"/>
  <c r="AA104"/>
  <c r="AO104"/>
  <c r="P104"/>
  <c r="T104"/>
  <c r="S104"/>
  <c r="AN104"/>
  <c r="AM104"/>
  <c r="R104"/>
  <c r="AI103"/>
  <c r="AB103"/>
  <c r="AH103"/>
  <c r="AQ103"/>
  <c r="AG103"/>
  <c r="AF103"/>
  <c r="AE103"/>
  <c r="AD103"/>
  <c r="AK103"/>
  <c r="AS103"/>
  <c r="AJ103"/>
  <c r="AR103"/>
  <c r="AP103"/>
  <c r="O103"/>
  <c r="Q103"/>
  <c r="AA103"/>
  <c r="AO103"/>
  <c r="P103"/>
  <c r="T103"/>
  <c r="S103"/>
  <c r="AN103"/>
  <c r="AM103"/>
  <c r="R103"/>
  <c r="AI102"/>
  <c r="AB102"/>
  <c r="AH102"/>
  <c r="AQ102"/>
  <c r="AG102"/>
  <c r="AF102"/>
  <c r="AE102"/>
  <c r="AD102"/>
  <c r="AK102"/>
  <c r="AS102"/>
  <c r="AJ102"/>
  <c r="AR102"/>
  <c r="AP102"/>
  <c r="O102"/>
  <c r="Q102"/>
  <c r="AA102"/>
  <c r="AO102"/>
  <c r="P102"/>
  <c r="T102"/>
  <c r="S102"/>
  <c r="AN102"/>
  <c r="AM102"/>
  <c r="R102"/>
  <c r="AI101"/>
  <c r="AB101"/>
  <c r="AH101"/>
  <c r="AQ101"/>
  <c r="AG101"/>
  <c r="AF101"/>
  <c r="AE101"/>
  <c r="AD101"/>
  <c r="AK101"/>
  <c r="AS101"/>
  <c r="AJ101"/>
  <c r="AR101"/>
  <c r="AP101"/>
  <c r="O101"/>
  <c r="Q101"/>
  <c r="AA101"/>
  <c r="AO101"/>
  <c r="P101"/>
  <c r="T101"/>
  <c r="S101"/>
  <c r="AN101"/>
  <c r="AM101"/>
  <c r="R101"/>
  <c r="AI100"/>
  <c r="AB100"/>
  <c r="AH100"/>
  <c r="AQ100"/>
  <c r="AG100"/>
  <c r="AF100"/>
  <c r="AE100"/>
  <c r="AD100"/>
  <c r="AK100"/>
  <c r="AS100"/>
  <c r="AJ100"/>
  <c r="AR100"/>
  <c r="AP100"/>
  <c r="O100"/>
  <c r="Q100"/>
  <c r="AA100"/>
  <c r="AO100"/>
  <c r="P100"/>
  <c r="T100"/>
  <c r="S100"/>
  <c r="AN100"/>
  <c r="AM100"/>
  <c r="R100"/>
  <c r="AI99"/>
  <c r="AB99"/>
  <c r="AH99"/>
  <c r="AQ99"/>
  <c r="AG99"/>
  <c r="AF99"/>
  <c r="AE99"/>
  <c r="AD99"/>
  <c r="AK99"/>
  <c r="AS99"/>
  <c r="AJ99"/>
  <c r="AR99"/>
  <c r="AP99"/>
  <c r="O99"/>
  <c r="Q99"/>
  <c r="AA99"/>
  <c r="AO99"/>
  <c r="P99"/>
  <c r="T99"/>
  <c r="S99"/>
  <c r="AN99"/>
  <c r="AM99"/>
  <c r="R99"/>
  <c r="AI98"/>
  <c r="AB98"/>
  <c r="AH98"/>
  <c r="AQ98"/>
  <c r="AG98"/>
  <c r="AF98"/>
  <c r="AE98"/>
  <c r="AD98"/>
  <c r="AK98"/>
  <c r="AS98"/>
  <c r="AJ98"/>
  <c r="AR98"/>
  <c r="AP98"/>
  <c r="O98"/>
  <c r="Q98"/>
  <c r="AA98"/>
  <c r="AO98"/>
  <c r="P98"/>
  <c r="T98"/>
  <c r="S98"/>
  <c r="AN98"/>
  <c r="AM98"/>
  <c r="R98"/>
  <c r="AI97"/>
  <c r="AB97"/>
  <c r="AH97"/>
  <c r="AQ97"/>
  <c r="AG97"/>
  <c r="AF97"/>
  <c r="AE97"/>
  <c r="AD97"/>
  <c r="AK97"/>
  <c r="AS97"/>
  <c r="AJ97"/>
  <c r="AR97"/>
  <c r="AP97"/>
  <c r="O97"/>
  <c r="Q97"/>
  <c r="AA97"/>
  <c r="AO97"/>
  <c r="P97"/>
  <c r="T97"/>
  <c r="S97"/>
  <c r="AN97"/>
  <c r="AM97"/>
  <c r="R97"/>
  <c r="AI96"/>
  <c r="AB96"/>
  <c r="AH96"/>
  <c r="AQ96"/>
  <c r="AG96"/>
  <c r="AF96"/>
  <c r="AE96"/>
  <c r="AD96"/>
  <c r="AK96"/>
  <c r="AS96"/>
  <c r="AJ96"/>
  <c r="AR96"/>
  <c r="AP96"/>
  <c r="O96"/>
  <c r="Q96"/>
  <c r="AA96"/>
  <c r="AO96"/>
  <c r="P96"/>
  <c r="T96"/>
  <c r="S96"/>
  <c r="AN96"/>
  <c r="AM96"/>
  <c r="R96"/>
  <c r="AI95"/>
  <c r="AB95"/>
  <c r="AH95"/>
  <c r="AQ95"/>
  <c r="AG95"/>
  <c r="AF95"/>
  <c r="AE95"/>
  <c r="AD95"/>
  <c r="AK95"/>
  <c r="AS95"/>
  <c r="AJ95"/>
  <c r="AR95"/>
  <c r="AP95"/>
  <c r="O95"/>
  <c r="Q95"/>
  <c r="AA95"/>
  <c r="AO95"/>
  <c r="P95"/>
  <c r="T95"/>
  <c r="S95"/>
  <c r="AN95"/>
  <c r="AM95"/>
  <c r="R95"/>
  <c r="AI94"/>
  <c r="AB94"/>
  <c r="AH94"/>
  <c r="AQ94"/>
  <c r="AG94"/>
  <c r="AF94"/>
  <c r="AE94"/>
  <c r="AD94"/>
  <c r="AK94"/>
  <c r="AS94"/>
  <c r="AJ94"/>
  <c r="AR94"/>
  <c r="AP94"/>
  <c r="O94"/>
  <c r="Q94"/>
  <c r="AA94"/>
  <c r="AO94"/>
  <c r="P94"/>
  <c r="T94"/>
  <c r="S94"/>
  <c r="AN94"/>
  <c r="AM94"/>
  <c r="R94"/>
  <c r="AI93"/>
  <c r="AB93"/>
  <c r="AH93"/>
  <c r="AQ93"/>
  <c r="AG93"/>
  <c r="AF93"/>
  <c r="AE93"/>
  <c r="AD93"/>
  <c r="AK93"/>
  <c r="AS93"/>
  <c r="AJ93"/>
  <c r="AR93"/>
  <c r="AP93"/>
  <c r="O93"/>
  <c r="Q93"/>
  <c r="AA93"/>
  <c r="AO93"/>
  <c r="P93"/>
  <c r="T93"/>
  <c r="S93"/>
  <c r="AN93"/>
  <c r="AM93"/>
  <c r="R93"/>
  <c r="AI92"/>
  <c r="AB92"/>
  <c r="AH92"/>
  <c r="AQ92"/>
  <c r="AG92"/>
  <c r="AF92"/>
  <c r="AE92"/>
  <c r="AD92"/>
  <c r="AK92"/>
  <c r="AS92"/>
  <c r="AJ92"/>
  <c r="AR92"/>
  <c r="AP92"/>
  <c r="O92"/>
  <c r="Q92"/>
  <c r="AA92"/>
  <c r="AO92"/>
  <c r="P92"/>
  <c r="T92"/>
  <c r="S92"/>
  <c r="AN92"/>
  <c r="AM92"/>
  <c r="R92"/>
  <c r="AI91"/>
  <c r="AB91"/>
  <c r="AH91"/>
  <c r="AQ91"/>
  <c r="AG91"/>
  <c r="AF91"/>
  <c r="AE91"/>
  <c r="AD91"/>
  <c r="AK91"/>
  <c r="AS91"/>
  <c r="AJ91"/>
  <c r="AR91"/>
  <c r="AP91"/>
  <c r="O91"/>
  <c r="Q91"/>
  <c r="AA91"/>
  <c r="AO91"/>
  <c r="P91"/>
  <c r="T91"/>
  <c r="S91"/>
  <c r="AN91"/>
  <c r="AM91"/>
  <c r="R91"/>
  <c r="AI90"/>
  <c r="AB90"/>
  <c r="AH90"/>
  <c r="AQ90"/>
  <c r="AG90"/>
  <c r="AF90"/>
  <c r="AE90"/>
  <c r="AD90"/>
  <c r="AK90"/>
  <c r="AS90"/>
  <c r="AJ90"/>
  <c r="AR90"/>
  <c r="AP90"/>
  <c r="O90"/>
  <c r="Q90"/>
  <c r="AA90"/>
  <c r="AO90"/>
  <c r="P90"/>
  <c r="T90"/>
  <c r="S90"/>
  <c r="AN90"/>
  <c r="AM90"/>
  <c r="R90"/>
  <c r="AI89"/>
  <c r="AB89"/>
  <c r="AH89"/>
  <c r="AQ89"/>
  <c r="AG89"/>
  <c r="AF89"/>
  <c r="AE89"/>
  <c r="AD89"/>
  <c r="AK89"/>
  <c r="AS89"/>
  <c r="AJ89"/>
  <c r="AR89"/>
  <c r="AP89"/>
  <c r="O89"/>
  <c r="Q89"/>
  <c r="AA89"/>
  <c r="AO89"/>
  <c r="P89"/>
  <c r="T89"/>
  <c r="S89"/>
  <c r="AN89"/>
  <c r="AM89"/>
  <c r="R89"/>
  <c r="AI88"/>
  <c r="AB88"/>
  <c r="AH88"/>
  <c r="AQ88"/>
  <c r="AG88"/>
  <c r="AF88"/>
  <c r="AE88"/>
  <c r="AD88"/>
  <c r="AK88"/>
  <c r="AS88"/>
  <c r="AJ88"/>
  <c r="AR88"/>
  <c r="AP88"/>
  <c r="O88"/>
  <c r="Q88"/>
  <c r="AA88"/>
  <c r="AO88"/>
  <c r="P88"/>
  <c r="T88"/>
  <c r="S88"/>
  <c r="AN88"/>
  <c r="AM88"/>
  <c r="R88"/>
  <c r="AI87"/>
  <c r="AB87"/>
  <c r="AH87"/>
  <c r="AQ87"/>
  <c r="AG87"/>
  <c r="AF87"/>
  <c r="AE87"/>
  <c r="AD87"/>
  <c r="AK87"/>
  <c r="AS87"/>
  <c r="AJ87"/>
  <c r="AR87"/>
  <c r="AP87"/>
  <c r="O87"/>
  <c r="Q87"/>
  <c r="AA87"/>
  <c r="AO87"/>
  <c r="P87"/>
  <c r="T87"/>
  <c r="S87"/>
  <c r="AN87"/>
  <c r="AM87"/>
  <c r="R87"/>
  <c r="AI86"/>
  <c r="AB86"/>
  <c r="AH86"/>
  <c r="AQ86"/>
  <c r="AG86"/>
  <c r="AF86"/>
  <c r="AE86"/>
  <c r="AD86"/>
  <c r="AK86"/>
  <c r="AS86"/>
  <c r="AJ86"/>
  <c r="AR86"/>
  <c r="AP86"/>
  <c r="O86"/>
  <c r="Q86"/>
  <c r="AA86"/>
  <c r="AO86"/>
  <c r="P86"/>
  <c r="T86"/>
  <c r="S86"/>
  <c r="AN86"/>
  <c r="AM86"/>
  <c r="R86"/>
  <c r="AI85"/>
  <c r="AB85"/>
  <c r="AH85"/>
  <c r="AQ85"/>
  <c r="AG85"/>
  <c r="AF85"/>
  <c r="AE85"/>
  <c r="AD85"/>
  <c r="AK85"/>
  <c r="AS85"/>
  <c r="AJ85"/>
  <c r="AR85"/>
  <c r="AP85"/>
  <c r="O85"/>
  <c r="Q85"/>
  <c r="AA85"/>
  <c r="AO85"/>
  <c r="P85"/>
  <c r="T85"/>
  <c r="S85"/>
  <c r="AN85"/>
  <c r="AM85"/>
  <c r="R85"/>
  <c r="AI84"/>
  <c r="AB84"/>
  <c r="AH84"/>
  <c r="AQ84"/>
  <c r="AG84"/>
  <c r="AF84"/>
  <c r="AE84"/>
  <c r="AD84"/>
  <c r="AK84"/>
  <c r="AS84"/>
  <c r="AJ84"/>
  <c r="AR84"/>
  <c r="AP84"/>
  <c r="O84"/>
  <c r="Q84"/>
  <c r="AA84"/>
  <c r="AO84"/>
  <c r="P84"/>
  <c r="T84"/>
  <c r="S84"/>
  <c r="AN84"/>
  <c r="AM84"/>
  <c r="R84"/>
  <c r="AI83"/>
  <c r="AB83"/>
  <c r="AH83"/>
  <c r="AQ83"/>
  <c r="AG83"/>
  <c r="AF83"/>
  <c r="AE83"/>
  <c r="AD83"/>
  <c r="AK83"/>
  <c r="AS83"/>
  <c r="AJ83"/>
  <c r="AR83"/>
  <c r="AP83"/>
  <c r="O83"/>
  <c r="Q83"/>
  <c r="AA83"/>
  <c r="AO83"/>
  <c r="P83"/>
  <c r="T83"/>
  <c r="S83"/>
  <c r="AN83"/>
  <c r="AM83"/>
  <c r="R83"/>
  <c r="AI82"/>
  <c r="AB82"/>
  <c r="AH82"/>
  <c r="AQ82"/>
  <c r="AG82"/>
  <c r="AF82"/>
  <c r="AE82"/>
  <c r="AD82"/>
  <c r="AK82"/>
  <c r="AS82"/>
  <c r="AJ82"/>
  <c r="AR82"/>
  <c r="AP82"/>
  <c r="O82"/>
  <c r="Q82"/>
  <c r="AA82"/>
  <c r="AO82"/>
  <c r="P82"/>
  <c r="T82"/>
  <c r="S82"/>
  <c r="AN82"/>
  <c r="AM82"/>
  <c r="R82"/>
  <c r="AI81"/>
  <c r="AB81"/>
  <c r="AH81"/>
  <c r="AQ81"/>
  <c r="AG81"/>
  <c r="AF81"/>
  <c r="AE81"/>
  <c r="AD81"/>
  <c r="AK81"/>
  <c r="AS81"/>
  <c r="AJ81"/>
  <c r="AR81"/>
  <c r="AP81"/>
  <c r="O81"/>
  <c r="Q81"/>
  <c r="AA81"/>
  <c r="AO81"/>
  <c r="P81"/>
  <c r="T81"/>
  <c r="S81"/>
  <c r="AN81"/>
  <c r="AM81"/>
  <c r="R81"/>
  <c r="AI80"/>
  <c r="AB80"/>
  <c r="AH80"/>
  <c r="AQ80"/>
  <c r="AG80"/>
  <c r="AF80"/>
  <c r="AE80"/>
  <c r="AD80"/>
  <c r="AK80"/>
  <c r="AS80"/>
  <c r="AJ80"/>
  <c r="AR80"/>
  <c r="AP80"/>
  <c r="O80"/>
  <c r="Q80"/>
  <c r="AA80"/>
  <c r="AO80"/>
  <c r="P80"/>
  <c r="T80"/>
  <c r="S80"/>
  <c r="AN80"/>
  <c r="AM80"/>
  <c r="R80"/>
  <c r="AI79"/>
  <c r="AB79"/>
  <c r="AH79"/>
  <c r="AQ79"/>
  <c r="AG79"/>
  <c r="AF79"/>
  <c r="AE79"/>
  <c r="AD79"/>
  <c r="AK79"/>
  <c r="AS79"/>
  <c r="AJ79"/>
  <c r="AR79"/>
  <c r="AP79"/>
  <c r="O79"/>
  <c r="Q79"/>
  <c r="AA79"/>
  <c r="AO79"/>
  <c r="P79"/>
  <c r="T79"/>
  <c r="S79"/>
  <c r="AN79"/>
  <c r="AM79"/>
  <c r="R79"/>
  <c r="AI78"/>
  <c r="AB78"/>
  <c r="AH78"/>
  <c r="AQ78"/>
  <c r="AG78"/>
  <c r="AF78"/>
  <c r="AE78"/>
  <c r="AD78"/>
  <c r="AK78"/>
  <c r="AS78"/>
  <c r="AJ78"/>
  <c r="AR78"/>
  <c r="AP78"/>
  <c r="O78"/>
  <c r="Q78"/>
  <c r="AA78"/>
  <c r="AO78"/>
  <c r="P78"/>
  <c r="T78"/>
  <c r="S78"/>
  <c r="AN78"/>
  <c r="AM78"/>
  <c r="R78"/>
  <c r="AI77"/>
  <c r="AB77"/>
  <c r="AH77"/>
  <c r="AQ77"/>
  <c r="AG77"/>
  <c r="AF77"/>
  <c r="AE77"/>
  <c r="AD77"/>
  <c r="AK77"/>
  <c r="AS77"/>
  <c r="AJ77"/>
  <c r="AR77"/>
  <c r="AP77"/>
  <c r="O77"/>
  <c r="Q77"/>
  <c r="AA77"/>
  <c r="AO77"/>
  <c r="P77"/>
  <c r="T77"/>
  <c r="S77"/>
  <c r="AN77"/>
  <c r="AM77"/>
  <c r="R77"/>
  <c r="AI76"/>
  <c r="AB76"/>
  <c r="AH76"/>
  <c r="AQ76"/>
  <c r="AG76"/>
  <c r="AF76"/>
  <c r="AE76"/>
  <c r="AD76"/>
  <c r="AK76"/>
  <c r="AS76"/>
  <c r="AJ76"/>
  <c r="AR76"/>
  <c r="AP76"/>
  <c r="O76"/>
  <c r="Q76"/>
  <c r="AA76"/>
  <c r="AO76"/>
  <c r="P76"/>
  <c r="T76"/>
  <c r="S76"/>
  <c r="AN76"/>
  <c r="AM76"/>
  <c r="R76"/>
  <c r="AI75"/>
  <c r="AB75"/>
  <c r="AH75"/>
  <c r="AQ75"/>
  <c r="AG75"/>
  <c r="AF75"/>
  <c r="AE75"/>
  <c r="AD75"/>
  <c r="AK75"/>
  <c r="AS75"/>
  <c r="AJ75"/>
  <c r="AR75"/>
  <c r="AP75"/>
  <c r="O75"/>
  <c r="Q75"/>
  <c r="AA75"/>
  <c r="AO75"/>
  <c r="P75"/>
  <c r="T75"/>
  <c r="S75"/>
  <c r="AN75"/>
  <c r="AM75"/>
  <c r="R75"/>
  <c r="AI74"/>
  <c r="AB74"/>
  <c r="AH74"/>
  <c r="AQ74"/>
  <c r="AG74"/>
  <c r="AF74"/>
  <c r="AE74"/>
  <c r="AD74"/>
  <c r="AK74"/>
  <c r="AS74"/>
  <c r="AJ74"/>
  <c r="AR74"/>
  <c r="AP74"/>
  <c r="O74"/>
  <c r="Q74"/>
  <c r="AA74"/>
  <c r="AO74"/>
  <c r="P74"/>
  <c r="T74"/>
  <c r="S74"/>
  <c r="AN74"/>
  <c r="AM74"/>
  <c r="R74"/>
  <c r="AI73"/>
  <c r="AB73"/>
  <c r="AH73"/>
  <c r="AQ73"/>
  <c r="AG73"/>
  <c r="AF73"/>
  <c r="AE73"/>
  <c r="AD73"/>
  <c r="AK73"/>
  <c r="AS73"/>
  <c r="AJ73"/>
  <c r="AR73"/>
  <c r="AP73"/>
  <c r="O73"/>
  <c r="Q73"/>
  <c r="AA73"/>
  <c r="AO73"/>
  <c r="P73"/>
  <c r="T73"/>
  <c r="S73"/>
  <c r="AN73"/>
  <c r="AM73"/>
  <c r="R73"/>
  <c r="AI72"/>
  <c r="AB72"/>
  <c r="AH72"/>
  <c r="AQ72"/>
  <c r="AG72"/>
  <c r="AF72"/>
  <c r="AE72"/>
  <c r="AD72"/>
  <c r="AK72"/>
  <c r="AS72"/>
  <c r="AJ72"/>
  <c r="AR72"/>
  <c r="AP72"/>
  <c r="O72"/>
  <c r="Q72"/>
  <c r="AA72"/>
  <c r="AO72"/>
  <c r="P72"/>
  <c r="T72"/>
  <c r="S72"/>
  <c r="AN72"/>
  <c r="AM72"/>
  <c r="R72"/>
  <c r="AI71"/>
  <c r="AB71"/>
  <c r="AH71"/>
  <c r="AQ71"/>
  <c r="AG71"/>
  <c r="AF71"/>
  <c r="AE71"/>
  <c r="AD71"/>
  <c r="AK71"/>
  <c r="AS71"/>
  <c r="AJ71"/>
  <c r="AR71"/>
  <c r="AP71"/>
  <c r="O71"/>
  <c r="Q71"/>
  <c r="AA71"/>
  <c r="AO71"/>
  <c r="P71"/>
  <c r="T71"/>
  <c r="S71"/>
  <c r="AN71"/>
  <c r="AM71"/>
  <c r="R71"/>
  <c r="AI70"/>
  <c r="AB70"/>
  <c r="AH70"/>
  <c r="AQ70"/>
  <c r="AG70"/>
  <c r="AF70"/>
  <c r="AE70"/>
  <c r="AD70"/>
  <c r="AK70"/>
  <c r="AS70"/>
  <c r="AJ70"/>
  <c r="AR70"/>
  <c r="AP70"/>
  <c r="O70"/>
  <c r="Q70"/>
  <c r="AA70"/>
  <c r="AO70"/>
  <c r="P70"/>
  <c r="T70"/>
  <c r="S70"/>
  <c r="AN70"/>
  <c r="AM70"/>
  <c r="R70"/>
  <c r="AI69"/>
  <c r="AB69"/>
  <c r="AH69"/>
  <c r="AQ69"/>
  <c r="AG69"/>
  <c r="AF69"/>
  <c r="AE69"/>
  <c r="AD69"/>
  <c r="AK69"/>
  <c r="AS69"/>
  <c r="AJ69"/>
  <c r="AR69"/>
  <c r="AP69"/>
  <c r="O69"/>
  <c r="Q69"/>
  <c r="AA69"/>
  <c r="AO69"/>
  <c r="P69"/>
  <c r="T69"/>
  <c r="S69"/>
  <c r="AN69"/>
  <c r="AM69"/>
  <c r="R69"/>
  <c r="AI68"/>
  <c r="AB68"/>
  <c r="AH68"/>
  <c r="AQ68"/>
  <c r="AG68"/>
  <c r="AF68"/>
  <c r="AE68"/>
  <c r="AD68"/>
  <c r="AK68"/>
  <c r="AS68"/>
  <c r="AJ68"/>
  <c r="AR68"/>
  <c r="AP68"/>
  <c r="O68"/>
  <c r="Q68"/>
  <c r="AA68"/>
  <c r="AO68"/>
  <c r="P68"/>
  <c r="T68"/>
  <c r="S68"/>
  <c r="AN68"/>
  <c r="AM68"/>
  <c r="R68"/>
  <c r="AI67"/>
  <c r="AB67"/>
  <c r="AH67"/>
  <c r="AQ67"/>
  <c r="AG67"/>
  <c r="AF67"/>
  <c r="AE67"/>
  <c r="AD67"/>
  <c r="AK67"/>
  <c r="AS67"/>
  <c r="AJ67"/>
  <c r="AR67"/>
  <c r="AP67"/>
  <c r="O67"/>
  <c r="Q67"/>
  <c r="AA67"/>
  <c r="AO67"/>
  <c r="P67"/>
  <c r="T67"/>
  <c r="S67"/>
  <c r="AN67"/>
  <c r="AM67"/>
  <c r="R67"/>
  <c r="AI66"/>
  <c r="AB66"/>
  <c r="AH66"/>
  <c r="AQ66"/>
  <c r="AG66"/>
  <c r="AF66"/>
  <c r="AE66"/>
  <c r="AD66"/>
  <c r="AK66"/>
  <c r="AS66"/>
  <c r="AJ66"/>
  <c r="AR66"/>
  <c r="AP66"/>
  <c r="O66"/>
  <c r="Q66"/>
  <c r="AA66"/>
  <c r="AO66"/>
  <c r="P66"/>
  <c r="T66"/>
  <c r="S66"/>
  <c r="AN66"/>
  <c r="AM66"/>
  <c r="R66"/>
  <c r="AI65"/>
  <c r="AB65"/>
  <c r="AH65"/>
  <c r="AQ65"/>
  <c r="AG65"/>
  <c r="AF65"/>
  <c r="AE65"/>
  <c r="AD65"/>
  <c r="AK65"/>
  <c r="AS65"/>
  <c r="AJ65"/>
  <c r="AR65"/>
  <c r="AP65"/>
  <c r="O65"/>
  <c r="Q65"/>
  <c r="AA65"/>
  <c r="AO65"/>
  <c r="P65"/>
  <c r="T65"/>
  <c r="S65"/>
  <c r="AN65"/>
  <c r="AM65"/>
  <c r="R65"/>
  <c r="AI64"/>
  <c r="AB64"/>
  <c r="AH64"/>
  <c r="AQ64"/>
  <c r="AG64"/>
  <c r="AF64"/>
  <c r="AE64"/>
  <c r="AD64"/>
  <c r="AK64"/>
  <c r="AS64"/>
  <c r="AJ64"/>
  <c r="AR64"/>
  <c r="AP64"/>
  <c r="O64"/>
  <c r="Q64"/>
  <c r="AA64"/>
  <c r="AO64"/>
  <c r="P64"/>
  <c r="T64"/>
  <c r="S64"/>
  <c r="AN64"/>
  <c r="AM64"/>
  <c r="R64"/>
  <c r="AI63"/>
  <c r="AB63"/>
  <c r="AH63"/>
  <c r="AQ63"/>
  <c r="AG63"/>
  <c r="AF63"/>
  <c r="AE63"/>
  <c r="AD63"/>
  <c r="AK63"/>
  <c r="AS63"/>
  <c r="AJ63"/>
  <c r="AR63"/>
  <c r="AP63"/>
  <c r="O63"/>
  <c r="Q63"/>
  <c r="AA63"/>
  <c r="AO63"/>
  <c r="P63"/>
  <c r="T63"/>
  <c r="S63"/>
  <c r="AN63"/>
  <c r="AM63"/>
  <c r="R63"/>
  <c r="AI62"/>
  <c r="AB62"/>
  <c r="AH62"/>
  <c r="AQ62"/>
  <c r="AG62"/>
  <c r="AF62"/>
  <c r="AE62"/>
  <c r="AD62"/>
  <c r="AK62"/>
  <c r="AS62"/>
  <c r="AJ62"/>
  <c r="AR62"/>
  <c r="AP62"/>
  <c r="O62"/>
  <c r="Q62"/>
  <c r="AA62"/>
  <c r="AO62"/>
  <c r="P62"/>
  <c r="T62"/>
  <c r="S62"/>
  <c r="AN62"/>
  <c r="AM62"/>
  <c r="R62"/>
  <c r="AI61"/>
  <c r="AB61"/>
  <c r="AH61"/>
  <c r="AQ61"/>
  <c r="AG61"/>
  <c r="AF61"/>
  <c r="AE61"/>
  <c r="AD61"/>
  <c r="AK61"/>
  <c r="AS61"/>
  <c r="AJ61"/>
  <c r="AR61"/>
  <c r="AP61"/>
  <c r="O61"/>
  <c r="Q61"/>
  <c r="AA61"/>
  <c r="AO61"/>
  <c r="P61"/>
  <c r="T61"/>
  <c r="S61"/>
  <c r="AN61"/>
  <c r="AM61"/>
  <c r="R61"/>
  <c r="AI60"/>
  <c r="AB60"/>
  <c r="AH60"/>
  <c r="AQ60"/>
  <c r="AG60"/>
  <c r="AF60"/>
  <c r="AE60"/>
  <c r="AD60"/>
  <c r="AK60"/>
  <c r="AS60"/>
  <c r="AJ60"/>
  <c r="AR60"/>
  <c r="AP60"/>
  <c r="O60"/>
  <c r="Q60"/>
  <c r="AA60"/>
  <c r="AO60"/>
  <c r="P60"/>
  <c r="T60"/>
  <c r="S60"/>
  <c r="AN60"/>
  <c r="AM60"/>
  <c r="R60"/>
  <c r="AI59"/>
  <c r="AB59"/>
  <c r="AH59"/>
  <c r="AQ59"/>
  <c r="AG59"/>
  <c r="AF59"/>
  <c r="AE59"/>
  <c r="AD59"/>
  <c r="AK59"/>
  <c r="AS59"/>
  <c r="AJ59"/>
  <c r="AR59"/>
  <c r="AP59"/>
  <c r="O59"/>
  <c r="Q59"/>
  <c r="AA59"/>
  <c r="AO59"/>
  <c r="P59"/>
  <c r="T59"/>
  <c r="S59"/>
  <c r="AN59"/>
  <c r="AM59"/>
  <c r="R59"/>
  <c r="AI58"/>
  <c r="AB58"/>
  <c r="AH58"/>
  <c r="AQ58"/>
  <c r="AG58"/>
  <c r="AF58"/>
  <c r="AE58"/>
  <c r="AD58"/>
  <c r="AK58"/>
  <c r="AS58"/>
  <c r="AJ58"/>
  <c r="AR58"/>
  <c r="AP58"/>
  <c r="O58"/>
  <c r="Q58"/>
  <c r="AA58"/>
  <c r="AO58"/>
  <c r="P58"/>
  <c r="T58"/>
  <c r="S58"/>
  <c r="AN58"/>
  <c r="AM58"/>
  <c r="R58"/>
  <c r="AI57"/>
  <c r="AB57"/>
  <c r="AH57"/>
  <c r="AQ57"/>
  <c r="AG57"/>
  <c r="AF57"/>
  <c r="AE57"/>
  <c r="AD57"/>
  <c r="AK57"/>
  <c r="AS57"/>
  <c r="AJ57"/>
  <c r="AR57"/>
  <c r="AP57"/>
  <c r="O57"/>
  <c r="Q57"/>
  <c r="AA57"/>
  <c r="AO57"/>
  <c r="P57"/>
  <c r="T57"/>
  <c r="S57"/>
  <c r="AN57"/>
  <c r="AM57"/>
  <c r="R57"/>
  <c r="AI56"/>
  <c r="AB56"/>
  <c r="AH56"/>
  <c r="AQ56"/>
  <c r="AG56"/>
  <c r="AF56"/>
  <c r="AE56"/>
  <c r="AD56"/>
  <c r="AK56"/>
  <c r="AS56"/>
  <c r="AJ56"/>
  <c r="AR56"/>
  <c r="AP56"/>
  <c r="O56"/>
  <c r="Q56"/>
  <c r="AA56"/>
  <c r="AO56"/>
  <c r="P56"/>
  <c r="T56"/>
  <c r="S56"/>
  <c r="AN56"/>
  <c r="AM56"/>
  <c r="R56"/>
  <c r="AI55"/>
  <c r="AB55"/>
  <c r="AH55"/>
  <c r="AQ55"/>
  <c r="AG55"/>
  <c r="AF55"/>
  <c r="AE55"/>
  <c r="AD55"/>
  <c r="AK55"/>
  <c r="AS55"/>
  <c r="AJ55"/>
  <c r="AR55"/>
  <c r="AP55"/>
  <c r="O55"/>
  <c r="Q55"/>
  <c r="AA55"/>
  <c r="AO55"/>
  <c r="P55"/>
  <c r="T55"/>
  <c r="S55"/>
  <c r="AN55"/>
  <c r="AM55"/>
  <c r="R55"/>
  <c r="AI54"/>
  <c r="AB54"/>
  <c r="AH54"/>
  <c r="AQ54"/>
  <c r="AG54"/>
  <c r="AF54"/>
  <c r="AE54"/>
  <c r="AD54"/>
  <c r="AK54"/>
  <c r="AS54"/>
  <c r="AJ54"/>
  <c r="AR54"/>
  <c r="AP54"/>
  <c r="O54"/>
  <c r="Q54"/>
  <c r="AA54"/>
  <c r="AO54"/>
  <c r="P54"/>
  <c r="T54"/>
  <c r="S54"/>
  <c r="AN54"/>
  <c r="AM54"/>
  <c r="R54"/>
  <c r="AI53"/>
  <c r="AB53"/>
  <c r="AH53"/>
  <c r="AQ53"/>
  <c r="AG53"/>
  <c r="AF53"/>
  <c r="AE53"/>
  <c r="AD53"/>
  <c r="AK53"/>
  <c r="AS53"/>
  <c r="AJ53"/>
  <c r="AR53"/>
  <c r="AP53"/>
  <c r="O53"/>
  <c r="Q53"/>
  <c r="AA53"/>
  <c r="AO53"/>
  <c r="P53"/>
  <c r="T53"/>
  <c r="S53"/>
  <c r="AN53"/>
  <c r="AM53"/>
  <c r="R53"/>
  <c r="AI52"/>
  <c r="AB52"/>
  <c r="AH52"/>
  <c r="AQ52"/>
  <c r="AG52"/>
  <c r="AF52"/>
  <c r="AE52"/>
  <c r="AD52"/>
  <c r="AK52"/>
  <c r="AS52"/>
  <c r="AJ52"/>
  <c r="AR52"/>
  <c r="AP52"/>
  <c r="O52"/>
  <c r="Q52"/>
  <c r="AA52"/>
  <c r="AO52"/>
  <c r="P52"/>
  <c r="T52"/>
  <c r="S52"/>
  <c r="AN52"/>
  <c r="AM52"/>
  <c r="R52"/>
  <c r="AI51"/>
  <c r="AB51"/>
  <c r="AH51"/>
  <c r="AQ51"/>
  <c r="AG51"/>
  <c r="AF51"/>
  <c r="AE51"/>
  <c r="AD51"/>
  <c r="AK51"/>
  <c r="AS51"/>
  <c r="AJ51"/>
  <c r="AR51"/>
  <c r="AP51"/>
  <c r="O51"/>
  <c r="Q51"/>
  <c r="AA51"/>
  <c r="AO51"/>
  <c r="P51"/>
  <c r="T51"/>
  <c r="S51"/>
  <c r="AN51"/>
  <c r="AM51"/>
  <c r="R51"/>
  <c r="AI50"/>
  <c r="AB50"/>
  <c r="AH50"/>
  <c r="AQ50"/>
  <c r="AG50"/>
  <c r="AF50"/>
  <c r="AE50"/>
  <c r="AD50"/>
  <c r="AK50"/>
  <c r="AS50"/>
  <c r="AJ50"/>
  <c r="AR50"/>
  <c r="AP50"/>
  <c r="O50"/>
  <c r="Q50"/>
  <c r="AA50"/>
  <c r="AO50"/>
  <c r="P50"/>
  <c r="T50"/>
  <c r="S50"/>
  <c r="AN50"/>
  <c r="AM50"/>
  <c r="R50"/>
  <c r="AI49"/>
  <c r="AB49"/>
  <c r="AH49"/>
  <c r="AQ49"/>
  <c r="AG49"/>
  <c r="AF49"/>
  <c r="AE49"/>
  <c r="AD49"/>
  <c r="AK49"/>
  <c r="AS49"/>
  <c r="AJ49"/>
  <c r="AR49"/>
  <c r="AP49"/>
  <c r="O49"/>
  <c r="Q49"/>
  <c r="AA49"/>
  <c r="AO49"/>
  <c r="P49"/>
  <c r="T49"/>
  <c r="S49"/>
  <c r="AN49"/>
  <c r="AM49"/>
  <c r="R49"/>
  <c r="AI48"/>
  <c r="AB48"/>
  <c r="AH48"/>
  <c r="AQ48"/>
  <c r="AG48"/>
  <c r="AF48"/>
  <c r="AE48"/>
  <c r="AD48"/>
  <c r="AK48"/>
  <c r="AS48"/>
  <c r="AJ48"/>
  <c r="AR48"/>
  <c r="AP48"/>
  <c r="O48"/>
  <c r="Q48"/>
  <c r="AA48"/>
  <c r="AO48"/>
  <c r="P48"/>
  <c r="T48"/>
  <c r="S48"/>
  <c r="AN48"/>
  <c r="AM48"/>
  <c r="R48"/>
  <c r="AI47"/>
  <c r="AB47"/>
  <c r="AH47"/>
  <c r="AQ47"/>
  <c r="AG47"/>
  <c r="AF47"/>
  <c r="AE47"/>
  <c r="AD47"/>
  <c r="AK47"/>
  <c r="AS47"/>
  <c r="AJ47"/>
  <c r="AR47"/>
  <c r="AP47"/>
  <c r="O47"/>
  <c r="Q47"/>
  <c r="AA47"/>
  <c r="AO47"/>
  <c r="P47"/>
  <c r="T47"/>
  <c r="S47"/>
  <c r="AN47"/>
  <c r="AM47"/>
  <c r="R47"/>
  <c r="AI46"/>
  <c r="AB46"/>
  <c r="AH46"/>
  <c r="AQ46"/>
  <c r="AG46"/>
  <c r="AF46"/>
  <c r="AE46"/>
  <c r="AD46"/>
  <c r="AK46"/>
  <c r="AS46"/>
  <c r="AJ46"/>
  <c r="AR46"/>
  <c r="AP46"/>
  <c r="O46"/>
  <c r="Q46"/>
  <c r="AA46"/>
  <c r="AO46"/>
  <c r="P46"/>
  <c r="T46"/>
  <c r="S46"/>
  <c r="AN46"/>
  <c r="AM46"/>
  <c r="R46"/>
  <c r="AI45"/>
  <c r="AB45"/>
  <c r="AH45"/>
  <c r="AQ45"/>
  <c r="AG45"/>
  <c r="AF45"/>
  <c r="AE45"/>
  <c r="AD45"/>
  <c r="AK45"/>
  <c r="AS45"/>
  <c r="AJ45"/>
  <c r="AR45"/>
  <c r="AP45"/>
  <c r="O45"/>
  <c r="Q45"/>
  <c r="AA45"/>
  <c r="AO45"/>
  <c r="P45"/>
  <c r="T45"/>
  <c r="S45"/>
  <c r="AN45"/>
  <c r="AM45"/>
  <c r="R45"/>
  <c r="AI44"/>
  <c r="AB44"/>
  <c r="AH44"/>
  <c r="AQ44"/>
  <c r="AG44"/>
  <c r="AF44"/>
  <c r="AE44"/>
  <c r="AD44"/>
  <c r="AK44"/>
  <c r="AS44"/>
  <c r="AJ44"/>
  <c r="AR44"/>
  <c r="AP44"/>
  <c r="O44"/>
  <c r="Q44"/>
  <c r="AA44"/>
  <c r="AO44"/>
  <c r="P44"/>
  <c r="T44"/>
  <c r="S44"/>
  <c r="AN44"/>
  <c r="AM44"/>
  <c r="R44"/>
  <c r="AI43"/>
  <c r="AB43"/>
  <c r="AH43"/>
  <c r="AQ43"/>
  <c r="AG43"/>
  <c r="AF43"/>
  <c r="AE43"/>
  <c r="AD43"/>
  <c r="AK43"/>
  <c r="AS43"/>
  <c r="AJ43"/>
  <c r="AR43"/>
  <c r="AP43"/>
  <c r="O43"/>
  <c r="Q43"/>
  <c r="AA43"/>
  <c r="AO43"/>
  <c r="P43"/>
  <c r="T43"/>
  <c r="S43"/>
  <c r="AN43"/>
  <c r="AM43"/>
  <c r="R43"/>
  <c r="AI42"/>
  <c r="AB42"/>
  <c r="AH42"/>
  <c r="AQ42"/>
  <c r="AG42"/>
  <c r="AF42"/>
  <c r="AE42"/>
  <c r="AD42"/>
  <c r="AK42"/>
  <c r="AS42"/>
  <c r="AJ42"/>
  <c r="AR42"/>
  <c r="AP42"/>
  <c r="O42"/>
  <c r="Q42"/>
  <c r="AA42"/>
  <c r="AO42"/>
  <c r="P42"/>
  <c r="T42"/>
  <c r="S42"/>
  <c r="AN42"/>
  <c r="AM42"/>
  <c r="R42"/>
  <c r="AI41"/>
  <c r="AB41"/>
  <c r="AH41"/>
  <c r="AQ41"/>
  <c r="AG41"/>
  <c r="AF41"/>
  <c r="AE41"/>
  <c r="AD41"/>
  <c r="AK41"/>
  <c r="AS41"/>
  <c r="AJ41"/>
  <c r="AR41"/>
  <c r="AP41"/>
  <c r="O41"/>
  <c r="Q41"/>
  <c r="AA41"/>
  <c r="AO41"/>
  <c r="P41"/>
  <c r="T41"/>
  <c r="S41"/>
  <c r="AN41"/>
  <c r="AM41"/>
  <c r="R41"/>
  <c r="AI40"/>
  <c r="AB40"/>
  <c r="AH40"/>
  <c r="AQ40"/>
  <c r="AG40"/>
  <c r="AF40"/>
  <c r="AE40"/>
  <c r="AD40"/>
  <c r="AK40"/>
  <c r="AS40"/>
  <c r="AJ40"/>
  <c r="AR40"/>
  <c r="AP40"/>
  <c r="O40"/>
  <c r="Q40"/>
  <c r="AA40"/>
  <c r="AO40"/>
  <c r="P40"/>
  <c r="T40"/>
  <c r="S40"/>
  <c r="AN40"/>
  <c r="AM40"/>
  <c r="R40"/>
  <c r="AI39"/>
  <c r="AB39"/>
  <c r="AH39"/>
  <c r="AQ39"/>
  <c r="AG39"/>
  <c r="AF39"/>
  <c r="AE39"/>
  <c r="AD39"/>
  <c r="AK39"/>
  <c r="AS39"/>
  <c r="AJ39"/>
  <c r="AR39"/>
  <c r="AP39"/>
  <c r="O39"/>
  <c r="Q39"/>
  <c r="AA39"/>
  <c r="AO39"/>
  <c r="P39"/>
  <c r="T39"/>
  <c r="S39"/>
  <c r="AN39"/>
  <c r="AM39"/>
  <c r="R39"/>
  <c r="AI38"/>
  <c r="AB38"/>
  <c r="AH38"/>
  <c r="AQ38"/>
  <c r="AG38"/>
  <c r="AF38"/>
  <c r="AE38"/>
  <c r="AD38"/>
  <c r="AK38"/>
  <c r="AS38"/>
  <c r="AJ38"/>
  <c r="AR38"/>
  <c r="AP38"/>
  <c r="O38"/>
  <c r="Q38"/>
  <c r="AA38"/>
  <c r="AO38"/>
  <c r="P38"/>
  <c r="T38"/>
  <c r="S38"/>
  <c r="AN38"/>
  <c r="AM38"/>
  <c r="R38"/>
  <c r="AI37"/>
  <c r="AB37"/>
  <c r="AH37"/>
  <c r="AQ37"/>
  <c r="AG37"/>
  <c r="AF37"/>
  <c r="AE37"/>
  <c r="AD37"/>
  <c r="AK37"/>
  <c r="AS37"/>
  <c r="AJ37"/>
  <c r="AR37"/>
  <c r="AP37"/>
  <c r="O37"/>
  <c r="Q37"/>
  <c r="AA37"/>
  <c r="AO37"/>
  <c r="P37"/>
  <c r="T37"/>
  <c r="S37"/>
  <c r="AN37"/>
  <c r="AM37"/>
  <c r="R37"/>
  <c r="AI36"/>
  <c r="AB36"/>
  <c r="AH36"/>
  <c r="AQ36"/>
  <c r="AG36"/>
  <c r="AF36"/>
  <c r="AE36"/>
  <c r="AD36"/>
  <c r="AK36"/>
  <c r="AS36"/>
  <c r="AJ36"/>
  <c r="AR36"/>
  <c r="AP36"/>
  <c r="O36"/>
  <c r="Q36"/>
  <c r="AA36"/>
  <c r="AO36"/>
  <c r="P36"/>
  <c r="T36"/>
  <c r="S36"/>
  <c r="AN36"/>
  <c r="AM36"/>
  <c r="R36"/>
  <c r="AI35"/>
  <c r="AB35"/>
  <c r="AH35"/>
  <c r="AQ35"/>
  <c r="AG35"/>
  <c r="AF35"/>
  <c r="AE35"/>
  <c r="AD35"/>
  <c r="AK35"/>
  <c r="AS35"/>
  <c r="AJ35"/>
  <c r="AR35"/>
  <c r="AP35"/>
  <c r="O35"/>
  <c r="Q35"/>
  <c r="AA35"/>
  <c r="AO35"/>
  <c r="P35"/>
  <c r="T35"/>
  <c r="S35"/>
  <c r="AN35"/>
  <c r="AM35"/>
  <c r="R35"/>
  <c r="AI34"/>
  <c r="AB34"/>
  <c r="AH34"/>
  <c r="AQ34"/>
  <c r="AG34"/>
  <c r="AF34"/>
  <c r="AE34"/>
  <c r="AD34"/>
  <c r="AK34"/>
  <c r="AS34"/>
  <c r="AJ34"/>
  <c r="AR34"/>
  <c r="AP34"/>
  <c r="O34"/>
  <c r="Q34"/>
  <c r="AA34"/>
  <c r="AO34"/>
  <c r="P34"/>
  <c r="T34"/>
  <c r="S34"/>
  <c r="AN34"/>
  <c r="AM34"/>
  <c r="R34"/>
  <c r="AI33"/>
  <c r="AB33"/>
  <c r="AH33"/>
  <c r="AQ33"/>
  <c r="AG33"/>
  <c r="AF33"/>
  <c r="AE33"/>
  <c r="AD33"/>
  <c r="AK33"/>
  <c r="AS33"/>
  <c r="AJ33"/>
  <c r="AR33"/>
  <c r="AP33"/>
  <c r="O33"/>
  <c r="Q33"/>
  <c r="AA33"/>
  <c r="AO33"/>
  <c r="P33"/>
  <c r="T33"/>
  <c r="S33"/>
  <c r="AN33"/>
  <c r="AM33"/>
  <c r="R33"/>
  <c r="AI32"/>
  <c r="AB32"/>
  <c r="AH32"/>
  <c r="AQ32"/>
  <c r="AG32"/>
  <c r="AF32"/>
  <c r="AE32"/>
  <c r="AD32"/>
  <c r="AK32"/>
  <c r="AS32"/>
  <c r="AJ32"/>
  <c r="AR32"/>
  <c r="AP32"/>
  <c r="O32"/>
  <c r="Q32"/>
  <c r="AA32"/>
  <c r="AO32"/>
  <c r="P32"/>
  <c r="T32"/>
  <c r="S32"/>
  <c r="AN32"/>
  <c r="AM32"/>
  <c r="R32"/>
  <c r="AI31"/>
  <c r="AB31"/>
  <c r="AH31"/>
  <c r="AQ31"/>
  <c r="AG31"/>
  <c r="AF31"/>
  <c r="AE31"/>
  <c r="AD31"/>
  <c r="AK31"/>
  <c r="AS31"/>
  <c r="AJ31"/>
  <c r="AR31"/>
  <c r="AP31"/>
  <c r="O31"/>
  <c r="Q31"/>
  <c r="AA31"/>
  <c r="AO31"/>
  <c r="P31"/>
  <c r="T31"/>
  <c r="S31"/>
  <c r="AN31"/>
  <c r="AM31"/>
  <c r="R31"/>
  <c r="AI30"/>
  <c r="AB30"/>
  <c r="AH30"/>
  <c r="AQ30"/>
  <c r="AG30"/>
  <c r="AF30"/>
  <c r="AE30"/>
  <c r="AD30"/>
  <c r="AK30"/>
  <c r="AS30"/>
  <c r="AJ30"/>
  <c r="AR30"/>
  <c r="AP30"/>
  <c r="O30"/>
  <c r="Q30"/>
  <c r="AA30"/>
  <c r="AO30"/>
  <c r="P30"/>
  <c r="T30"/>
  <c r="S30"/>
  <c r="AN30"/>
  <c r="AM30"/>
  <c r="R30"/>
  <c r="AI29"/>
  <c r="AB29"/>
  <c r="AH29"/>
  <c r="AQ29"/>
  <c r="AG29"/>
  <c r="AF29"/>
  <c r="AE29"/>
  <c r="AD29"/>
  <c r="AK29"/>
  <c r="AS29"/>
  <c r="AJ29"/>
  <c r="AR29"/>
  <c r="AP29"/>
  <c r="O29"/>
  <c r="Q29"/>
  <c r="AA29"/>
  <c r="AO29"/>
  <c r="P29"/>
  <c r="T29"/>
  <c r="S29"/>
  <c r="AN29"/>
  <c r="AM29"/>
  <c r="R29"/>
  <c r="AI28"/>
  <c r="AB28"/>
  <c r="AH28"/>
  <c r="AQ28"/>
  <c r="AG28"/>
  <c r="AF28"/>
  <c r="AE28"/>
  <c r="AD28"/>
  <c r="AK28"/>
  <c r="AS28"/>
  <c r="AJ28"/>
  <c r="AR28"/>
  <c r="AP28"/>
  <c r="O28"/>
  <c r="Q28"/>
  <c r="AA28"/>
  <c r="AO28"/>
  <c r="P28"/>
  <c r="T28"/>
  <c r="S28"/>
  <c r="AN28"/>
  <c r="AM28"/>
  <c r="R28"/>
  <c r="AI27"/>
  <c r="AB27"/>
  <c r="AH27"/>
  <c r="AQ27"/>
  <c r="AG27"/>
  <c r="AF27"/>
  <c r="AE27"/>
  <c r="AD27"/>
  <c r="AK27"/>
  <c r="AS27"/>
  <c r="AJ27"/>
  <c r="AR27"/>
  <c r="AP27"/>
  <c r="O27"/>
  <c r="Q27"/>
  <c r="AA27"/>
  <c r="AO27"/>
  <c r="P27"/>
  <c r="T27"/>
  <c r="S27"/>
  <c r="AN27"/>
  <c r="AM27"/>
  <c r="R27"/>
  <c r="AI26"/>
  <c r="AB26"/>
  <c r="AH26"/>
  <c r="AQ26"/>
  <c r="AG26"/>
  <c r="AF26"/>
  <c r="AE26"/>
  <c r="AD26"/>
  <c r="AK26"/>
  <c r="AS26"/>
  <c r="AJ26"/>
  <c r="AR26"/>
  <c r="AP26"/>
  <c r="O26"/>
  <c r="Q26"/>
  <c r="AA26"/>
  <c r="AO26"/>
  <c r="P26"/>
  <c r="T26"/>
  <c r="S26"/>
  <c r="AN26"/>
  <c r="AM26"/>
  <c r="R26"/>
  <c r="AI25"/>
  <c r="AB25"/>
  <c r="AH25"/>
  <c r="AQ25"/>
  <c r="AG25"/>
  <c r="AF25"/>
  <c r="AE25"/>
  <c r="AD25"/>
  <c r="AK25"/>
  <c r="AS25"/>
  <c r="AJ25"/>
  <c r="AR25"/>
  <c r="AP25"/>
  <c r="O25"/>
  <c r="Q25"/>
  <c r="AA25"/>
  <c r="AO25"/>
  <c r="P25"/>
  <c r="T25"/>
  <c r="S25"/>
  <c r="AN25"/>
  <c r="AM25"/>
  <c r="R25"/>
  <c r="AI24"/>
  <c r="AB24"/>
  <c r="AH24"/>
  <c r="AQ24"/>
  <c r="AG24"/>
  <c r="AF24"/>
  <c r="AE24"/>
  <c r="AD24"/>
  <c r="AK24"/>
  <c r="AS24"/>
  <c r="AJ24"/>
  <c r="AR24"/>
  <c r="AP24"/>
  <c r="O24"/>
  <c r="Q24"/>
  <c r="AA24"/>
  <c r="AO24"/>
  <c r="P24"/>
  <c r="T24"/>
  <c r="S24"/>
  <c r="AN24"/>
  <c r="AM24"/>
  <c r="R24"/>
  <c r="AI23"/>
  <c r="AB23"/>
  <c r="AH23"/>
  <c r="AQ23"/>
  <c r="AG23"/>
  <c r="AF23"/>
  <c r="AE23"/>
  <c r="AD23"/>
  <c r="AK23"/>
  <c r="AS23"/>
  <c r="AJ23"/>
  <c r="AR23"/>
  <c r="AP23"/>
  <c r="O23"/>
  <c r="Q23"/>
  <c r="AA23"/>
  <c r="AO23"/>
  <c r="P23"/>
  <c r="T23"/>
  <c r="S23"/>
  <c r="AN23"/>
  <c r="AM23"/>
  <c r="R23"/>
  <c r="AI22"/>
  <c r="AB22"/>
  <c r="AH22"/>
  <c r="AQ22"/>
  <c r="AG22"/>
  <c r="AF22"/>
  <c r="AE22"/>
  <c r="AD22"/>
  <c r="AK22"/>
  <c r="AS22"/>
  <c r="AJ22"/>
  <c r="AR22"/>
  <c r="AP22"/>
  <c r="O22"/>
  <c r="Q22"/>
  <c r="AA22"/>
  <c r="AO22"/>
  <c r="P22"/>
  <c r="T22"/>
  <c r="S22"/>
  <c r="AN22"/>
  <c r="AM22"/>
  <c r="R22"/>
  <c r="AI21"/>
  <c r="AB21"/>
  <c r="AH21"/>
  <c r="AQ21"/>
  <c r="AG21"/>
  <c r="AF21"/>
  <c r="AE21"/>
  <c r="AD21"/>
  <c r="AK21"/>
  <c r="AS21"/>
  <c r="AJ21"/>
  <c r="AR21"/>
  <c r="AP21"/>
  <c r="O21"/>
  <c r="Q21"/>
  <c r="AA21"/>
  <c r="AO21"/>
  <c r="P21"/>
  <c r="T21"/>
  <c r="S21"/>
  <c r="AN21"/>
  <c r="AM21"/>
  <c r="R21"/>
  <c r="AI20"/>
  <c r="AB20"/>
  <c r="AH20"/>
  <c r="AQ20"/>
  <c r="AG20"/>
  <c r="AF20"/>
  <c r="AE20"/>
  <c r="AD20"/>
  <c r="AK20"/>
  <c r="AS20"/>
  <c r="AJ20"/>
  <c r="AR20"/>
  <c r="AP20"/>
  <c r="O20"/>
  <c r="Q20"/>
  <c r="AA20"/>
  <c r="AO20"/>
  <c r="P20"/>
  <c r="T20"/>
  <c r="S20"/>
  <c r="AN20"/>
  <c r="AM20"/>
  <c r="R20"/>
  <c r="AI19"/>
  <c r="AB19"/>
  <c r="AH19"/>
  <c r="AQ19"/>
  <c r="AG19"/>
  <c r="AF19"/>
  <c r="AE19"/>
  <c r="AD19"/>
  <c r="AK19"/>
  <c r="AS19"/>
  <c r="AJ19"/>
  <c r="AR19"/>
  <c r="AP19"/>
  <c r="O19"/>
  <c r="Q19"/>
  <c r="AA19"/>
  <c r="AO19"/>
  <c r="P19"/>
  <c r="T19"/>
  <c r="S19"/>
  <c r="AN19"/>
  <c r="AM19"/>
  <c r="R19"/>
  <c r="AI18"/>
  <c r="AB18"/>
  <c r="AH18"/>
  <c r="AQ18"/>
  <c r="AG18"/>
  <c r="AF18"/>
  <c r="AE18"/>
  <c r="AD18"/>
  <c r="AK18"/>
  <c r="AS18"/>
  <c r="AJ18"/>
  <c r="AR18"/>
  <c r="AP18"/>
  <c r="O18"/>
  <c r="Q18"/>
  <c r="AA18"/>
  <c r="AO18"/>
  <c r="P18"/>
  <c r="T18"/>
  <c r="S18"/>
  <c r="AN18"/>
  <c r="AM18"/>
  <c r="R18"/>
  <c r="AI17"/>
  <c r="AB17"/>
  <c r="AH17"/>
  <c r="AQ17"/>
  <c r="AG17"/>
  <c r="AF17"/>
  <c r="AE17"/>
  <c r="AD17"/>
  <c r="AK17"/>
  <c r="AS17"/>
  <c r="AJ17"/>
  <c r="AR17"/>
  <c r="AP17"/>
  <c r="O17"/>
  <c r="Q17"/>
  <c r="AA17"/>
  <c r="AO17"/>
  <c r="P17"/>
  <c r="T17"/>
  <c r="S17"/>
  <c r="AN17"/>
  <c r="AM17"/>
  <c r="R17"/>
  <c r="AI16"/>
  <c r="AB16"/>
  <c r="AH16"/>
  <c r="AQ16"/>
  <c r="AG16"/>
  <c r="AF16"/>
  <c r="AE16"/>
  <c r="AD16"/>
  <c r="AK16"/>
  <c r="AS16"/>
  <c r="AJ16"/>
  <c r="AR16"/>
  <c r="AP16"/>
  <c r="O16"/>
  <c r="Q16"/>
  <c r="AA16"/>
  <c r="AO16"/>
  <c r="P16"/>
  <c r="T16"/>
  <c r="S16"/>
  <c r="AN16"/>
  <c r="AM16"/>
  <c r="R16"/>
  <c r="AI15"/>
  <c r="AB15"/>
  <c r="AH15"/>
  <c r="AQ15"/>
  <c r="AG15"/>
  <c r="AF15"/>
  <c r="AE15"/>
  <c r="AD15"/>
  <c r="AK15"/>
  <c r="AS15"/>
  <c r="AJ15"/>
  <c r="AR15"/>
  <c r="AP15"/>
  <c r="O15"/>
  <c r="Q15"/>
  <c r="AA15"/>
  <c r="AO15"/>
  <c r="P15"/>
  <c r="T15"/>
  <c r="S15"/>
  <c r="AN15"/>
  <c r="AM15"/>
  <c r="R15"/>
  <c r="AI14"/>
  <c r="AB14"/>
  <c r="AH14"/>
  <c r="AQ14"/>
  <c r="AG14"/>
  <c r="AF14"/>
  <c r="AE14"/>
  <c r="AD14"/>
  <c r="AK14"/>
  <c r="AS14"/>
  <c r="AJ14"/>
  <c r="AR14"/>
  <c r="AP14"/>
  <c r="O14"/>
  <c r="Q14"/>
  <c r="AA14"/>
  <c r="AO14"/>
  <c r="P14"/>
  <c r="T14"/>
  <c r="S14"/>
  <c r="AN14"/>
  <c r="AM14"/>
  <c r="R14"/>
  <c r="AI13"/>
  <c r="AB13"/>
  <c r="AH13"/>
  <c r="AQ13"/>
  <c r="AG13"/>
  <c r="AF13"/>
  <c r="AE13"/>
  <c r="AD13"/>
  <c r="AK13"/>
  <c r="AS13"/>
  <c r="AJ13"/>
  <c r="AR13"/>
  <c r="AP13"/>
  <c r="O13"/>
  <c r="Q13"/>
  <c r="AA13"/>
  <c r="AO13"/>
  <c r="P13"/>
  <c r="T13"/>
  <c r="S13"/>
  <c r="AN13"/>
  <c r="AM13"/>
  <c r="R13"/>
  <c r="AI12"/>
  <c r="AB12"/>
  <c r="AH12"/>
  <c r="AQ12"/>
  <c r="AG12"/>
  <c r="AF12"/>
  <c r="AE12"/>
  <c r="AD12"/>
  <c r="AK12"/>
  <c r="AS12"/>
  <c r="AJ12"/>
  <c r="AR12"/>
  <c r="AP12"/>
  <c r="O12"/>
  <c r="Q12"/>
  <c r="AA12"/>
  <c r="AO12"/>
  <c r="P12"/>
  <c r="T12"/>
  <c r="S12"/>
  <c r="AN12"/>
  <c r="AM12"/>
  <c r="R12"/>
  <c r="AI11"/>
  <c r="AB11"/>
  <c r="AH11"/>
  <c r="AQ11"/>
  <c r="AG11"/>
  <c r="AF11"/>
  <c r="AE11"/>
  <c r="AD11"/>
  <c r="AK11"/>
  <c r="AS11"/>
  <c r="AJ11"/>
  <c r="AR11"/>
  <c r="AP11"/>
  <c r="O11"/>
  <c r="Q11"/>
  <c r="AA11"/>
  <c r="AO11"/>
  <c r="P11"/>
  <c r="T11"/>
  <c r="S11"/>
  <c r="AN11"/>
  <c r="AM11"/>
  <c r="R11"/>
  <c r="AI10"/>
  <c r="AB10"/>
  <c r="AH10"/>
  <c r="AQ10"/>
  <c r="AG10"/>
  <c r="AF10"/>
  <c r="AE10"/>
  <c r="AD10"/>
  <c r="AK10"/>
  <c r="AS10"/>
  <c r="AJ10"/>
  <c r="AR10"/>
  <c r="AP10"/>
  <c r="O10"/>
  <c r="Q10"/>
  <c r="AA10"/>
  <c r="AO10"/>
  <c r="P10"/>
  <c r="T10"/>
  <c r="S10"/>
  <c r="AN10"/>
  <c r="AM10"/>
  <c r="R10"/>
  <c r="AI9"/>
  <c r="AB9"/>
  <c r="AH9"/>
  <c r="AQ9"/>
  <c r="AG9"/>
  <c r="AF9"/>
  <c r="AE9"/>
  <c r="AD9"/>
  <c r="AK9"/>
  <c r="AS9"/>
  <c r="AJ9"/>
  <c r="AR9"/>
  <c r="AP9"/>
  <c r="O9"/>
  <c r="Q9"/>
  <c r="AA9"/>
  <c r="AO9"/>
  <c r="P9"/>
  <c r="T9"/>
  <c r="S9"/>
  <c r="AN9"/>
  <c r="AM9"/>
  <c r="R9"/>
  <c r="AI8"/>
  <c r="AB8"/>
  <c r="AH8"/>
  <c r="AQ8"/>
  <c r="AG8"/>
  <c r="AF8"/>
  <c r="AE8"/>
  <c r="AD8"/>
  <c r="AK8"/>
  <c r="AS8"/>
  <c r="AJ8"/>
  <c r="AR8"/>
  <c r="AP8"/>
  <c r="O8"/>
  <c r="Q8"/>
  <c r="AA8"/>
  <c r="AO8"/>
  <c r="P8"/>
  <c r="T8"/>
  <c r="S8"/>
  <c r="AN8"/>
  <c r="AM8"/>
  <c r="R8"/>
  <c r="AI7"/>
  <c r="AB7"/>
  <c r="AH7"/>
  <c r="AQ7"/>
  <c r="AG7"/>
  <c r="AF7"/>
  <c r="AE7"/>
  <c r="AD7"/>
  <c r="AK7"/>
  <c r="AS7"/>
  <c r="AJ7"/>
  <c r="AR7"/>
  <c r="AP7"/>
  <c r="O7"/>
  <c r="Q7"/>
  <c r="AA7"/>
  <c r="AO7"/>
  <c r="P7"/>
  <c r="T7"/>
  <c r="S7"/>
  <c r="AN7"/>
  <c r="AM7"/>
  <c r="R7"/>
  <c r="AI6"/>
  <c r="AB6"/>
  <c r="AH6"/>
  <c r="AQ6"/>
  <c r="AG6"/>
  <c r="AF6"/>
  <c r="AE6"/>
  <c r="AD6"/>
  <c r="AK6"/>
  <c r="AS6"/>
  <c r="AJ6"/>
  <c r="AR6"/>
  <c r="AP6"/>
  <c r="O6"/>
  <c r="Q6"/>
  <c r="AA6"/>
  <c r="AO6"/>
  <c r="P6"/>
  <c r="T6"/>
  <c r="S6"/>
  <c r="AN6"/>
  <c r="AM6"/>
  <c r="R6"/>
  <c r="AI5"/>
  <c r="AB5"/>
  <c r="AH5"/>
  <c r="AQ5"/>
  <c r="AG5"/>
  <c r="AF5"/>
  <c r="AE5"/>
  <c r="AD5"/>
  <c r="AK5"/>
  <c r="AS5"/>
  <c r="AJ5"/>
  <c r="AR5"/>
  <c r="AP5"/>
  <c r="O5"/>
  <c r="Q5"/>
  <c r="AA5"/>
  <c r="AO5"/>
  <c r="P5"/>
  <c r="T5"/>
  <c r="S5"/>
  <c r="AN5"/>
  <c r="AM5"/>
  <c r="R5"/>
  <c r="AI4"/>
  <c r="AB4"/>
  <c r="AH4"/>
  <c r="AQ4"/>
  <c r="AG4"/>
  <c r="AF4"/>
  <c r="AE4"/>
  <c r="AD4"/>
  <c r="AK4"/>
  <c r="AS4"/>
  <c r="AJ4"/>
  <c r="AR4"/>
  <c r="AP4"/>
  <c r="O4"/>
  <c r="Q4"/>
  <c r="AA4"/>
  <c r="AO4"/>
  <c r="P4"/>
  <c r="T4"/>
  <c r="S4"/>
  <c r="AN4"/>
  <c r="AM4"/>
  <c r="R4"/>
  <c r="AI3"/>
  <c r="AB3"/>
  <c r="AH3"/>
  <c r="AQ3"/>
  <c r="AG3"/>
  <c r="AF3"/>
  <c r="AE3"/>
  <c r="AD3"/>
  <c r="AK3"/>
  <c r="AS3"/>
  <c r="AJ3"/>
  <c r="AR3"/>
  <c r="AP3"/>
  <c r="O3"/>
  <c r="Q3"/>
  <c r="AA3"/>
  <c r="AO3"/>
  <c r="P3"/>
  <c r="T3"/>
  <c r="S3"/>
  <c r="AN3"/>
  <c r="AM3"/>
  <c r="R3"/>
  <c r="AI2"/>
  <c r="AB2"/>
  <c r="AH2"/>
  <c r="AQ2"/>
  <c r="AG2"/>
  <c r="AF2"/>
  <c r="AE2"/>
  <c r="AD2"/>
  <c r="AK2"/>
  <c r="AS2"/>
  <c r="AJ2"/>
  <c r="AR2"/>
  <c r="AP2"/>
  <c r="O2"/>
  <c r="Q2"/>
  <c r="AA2"/>
  <c r="AO2"/>
  <c r="P2"/>
  <c r="T2"/>
  <c r="S2"/>
  <c r="AN2"/>
  <c r="AM2"/>
  <c r="R2"/>
  <c r="AI1"/>
  <c r="AB1"/>
  <c r="AH1"/>
  <c r="AQ1"/>
  <c r="AG1"/>
  <c r="AF1"/>
  <c r="AE1"/>
  <c r="AD1"/>
  <c r="AK1"/>
  <c r="AS1"/>
  <c r="AJ1"/>
  <c r="AR1"/>
  <c r="AP1"/>
  <c r="O1"/>
  <c r="Q1"/>
  <c r="AA1"/>
  <c r="AO1"/>
  <c r="P1"/>
  <c r="T1"/>
  <c r="S1"/>
  <c r="AN1"/>
  <c r="AM1"/>
  <c r="R1"/>
  <c r="AL1189"/>
  <c r="AL1188"/>
  <c r="AL1187"/>
  <c r="AL1186"/>
  <c r="AL1185"/>
  <c r="AL1184"/>
  <c r="AL1183"/>
  <c r="AL1182"/>
  <c r="AL1181"/>
  <c r="AL1180"/>
  <c r="AL1179"/>
  <c r="AL1178"/>
  <c r="AL1177"/>
  <c r="AL1176"/>
  <c r="AL1175"/>
  <c r="AL1174"/>
  <c r="AL1173"/>
  <c r="AL1172"/>
  <c r="AL1171"/>
  <c r="AL1170"/>
  <c r="AL1169"/>
  <c r="AL1168"/>
  <c r="AL1167"/>
  <c r="AL1166"/>
  <c r="AL1165"/>
  <c r="AL1164"/>
  <c r="AL1163"/>
  <c r="AL1162"/>
  <c r="AL1161"/>
  <c r="AL1160"/>
  <c r="AL1159"/>
  <c r="AL1158"/>
  <c r="AL1157"/>
  <c r="AL1156"/>
  <c r="AL1155"/>
  <c r="AL1154"/>
  <c r="AL1153"/>
  <c r="AL1152"/>
  <c r="AL1151"/>
  <c r="AL1150"/>
  <c r="AL1149"/>
  <c r="AL1148"/>
  <c r="AL1147"/>
  <c r="AL1146"/>
  <c r="AL1145"/>
  <c r="AL1144"/>
  <c r="AL1143"/>
  <c r="AL1142"/>
  <c r="AL1141"/>
  <c r="AL1140"/>
  <c r="AL1139"/>
  <c r="AL1138"/>
  <c r="AL1137"/>
  <c r="AL1136"/>
  <c r="AL1135"/>
  <c r="AL1134"/>
  <c r="AL1133"/>
  <c r="AL1132"/>
  <c r="AL1131"/>
  <c r="AL1130"/>
  <c r="AL1129"/>
  <c r="AL1128"/>
  <c r="AL1127"/>
  <c r="AL1126"/>
  <c r="AL1125"/>
  <c r="AL1124"/>
  <c r="AL1123"/>
  <c r="AL1122"/>
  <c r="AL1121"/>
  <c r="AL1120"/>
  <c r="AL1119"/>
  <c r="AL1118"/>
  <c r="AL1117"/>
  <c r="AL1116"/>
  <c r="AL1115"/>
  <c r="AL1114"/>
  <c r="AL1113"/>
  <c r="AL1112"/>
  <c r="AL1111"/>
  <c r="AL1110"/>
  <c r="AL1109"/>
  <c r="AL1108"/>
  <c r="AL1107"/>
  <c r="AL1106"/>
  <c r="AL1105"/>
  <c r="AL1104"/>
  <c r="AL1103"/>
  <c r="AL1102"/>
  <c r="AL1101"/>
  <c r="AL1100"/>
  <c r="AL1099"/>
  <c r="AL1098"/>
  <c r="AL1097"/>
  <c r="AL1096"/>
  <c r="AL1095"/>
  <c r="AL1094"/>
  <c r="AL1093"/>
  <c r="AL1092"/>
  <c r="AL1091"/>
  <c r="AL1090"/>
  <c r="AL1089"/>
  <c r="AL1088"/>
  <c r="AL1087"/>
  <c r="AL1086"/>
  <c r="AL1085"/>
  <c r="AL1084"/>
  <c r="AL1083"/>
  <c r="AL1082"/>
  <c r="AL1081"/>
  <c r="AL1080"/>
  <c r="AL1079"/>
  <c r="AL1078"/>
  <c r="AL1077"/>
  <c r="AL1076"/>
  <c r="AL1075"/>
  <c r="AL1074"/>
  <c r="AL1073"/>
  <c r="AL1072"/>
  <c r="AL1071"/>
  <c r="AL1070"/>
  <c r="AL1069"/>
  <c r="AL1068"/>
  <c r="AL1067"/>
  <c r="AL1066"/>
  <c r="AL1065"/>
  <c r="AL1064"/>
  <c r="AL1063"/>
  <c r="AL1062"/>
  <c r="AL1061"/>
  <c r="AL1060"/>
  <c r="AL1059"/>
  <c r="AL1058"/>
  <c r="AL1057"/>
  <c r="AL1056"/>
  <c r="AL1055"/>
  <c r="AL1054"/>
  <c r="AL1053"/>
  <c r="AL1052"/>
  <c r="AL1051"/>
  <c r="AL1050"/>
  <c r="AL1049"/>
  <c r="AL1048"/>
  <c r="AL1047"/>
  <c r="AL1046"/>
  <c r="AL1045"/>
  <c r="AL1044"/>
  <c r="AL1043"/>
  <c r="AL1042"/>
  <c r="AL1041"/>
  <c r="AL1040"/>
  <c r="AL1039"/>
  <c r="AL1038"/>
  <c r="AL1037"/>
  <c r="AL1036"/>
  <c r="AL1035"/>
  <c r="AL1034"/>
  <c r="AL1033"/>
  <c r="AL1032"/>
  <c r="AL1031"/>
  <c r="AL1030"/>
  <c r="AL1029"/>
  <c r="AL1028"/>
  <c r="AL1027"/>
  <c r="AL1026"/>
  <c r="AL1025"/>
  <c r="AL1024"/>
  <c r="AL1023"/>
  <c r="AL1022"/>
  <c r="AL1021"/>
  <c r="AL1020"/>
  <c r="AL1019"/>
  <c r="AL1018"/>
  <c r="AL1017"/>
  <c r="AL1016"/>
  <c r="AL1015"/>
  <c r="AL1014"/>
  <c r="AL1013"/>
  <c r="AL1012"/>
  <c r="AL1011"/>
  <c r="AL1010"/>
  <c r="AL1009"/>
  <c r="AL1008"/>
  <c r="AL1007"/>
  <c r="AL1006"/>
  <c r="AL1005"/>
  <c r="AL1004"/>
  <c r="AL1003"/>
  <c r="AL1002"/>
  <c r="AL1001"/>
  <c r="AL1000"/>
  <c r="AL999"/>
  <c r="AL998"/>
  <c r="AL997"/>
  <c r="AL996"/>
  <c r="AL995"/>
  <c r="AL994"/>
  <c r="AL993"/>
  <c r="AL992"/>
  <c r="AL991"/>
  <c r="AL990"/>
  <c r="AL989"/>
  <c r="AL988"/>
  <c r="AL987"/>
  <c r="AL986"/>
  <c r="AL985"/>
  <c r="AL984"/>
  <c r="AL983"/>
  <c r="AL982"/>
  <c r="AL981"/>
  <c r="AL980"/>
  <c r="AL979"/>
  <c r="AL978"/>
  <c r="AL977"/>
  <c r="AL976"/>
  <c r="AL975"/>
  <c r="AL974"/>
  <c r="AL973"/>
  <c r="AL972"/>
  <c r="AL971"/>
  <c r="AL970"/>
  <c r="AL969"/>
  <c r="AL968"/>
  <c r="AL967"/>
  <c r="AL966"/>
  <c r="AL965"/>
  <c r="AL964"/>
  <c r="AL963"/>
  <c r="AL962"/>
  <c r="AL961"/>
  <c r="AL960"/>
  <c r="AL959"/>
  <c r="AL958"/>
  <c r="AL957"/>
  <c r="AL956"/>
  <c r="AL955"/>
  <c r="AL954"/>
  <c r="AL953"/>
  <c r="AL952"/>
  <c r="AL951"/>
  <c r="AL950"/>
  <c r="AL949"/>
  <c r="AL948"/>
  <c r="AL947"/>
  <c r="AL946"/>
  <c r="AL945"/>
  <c r="AL944"/>
  <c r="AL943"/>
  <c r="AL942"/>
  <c r="AL941"/>
  <c r="AL940"/>
  <c r="AL939"/>
  <c r="AL938"/>
  <c r="AL937"/>
  <c r="AL936"/>
  <c r="AL935"/>
  <c r="AL934"/>
  <c r="AL933"/>
  <c r="AL932"/>
  <c r="AL931"/>
  <c r="AL930"/>
  <c r="AL929"/>
  <c r="AL928"/>
  <c r="AL927"/>
  <c r="AL926"/>
  <c r="AL925"/>
  <c r="AL924"/>
  <c r="AL923"/>
  <c r="AL922"/>
  <c r="AL921"/>
  <c r="AL920"/>
  <c r="AL919"/>
  <c r="AL918"/>
  <c r="AL917"/>
  <c r="AL916"/>
  <c r="AL915"/>
  <c r="AL914"/>
  <c r="AL913"/>
  <c r="AL912"/>
  <c r="AL911"/>
  <c r="AL910"/>
  <c r="AL909"/>
  <c r="AL908"/>
  <c r="AL907"/>
  <c r="AL906"/>
  <c r="AL905"/>
  <c r="AL904"/>
  <c r="AL903"/>
  <c r="AL902"/>
  <c r="AL901"/>
  <c r="AL900"/>
  <c r="AL899"/>
  <c r="AL898"/>
  <c r="AL897"/>
  <c r="AL896"/>
  <c r="AL895"/>
  <c r="AL894"/>
  <c r="AL893"/>
  <c r="AL892"/>
  <c r="AL891"/>
  <c r="AL890"/>
  <c r="AL889"/>
  <c r="AL888"/>
  <c r="AL887"/>
  <c r="AL886"/>
  <c r="AL885"/>
  <c r="AL884"/>
  <c r="AL883"/>
  <c r="AL882"/>
  <c r="AL881"/>
  <c r="AL880"/>
  <c r="AL879"/>
  <c r="AL878"/>
  <c r="AL877"/>
  <c r="AL876"/>
  <c r="AL875"/>
  <c r="AL874"/>
  <c r="AL873"/>
  <c r="AL872"/>
  <c r="AL871"/>
  <c r="AL870"/>
  <c r="AL869"/>
  <c r="AL868"/>
  <c r="AL867"/>
  <c r="AL866"/>
  <c r="AL865"/>
  <c r="AL864"/>
  <c r="AL863"/>
  <c r="AL862"/>
  <c r="AL861"/>
  <c r="AL860"/>
  <c r="AL859"/>
  <c r="AL858"/>
  <c r="AL857"/>
  <c r="AL856"/>
  <c r="AL855"/>
  <c r="AL854"/>
  <c r="AL853"/>
  <c r="AL852"/>
  <c r="AL851"/>
  <c r="AL850"/>
  <c r="AL849"/>
  <c r="AL848"/>
  <c r="AL847"/>
  <c r="AL846"/>
  <c r="AL845"/>
  <c r="AL844"/>
  <c r="AL843"/>
  <c r="AL842"/>
  <c r="AL841"/>
  <c r="AL840"/>
  <c r="AL839"/>
  <c r="AL838"/>
  <c r="AL837"/>
  <c r="AL836"/>
  <c r="AL835"/>
  <c r="AL834"/>
  <c r="AL833"/>
  <c r="AL832"/>
  <c r="AL831"/>
  <c r="AL830"/>
  <c r="AL829"/>
  <c r="AL828"/>
  <c r="AL827"/>
  <c r="AL826"/>
  <c r="AL825"/>
  <c r="AL824"/>
  <c r="AL823"/>
  <c r="AL822"/>
  <c r="AL821"/>
  <c r="AL820"/>
  <c r="AL819"/>
  <c r="AL818"/>
  <c r="AL817"/>
  <c r="AL816"/>
  <c r="AL815"/>
  <c r="AL814"/>
  <c r="AL813"/>
  <c r="AL812"/>
  <c r="AL811"/>
  <c r="AL810"/>
  <c r="AL809"/>
  <c r="AL808"/>
  <c r="AL807"/>
  <c r="AL806"/>
  <c r="AL805"/>
  <c r="AL804"/>
  <c r="AL803"/>
  <c r="AL802"/>
  <c r="AL801"/>
  <c r="AL800"/>
  <c r="AL799"/>
  <c r="AL798"/>
  <c r="AL797"/>
  <c r="AL796"/>
  <c r="AL795"/>
  <c r="AL794"/>
  <c r="AL793"/>
  <c r="AL792"/>
  <c r="AL791"/>
  <c r="AL790"/>
  <c r="AL789"/>
  <c r="AL788"/>
  <c r="AL787"/>
  <c r="AL786"/>
  <c r="AL785"/>
  <c r="AL784"/>
  <c r="AL783"/>
  <c r="AL782"/>
  <c r="AL781"/>
  <c r="AL780"/>
  <c r="AL779"/>
  <c r="AL778"/>
  <c r="AL777"/>
  <c r="AL776"/>
  <c r="AL775"/>
  <c r="AL774"/>
  <c r="AL773"/>
  <c r="AL772"/>
  <c r="AL771"/>
  <c r="AL770"/>
  <c r="AL769"/>
  <c r="AL768"/>
  <c r="AL767"/>
  <c r="AL766"/>
  <c r="AL765"/>
  <c r="AL764"/>
  <c r="AL763"/>
  <c r="AL762"/>
  <c r="AL761"/>
  <c r="AL760"/>
  <c r="AL759"/>
  <c r="AL758"/>
  <c r="AL757"/>
  <c r="AL756"/>
  <c r="AL755"/>
  <c r="AL754"/>
  <c r="AL753"/>
  <c r="AL752"/>
  <c r="AL751"/>
  <c r="AL750"/>
  <c r="AL749"/>
  <c r="AL748"/>
  <c r="AL747"/>
  <c r="AL746"/>
  <c r="AL745"/>
  <c r="AL744"/>
  <c r="AL743"/>
  <c r="AL742"/>
  <c r="AL741"/>
  <c r="AL740"/>
  <c r="AL739"/>
  <c r="AL738"/>
  <c r="AL737"/>
  <c r="AL736"/>
  <c r="AL735"/>
  <c r="AL734"/>
  <c r="AL733"/>
  <c r="AL732"/>
  <c r="AL731"/>
  <c r="AL730"/>
  <c r="AL729"/>
  <c r="AL728"/>
  <c r="AL727"/>
  <c r="AL726"/>
  <c r="AL725"/>
  <c r="AL724"/>
  <c r="AL723"/>
  <c r="AL722"/>
  <c r="AL721"/>
  <c r="AL720"/>
  <c r="AL719"/>
  <c r="AL718"/>
  <c r="AL717"/>
  <c r="AL716"/>
  <c r="AL715"/>
  <c r="AL714"/>
  <c r="AL713"/>
  <c r="AL712"/>
  <c r="AL711"/>
  <c r="AL710"/>
  <c r="AL709"/>
  <c r="AL708"/>
  <c r="AL707"/>
  <c r="AL706"/>
  <c r="AL705"/>
  <c r="AL704"/>
  <c r="AL703"/>
  <c r="AL702"/>
  <c r="AL701"/>
  <c r="AL700"/>
  <c r="AL699"/>
  <c r="AL698"/>
  <c r="AL697"/>
  <c r="AL696"/>
  <c r="AL695"/>
  <c r="AL694"/>
  <c r="AL693"/>
  <c r="AL692"/>
  <c r="AL691"/>
  <c r="AL690"/>
  <c r="AL689"/>
  <c r="AL688"/>
  <c r="AL687"/>
  <c r="AL686"/>
  <c r="AL685"/>
  <c r="AL684"/>
  <c r="AL683"/>
  <c r="AL682"/>
  <c r="AL681"/>
  <c r="AL680"/>
  <c r="AL679"/>
  <c r="AL678"/>
  <c r="AL677"/>
  <c r="AL676"/>
  <c r="AL675"/>
  <c r="AL674"/>
  <c r="AL673"/>
  <c r="AL672"/>
  <c r="AL671"/>
  <c r="AL670"/>
  <c r="AL669"/>
  <c r="AL668"/>
  <c r="AL667"/>
  <c r="AL666"/>
  <c r="AL665"/>
  <c r="AL664"/>
  <c r="AL663"/>
  <c r="AL662"/>
  <c r="AL661"/>
  <c r="AL660"/>
  <c r="AL659"/>
  <c r="AL658"/>
  <c r="AL657"/>
  <c r="AL656"/>
  <c r="AL655"/>
  <c r="AL654"/>
  <c r="AL653"/>
  <c r="AL652"/>
  <c r="AL651"/>
  <c r="AL650"/>
  <c r="AL649"/>
  <c r="AL648"/>
  <c r="AL647"/>
  <c r="AL646"/>
  <c r="AL645"/>
  <c r="AL644"/>
  <c r="AL643"/>
  <c r="AL642"/>
  <c r="AL641"/>
  <c r="AL640"/>
  <c r="AL639"/>
  <c r="AL638"/>
  <c r="AL637"/>
  <c r="AL636"/>
  <c r="AL635"/>
  <c r="AL634"/>
  <c r="AL633"/>
  <c r="AL632"/>
  <c r="AL631"/>
  <c r="AL630"/>
  <c r="AL629"/>
  <c r="AL628"/>
  <c r="AL627"/>
  <c r="AL626"/>
  <c r="AL625"/>
  <c r="AL624"/>
  <c r="AL623"/>
  <c r="AL622"/>
  <c r="AL621"/>
  <c r="AL620"/>
  <c r="AL619"/>
  <c r="AL618"/>
  <c r="AL617"/>
  <c r="AL616"/>
  <c r="AL615"/>
  <c r="AL614"/>
  <c r="AL613"/>
  <c r="AL612"/>
  <c r="AL611"/>
  <c r="AL610"/>
  <c r="AL609"/>
  <c r="AL608"/>
  <c r="AL607"/>
  <c r="AL606"/>
  <c r="AL605"/>
  <c r="AL604"/>
  <c r="AL603"/>
  <c r="AL602"/>
  <c r="AL601"/>
  <c r="AL600"/>
  <c r="AL599"/>
  <c r="AL598"/>
  <c r="AL597"/>
  <c r="AL596"/>
  <c r="AL595"/>
  <c r="AL594"/>
  <c r="AL593"/>
  <c r="AL592"/>
  <c r="AL591"/>
  <c r="AL590"/>
  <c r="AL589"/>
  <c r="AL588"/>
  <c r="AL587"/>
  <c r="AL586"/>
  <c r="AL585"/>
  <c r="AL584"/>
  <c r="AL583"/>
  <c r="AL582"/>
  <c r="AL581"/>
  <c r="AL580"/>
  <c r="AL579"/>
  <c r="AL578"/>
  <c r="AL577"/>
  <c r="AL576"/>
  <c r="AL575"/>
  <c r="AL574"/>
  <c r="AL573"/>
  <c r="AL572"/>
  <c r="AL571"/>
  <c r="AL570"/>
  <c r="AL569"/>
  <c r="AL568"/>
  <c r="AL567"/>
  <c r="AL566"/>
  <c r="AL565"/>
  <c r="AL564"/>
  <c r="AL563"/>
  <c r="AL562"/>
  <c r="AL561"/>
  <c r="AL560"/>
  <c r="AL559"/>
  <c r="AL558"/>
  <c r="AL557"/>
  <c r="AL556"/>
  <c r="AL555"/>
  <c r="AL554"/>
  <c r="AL553"/>
  <c r="AL552"/>
  <c r="AL551"/>
  <c r="AL550"/>
  <c r="AL549"/>
  <c r="AL548"/>
  <c r="AL547"/>
  <c r="AL546"/>
  <c r="AL545"/>
  <c r="AL544"/>
  <c r="AL543"/>
  <c r="AL542"/>
  <c r="AL541"/>
  <c r="AL540"/>
  <c r="AL539"/>
  <c r="AL538"/>
  <c r="AL537"/>
  <c r="AL536"/>
  <c r="AL535"/>
  <c r="AL534"/>
  <c r="AL533"/>
  <c r="AL532"/>
  <c r="AL531"/>
  <c r="AL530"/>
  <c r="AL529"/>
  <c r="AL528"/>
  <c r="AL527"/>
  <c r="AL526"/>
  <c r="AL525"/>
  <c r="AL524"/>
  <c r="AL523"/>
  <c r="AL522"/>
  <c r="AL521"/>
  <c r="AL520"/>
  <c r="AL519"/>
  <c r="AL518"/>
  <c r="AL517"/>
  <c r="AL516"/>
  <c r="AL515"/>
  <c r="AL514"/>
  <c r="AL513"/>
  <c r="AL512"/>
  <c r="AL511"/>
  <c r="AL510"/>
  <c r="AL509"/>
  <c r="AL508"/>
  <c r="AL507"/>
  <c r="AL506"/>
  <c r="AL505"/>
  <c r="AL504"/>
  <c r="AL503"/>
  <c r="AL502"/>
  <c r="AL501"/>
  <c r="AL500"/>
  <c r="AL499"/>
  <c r="AL498"/>
  <c r="AL497"/>
  <c r="AL496"/>
  <c r="AL495"/>
  <c r="AL494"/>
  <c r="AL493"/>
  <c r="AL492"/>
  <c r="AL491"/>
  <c r="AL490"/>
  <c r="AL489"/>
  <c r="AL488"/>
  <c r="AL487"/>
  <c r="AL486"/>
  <c r="AL485"/>
  <c r="AL484"/>
  <c r="AL483"/>
  <c r="AL482"/>
  <c r="AL481"/>
  <c r="AL480"/>
  <c r="AL479"/>
  <c r="AL478"/>
  <c r="AL477"/>
  <c r="AL476"/>
  <c r="AL475"/>
  <c r="AL474"/>
  <c r="AL473"/>
  <c r="AL472"/>
  <c r="AL471"/>
  <c r="AL470"/>
  <c r="AL469"/>
  <c r="AL468"/>
  <c r="AL467"/>
  <c r="AL466"/>
  <c r="AL465"/>
  <c r="AL464"/>
  <c r="AL463"/>
  <c r="AL462"/>
  <c r="AL461"/>
  <c r="AL460"/>
  <c r="AL459"/>
  <c r="AL458"/>
  <c r="AL457"/>
  <c r="AL456"/>
  <c r="AL455"/>
  <c r="AL454"/>
  <c r="AL453"/>
  <c r="AL452"/>
  <c r="AL451"/>
  <c r="AL450"/>
  <c r="AL449"/>
  <c r="AL448"/>
  <c r="AL447"/>
  <c r="AL446"/>
  <c r="AL445"/>
  <c r="AL444"/>
  <c r="AL443"/>
  <c r="AL442"/>
  <c r="AL441"/>
  <c r="AL440"/>
  <c r="AL439"/>
  <c r="AL438"/>
  <c r="AL437"/>
  <c r="AL436"/>
  <c r="AL435"/>
  <c r="AL434"/>
  <c r="AL433"/>
  <c r="AL432"/>
  <c r="AL431"/>
  <c r="AL430"/>
  <c r="AL429"/>
  <c r="AL428"/>
  <c r="AL427"/>
  <c r="AL426"/>
  <c r="AL425"/>
  <c r="AL424"/>
  <c r="AL423"/>
  <c r="AL422"/>
  <c r="AL421"/>
  <c r="AL420"/>
  <c r="AL419"/>
  <c r="AL418"/>
  <c r="AL417"/>
  <c r="AL416"/>
  <c r="AL415"/>
  <c r="AL414"/>
  <c r="AL413"/>
  <c r="AL412"/>
  <c r="AL411"/>
  <c r="AL410"/>
  <c r="AL409"/>
  <c r="AL408"/>
  <c r="AL407"/>
  <c r="AL406"/>
  <c r="AL405"/>
  <c r="AL404"/>
  <c r="AL403"/>
  <c r="AL402"/>
  <c r="AL401"/>
  <c r="AL400"/>
  <c r="AL399"/>
  <c r="AL398"/>
  <c r="AL397"/>
  <c r="AL396"/>
  <c r="AL395"/>
  <c r="AL394"/>
  <c r="AL393"/>
  <c r="AL392"/>
  <c r="AL391"/>
  <c r="AL390"/>
  <c r="AL389"/>
  <c r="AL388"/>
  <c r="AL387"/>
  <c r="AL386"/>
  <c r="AL385"/>
  <c r="AL384"/>
  <c r="AL383"/>
  <c r="AL382"/>
  <c r="AL381"/>
  <c r="AL380"/>
  <c r="AL379"/>
  <c r="AL378"/>
  <c r="AL377"/>
  <c r="AL376"/>
  <c r="AL375"/>
  <c r="AL374"/>
  <c r="AL373"/>
  <c r="AL372"/>
  <c r="AL371"/>
  <c r="AL370"/>
  <c r="AL369"/>
  <c r="AL368"/>
  <c r="AL367"/>
  <c r="AL366"/>
  <c r="AL365"/>
  <c r="AL364"/>
  <c r="AL363"/>
  <c r="AL362"/>
  <c r="AL361"/>
  <c r="AL360"/>
  <c r="AL359"/>
  <c r="AL358"/>
  <c r="AL357"/>
  <c r="AL356"/>
  <c r="AL355"/>
  <c r="AL354"/>
  <c r="AL353"/>
  <c r="AL352"/>
  <c r="AL351"/>
  <c r="AL350"/>
  <c r="AL349"/>
  <c r="AL348"/>
  <c r="AL347"/>
  <c r="AL346"/>
  <c r="AL345"/>
  <c r="AL344"/>
  <c r="AL343"/>
  <c r="AL342"/>
  <c r="AL341"/>
  <c r="AL340"/>
  <c r="AL339"/>
  <c r="AL338"/>
  <c r="AL337"/>
  <c r="AL336"/>
  <c r="AL335"/>
  <c r="AL334"/>
  <c r="AL333"/>
  <c r="AL332"/>
  <c r="AL331"/>
  <c r="AL330"/>
  <c r="AL329"/>
  <c r="AL328"/>
  <c r="AL327"/>
  <c r="AL326"/>
  <c r="AL325"/>
  <c r="AL324"/>
  <c r="AL323"/>
  <c r="AL322"/>
  <c r="AL321"/>
  <c r="AL320"/>
  <c r="AL319"/>
  <c r="AL318"/>
  <c r="AL317"/>
  <c r="AL316"/>
  <c r="AL315"/>
  <c r="AL314"/>
  <c r="AL313"/>
  <c r="AL312"/>
  <c r="AL311"/>
  <c r="AL310"/>
  <c r="AL309"/>
  <c r="AL308"/>
  <c r="AL307"/>
  <c r="AL306"/>
  <c r="AL305"/>
  <c r="AL304"/>
  <c r="AL303"/>
  <c r="AL302"/>
  <c r="AL301"/>
  <c r="AL300"/>
  <c r="AL299"/>
  <c r="AL298"/>
  <c r="AL297"/>
  <c r="AL296"/>
  <c r="AL295"/>
  <c r="AL294"/>
  <c r="AL293"/>
  <c r="AL292"/>
  <c r="AL291"/>
  <c r="AL290"/>
  <c r="AL289"/>
  <c r="AL288"/>
  <c r="AL287"/>
  <c r="AL286"/>
  <c r="AL285"/>
  <c r="AL284"/>
  <c r="AL283"/>
  <c r="AL282"/>
  <c r="AL281"/>
  <c r="AL280"/>
  <c r="AL279"/>
  <c r="AL278"/>
  <c r="AL277"/>
  <c r="AL276"/>
  <c r="AL275"/>
  <c r="AL274"/>
  <c r="AL273"/>
  <c r="AL272"/>
  <c r="AL271"/>
  <c r="AL270"/>
  <c r="AL269"/>
  <c r="AL268"/>
  <c r="AL267"/>
  <c r="AL266"/>
  <c r="AL265"/>
  <c r="AL264"/>
  <c r="AL263"/>
  <c r="AL262"/>
  <c r="AL261"/>
  <c r="AL260"/>
  <c r="AL259"/>
  <c r="AL258"/>
  <c r="AL257"/>
  <c r="AL256"/>
  <c r="AL255"/>
  <c r="AL254"/>
  <c r="AL253"/>
  <c r="AL252"/>
  <c r="AL251"/>
  <c r="AL250"/>
  <c r="AL249"/>
  <c r="AL248"/>
  <c r="AL247"/>
  <c r="AL246"/>
  <c r="AL245"/>
  <c r="AL244"/>
  <c r="AL243"/>
  <c r="AL242"/>
  <c r="AL241"/>
  <c r="AL240"/>
  <c r="AL239"/>
  <c r="AL238"/>
  <c r="AL237"/>
  <c r="AL236"/>
  <c r="AL235"/>
  <c r="AL234"/>
  <c r="AL233"/>
  <c r="AL232"/>
  <c r="AL231"/>
  <c r="AL230"/>
  <c r="AL229"/>
  <c r="AL228"/>
  <c r="AL227"/>
  <c r="AL226"/>
  <c r="AL225"/>
  <c r="AL224"/>
  <c r="AL223"/>
  <c r="AL222"/>
  <c r="AL221"/>
  <c r="AL220"/>
  <c r="AL219"/>
  <c r="AL218"/>
  <c r="AL217"/>
  <c r="AL216"/>
  <c r="AL215"/>
  <c r="AL214"/>
  <c r="AL213"/>
  <c r="AL212"/>
  <c r="AL211"/>
  <c r="AL210"/>
  <c r="AL209"/>
  <c r="AL208"/>
  <c r="AL207"/>
  <c r="AL206"/>
  <c r="AL205"/>
  <c r="AL204"/>
  <c r="AL203"/>
  <c r="AL202"/>
  <c r="AL201"/>
  <c r="AL200"/>
  <c r="AL199"/>
  <c r="AL198"/>
  <c r="AL197"/>
  <c r="AL196"/>
  <c r="AL195"/>
  <c r="AL194"/>
  <c r="AL193"/>
  <c r="AL192"/>
  <c r="AL191"/>
  <c r="AL190"/>
  <c r="AL189"/>
  <c r="AL188"/>
  <c r="AL187"/>
  <c r="AL186"/>
  <c r="AL185"/>
  <c r="AL184"/>
  <c r="AL183"/>
  <c r="AL182"/>
  <c r="AL181"/>
  <c r="AL180"/>
  <c r="AL179"/>
  <c r="AL178"/>
  <c r="AL177"/>
  <c r="AL176"/>
  <c r="AL175"/>
  <c r="AL174"/>
  <c r="AL173"/>
  <c r="AL172"/>
  <c r="AL171"/>
  <c r="AL170"/>
  <c r="AL169"/>
  <c r="AL168"/>
  <c r="AL167"/>
  <c r="AL166"/>
  <c r="AL165"/>
  <c r="AL164"/>
  <c r="AL163"/>
  <c r="AL162"/>
  <c r="AL161"/>
  <c r="AL160"/>
  <c r="AL159"/>
  <c r="AL158"/>
  <c r="AL157"/>
  <c r="AL156"/>
  <c r="AL155"/>
  <c r="AL154"/>
  <c r="AL153"/>
  <c r="AL152"/>
  <c r="AL151"/>
  <c r="AL150"/>
  <c r="AL149"/>
  <c r="AL148"/>
  <c r="AL147"/>
  <c r="AL146"/>
  <c r="AL145"/>
  <c r="AL144"/>
  <c r="AL143"/>
  <c r="AL142"/>
  <c r="AL141"/>
  <c r="AL140"/>
  <c r="AL139"/>
  <c r="AL138"/>
  <c r="AL137"/>
  <c r="AL136"/>
  <c r="AL135"/>
  <c r="AL134"/>
  <c r="AL133"/>
  <c r="AL132"/>
  <c r="AL131"/>
  <c r="AL130"/>
  <c r="AL129"/>
  <c r="AL128"/>
  <c r="AL127"/>
  <c r="AL126"/>
  <c r="AL125"/>
  <c r="AL124"/>
  <c r="AL123"/>
  <c r="AL122"/>
  <c r="AL121"/>
  <c r="AL120"/>
  <c r="AL119"/>
  <c r="AL118"/>
  <c r="AL117"/>
  <c r="AL116"/>
  <c r="AL115"/>
  <c r="AL114"/>
  <c r="AL113"/>
  <c r="AL112"/>
  <c r="AL111"/>
  <c r="AL110"/>
  <c r="AL109"/>
  <c r="AL108"/>
  <c r="AL107"/>
  <c r="AL106"/>
  <c r="AL105"/>
  <c r="AL104"/>
  <c r="AL103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L83"/>
  <c r="AL82"/>
  <c r="AL81"/>
  <c r="AL80"/>
  <c r="AL79"/>
  <c r="AL78"/>
  <c r="AL77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L4"/>
  <c r="AL3"/>
  <c r="AL2"/>
  <c r="AL1"/>
</calcChain>
</file>

<file path=xl/sharedStrings.xml><?xml version="1.0" encoding="utf-8"?>
<sst xmlns="http://schemas.openxmlformats.org/spreadsheetml/2006/main" count="16785" uniqueCount="1306">
  <si>
    <t>pnt.biblecommenter.com</t>
  </si>
  <si>
    <t>sco.biblecommenter.com</t>
  </si>
  <si>
    <t>WES</t>
  </si>
  <si>
    <t>People's New Testament</t>
  </si>
  <si>
    <t>Webster's Bible Translation</t>
  </si>
  <si>
    <t>websterbible.com</t>
  </si>
  <si>
    <t>WBS</t>
  </si>
  <si>
    <t>kjvs.scripturetext.com</t>
  </si>
  <si>
    <t>English Revised Version</t>
  </si>
  <si>
    <t>erv.scripturetext.com</t>
  </si>
  <si>
    <t>ERV</t>
  </si>
  <si>
    <t>weymouthbible.com</t>
  </si>
  <si>
    <t>WEY</t>
  </si>
  <si>
    <t>Weymouth New Testament</t>
  </si>
  <si>
    <t>TNT</t>
  </si>
  <si>
    <t>Tyndale New Testament</t>
  </si>
  <si>
    <t>tnt.scripturetext.com</t>
  </si>
  <si>
    <t>basicenglishbible.com</t>
  </si>
  <si>
    <t>Bible in Basic English</t>
  </si>
  <si>
    <t>MHC</t>
  </si>
  <si>
    <t>mhc.biblecommenter.com</t>
  </si>
  <si>
    <t>Matthew Henry's Concise Commentary</t>
  </si>
  <si>
    <t>jfb.biblecommenter.com</t>
  </si>
  <si>
    <t>JFB</t>
  </si>
  <si>
    <t>Jamieson-Fausset-Brown Bible Commentary</t>
  </si>
  <si>
    <t>KJT</t>
  </si>
  <si>
    <t>kjt.biblecommenter.com</t>
  </si>
  <si>
    <t>King James Translators' Notes</t>
  </si>
  <si>
    <t>wes.biblecommenter.com</t>
  </si>
  <si>
    <t>Wesley's Notes on the Bible</t>
  </si>
  <si>
    <t>Geneva Study Bible</t>
  </si>
  <si>
    <t>gsb.biblecommenter.com</t>
  </si>
  <si>
    <t>GSB</t>
  </si>
  <si>
    <t>nt</t>
  </si>
  <si>
    <t>all</t>
  </si>
  <si>
    <t>American Standard Version</t>
  </si>
  <si>
    <t>asvbible.com</t>
  </si>
  <si>
    <t>Douay-Rheims Bible</t>
  </si>
  <si>
    <t>drb.scripturetext.com</t>
  </si>
  <si>
    <t>DRB</t>
  </si>
  <si>
    <t>DBY</t>
  </si>
  <si>
    <t>darbybible.com</t>
  </si>
  <si>
    <t>Young's Literal Translation</t>
  </si>
  <si>
    <t>yltbible.com</t>
  </si>
  <si>
    <t>YLT</t>
  </si>
  <si>
    <t>King James Bible</t>
  </si>
  <si>
    <t>kingjbible.com</t>
  </si>
  <si>
    <t>KJV</t>
  </si>
  <si>
    <t>Darby Bible Translation</t>
  </si>
  <si>
    <t>New American Standard Bible</t>
  </si>
  <si>
    <t>nasb.scripturetext.com</t>
  </si>
  <si>
    <t>World English Bible</t>
  </si>
  <si>
    <t>worldebible.com</t>
  </si>
  <si>
    <t>WEB</t>
  </si>
  <si>
    <t>God's Word Translation</t>
  </si>
  <si>
    <t>gwt.scripturetext.com</t>
  </si>
  <si>
    <t>GWT</t>
  </si>
  <si>
    <t>Treasury of Scripture Knowledge</t>
  </si>
  <si>
    <t>tsk.scripturetext.com</t>
  </si>
  <si>
    <t>TSK</t>
  </si>
  <si>
    <t>Scofield Reference Notes</t>
  </si>
  <si>
    <t>SCO</t>
  </si>
  <si>
    <t>PNT</t>
  </si>
  <si>
    <t>King James Bible with Strong's Numbers</t>
  </si>
  <si>
    <t>$</t>
  </si>
  <si>
    <t>Genesis 12</t>
  </si>
  <si>
    <t>Genesis 13</t>
  </si>
  <si>
    <t>Genesis 14</t>
  </si>
  <si>
    <t>Genesis 15</t>
  </si>
  <si>
    <t>Genesis 16</t>
  </si>
  <si>
    <t>Genesis 17</t>
  </si>
  <si>
    <t>Genesis 18</t>
  </si>
  <si>
    <t>Genesis 19</t>
  </si>
  <si>
    <t>Genesis 20</t>
  </si>
  <si>
    <t>Genesis 21</t>
  </si>
  <si>
    <t>Genesis 22</t>
  </si>
  <si>
    <t>Genesis 23</t>
  </si>
  <si>
    <t>Genesis 24</t>
  </si>
  <si>
    <t>Genesis 25</t>
  </si>
  <si>
    <t>Genesis 26</t>
  </si>
  <si>
    <t>Genesis 27</t>
  </si>
  <si>
    <t>Genesis 28</t>
  </si>
  <si>
    <t>Genesis 29</t>
  </si>
  <si>
    <t>Genesis 30</t>
  </si>
  <si>
    <t>Genesis 31</t>
  </si>
  <si>
    <t>Genesis 32</t>
  </si>
  <si>
    <t>Genesis 33</t>
  </si>
  <si>
    <t>Genesis 34</t>
  </si>
  <si>
    <t>Genesis 35</t>
  </si>
  <si>
    <t>Genesis 36</t>
  </si>
  <si>
    <t>Genesis 37</t>
  </si>
  <si>
    <t>Genesis 38</t>
  </si>
  <si>
    <t>Genesis 39</t>
  </si>
  <si>
    <t>Genesis 40</t>
  </si>
  <si>
    <t>Genesis 41</t>
  </si>
  <si>
    <t>Genesis 42</t>
  </si>
  <si>
    <t>Genesis 43</t>
  </si>
  <si>
    <t>Genesis 44</t>
  </si>
  <si>
    <t>Genesis 45</t>
  </si>
  <si>
    <t>Genesis 46</t>
  </si>
  <si>
    <t>Genesis 47</t>
  </si>
  <si>
    <t>Genesis 48</t>
  </si>
  <si>
    <t>Genesis 49</t>
  </si>
  <si>
    <t>Genesis 50</t>
  </si>
  <si>
    <t>Exodus 1</t>
  </si>
  <si>
    <t>Exodus 2</t>
  </si>
  <si>
    <t>Exodus 3</t>
  </si>
  <si>
    <t>Exodus 4</t>
  </si>
  <si>
    <t>Exodus 5</t>
  </si>
  <si>
    <t>Exodus 6</t>
  </si>
  <si>
    <t>Exodus 7</t>
  </si>
  <si>
    <t>Exodus 8</t>
  </si>
  <si>
    <t>Exodus 9</t>
  </si>
  <si>
    <t>Exodus 10</t>
  </si>
  <si>
    <t>Exodus 11</t>
  </si>
  <si>
    <t>Exodus 12</t>
  </si>
  <si>
    <t>Exodus 13</t>
  </si>
  <si>
    <t>Exodus 14</t>
  </si>
  <si>
    <t>Exodus 15</t>
  </si>
  <si>
    <t>Exodus 16</t>
  </si>
  <si>
    <t>Exodus 17</t>
  </si>
  <si>
    <t>Exodus 18</t>
  </si>
  <si>
    <t>Exodus 19</t>
  </si>
  <si>
    <t>Exodus 20</t>
  </si>
  <si>
    <t>Exodus 21</t>
  </si>
  <si>
    <t>Exodus 22</t>
  </si>
  <si>
    <t>Exodus 23</t>
  </si>
  <si>
    <t>Exodus 24</t>
  </si>
  <si>
    <t>Exodus 25</t>
  </si>
  <si>
    <t>Exodus 26</t>
  </si>
  <si>
    <t>Exodus 27</t>
  </si>
  <si>
    <t>Exodus 28</t>
  </si>
  <si>
    <t>Exodus 29</t>
  </si>
  <si>
    <t>Exodus 30</t>
  </si>
  <si>
    <t>Exodus 31</t>
  </si>
  <si>
    <t>Exodus 32</t>
  </si>
  <si>
    <t>Exodus 33</t>
  </si>
  <si>
    <t>Exodus 34</t>
  </si>
  <si>
    <t>Exodus 35</t>
  </si>
  <si>
    <t>Exodus 36</t>
  </si>
  <si>
    <t>Exodus 37</t>
  </si>
  <si>
    <t>Exodus 38</t>
  </si>
  <si>
    <t>Exodus 39</t>
  </si>
  <si>
    <t>Exodus 40</t>
  </si>
  <si>
    <t>Leviticus 1</t>
  </si>
  <si>
    <t>Leviticus 2</t>
  </si>
  <si>
    <t>Leviticus 3</t>
  </si>
  <si>
    <t>Leviticus 4</t>
  </si>
  <si>
    <t>Leviticus 5</t>
  </si>
  <si>
    <t>Leviticus 6</t>
  </si>
  <si>
    <t>Leviticus 7</t>
  </si>
  <si>
    <t>Leviticus 8</t>
  </si>
  <si>
    <t>Leviticus 9</t>
  </si>
  <si>
    <t>Leviticus 10</t>
  </si>
  <si>
    <t>Leviticus 11</t>
  </si>
  <si>
    <t>Leviticus 12</t>
  </si>
  <si>
    <t>Leviticus 13</t>
  </si>
  <si>
    <t>Leviticus 14</t>
  </si>
  <si>
    <t>Leviticus 15</t>
  </si>
  <si>
    <t>Leviticus 16</t>
  </si>
  <si>
    <t>Leviticus 17</t>
  </si>
  <si>
    <t>Leviticus 18</t>
  </si>
  <si>
    <t>Leviticus 19</t>
  </si>
  <si>
    <t>Leviticus 20</t>
  </si>
  <si>
    <t>Leviticus 21</t>
  </si>
  <si>
    <t>Leviticus 22</t>
  </si>
  <si>
    <t>Leviticus 23</t>
  </si>
  <si>
    <t>Leviticus 24</t>
  </si>
  <si>
    <t>Leviticus 25</t>
  </si>
  <si>
    <t>Leviticus 26</t>
  </si>
  <si>
    <t>Leviticus 27</t>
  </si>
  <si>
    <t>Numbers 1</t>
  </si>
  <si>
    <t>Numbers 2</t>
  </si>
  <si>
    <t>Numbers 3</t>
  </si>
  <si>
    <t>Numbers 4</t>
  </si>
  <si>
    <t>Numbers 5</t>
  </si>
  <si>
    <t>Numbers 6</t>
  </si>
  <si>
    <t>Numbers 7</t>
  </si>
  <si>
    <t>Numbers 8</t>
  </si>
  <si>
    <t>Numbers 9</t>
  </si>
  <si>
    <t>Numbers 10</t>
  </si>
  <si>
    <t>Numbers 11</t>
  </si>
  <si>
    <t>Numbers 12</t>
  </si>
  <si>
    <t>Numbers 13</t>
  </si>
  <si>
    <t>Numbers 14</t>
  </si>
  <si>
    <t>Numbers 15</t>
  </si>
  <si>
    <t>Numbers 16</t>
  </si>
  <si>
    <t>Numbers 17</t>
  </si>
  <si>
    <t>Numbers 18</t>
  </si>
  <si>
    <t>Numbers 19</t>
  </si>
  <si>
    <t>Numbers 20</t>
  </si>
  <si>
    <t>Numbers 21</t>
  </si>
  <si>
    <t>Numbers 22</t>
  </si>
  <si>
    <t>Numbers 23</t>
  </si>
  <si>
    <t>Numbers 24</t>
  </si>
  <si>
    <t>Numbers 25</t>
  </si>
  <si>
    <t>Numbers 26</t>
  </si>
  <si>
    <t>Numbers 27</t>
  </si>
  <si>
    <t>Numbers 28</t>
  </si>
  <si>
    <t>Numbers 29</t>
  </si>
  <si>
    <t>Numbers 30</t>
  </si>
  <si>
    <t>Numbers 31</t>
  </si>
  <si>
    <t>Numbers 32</t>
  </si>
  <si>
    <t>Numbers 33</t>
  </si>
  <si>
    <t>Numbers 34</t>
  </si>
  <si>
    <t>Numbers 35</t>
  </si>
  <si>
    <t>Numbers 36</t>
  </si>
  <si>
    <t>Deuteronomy 1</t>
  </si>
  <si>
    <t>Deuteronomy 2</t>
  </si>
  <si>
    <t>Deuteronomy 3</t>
  </si>
  <si>
    <t>Deuteronomy 4</t>
  </si>
  <si>
    <t>Deuteronomy 5</t>
  </si>
  <si>
    <t>Deuteronomy 6</t>
  </si>
  <si>
    <t>Deuteronomy 7</t>
  </si>
  <si>
    <t>Deuteronomy 8</t>
  </si>
  <si>
    <t>Deuteronomy 9</t>
  </si>
  <si>
    <t>Deuteronomy 10</t>
  </si>
  <si>
    <t>Deuteronomy 11</t>
  </si>
  <si>
    <t>Deuteronomy 12</t>
  </si>
  <si>
    <t>Deuteronomy 13</t>
  </si>
  <si>
    <t>Deuteronomy 14</t>
  </si>
  <si>
    <t>Deuteronomy 15</t>
  </si>
  <si>
    <t>Deuteronomy 16</t>
  </si>
  <si>
    <t>Deuteronomy 17</t>
  </si>
  <si>
    <t>Deuteronomy 18</t>
  </si>
  <si>
    <t>Deuteronomy 19</t>
  </si>
  <si>
    <t>Deuteronomy 20</t>
  </si>
  <si>
    <t>Deuteronomy 21</t>
  </si>
  <si>
    <t>Deuteronomy 22</t>
  </si>
  <si>
    <t>Deuteronomy 23</t>
  </si>
  <si>
    <t>Deuteronomy 24</t>
  </si>
  <si>
    <t>Deuteronomy 25</t>
  </si>
  <si>
    <t>Deuteronomy 26</t>
  </si>
  <si>
    <t>Deuteronomy 27</t>
  </si>
  <si>
    <t>Deuteronomy 28</t>
  </si>
  <si>
    <t>Deuteronomy 29</t>
  </si>
  <si>
    <t>Deuteronomy 30</t>
  </si>
  <si>
    <t>Deuteronomy 31</t>
  </si>
  <si>
    <t>Deuteronomy 32</t>
  </si>
  <si>
    <t>Deuteronomy 33</t>
  </si>
  <si>
    <t>Deuteronomy 34</t>
  </si>
  <si>
    <t>Joshua 1</t>
  </si>
  <si>
    <t>Joshua 2</t>
  </si>
  <si>
    <t>Joshua 3</t>
  </si>
  <si>
    <t>Joshua 4</t>
  </si>
  <si>
    <t>Joshua 5</t>
  </si>
  <si>
    <t>Joshua 6</t>
  </si>
  <si>
    <t>Joshua 7</t>
  </si>
  <si>
    <t>Joshua 8</t>
  </si>
  <si>
    <t>Joshua 9</t>
  </si>
  <si>
    <t>Joshua 10</t>
  </si>
  <si>
    <t>Joshua 11</t>
  </si>
  <si>
    <t>Joshua 12</t>
  </si>
  <si>
    <t>Joshua 13</t>
  </si>
  <si>
    <t>Joshua 14</t>
  </si>
  <si>
    <t>Joshua 15</t>
  </si>
  <si>
    <t>Joshua 16</t>
  </si>
  <si>
    <t>Joshua 17</t>
  </si>
  <si>
    <t>Joshua 18</t>
  </si>
  <si>
    <t>Joshua 19</t>
  </si>
  <si>
    <t>Joshua 20</t>
  </si>
  <si>
    <t>Joshua 21</t>
  </si>
  <si>
    <t>Joshua 22</t>
  </si>
  <si>
    <t>Joshua 23</t>
  </si>
  <si>
    <t>Joshua 24</t>
  </si>
  <si>
    <t>Judges 1</t>
  </si>
  <si>
    <t>Judges 2</t>
  </si>
  <si>
    <t>Judges 3</t>
  </si>
  <si>
    <t>Judges 4</t>
  </si>
  <si>
    <t>Judges 5</t>
  </si>
  <si>
    <t>Judges 6</t>
  </si>
  <si>
    <t>Judges 7</t>
  </si>
  <si>
    <t>Judges 8</t>
  </si>
  <si>
    <t>Judges 9</t>
  </si>
  <si>
    <t>Judges 10</t>
  </si>
  <si>
    <t>Judges 11</t>
  </si>
  <si>
    <t>Judges 12</t>
  </si>
  <si>
    <t>Judges 13</t>
  </si>
  <si>
    <t>Judges 14</t>
  </si>
  <si>
    <t>Judges 15</t>
  </si>
  <si>
    <t>Judges 16</t>
  </si>
  <si>
    <t>Judges 17</t>
  </si>
  <si>
    <t>Judges 18</t>
  </si>
  <si>
    <t>Judges 19</t>
  </si>
  <si>
    <t>Judges 20</t>
  </si>
  <si>
    <t>Judges 21</t>
  </si>
  <si>
    <t>Ruth 1</t>
  </si>
  <si>
    <t>Ruth 2</t>
  </si>
  <si>
    <t>Ruth 3</t>
  </si>
  <si>
    <t>Ruth 4</t>
  </si>
  <si>
    <t>1 Samuel 1</t>
  </si>
  <si>
    <t>1 Samuel 2</t>
  </si>
  <si>
    <t>1 Samuel 3</t>
  </si>
  <si>
    <t>1 Samuel 4</t>
  </si>
  <si>
    <t>1 Samuel 5</t>
  </si>
  <si>
    <t>1 Samuel 6</t>
  </si>
  <si>
    <t>1 Samuel 7</t>
  </si>
  <si>
    <t>1 Samuel 8</t>
  </si>
  <si>
    <t>1 Samuel 9</t>
  </si>
  <si>
    <t>1 Samuel 10</t>
  </si>
  <si>
    <t>1 Samuel 11</t>
  </si>
  <si>
    <t>1 Samuel 12</t>
  </si>
  <si>
    <t>1 Samuel 13</t>
  </si>
  <si>
    <t>1 Samuel 14</t>
  </si>
  <si>
    <t>1 Samuel 15</t>
  </si>
  <si>
    <t>1 Samuel 16</t>
  </si>
  <si>
    <t>1 Samuel 17</t>
  </si>
  <si>
    <t>1 Samuel 18</t>
  </si>
  <si>
    <t>1 Samuel 19</t>
  </si>
  <si>
    <t>1 Samuel 20</t>
  </si>
  <si>
    <t>1 Samuel 21</t>
  </si>
  <si>
    <t>1 Samuel 22</t>
  </si>
  <si>
    <t>1 Samuel 23</t>
  </si>
  <si>
    <t>1 Samuel 24</t>
  </si>
  <si>
    <t>1 Samuel 25</t>
  </si>
  <si>
    <t>1 Samuel 26</t>
  </si>
  <si>
    <t>1 Samuel 27</t>
  </si>
  <si>
    <t>1 Samuel 28</t>
  </si>
  <si>
    <t>1 Samuel 29</t>
  </si>
  <si>
    <t>1 Samuel 30</t>
  </si>
  <si>
    <t>1 Samuel 31</t>
  </si>
  <si>
    <t>2 Samuel 1</t>
  </si>
  <si>
    <t>2 Samuel 2</t>
  </si>
  <si>
    <t>2 Samuel 3</t>
  </si>
  <si>
    <t>2 Samuel 4</t>
  </si>
  <si>
    <t>2 Samuel 5</t>
  </si>
  <si>
    <t>2 Samuel 6</t>
  </si>
  <si>
    <t>2 Samuel 7</t>
  </si>
  <si>
    <t>2 Samuel 8</t>
  </si>
  <si>
    <t>2 Samuel 9</t>
  </si>
  <si>
    <t>2 Samuel 10</t>
  </si>
  <si>
    <t>2 Samuel 11</t>
  </si>
  <si>
    <t>2 Samuel 12</t>
  </si>
  <si>
    <t>2 Samuel 13</t>
  </si>
  <si>
    <t>2 Samuel 14</t>
  </si>
  <si>
    <t>2 Samuel 15</t>
  </si>
  <si>
    <t>2 Samuel 16</t>
  </si>
  <si>
    <t>2 Samuel 17</t>
  </si>
  <si>
    <t>2 Samuel 18</t>
  </si>
  <si>
    <t>2 Samuel 19</t>
  </si>
  <si>
    <t>2 Samuel 20</t>
  </si>
  <si>
    <t>2 Samuel 21</t>
  </si>
  <si>
    <t>2 Samuel 22</t>
  </si>
  <si>
    <t>2 Samuel 23</t>
  </si>
  <si>
    <t>2 Samuel 24</t>
  </si>
  <si>
    <t>1 Kings 1</t>
  </si>
  <si>
    <t>1 Kings 2</t>
  </si>
  <si>
    <t>1 Kings 3</t>
  </si>
  <si>
    <t>1 Kings 4</t>
  </si>
  <si>
    <t>1 Kings 5</t>
  </si>
  <si>
    <t>1 Kings 6</t>
  </si>
  <si>
    <t>1 Kings 7</t>
  </si>
  <si>
    <t>1 Kings 8</t>
  </si>
  <si>
    <t>1 Kings 9</t>
  </si>
  <si>
    <t>1 Kings 10</t>
  </si>
  <si>
    <t>1 Kings 11</t>
  </si>
  <si>
    <t>1 Kings 12</t>
  </si>
  <si>
    <t>1 Kings 13</t>
  </si>
  <si>
    <t>1 Kings 14</t>
  </si>
  <si>
    <t>1 Kings 15</t>
  </si>
  <si>
    <t>1 Kings 16</t>
  </si>
  <si>
    <t>1 Kings 17</t>
  </si>
  <si>
    <t>1 Kings 18</t>
  </si>
  <si>
    <t>1 Kings 19</t>
  </si>
  <si>
    <t>1 Kings 20</t>
  </si>
  <si>
    <t>1 Kings 21</t>
  </si>
  <si>
    <t>1 Kings 22</t>
  </si>
  <si>
    <t>2 Kings 1</t>
  </si>
  <si>
    <t>2 Kings 2</t>
  </si>
  <si>
    <t>2 Kings 3</t>
  </si>
  <si>
    <t>2 Kings 4</t>
  </si>
  <si>
    <t>2 Kings 5</t>
  </si>
  <si>
    <t>2 Kings 6</t>
  </si>
  <si>
    <t>2 Kings 7</t>
  </si>
  <si>
    <t>2 Kings 8</t>
  </si>
  <si>
    <t>2 Kings 9</t>
  </si>
  <si>
    <t>2 Kings 10</t>
  </si>
  <si>
    <t>2 Kings 11</t>
  </si>
  <si>
    <t>2 Kings 12</t>
  </si>
  <si>
    <t>2 Kings 13</t>
  </si>
  <si>
    <t>2 Kings 14</t>
  </si>
  <si>
    <t>2 Kings 15</t>
  </si>
  <si>
    <t>2 Kings 16</t>
  </si>
  <si>
    <t>2 Kings 17</t>
  </si>
  <si>
    <t>2 Kings 18</t>
  </si>
  <si>
    <t>2 Kings 19</t>
  </si>
  <si>
    <t>2 Kings 20</t>
  </si>
  <si>
    <t>2 Kings 21</t>
  </si>
  <si>
    <t>2 Kings 22</t>
  </si>
  <si>
    <t>2 Kings 23</t>
  </si>
  <si>
    <t>2 Kings 24</t>
  </si>
  <si>
    <t>2 Kings 25</t>
  </si>
  <si>
    <t>1 Chronicles 1</t>
  </si>
  <si>
    <t>1 Chronicles 2</t>
  </si>
  <si>
    <t>1 Chronicles 3</t>
  </si>
  <si>
    <t>1 Chronicles 4</t>
  </si>
  <si>
    <t>1 Chronicles 5</t>
  </si>
  <si>
    <t>1 Chronicles 6</t>
  </si>
  <si>
    <t>1 Chronicles 7</t>
  </si>
  <si>
    <t>1 Chronicles 8</t>
  </si>
  <si>
    <t>1 Chronicles 9</t>
  </si>
  <si>
    <t>1 Chronicles 10</t>
  </si>
  <si>
    <t>1 Chronicles 11</t>
  </si>
  <si>
    <t>1 Chronicles 12</t>
  </si>
  <si>
    <t>1 Chronicles 13</t>
  </si>
  <si>
    <t>1 Chronicles 14</t>
  </si>
  <si>
    <t>1 Chronicles 15</t>
  </si>
  <si>
    <t>1 Chronicles 16</t>
  </si>
  <si>
    <t>1 Chronicles 17</t>
  </si>
  <si>
    <t>1 Chronicles 18</t>
  </si>
  <si>
    <t>1 Chronicles 19</t>
  </si>
  <si>
    <t>1 Chronicles 20</t>
  </si>
  <si>
    <t>1 Chronicles 21</t>
  </si>
  <si>
    <t>1 Chronicles 22</t>
  </si>
  <si>
    <t>1 Chronicles 23</t>
  </si>
  <si>
    <t>1 Chronicles 24</t>
  </si>
  <si>
    <t>1 Chronicles 25</t>
  </si>
  <si>
    <t>1 Chronicles 26</t>
  </si>
  <si>
    <t>1 Chronicles 27</t>
  </si>
  <si>
    <t>1 Chronicles 28</t>
  </si>
  <si>
    <t>1 Chronicles 29</t>
  </si>
  <si>
    <t>2 Chronicles 1</t>
  </si>
  <si>
    <t>2 Chronicles 2</t>
  </si>
  <si>
    <t>2 Chronicles 3</t>
  </si>
  <si>
    <t>2 Chronicles 4</t>
  </si>
  <si>
    <t>2 Chronicles 5</t>
  </si>
  <si>
    <t>2 Chronicles 6</t>
  </si>
  <si>
    <t>2 Chronicles 7</t>
  </si>
  <si>
    <t>2 Chronicles 8</t>
  </si>
  <si>
    <t>2 Chronicles 9</t>
  </si>
  <si>
    <t>2 Chronicles 10</t>
  </si>
  <si>
    <t>2 Chronicles 11</t>
  </si>
  <si>
    <t>2 Chronicles 12</t>
  </si>
  <si>
    <t>2 Chronicles 13</t>
  </si>
  <si>
    <t>2 Chronicles 14</t>
  </si>
  <si>
    <t>2 Chronicles 15</t>
  </si>
  <si>
    <t>2 Chronicles 16</t>
  </si>
  <si>
    <t>2 Chronicles 17</t>
  </si>
  <si>
    <t>2 Chronicles 18</t>
  </si>
  <si>
    <t>2 Chronicles 19</t>
  </si>
  <si>
    <t>2 Chronicles 20</t>
  </si>
  <si>
    <t>2 Chronicles 21</t>
  </si>
  <si>
    <t>2 Chronicles 22</t>
  </si>
  <si>
    <t>2 Chronicles 23</t>
  </si>
  <si>
    <t>2 Chronicles 24</t>
  </si>
  <si>
    <t>2 Chronicles 25</t>
  </si>
  <si>
    <t>2 Chronicles 26</t>
  </si>
  <si>
    <t>2 Chronicles 27</t>
  </si>
  <si>
    <t>2 Chronicles 28</t>
  </si>
  <si>
    <t>2 Chronicles 29</t>
  </si>
  <si>
    <t>Acts 1</t>
  </si>
  <si>
    <t>Acts 2</t>
  </si>
  <si>
    <t>Acts 3</t>
  </si>
  <si>
    <t>Acts 4</t>
  </si>
  <si>
    <t>Acts 5</t>
  </si>
  <si>
    <t>Acts 6</t>
  </si>
  <si>
    <t>Acts 7</t>
  </si>
  <si>
    <t>Acts 8</t>
  </si>
  <si>
    <t>Acts 9</t>
  </si>
  <si>
    <t>Acts 10</t>
  </si>
  <si>
    <t>Acts 11</t>
  </si>
  <si>
    <t>Acts 12</t>
  </si>
  <si>
    <t>Acts 13</t>
  </si>
  <si>
    <t>Acts 14</t>
  </si>
  <si>
    <t>Acts 15</t>
  </si>
  <si>
    <t>Acts 16</t>
  </si>
  <si>
    <t>Acts 17</t>
  </si>
  <si>
    <t>Acts 18</t>
  </si>
  <si>
    <t>Acts 19</t>
  </si>
  <si>
    <t>Acts 20</t>
  </si>
  <si>
    <t>Acts 21</t>
  </si>
  <si>
    <t>Acts 22</t>
  </si>
  <si>
    <t>Acts 23</t>
  </si>
  <si>
    <t>Acts 24</t>
  </si>
  <si>
    <t>Acts 25</t>
  </si>
  <si>
    <t>Acts 26</t>
  </si>
  <si>
    <t>Acts 27</t>
  </si>
  <si>
    <t>Acts 28</t>
  </si>
  <si>
    <t>Romans 1</t>
  </si>
  <si>
    <t>Romans 2</t>
  </si>
  <si>
    <t>Romans 3</t>
  </si>
  <si>
    <t>Romans 4</t>
  </si>
  <si>
    <t>Romans 5</t>
  </si>
  <si>
    <t>Romans 6</t>
  </si>
  <si>
    <t>Romans 7</t>
  </si>
  <si>
    <t>Romans 8</t>
  </si>
  <si>
    <t>Romans 9</t>
  </si>
  <si>
    <t>Romans 10</t>
  </si>
  <si>
    <t>Romans 11</t>
  </si>
  <si>
    <t>Romans 12</t>
  </si>
  <si>
    <t>Romans 13</t>
  </si>
  <si>
    <t>Romans 14</t>
  </si>
  <si>
    <t>Romans 15</t>
  </si>
  <si>
    <t>Romans 16</t>
  </si>
  <si>
    <t>1 Corinthians 1</t>
  </si>
  <si>
    <t>1 Corinthians 2</t>
  </si>
  <si>
    <t>1 Corinthians 3</t>
  </si>
  <si>
    <t>1 Corinthians 4</t>
  </si>
  <si>
    <t>1 Corinthians 5</t>
  </si>
  <si>
    <t>1 Corinthians 6</t>
  </si>
  <si>
    <t>1 Corinthians 7</t>
  </si>
  <si>
    <t>1 Corinthians 8</t>
  </si>
  <si>
    <t>1 Corinthians 9</t>
  </si>
  <si>
    <t>1 Corinthians 10</t>
  </si>
  <si>
    <t>1 Corinthians 11</t>
  </si>
  <si>
    <t>1 Corinthians 12</t>
  </si>
  <si>
    <t>1 Corinthians 13</t>
  </si>
  <si>
    <t>1 Corinthians 14</t>
  </si>
  <si>
    <t>1 Corinthians 15</t>
  </si>
  <si>
    <t>1 Corinthians 16</t>
  </si>
  <si>
    <t>2 Corinthians 1</t>
  </si>
  <si>
    <t>2 Corinthians 2</t>
  </si>
  <si>
    <t>2 Corinthians 3</t>
  </si>
  <si>
    <t>2 Corinthians 4</t>
  </si>
  <si>
    <t>2 Corinthians 5</t>
  </si>
  <si>
    <t>2 Corinthians 6</t>
  </si>
  <si>
    <t>2 Corinthians 7</t>
  </si>
  <si>
    <t>2 Corinthians 8</t>
  </si>
  <si>
    <t>2 Corinthians 9</t>
  </si>
  <si>
    <t>2 Corinthians 10</t>
  </si>
  <si>
    <t>2 Corinthians 11</t>
  </si>
  <si>
    <t>2 Corinthians 12</t>
  </si>
  <si>
    <t>2 Corinthians 13</t>
  </si>
  <si>
    <t>Galatians 1</t>
  </si>
  <si>
    <t>Galatians 2</t>
  </si>
  <si>
    <t>Galatians 3</t>
  </si>
  <si>
    <t>Galatians 4</t>
  </si>
  <si>
    <t>Galatians 5</t>
  </si>
  <si>
    <t>Galatians 6</t>
  </si>
  <si>
    <t>Ephesians 1</t>
  </si>
  <si>
    <t>Ephesians 2</t>
  </si>
  <si>
    <t>Ephesians 3</t>
  </si>
  <si>
    <t>Ephesians 4</t>
  </si>
  <si>
    <t>Ephesians 5</t>
  </si>
  <si>
    <t>Ephesians 6</t>
  </si>
  <si>
    <t>Philippians 1</t>
  </si>
  <si>
    <t>Philippians 2</t>
  </si>
  <si>
    <t>Philippians 3</t>
  </si>
  <si>
    <t>Philippians 4</t>
  </si>
  <si>
    <t>Colossians 1</t>
  </si>
  <si>
    <t>Colossians 2</t>
  </si>
  <si>
    <t>Colossians 3</t>
  </si>
  <si>
    <t>Colossians 4</t>
  </si>
  <si>
    <t>1 Thessalonians 1</t>
  </si>
  <si>
    <t>1 Thessalonians 2</t>
  </si>
  <si>
    <t>1 Thessalonians 3</t>
  </si>
  <si>
    <t>1 Thessalonians 4</t>
  </si>
  <si>
    <t>1 Thessalonians 5</t>
  </si>
  <si>
    <t>2 Thessalonians 1</t>
  </si>
  <si>
    <t>2 Thessalonians 2</t>
  </si>
  <si>
    <t>2 Thessalonians 3</t>
  </si>
  <si>
    <t>1 Timothy 1</t>
  </si>
  <si>
    <t>1 Timothy 2</t>
  </si>
  <si>
    <t>1 Timothy 3</t>
  </si>
  <si>
    <t>1 Timothy 4</t>
  </si>
  <si>
    <t>1 Timothy 5</t>
  </si>
  <si>
    <t>1 Timothy 6</t>
  </si>
  <si>
    <t>2 Timothy 1</t>
  </si>
  <si>
    <t>2 Timothy 2</t>
  </si>
  <si>
    <t>2 Timothy 3</t>
  </si>
  <si>
    <t>2 Timothy 4</t>
  </si>
  <si>
    <t>Titus 1</t>
  </si>
  <si>
    <t>Titus 2</t>
  </si>
  <si>
    <t>Titus 3</t>
  </si>
  <si>
    <t>Philemon 1</t>
  </si>
  <si>
    <t>Hebrews 1</t>
  </si>
  <si>
    <t>Hebrews 2</t>
  </si>
  <si>
    <t>Hebrews 3</t>
  </si>
  <si>
    <t>Hebrews 4</t>
  </si>
  <si>
    <t>Hebrews 5</t>
  </si>
  <si>
    <t>Hebrews 6</t>
  </si>
  <si>
    <t>Hebrews 7</t>
  </si>
  <si>
    <t>Hebrews 8</t>
  </si>
  <si>
    <t>Hebrews 9</t>
  </si>
  <si>
    <t>Hebrews 10</t>
  </si>
  <si>
    <t>Hebrews 11</t>
  </si>
  <si>
    <t>Hebrews 12</t>
  </si>
  <si>
    <t>Hebrews 13</t>
  </si>
  <si>
    <t>James 1</t>
  </si>
  <si>
    <t>James 2</t>
  </si>
  <si>
    <t>James 3</t>
  </si>
  <si>
    <t>James 4</t>
  </si>
  <si>
    <t>James 5</t>
  </si>
  <si>
    <t>1 Peter 1</t>
  </si>
  <si>
    <t>1 Peter 2</t>
  </si>
  <si>
    <t>1 Peter 3</t>
  </si>
  <si>
    <t>1 Peter 4</t>
  </si>
  <si>
    <t>1 Peter 5</t>
  </si>
  <si>
    <t>2 Peter 1</t>
  </si>
  <si>
    <t>2 Peter 2</t>
  </si>
  <si>
    <t>2 Peter 3</t>
  </si>
  <si>
    <t>1 John 1</t>
  </si>
  <si>
    <t>1 John 2</t>
  </si>
  <si>
    <t>1 John 3</t>
  </si>
  <si>
    <t>1 John 4</t>
  </si>
  <si>
    <t>1 John 5</t>
  </si>
  <si>
    <t>2 John 1</t>
  </si>
  <si>
    <t>3 John 1</t>
  </si>
  <si>
    <t>Jude 1</t>
  </si>
  <si>
    <t>Revelation 1</t>
  </si>
  <si>
    <t>Revelation 2</t>
  </si>
  <si>
    <t>Revelation 3</t>
  </si>
  <si>
    <t>Revelation 4</t>
  </si>
  <si>
    <t>Revelation 5</t>
  </si>
  <si>
    <t>Revelation 6</t>
  </si>
  <si>
    <t>Revelation 7</t>
  </si>
  <si>
    <t>Revelation 8</t>
  </si>
  <si>
    <t>Revelation 9</t>
  </si>
  <si>
    <t>Revelation 10</t>
  </si>
  <si>
    <t>Revelation 11</t>
  </si>
  <si>
    <t>Revelation 12</t>
  </si>
  <si>
    <t>Revelation 13</t>
  </si>
  <si>
    <t>Revelation 14</t>
  </si>
  <si>
    <t>Revelation 15</t>
  </si>
  <si>
    <t>Revelation 16</t>
  </si>
  <si>
    <t>Revelation 17</t>
  </si>
  <si>
    <t>Revelation 18</t>
  </si>
  <si>
    <t>Revelation 19</t>
  </si>
  <si>
    <t>Revelation 20</t>
  </si>
  <si>
    <t>Revelation 21</t>
  </si>
  <si>
    <t>Revelation 22</t>
  </si>
  <si>
    <t>Self</t>
  </si>
  <si>
    <t>&lt;html&gt;&lt;head&gt;&lt;meta http-equiv=|Content-Type| content=|text/html; charset=utf-8|&gt;&lt;title&gt;</t>
  </si>
  <si>
    <t>Genesis 1</t>
  </si>
  <si>
    <t xml:space="preserve"> Chapter Menu</t>
  </si>
  <si>
    <t>Genesis 2</t>
  </si>
  <si>
    <t>Genesis 3</t>
  </si>
  <si>
    <t>Genesis 4</t>
  </si>
  <si>
    <t>Genesis 5</t>
  </si>
  <si>
    <t>Genesis 6</t>
  </si>
  <si>
    <t>Genesis 7</t>
  </si>
  <si>
    <t>Genesis 8</t>
  </si>
  <si>
    <t>Genesis 9</t>
  </si>
  <si>
    <t>Genesis 10</t>
  </si>
  <si>
    <t>Genesis 11</t>
  </si>
  <si>
    <t>2 Chronicles 30</t>
  </si>
  <si>
    <t>2 Chronicles 31</t>
  </si>
  <si>
    <t>2 Chronicles 32</t>
  </si>
  <si>
    <t>2 Chronicles 33</t>
  </si>
  <si>
    <t>2 Chronicles 34</t>
  </si>
  <si>
    <t>2 Chronicles 35</t>
  </si>
  <si>
    <t>2 Chronicles 36</t>
  </si>
  <si>
    <t>Ezra 1</t>
  </si>
  <si>
    <t>Ezra 2</t>
  </si>
  <si>
    <t>Ezra 3</t>
  </si>
  <si>
    <t>Ezra 4</t>
  </si>
  <si>
    <t>Ezra 5</t>
  </si>
  <si>
    <t>Ezra 6</t>
  </si>
  <si>
    <t>Ezra 7</t>
  </si>
  <si>
    <t>Ezra 8</t>
  </si>
  <si>
    <t>Ezra 9</t>
  </si>
  <si>
    <t>Ezra 10</t>
  </si>
  <si>
    <t>Nehemiah 1</t>
  </si>
  <si>
    <t>Nehemiah 2</t>
  </si>
  <si>
    <t>Nehemiah 3</t>
  </si>
  <si>
    <t>Nehemiah 4</t>
  </si>
  <si>
    <t>Nehemiah 5</t>
  </si>
  <si>
    <t>Nehemiah 6</t>
  </si>
  <si>
    <t>Nehemiah 7</t>
  </si>
  <si>
    <t>Nehemiah 8</t>
  </si>
  <si>
    <t>Nehemiah 9</t>
  </si>
  <si>
    <t>Nehemiah 10</t>
  </si>
  <si>
    <t>Nehemiah 11</t>
  </si>
  <si>
    <t>Nehemiah 12</t>
  </si>
  <si>
    <t>Nehemiah 13</t>
  </si>
  <si>
    <t>Esther 1</t>
  </si>
  <si>
    <t>Esther 2</t>
  </si>
  <si>
    <t>Esther 3</t>
  </si>
  <si>
    <t>Esther 4</t>
  </si>
  <si>
    <t>Esther 5</t>
  </si>
  <si>
    <t>Esther 6</t>
  </si>
  <si>
    <t>Esther 7</t>
  </si>
  <si>
    <t>Esther 8</t>
  </si>
  <si>
    <t>Esther 9</t>
  </si>
  <si>
    <t>Esther 10</t>
  </si>
  <si>
    <t>Job 1</t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</si>
  <si>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</si>
  <si>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</si>
  <si>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</si>
  <si>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</si>
  <si>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</si>
  <si>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</si>
  <si>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</si>
  <si>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</si>
  <si>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</si>
  <si>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</si>
  <si>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</si>
  <si>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</si>
  <si>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</si>
  <si>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</si>
  <si>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</si>
  <si>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</si>
  <si>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</si>
  <si>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</si>
  <si>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</si>
  <si>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</si>
  <si>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</si>
  <si>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</si>
  <si>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</si>
  <si>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</si>
  <si>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</si>
  <si>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</si>
  <si>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</si>
  <si>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</si>
  <si>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</si>
  <si>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</si>
  <si>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</si>
  <si>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</si>
  <si>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</si>
  <si>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</si>
  <si>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</si>
  <si>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</si>
  <si>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</si>
  <si>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</si>
  <si>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</si>
  <si>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</si>
  <si>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</si>
  <si>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Psalm 1</t>
  </si>
  <si>
    <t>Psalm 2</t>
  </si>
  <si>
    <t>Psalm 3</t>
  </si>
  <si>
    <t>Psalm 4</t>
  </si>
  <si>
    <t>Psalm 5</t>
  </si>
  <si>
    <t>Psalm 6</t>
  </si>
  <si>
    <t>Psalm 7</t>
  </si>
  <si>
    <t>Psalm 8</t>
  </si>
  <si>
    <t>Psalm 9</t>
  </si>
  <si>
    <t>Psalm 10</t>
  </si>
  <si>
    <t>Psalm 11</t>
  </si>
  <si>
    <t>Psalm 12</t>
  </si>
  <si>
    <t>Psalm 13</t>
  </si>
  <si>
    <t>Psalm 14</t>
  </si>
  <si>
    <t>Psalm 15</t>
  </si>
  <si>
    <t>Psalm 16</t>
  </si>
  <si>
    <t>Psalm 17</t>
  </si>
  <si>
    <t>Psalm 18</t>
  </si>
  <si>
    <t>Psalm 19</t>
  </si>
  <si>
    <t>Psalm 20</t>
  </si>
  <si>
    <t>Psalm 21</t>
  </si>
  <si>
    <t>Psalm 22</t>
  </si>
  <si>
    <t>Psalm 23</t>
  </si>
  <si>
    <t>Psalm 24</t>
  </si>
  <si>
    <t>Psalm 25</t>
  </si>
  <si>
    <t>Psalm 26</t>
  </si>
  <si>
    <t>Psalm 27</t>
  </si>
  <si>
    <t>Psalm 28</t>
  </si>
  <si>
    <t>Psalm 29</t>
  </si>
  <si>
    <t>Psalm 30</t>
  </si>
  <si>
    <t>Psalm 31</t>
  </si>
  <si>
    <t>Psalm 32</t>
  </si>
  <si>
    <t>Psalm 33</t>
  </si>
  <si>
    <t>Psalm 34</t>
  </si>
  <si>
    <t>Psalm 35</t>
  </si>
  <si>
    <t>Psalm 36</t>
  </si>
  <si>
    <t>Psalm 37</t>
  </si>
  <si>
    <t>Psalm 38</t>
  </si>
  <si>
    <t>Psalm 39</t>
  </si>
  <si>
    <t>Psalm 40</t>
  </si>
  <si>
    <t>Psalm 41</t>
  </si>
  <si>
    <t>Psalm 42</t>
  </si>
  <si>
    <t>Psalm 43</t>
  </si>
  <si>
    <t>Psalm 44</t>
  </si>
  <si>
    <t>Psalm 45</t>
  </si>
  <si>
    <t>Psalm 46</t>
  </si>
  <si>
    <t>Psalm 47</t>
  </si>
  <si>
    <t>Psalm 48</t>
  </si>
  <si>
    <t>Psalm 49</t>
  </si>
  <si>
    <t>Psalm 50</t>
  </si>
  <si>
    <t>Psalm 51</t>
  </si>
  <si>
    <t>Psalm 52</t>
  </si>
  <si>
    <t>Psalm 53</t>
  </si>
  <si>
    <t>Psalm 54</t>
  </si>
  <si>
    <t>Psalm 55</t>
  </si>
  <si>
    <t>Psalm 56</t>
  </si>
  <si>
    <t>Psalm 57</t>
  </si>
  <si>
    <t>Psalm 58</t>
  </si>
  <si>
    <t>Psalm 59</t>
  </si>
  <si>
    <t>Psalm 60</t>
  </si>
  <si>
    <t>Psalm 61</t>
  </si>
  <si>
    <t>Psalm 62</t>
  </si>
  <si>
    <t>Psalm 63</t>
  </si>
  <si>
    <t>Psalm 64</t>
  </si>
  <si>
    <t>Psalm 65</t>
  </si>
  <si>
    <t>Psalm 66</t>
  </si>
  <si>
    <t>Psalm 67</t>
  </si>
  <si>
    <t>Psalm 68</t>
  </si>
  <si>
    <t>Psalm 69</t>
  </si>
  <si>
    <t>Psalm 70</t>
  </si>
  <si>
    <t>Psalm 71</t>
  </si>
  <si>
    <t>Psalm 72</t>
  </si>
  <si>
    <t>Psalm 73</t>
  </si>
  <si>
    <t>Psalm 74</t>
  </si>
  <si>
    <t>Psalm 75</t>
  </si>
  <si>
    <t>Psalm 76</t>
  </si>
  <si>
    <t>Psalm 77</t>
  </si>
  <si>
    <t>Jeremiah 8</t>
  </si>
  <si>
    <t>Jeremiah 9</t>
  </si>
  <si>
    <t>Jeremiah 10</t>
  </si>
  <si>
    <t>Jeremiah 11</t>
  </si>
  <si>
    <t>Jeremiah 12</t>
  </si>
  <si>
    <t>Jeremiah 13</t>
  </si>
  <si>
    <t>Jeremiah 14</t>
  </si>
  <si>
    <t>Jeremiah 15</t>
  </si>
  <si>
    <t>Jeremiah 16</t>
  </si>
  <si>
    <t>Jeremiah 17</t>
  </si>
  <si>
    <t>Jeremiah 18</t>
  </si>
  <si>
    <t>Jeremiah 19</t>
  </si>
  <si>
    <t>Jeremiah 20</t>
  </si>
  <si>
    <t>Jeremiah 21</t>
  </si>
  <si>
    <t>Jeremiah 22</t>
  </si>
  <si>
    <t>Jeremiah 23</t>
  </si>
  <si>
    <t>Jeremiah 24</t>
  </si>
  <si>
    <t>Jeremiah 25</t>
  </si>
  <si>
    <t>Jeremiah 26</t>
  </si>
  <si>
    <t>Jeremiah 27</t>
  </si>
  <si>
    <t>Jeremiah 28</t>
  </si>
  <si>
    <t>Jeremiah 29</t>
  </si>
  <si>
    <t>Jeremiah 30</t>
  </si>
  <si>
    <t>Jeremiah 31</t>
  </si>
  <si>
    <t>Jeremiah 32</t>
  </si>
  <si>
    <t>Jeremiah 33</t>
  </si>
  <si>
    <t>Jeremiah 34</t>
  </si>
  <si>
    <t>Jeremiah 35</t>
  </si>
  <si>
    <t>Jeremiah 36</t>
  </si>
  <si>
    <t>Jeremiah 37</t>
  </si>
  <si>
    <t>Jeremiah 38</t>
  </si>
  <si>
    <t>Jeremiah 39</t>
  </si>
  <si>
    <t>Jeremiah 40</t>
  </si>
  <si>
    <t>Jeremiah 41</t>
  </si>
  <si>
    <t>Jeremiah 42</t>
  </si>
  <si>
    <t>Jeremiah 43</t>
  </si>
  <si>
    <t>Jeremiah 44</t>
  </si>
  <si>
    <t>Jeremiah 45</t>
  </si>
  <si>
    <t>Jeremiah 46</t>
  </si>
  <si>
    <t>Jeremiah 47</t>
  </si>
  <si>
    <t>Jeremiah 48</t>
  </si>
  <si>
    <t>Jeremiah 49</t>
  </si>
  <si>
    <t>Jeremiah 50</t>
  </si>
  <si>
    <t>Jeremiah 51</t>
  </si>
  <si>
    <t>Jeremiah 52</t>
  </si>
  <si>
    <t>Lamentations 1</t>
  </si>
  <si>
    <t>Lamentations 2</t>
  </si>
  <si>
    <t>Lamentations 3</t>
  </si>
  <si>
    <t>Lamentations 4</t>
  </si>
  <si>
    <t>Lamentations 5</t>
  </si>
  <si>
    <t>Ezekiel 1</t>
  </si>
  <si>
    <t>Ezekiel 2</t>
  </si>
  <si>
    <t>Ezekiel 3</t>
  </si>
  <si>
    <t>Ezekiel 4</t>
  </si>
  <si>
    <t>Ezekiel 5</t>
  </si>
  <si>
    <t>Ezekiel 6</t>
  </si>
  <si>
    <t>Ezekiel 7</t>
  </si>
  <si>
    <t>Ezekiel 8</t>
  </si>
  <si>
    <t>Ezekiel 9</t>
  </si>
  <si>
    <t>Ezekiel 10</t>
  </si>
  <si>
    <t>Ezekiel 11</t>
  </si>
  <si>
    <t>Ezekiel 12</t>
  </si>
  <si>
    <t>Ezekiel 13</t>
  </si>
  <si>
    <t>Ezekiel 14</t>
  </si>
  <si>
    <t>Ezekiel 15</t>
  </si>
  <si>
    <t>Ezekiel 16</t>
  </si>
  <si>
    <t>Ezekiel 17</t>
  </si>
  <si>
    <t>Ezekiel 18</t>
  </si>
  <si>
    <t>Ezekiel 19</t>
  </si>
  <si>
    <t>Ezekiel 20</t>
  </si>
  <si>
    <t>Ezekiel 21</t>
  </si>
  <si>
    <t>Ezekiel 22</t>
  </si>
  <si>
    <t>Ezekiel 23</t>
  </si>
  <si>
    <t>Ezekiel 24</t>
  </si>
  <si>
    <t>Ezekiel 25</t>
  </si>
  <si>
    <t>Ezekiel 26</t>
  </si>
  <si>
    <t>Ezekiel 27</t>
  </si>
  <si>
    <t>Ezekiel 28</t>
  </si>
  <si>
    <t>Ezekiel 29</t>
  </si>
  <si>
    <t>Ezekiel 30</t>
  </si>
  <si>
    <t>Ezekiel 31</t>
  </si>
  <si>
    <t>Ezekiel 32</t>
  </si>
  <si>
    <t>Ezekiel 33</t>
  </si>
  <si>
    <t>Ezekiel 34</t>
  </si>
  <si>
    <t>Ezekiel 35</t>
  </si>
  <si>
    <t>Ezekiel 36</t>
  </si>
  <si>
    <t>Ezekiel 37</t>
  </si>
  <si>
    <t>Ezekiel 38</t>
  </si>
  <si>
    <t>Ezekiel 39</t>
  </si>
  <si>
    <t>Ezekiel 40</t>
  </si>
  <si>
    <t>Ezekiel 41</t>
  </si>
  <si>
    <t>Ezekiel 42</t>
  </si>
  <si>
    <t>Ezekiel 43</t>
  </si>
  <si>
    <t>Ezekiel 44</t>
  </si>
  <si>
    <t>Ezekiel 45</t>
  </si>
  <si>
    <t>Ezekiel 46</t>
  </si>
  <si>
    <t>Ezekiel 47</t>
  </si>
  <si>
    <t>Ezekiel 48</t>
  </si>
  <si>
    <t>Daniel 1</t>
  </si>
  <si>
    <t>Daniel 2</t>
  </si>
  <si>
    <t>Daniel 3</t>
  </si>
  <si>
    <t>Daniel 4</t>
  </si>
  <si>
    <t>Daniel 5</t>
  </si>
  <si>
    <t>Daniel 6</t>
  </si>
  <si>
    <t>Daniel 7</t>
  </si>
  <si>
    <t>Daniel 8</t>
  </si>
  <si>
    <t>Daniel 9</t>
  </si>
  <si>
    <t>Daniel 10</t>
  </si>
  <si>
    <t>Daniel 11</t>
  </si>
  <si>
    <t>Daniel 12</t>
  </si>
  <si>
    <t>Hosea 1</t>
  </si>
  <si>
    <t>Hosea 2</t>
  </si>
  <si>
    <t>Hosea 3</t>
  </si>
  <si>
    <t>Hosea 4</t>
  </si>
  <si>
    <t>Hosea 5</t>
  </si>
  <si>
    <t>Hosea 6</t>
  </si>
  <si>
    <t>Hosea 7</t>
  </si>
  <si>
    <t>Hosea 8</t>
  </si>
  <si>
    <t>Hosea 9</t>
  </si>
  <si>
    <t>Hosea 10</t>
  </si>
  <si>
    <t>Hosea 11</t>
  </si>
  <si>
    <t>Hosea 12</t>
  </si>
  <si>
    <t>Hosea 13</t>
  </si>
  <si>
    <t>Hosea 14</t>
  </si>
  <si>
    <t>Joel 1</t>
  </si>
  <si>
    <t>Joel 2</t>
  </si>
  <si>
    <t>Joel 3</t>
  </si>
  <si>
    <t>Amos 1</t>
  </si>
  <si>
    <t>Amos 2</t>
  </si>
  <si>
    <t>Amos 3</t>
  </si>
  <si>
    <t>Amos 4</t>
  </si>
  <si>
    <t>Amos 5</t>
  </si>
  <si>
    <t>Amos 6</t>
  </si>
  <si>
    <t>Amos 7</t>
  </si>
  <si>
    <t>Amos 8</t>
  </si>
  <si>
    <t>Amos 9</t>
  </si>
  <si>
    <t>Obadiah 1</t>
  </si>
  <si>
    <t>Jonah 1</t>
  </si>
  <si>
    <t>Jonah 2</t>
  </si>
  <si>
    <t>Jonah 3</t>
  </si>
  <si>
    <t>Jonah 4</t>
  </si>
  <si>
    <t>Micah 1</t>
  </si>
  <si>
    <t>Micah 2</t>
  </si>
  <si>
    <t>Micah 3</t>
  </si>
  <si>
    <t>Micah 4</t>
  </si>
  <si>
    <t>Micah 5</t>
  </si>
  <si>
    <t>Micah 6</t>
  </si>
  <si>
    <t>Micah 7</t>
  </si>
  <si>
    <t>Nahum 1</t>
  </si>
  <si>
    <t>Nahum 2</t>
  </si>
  <si>
    <t>Nahum 3</t>
  </si>
  <si>
    <t>Habakkuk 1</t>
  </si>
  <si>
    <t>Habakkuk 2</t>
  </si>
  <si>
    <t>Habakkuk 3</t>
  </si>
  <si>
    <t>Zephaniah 1</t>
  </si>
  <si>
    <t>Zephaniah 2</t>
  </si>
  <si>
    <t>Zephaniah 3</t>
  </si>
  <si>
    <t>Haggai 1</t>
  </si>
  <si>
    <t>Haggai 2</t>
  </si>
  <si>
    <t>Zechariah 1</t>
  </si>
  <si>
    <t>Zechariah 2</t>
  </si>
  <si>
    <t>Zechariah 3</t>
  </si>
  <si>
    <t>Zechariah 4</t>
  </si>
  <si>
    <t>Zechariah 5</t>
  </si>
  <si>
    <t>Zechariah 6</t>
  </si>
  <si>
    <t>Zechariah 7</t>
  </si>
  <si>
    <t>Zechariah 8</t>
  </si>
  <si>
    <t>Zechariah 9</t>
  </si>
  <si>
    <t>Zechariah 10</t>
  </si>
  <si>
    <t>Zechariah 11</t>
  </si>
  <si>
    <t>Zechariah 12</t>
  </si>
  <si>
    <t>Zechariah 13</t>
  </si>
  <si>
    <t>Zechariah 14</t>
  </si>
  <si>
    <t>Malachi 1</t>
  </si>
  <si>
    <t>Malachi 2</t>
  </si>
  <si>
    <t>Malachi 3</t>
  </si>
  <si>
    <t>Malachi 4</t>
  </si>
  <si>
    <t>Matthew 1</t>
  </si>
  <si>
    <t>Matthew 2</t>
  </si>
  <si>
    <t>Matthew 3</t>
  </si>
  <si>
    <t>Matthew 4</t>
  </si>
  <si>
    <t>Matthew 5</t>
  </si>
  <si>
    <t>Matthew 6</t>
  </si>
  <si>
    <t>Matthew 7</t>
  </si>
  <si>
    <t>Matthew 8</t>
  </si>
  <si>
    <t>Matthew 9</t>
  </si>
  <si>
    <t>Matthew 10</t>
  </si>
  <si>
    <t>Matthew 11</t>
  </si>
  <si>
    <t>Matthew 12</t>
  </si>
  <si>
    <t>Matthew 13</t>
  </si>
  <si>
    <t>Matthew 14</t>
  </si>
  <si>
    <t>Matthew 15</t>
  </si>
  <si>
    <t>Matthew 16</t>
  </si>
  <si>
    <t>Matthew 17</t>
  </si>
  <si>
    <t>Matthew 18</t>
  </si>
  <si>
    <t>Matthew 19</t>
  </si>
  <si>
    <t>Matthew 20</t>
  </si>
  <si>
    <t>Matthew 21</t>
  </si>
  <si>
    <t>Matthew 22</t>
  </si>
  <si>
    <t>Matthew 23</t>
  </si>
  <si>
    <t>Matthew 24</t>
  </si>
  <si>
    <t>Matthew 25</t>
  </si>
  <si>
    <t>Matthew 26</t>
  </si>
  <si>
    <t>Matthew 27</t>
  </si>
  <si>
    <t>Matthew 28</t>
  </si>
  <si>
    <t>Mark 1</t>
  </si>
  <si>
    <t>Mark 2</t>
  </si>
  <si>
    <t>Mark 3</t>
  </si>
  <si>
    <t>Mark 4</t>
  </si>
  <si>
    <t>Mark 5</t>
  </si>
  <si>
    <t>Mark 6</t>
  </si>
  <si>
    <t>Mark 7</t>
  </si>
  <si>
    <t>Mark 8</t>
  </si>
  <si>
    <t>Mark 9</t>
  </si>
  <si>
    <t>Mark 10</t>
  </si>
  <si>
    <t>Mark 11</t>
  </si>
  <si>
    <t>Mark 12</t>
  </si>
  <si>
    <t>Mark 13</t>
  </si>
  <si>
    <t>Mark 14</t>
  </si>
  <si>
    <t>Mark 15</t>
  </si>
  <si>
    <t>Mark 16</t>
  </si>
  <si>
    <t>Luke 1</t>
  </si>
  <si>
    <t>Luke 2</t>
  </si>
  <si>
    <t>Luke 3</t>
  </si>
  <si>
    <t>Luke 4</t>
  </si>
  <si>
    <t>Luke 5</t>
  </si>
  <si>
    <t>Luke 6</t>
  </si>
  <si>
    <t>Luke 7</t>
  </si>
  <si>
    <t>Luke 8</t>
  </si>
  <si>
    <t>Luke 9</t>
  </si>
  <si>
    <t>Luke 10</t>
  </si>
  <si>
    <t>Luke 11</t>
  </si>
  <si>
    <t>Luke 12</t>
  </si>
  <si>
    <t>Luke 13</t>
  </si>
  <si>
    <t>Luke 14</t>
  </si>
  <si>
    <t>Luke 15</t>
  </si>
  <si>
    <t>Luke 16</t>
  </si>
  <si>
    <t>Luke 17</t>
  </si>
  <si>
    <t>Luke 18</t>
  </si>
  <si>
    <t>Luke 19</t>
  </si>
  <si>
    <t>Luke 20</t>
  </si>
  <si>
    <t>Luke 21</t>
  </si>
  <si>
    <t>Luke 22</t>
  </si>
  <si>
    <t>Luke 23</t>
  </si>
  <si>
    <t>Luke 24</t>
  </si>
  <si>
    <t>John 1</t>
  </si>
  <si>
    <t>John 2</t>
  </si>
  <si>
    <t>John 3</t>
  </si>
  <si>
    <t>John 4</t>
  </si>
  <si>
    <t>John 5</t>
  </si>
  <si>
    <t>John 6</t>
  </si>
  <si>
    <t>John 7</t>
  </si>
  <si>
    <t>John 8</t>
  </si>
  <si>
    <t>John 9</t>
  </si>
  <si>
    <t>John 10</t>
  </si>
  <si>
    <t>John 11</t>
  </si>
  <si>
    <t>John 12</t>
  </si>
  <si>
    <t>John 13</t>
  </si>
  <si>
    <t>John 14</t>
  </si>
  <si>
    <t>John 15</t>
  </si>
  <si>
    <t>John 16</t>
  </si>
  <si>
    <t>John 17</t>
  </si>
  <si>
    <t>John 18</t>
  </si>
  <si>
    <t>John 19</t>
  </si>
  <si>
    <t>John 20</t>
  </si>
  <si>
    <t>John 21</t>
  </si>
  <si>
    <t>Psalm 78</t>
  </si>
  <si>
    <t>Psalm 79</t>
  </si>
  <si>
    <t>Psalm 80</t>
  </si>
  <si>
    <t>Psalm 81</t>
  </si>
  <si>
    <t>Psalm 82</t>
  </si>
  <si>
    <t>Psalm 83</t>
  </si>
  <si>
    <t>Psalm 84</t>
  </si>
  <si>
    <t>Psalm 85</t>
  </si>
  <si>
    <t>Psalm 86</t>
  </si>
  <si>
    <t>Psalm 87</t>
  </si>
  <si>
    <t>Psalm 88</t>
  </si>
  <si>
    <t>Psalm 89</t>
  </si>
  <si>
    <t>Psalm 90</t>
  </si>
  <si>
    <t>Psalm 91</t>
  </si>
  <si>
    <t>Psalm 92</t>
  </si>
  <si>
    <t>Psalm 93</t>
  </si>
  <si>
    <t>Psalm 94</t>
  </si>
  <si>
    <t>Psalm 95</t>
  </si>
  <si>
    <t>Psalm 96</t>
  </si>
  <si>
    <t>Psalm 97</t>
  </si>
  <si>
    <t>Psalm 98</t>
  </si>
  <si>
    <t>Psalm 99</t>
  </si>
  <si>
    <t>Psalm 100</t>
  </si>
  <si>
    <t>Psalm 101</t>
  </si>
  <si>
    <t>Psalm 102</t>
  </si>
  <si>
    <t>Psalm 103</t>
  </si>
  <si>
    <t>Psalm 104</t>
  </si>
  <si>
    <t>Psalm 105</t>
  </si>
  <si>
    <t>Psalm 106</t>
  </si>
  <si>
    <t>Psalm 107</t>
  </si>
  <si>
    <t>Psalm 108</t>
  </si>
  <si>
    <t>Psalm 109</t>
  </si>
  <si>
    <t>Psalm 110</t>
  </si>
  <si>
    <t>Psalm 111</t>
  </si>
  <si>
    <t>Psalm 112</t>
  </si>
  <si>
    <t>Psalm 113</t>
  </si>
  <si>
    <t>Psalm 114</t>
  </si>
  <si>
    <t>Psalm 115</t>
  </si>
  <si>
    <t>Psalm 116</t>
  </si>
  <si>
    <t>Psalm 117</t>
  </si>
  <si>
    <t>Psalm 118</t>
  </si>
  <si>
    <t>Psalm 119</t>
  </si>
  <si>
    <t>Psalm 120</t>
  </si>
  <si>
    <t>Psalm 121</t>
  </si>
  <si>
    <t>Psalm 122</t>
  </si>
  <si>
    <t>Psalm 123</t>
  </si>
  <si>
    <t>Psalm 124</t>
  </si>
  <si>
    <t>Psalm 125</t>
  </si>
  <si>
    <t>Psalm 126</t>
  </si>
  <si>
    <t>Psalm 127</t>
  </si>
  <si>
    <t>Psalm 128</t>
  </si>
  <si>
    <t>Psalm 129</t>
  </si>
  <si>
    <t>Psalm 130</t>
  </si>
  <si>
    <t>Psalm 131</t>
  </si>
  <si>
    <t>Psalm 132</t>
  </si>
  <si>
    <t>Psalm 133</t>
  </si>
  <si>
    <t>Psalm 134</t>
  </si>
  <si>
    <t>Psalm 135</t>
  </si>
  <si>
    <t>Psalm 136</t>
  </si>
  <si>
    <t>Psalm 137</t>
  </si>
  <si>
    <t>Psalm 138</t>
  </si>
  <si>
    <t>Psalm 139</t>
  </si>
  <si>
    <t>Psalm 140</t>
  </si>
  <si>
    <t>Psalm 141</t>
  </si>
  <si>
    <t>Psalm 142</t>
  </si>
  <si>
    <t>Psalm 143</t>
  </si>
  <si>
    <t>Psalm 144</t>
  </si>
  <si>
    <t>Psalm 145</t>
  </si>
  <si>
    <t>Psalm 146</t>
  </si>
  <si>
    <t>Psalm 147</t>
  </si>
  <si>
    <t>Psalm 148</t>
  </si>
  <si>
    <t>Psalm 149</t>
  </si>
  <si>
    <t>Psalm 150</t>
  </si>
  <si>
    <t>Proverbs 1</t>
  </si>
  <si>
    <t>Proverbs 2</t>
  </si>
  <si>
    <t>Proverbs 3</t>
  </si>
  <si>
    <t>Proverbs 4</t>
  </si>
  <si>
    <t>Proverbs 5</t>
  </si>
  <si>
    <t>Proverbs 6</t>
  </si>
  <si>
    <t>Proverbs 7</t>
  </si>
  <si>
    <t>Proverbs 8</t>
  </si>
  <si>
    <t>Proverbs 9</t>
  </si>
  <si>
    <t>Proverbs 10</t>
  </si>
  <si>
    <t>Proverbs 11</t>
  </si>
  <si>
    <t>Proverbs 12</t>
  </si>
  <si>
    <t>Proverbs 13</t>
  </si>
  <si>
    <t>Proverbs 14</t>
  </si>
  <si>
    <t>Proverbs 15</t>
  </si>
  <si>
    <t>Proverbs 16</t>
  </si>
  <si>
    <t>Proverbs 17</t>
  </si>
  <si>
    <t>Proverbs 18</t>
  </si>
  <si>
    <t>Proverbs 19</t>
  </si>
  <si>
    <t>Proverbs 20</t>
  </si>
  <si>
    <t>Proverbs 21</t>
  </si>
  <si>
    <t>Proverbs 22</t>
  </si>
  <si>
    <t>Proverbs 23</t>
  </si>
  <si>
    <t>Proverbs 24</t>
  </si>
  <si>
    <t>Proverbs 25</t>
  </si>
  <si>
    <t>Proverbs 26</t>
  </si>
  <si>
    <t>Proverbs 27</t>
  </si>
  <si>
    <t>Proverbs 28</t>
  </si>
  <si>
    <t>Proverbs 29</t>
  </si>
  <si>
    <t>Proverbs 30</t>
  </si>
  <si>
    <t>Proverbs 31</t>
  </si>
  <si>
    <t>Ecclesiastes 1</t>
  </si>
  <si>
    <t>Ecclesiastes 2</t>
  </si>
  <si>
    <t>Ecclesiastes 3</t>
  </si>
  <si>
    <t>Ecclesiastes 4</t>
  </si>
  <si>
    <t>Ecclesiastes 5</t>
  </si>
  <si>
    <t>Ecclesiastes 6</t>
  </si>
  <si>
    <t>Ecclesiastes 7</t>
  </si>
  <si>
    <t>Ecclesiastes 8</t>
  </si>
  <si>
    <t>Ecclesiastes 9</t>
  </si>
  <si>
    <t>Ecclesiastes 10</t>
  </si>
  <si>
    <t>Ecclesiastes 11</t>
  </si>
  <si>
    <t>Ecclesiastes 12</t>
  </si>
  <si>
    <t>Song of Solomon 1</t>
  </si>
  <si>
    <t>Song of Solomon 2</t>
  </si>
  <si>
    <t>Song of Solomon 3</t>
  </si>
  <si>
    <t>Song of Solomon 4</t>
  </si>
  <si>
    <t>Song of Solomon 5</t>
  </si>
  <si>
    <t>Song of Solomon 6</t>
  </si>
  <si>
    <t>Song of Solomon 7</t>
  </si>
  <si>
    <t>Song of Solomon 8</t>
  </si>
  <si>
    <t>Isaiah 1</t>
  </si>
  <si>
    <t>Isaiah 2</t>
  </si>
  <si>
    <t>Isaiah 3</t>
  </si>
  <si>
    <t>Isaiah 4</t>
  </si>
  <si>
    <t>Isaiah 5</t>
  </si>
  <si>
    <t>Isaiah 6</t>
  </si>
  <si>
    <t>Isaiah 7</t>
  </si>
  <si>
    <t>Isaiah 8</t>
  </si>
  <si>
    <t>Isaiah 9</t>
  </si>
  <si>
    <t>Isaiah 10</t>
  </si>
  <si>
    <t>Isaiah 11</t>
  </si>
  <si>
    <t>Isaiah 12</t>
  </si>
  <si>
    <t>Isaiah 13</t>
  </si>
  <si>
    <t>Isaiah 14</t>
  </si>
  <si>
    <t>Isaiah 15</t>
  </si>
  <si>
    <t>Isaiah 16</t>
  </si>
  <si>
    <t>Isaiah 17</t>
  </si>
  <si>
    <t>Isaiah 18</t>
  </si>
  <si>
    <t>Isaiah 19</t>
  </si>
  <si>
    <t>Isaiah 20</t>
  </si>
  <si>
    <t>Isaiah 21</t>
  </si>
  <si>
    <t>Isaiah 22</t>
  </si>
  <si>
    <t>Isaiah 23</t>
  </si>
  <si>
    <t>Isaiah 24</t>
  </si>
  <si>
    <t>Isaiah 25</t>
  </si>
  <si>
    <t>Isaiah 26</t>
  </si>
  <si>
    <t>Isaiah 27</t>
  </si>
  <si>
    <t>Isaiah 28</t>
  </si>
  <si>
    <t>Isaiah 29</t>
  </si>
  <si>
    <t>Isaiah 30</t>
  </si>
  <si>
    <t>Isaiah 31</t>
  </si>
  <si>
    <t>Isaiah 32</t>
  </si>
  <si>
    <t>Isaiah 33</t>
  </si>
  <si>
    <t>Isaiah 34</t>
  </si>
  <si>
    <t>Isaiah 35</t>
  </si>
  <si>
    <t>Isaiah 36</t>
  </si>
  <si>
    <t>Isaiah 37</t>
  </si>
  <si>
    <t>Isaiah 38</t>
  </si>
  <si>
    <t>Isaiah 39</t>
  </si>
  <si>
    <t>Isaiah 40</t>
  </si>
  <si>
    <t>Isaiah 41</t>
  </si>
  <si>
    <t>Isaiah 42</t>
  </si>
  <si>
    <t>Isaiah 43</t>
  </si>
  <si>
    <t>Isaiah 44</t>
  </si>
  <si>
    <t>Isaiah 45</t>
  </si>
  <si>
    <t>Isaiah 46</t>
  </si>
  <si>
    <t>Isaiah 47</t>
  </si>
  <si>
    <t>Isaiah 48</t>
  </si>
  <si>
    <t>Isaiah 49</t>
  </si>
  <si>
    <t>Isaiah 50</t>
  </si>
  <si>
    <t>Isaiah 51</t>
  </si>
  <si>
    <t>Isaiah 52</t>
  </si>
  <si>
    <t>Isaiah 53</t>
  </si>
  <si>
    <t>Isaiah 54</t>
  </si>
  <si>
    <t>Isaiah 55</t>
  </si>
  <si>
    <t>Isaiah 56</t>
  </si>
  <si>
    <t>Isaiah 57</t>
  </si>
  <si>
    <t>Isaiah 58</t>
  </si>
  <si>
    <t>Isaiah 59</t>
  </si>
  <si>
    <t>Isaiah 60</t>
  </si>
  <si>
    <t>Isaiah 61</t>
  </si>
  <si>
    <t>Isaiah 62</t>
  </si>
  <si>
    <t>Isaiah 63</t>
  </si>
  <si>
    <t>Isaiah 64</t>
  </si>
  <si>
    <t>Isaiah 65</t>
  </si>
  <si>
    <t>Isaiah 66</t>
  </si>
  <si>
    <t>Jeremiah 1</t>
  </si>
  <si>
    <t>Jeremiah 2</t>
  </si>
  <si>
    <t>Jeremiah 3</t>
  </si>
  <si>
    <t>Jeremiah 4</t>
  </si>
  <si>
    <t>Jeremiah 5</t>
  </si>
  <si>
    <t>Jeremiah 6</t>
  </si>
  <si>
    <t>Jeremiah 7</t>
  </si>
  <si>
    <t>BBE</t>
  </si>
  <si>
    <t>ASV</t>
  </si>
  <si>
    <t>American King James Version</t>
  </si>
  <si>
    <t>AKJ</t>
  </si>
  <si>
    <t>kjv.us</t>
  </si>
  <si>
    <t>NAS</t>
  </si>
  <si>
    <t>International Standard Version</t>
  </si>
  <si>
    <t>isv.scripturetext.com</t>
  </si>
  <si>
    <t>ISV</t>
  </si>
  <si>
    <t>.hovermenu ul li{list-style: none; display: inline;}</t>
  </si>
  <si>
    <t>body .hovermenu ul li a:active{ /* Apply mousedown effect only to NON IE browsers */border-style: inset;}</t>
  </si>
  <si>
    <t>&lt;/title&gt;&lt;style type=|text/css|&gt;</t>
  </si>
  <si>
    <t>Interlinear Bible</t>
  </si>
  <si>
    <t>interlinearbible.org</t>
  </si>
  <si>
    <t>Parallel Chapters</t>
  </si>
  <si>
    <t>parallelbible.com</t>
  </si>
  <si>
    <t>Strong's</t>
  </si>
  <si>
    <t>&lt;table width=|100%| border=|0| cellspacing=|0| cellpadding=|2|&gt;&lt;tr&gt;&lt;td class=|hovermenu|&gt;&lt;ul&gt;&lt;li&gt;</t>
  </si>
  <si>
    <t>&lt;/style&gt;&lt;/head&gt;&lt;table border=|0| align=|center| cellpadding=|0| cellspacing=|0|&gt;&lt;tr&gt;&lt;td align=|center|&gt;</t>
  </si>
  <si>
    <t>&lt;/li&gt;&lt;/ul&gt;&lt;/td&gt;&lt;/tr&gt;&lt;/table&gt;&lt;/td&gt;&lt;/tr&gt;&lt;/table&gt;&lt;/body&gt;&lt;/html&gt;</t>
  </si>
  <si>
    <t>body {background-color: #0099ff; FONT-FAMILY: Arial, Helvetica, Sans-serif; margin-left: 12px; margin-top: 0px; border-top: 0px; margin-right: 5px; margin-bottom: 0px; background-image: url(/smbk3.gif);}</t>
  </si>
  <si>
    <t>Split View</t>
  </si>
  <si>
    <t>biblebrowser.com</t>
  </si>
  <si>
    <t>niv.scripturetext.com</t>
  </si>
  <si>
    <t>NIV</t>
  </si>
  <si>
    <t>New International Version</t>
  </si>
  <si>
    <t>Apostolic Bible Polyglot Interlinear</t>
  </si>
  <si>
    <t>apostolic.interlinearbible.org</t>
  </si>
  <si>
    <t>Children's</t>
  </si>
  <si>
    <t>The Children's Bible</t>
  </si>
  <si>
    <t>childrensbibleonline.com</t>
  </si>
  <si>
    <t>study.interlinearbible.org</t>
  </si>
  <si>
    <t>Split</t>
  </si>
  <si>
    <t>PAR</t>
  </si>
  <si>
    <t>NLT</t>
  </si>
  <si>
    <t>nlt.scripturetext.com</t>
  </si>
  <si>
    <t>New Living Translation</t>
  </si>
  <si>
    <t>Grk Study</t>
  </si>
  <si>
    <t>Heb Study</t>
  </si>
  <si>
    <t>Polyglot</t>
  </si>
  <si>
    <t>Interlin</t>
  </si>
  <si>
    <t>Outline</t>
  </si>
  <si>
    <t>bibleoutline.org</t>
  </si>
  <si>
    <t>Outline with People and Places List</t>
  </si>
  <si>
    <t>Hebrew Study Bible</t>
  </si>
  <si>
    <t>Greek Study Bible</t>
  </si>
  <si>
    <t>.hovermenu ul li a:hover{background-color: #DDF1FF; border-style: solid; border-color:#FFFFFF}</t>
  </si>
  <si>
    <t>.hovermenu ul{font: bold 11px arial; padding-left: 0; margin-left: 0; margin-top: 0; line-height: 20px;}</t>
  </si>
  <si>
    <t>.hovermenu ul li a{padding: 0px 0.2em; text-decoration: none; float: left; color: #00548C; background-color:  #DDF1FF; border: 2px solid #0099ff;}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</si>
</sst>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94"/>
  <sheetViews>
    <sheetView tabSelected="1" topLeftCell="B1140" workbookViewId="0">
      <selection activeCell="K1181" sqref="K1181"/>
    </sheetView>
  </sheetViews>
  <sheetFormatPr defaultRowHeight="12.75"/>
  <cols>
    <col min="12" max="12" width="17" style="2" customWidth="1"/>
    <col min="13" max="16" width="17" customWidth="1"/>
    <col min="17" max="17" width="21.42578125" customWidth="1"/>
    <col min="18" max="22" width="17" customWidth="1"/>
    <col min="23" max="23" width="22" customWidth="1"/>
    <col min="24" max="27" width="17" customWidth="1"/>
    <col min="28" max="28" width="17" style="2" customWidth="1"/>
    <col min="29" max="29" width="17" customWidth="1"/>
    <col min="30" max="35" width="17" style="2" customWidth="1"/>
    <col min="36" max="40" width="17" customWidth="1"/>
    <col min="41" max="42" width="14.5703125" customWidth="1"/>
    <col min="43" max="43" width="14.5703125" style="2" customWidth="1"/>
    <col min="44" max="44" width="17" customWidth="1"/>
    <col min="45" max="45" width="14.5703125" customWidth="1"/>
    <col min="46" max="46" width="18.7109375" customWidth="1"/>
    <col min="47" max="47" width="17" style="2" customWidth="1"/>
  </cols>
  <sheetData>
    <row r="1" spans="1:48">
      <c r="A1" t="s">
        <v>622</v>
      </c>
      <c r="B1" t="s">
        <v>623</v>
      </c>
      <c r="C1" t="s">
        <v>624</v>
      </c>
      <c r="D1" t="s">
        <v>1268</v>
      </c>
      <c r="E1" t="s">
        <v>1277</v>
      </c>
      <c r="F1" t="s">
        <v>1304</v>
      </c>
      <c r="G1" t="s">
        <v>1266</v>
      </c>
      <c r="H1" t="s">
        <v>1305</v>
      </c>
      <c r="I1" t="s">
        <v>1303</v>
      </c>
      <c r="J1" t="s">
        <v>1267</v>
      </c>
      <c r="K1" t="s">
        <v>1275</v>
      </c>
      <c r="L1" s="2" t="s">
        <v>1274</v>
      </c>
      <c r="M1" t="str">
        <f t="shared" ref="M1:AB1" si="0">CONCATENATE("&lt;/li&gt;&lt;li&gt;&lt;a href=|http://",M1191,"/genesis/1.htm","| ","title=|",M1190,"| target=|_top|&gt;",M1192,"&lt;/a&gt;")</f>
        <v>&lt;/li&gt;&lt;li&gt;&lt;a href=|http://niv.scripturetext.com/genesis/1.htm| title=|New International Version| target=|_top|&gt;NIV&lt;/a&gt;</v>
      </c>
      <c r="N1" t="str">
        <f t="shared" si="0"/>
        <v>&lt;/li&gt;&lt;li&gt;&lt;a href=|http://nlt.scripturetext.com/genesis/1.htm| title=|New Living Translation| target=|_top|&gt;NLT&lt;/a&gt;</v>
      </c>
      <c r="O1" t="str">
        <f t="shared" si="0"/>
        <v>&lt;/li&gt;&lt;li&gt;&lt;a href=|http://nasb.scripturetext.com/genesis/1.htm| title=|New American Standard Bible| target=|_top|&gt;NAS&lt;/a&gt;</v>
      </c>
      <c r="P1" t="str">
        <f t="shared" si="0"/>
        <v>&lt;/li&gt;&lt;li&gt;&lt;a href=|http://gwt.scripturetext.com/genesis/1.htm| title=|God's Word Translation| target=|_top|&gt;GWT&lt;/a&gt;</v>
      </c>
      <c r="Q1" t="str">
        <f t="shared" si="0"/>
        <v>&lt;/li&gt;&lt;li&gt;&lt;a href=|http://kingjbible.com/genesis/1.htm| title=|King James Bible| target=|_top|&gt;KJV&lt;/a&gt;</v>
      </c>
      <c r="R1" t="str">
        <f t="shared" si="0"/>
        <v>&lt;/li&gt;&lt;li&gt;&lt;a href=|http://asvbible.com/genesis/1.htm| title=|American Standard Version| target=|_top|&gt;ASV&lt;/a&gt;</v>
      </c>
      <c r="S1" t="str">
        <f t="shared" si="0"/>
        <v>&lt;/li&gt;&lt;li&gt;&lt;a href=|http://drb.scripturetext.com/genesis/1.htm| title=|Douay-Rheims Bible| target=|_top|&gt;DRB&lt;/a&gt;</v>
      </c>
      <c r="T1" t="str">
        <f t="shared" si="0"/>
        <v>&lt;/li&gt;&lt;li&gt;&lt;a href=|http://erv.scripturetext.com/genesis/1.htm| title=|English Revised Version| target=|_top|&gt;ERV&lt;/a&gt;</v>
      </c>
      <c r="V1" t="str">
        <f>CONCATENATE("&lt;/li&gt;&lt;li&gt;&lt;a href=|http://",V1191,"/genesis/1.htm","| ","title=|",V1190,"| target=|_top|&gt;",V1192,"&lt;/a&gt;")</f>
        <v>&lt;/li&gt;&lt;li&gt;&lt;a href=|http://study.interlinearbible.org/genesis/1.htm| title=|Hebrew Study Bible| target=|_top|&gt;Heb Study&lt;/a&gt;</v>
      </c>
      <c r="W1" t="str">
        <f t="shared" si="0"/>
        <v>&lt;/li&gt;&lt;li&gt;&lt;a href=|http://apostolic.interlinearbible.org/genesis/1.htm| title=|Apostolic Bible Polyglot Interlinear| target=|_top|&gt;Polyglot&lt;/a&gt;</v>
      </c>
      <c r="X1" t="str">
        <f t="shared" si="0"/>
        <v>&lt;/li&gt;&lt;li&gt;&lt;a href=|http://interlinearbible.org/genesis/1.htm| title=|Interlinear Bible| target=|_top|&gt;Interlin&lt;/a&gt;</v>
      </c>
      <c r="Y1" t="str">
        <f t="shared" ref="Y1" si="1">CONCATENATE("&lt;/li&gt;&lt;li&gt;&lt;a href=|http://",Y1191,"/genesis/1.htm","| ","title=|",Y1190,"| target=|_top|&gt;",Y1192,"&lt;/a&gt;")</f>
        <v>&lt;/li&gt;&lt;li&gt;&lt;a href=|http://bibleoutline.org/genesis/1.htm| title=|Outline with People and Places List| target=|_top|&gt;Outline&lt;/a&gt;</v>
      </c>
      <c r="Z1" t="str">
        <f t="shared" si="0"/>
        <v>&lt;/li&gt;&lt;li&gt;&lt;a href=|http://kjvs.scripturetext.com/genesis/1.htm| title=|King James Bible with Strong's Numbers| target=|_top|&gt;Strong's&lt;/a&gt;</v>
      </c>
      <c r="AA1" t="str">
        <f t="shared" si="0"/>
        <v>&lt;/li&gt;&lt;li&gt;&lt;a href=|http://childrensbibleonline.com/genesis/1.htm| title=|The Children's Bible| target=|_top|&gt;Children's&lt;/a&gt;</v>
      </c>
      <c r="AB1" s="2" t="str">
        <f t="shared" si="0"/>
        <v>&lt;/li&gt;&lt;li&gt;&lt;a href=|http://tsk.scripturetext.com/genesis/1.htm| title=|Treasury of Scripture Knowledge| target=|_top|&gt;TSK&lt;/a&gt;</v>
      </c>
      <c r="AC1" t="str">
        <f>CONCATENATE("&lt;a href=|http://",AC1191,"/genesis/1.htm","| ","title=|",AC1190,"| target=|_top|&gt;",AC1192,"&lt;/a&gt;")</f>
        <v>&lt;a href=|http://parallelbible.com/genesis/1.htm| title=|Parallel Chapters| target=|_top|&gt;PAR&lt;/a&gt;</v>
      </c>
      <c r="AD1" s="2" t="str">
        <f t="shared" ref="AD1:AK1" si="2">CONCATENATE("&lt;/li&gt;&lt;li&gt;&lt;a href=|http://",AD1191,"/genesis/1.htm","| ","title=|",AD1190,"| target=|_top|&gt;",AD1192,"&lt;/a&gt;")</f>
        <v>&lt;/li&gt;&lt;li&gt;&lt;a href=|http://gsb.biblecommenter.com/genesis/1.htm| title=|Geneva Study Bible| target=|_top|&gt;GSB&lt;/a&gt;</v>
      </c>
      <c r="AE1" s="2" t="str">
        <f t="shared" si="2"/>
        <v>&lt;/li&gt;&lt;li&gt;&lt;a href=|http://jfb.biblecommenter.com/genesis/1.htm| title=|Jamieson-Fausset-Brown Bible Commentary| target=|_top|&gt;JFB&lt;/a&gt;</v>
      </c>
      <c r="AF1" s="2" t="str">
        <f t="shared" si="2"/>
        <v>&lt;/li&gt;&lt;li&gt;&lt;a href=|http://kjt.biblecommenter.com/genesis/1.htm| title=|King James Translators' Notes| target=|_top|&gt;KJT&lt;/a&gt;</v>
      </c>
      <c r="AG1" s="2" t="str">
        <f t="shared" si="2"/>
        <v>&lt;/li&gt;&lt;li&gt;&lt;a href=|http://mhc.biblecommenter.com/genesis/1.htm| title=|Matthew Henry's Concise Commentary| target=|_top|&gt;MHC&lt;/a&gt;</v>
      </c>
      <c r="AH1" s="2" t="str">
        <f t="shared" si="2"/>
        <v>&lt;/li&gt;&lt;li&gt;&lt;a href=|http://sco.biblecommenter.com/genesis/1.htm| title=|Scofield Reference Notes| target=|_top|&gt;SCO&lt;/a&gt;</v>
      </c>
      <c r="AI1" s="2" t="str">
        <f t="shared" si="2"/>
        <v>&lt;/li&gt;&lt;li&gt;&lt;a href=|http://wes.biblecommenter.com/genesis/1.htm| title=|Wesley's Notes on the Bible| target=|_top|&gt;WES&lt;/a&gt;</v>
      </c>
      <c r="AJ1" t="str">
        <f t="shared" si="2"/>
        <v>&lt;/li&gt;&lt;li&gt;&lt;a href=|http://worldebible.com/genesis/1.htm| title=|World English Bible| target=|_top|&gt;WEB&lt;/a&gt;</v>
      </c>
      <c r="AK1" t="str">
        <f t="shared" si="2"/>
        <v>&lt;/li&gt;&lt;li&gt;&lt;a href=|http://yltbible.com/genesis/1.htm| title=|Young's Literal Translation| target=|_top|&gt;YLT&lt;/a&gt;</v>
      </c>
      <c r="AL1" t="str">
        <f>CONCATENATE("&lt;a href=|http://",AL1191,"/genesis/1.htm","| ","title=|",AL1190,"| target=|_top|&gt;",AL1192,"&lt;/a&gt;")</f>
        <v>&lt;a href=|http://kjv.us/genesis/1.htm| title=|American King James Version| target=|_top|&gt;AKJ&lt;/a&gt;</v>
      </c>
      <c r="AM1" t="str">
        <f t="shared" ref="AM1:AN1" si="3">CONCATENATE("&lt;/li&gt;&lt;li&gt;&lt;a href=|http://",AM1191,"/genesis/1.htm","| ","title=|",AM1190,"| target=|_top|&gt;",AM1192,"&lt;/a&gt;")</f>
        <v>&lt;/li&gt;&lt;li&gt;&lt;a href=|http://basicenglishbible.com/genesis/1.htm| title=|Bible in Basic English| target=|_top|&gt;BBE&lt;/a&gt;</v>
      </c>
      <c r="AN1" t="str">
        <f t="shared" si="3"/>
        <v>&lt;/li&gt;&lt;li&gt;&lt;a href=|http://darbybible.com/genesis/1.htm| title=|Darby Bible Translation| target=|_top|&gt;DBY&lt;/a&gt;</v>
      </c>
      <c r="AO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" t="str">
        <f>CONCATENATE("&lt;/li&gt;&lt;li&gt;&lt;a href=|http://",AR1191,"/genesis/1.htm","| ","title=|",AR1190,"| target=|_top|&gt;",AR1192,"&lt;/a&gt;")</f>
        <v>&lt;/li&gt;&lt;li&gt;&lt;a href=|http://websterbible.com/genesis/1.htm| title=|Webster's Bible Translation| target=|_top|&gt;WBS&lt;/a&gt;</v>
      </c>
      <c r="AS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" t="str">
        <f>CONCATENATE("&lt;/li&gt;&lt;li&gt;&lt;a href=|http://",AT1191,"/genesis/1-1.htm","| ","title=|",AT1190,"| target=|_top|&gt;",AT1192,"&lt;/a&gt;")</f>
        <v>&lt;/li&gt;&lt;li&gt;&lt;a href=|http://biblebrowser.com/genesis/1-1.htm| title=|Split View| target=|_top|&gt;Split&lt;/a&gt;</v>
      </c>
      <c r="AU1" s="2" t="s">
        <v>1276</v>
      </c>
      <c r="AV1" t="s">
        <v>64</v>
      </c>
    </row>
    <row r="2" spans="1:48">
      <c r="A2" t="s">
        <v>622</v>
      </c>
      <c r="B2" t="s">
        <v>625</v>
      </c>
      <c r="C2" t="s">
        <v>624</v>
      </c>
      <c r="D2" t="s">
        <v>1268</v>
      </c>
      <c r="E2" t="s">
        <v>1277</v>
      </c>
      <c r="F2" t="s">
        <v>1304</v>
      </c>
      <c r="G2" t="s">
        <v>1266</v>
      </c>
      <c r="H2" t="s">
        <v>1305</v>
      </c>
      <c r="I2" t="s">
        <v>1303</v>
      </c>
      <c r="J2" t="s">
        <v>1267</v>
      </c>
      <c r="K2" t="s">
        <v>1275</v>
      </c>
      <c r="L2" s="2" t="s">
        <v>1274</v>
      </c>
      <c r="M2" t="str">
        <f t="shared" ref="M2:AB2" si="4">CONCATENATE("&lt;/li&gt;&lt;li&gt;&lt;a href=|http://",M1191,"/genesis/2.htm","| ","title=|",M1190,"| target=|_top|&gt;",M1192,"&lt;/a&gt;")</f>
        <v>&lt;/li&gt;&lt;li&gt;&lt;a href=|http://niv.scripturetext.com/genesis/2.htm| title=|New International Version| target=|_top|&gt;NIV&lt;/a&gt;</v>
      </c>
      <c r="N2" t="str">
        <f t="shared" si="4"/>
        <v>&lt;/li&gt;&lt;li&gt;&lt;a href=|http://nlt.scripturetext.com/genesis/2.htm| title=|New Living Translation| target=|_top|&gt;NLT&lt;/a&gt;</v>
      </c>
      <c r="O2" t="str">
        <f t="shared" si="4"/>
        <v>&lt;/li&gt;&lt;li&gt;&lt;a href=|http://nasb.scripturetext.com/genesis/2.htm| title=|New American Standard Bible| target=|_top|&gt;NAS&lt;/a&gt;</v>
      </c>
      <c r="P2" t="str">
        <f t="shared" si="4"/>
        <v>&lt;/li&gt;&lt;li&gt;&lt;a href=|http://gwt.scripturetext.com/genesis/2.htm| title=|God's Word Translation| target=|_top|&gt;GWT&lt;/a&gt;</v>
      </c>
      <c r="Q2" t="str">
        <f t="shared" si="4"/>
        <v>&lt;/li&gt;&lt;li&gt;&lt;a href=|http://kingjbible.com/genesis/2.htm| title=|King James Bible| target=|_top|&gt;KJV&lt;/a&gt;</v>
      </c>
      <c r="R2" t="str">
        <f t="shared" si="4"/>
        <v>&lt;/li&gt;&lt;li&gt;&lt;a href=|http://asvbible.com/genesis/2.htm| title=|American Standard Version| target=|_top|&gt;ASV&lt;/a&gt;</v>
      </c>
      <c r="S2" t="str">
        <f t="shared" si="4"/>
        <v>&lt;/li&gt;&lt;li&gt;&lt;a href=|http://drb.scripturetext.com/genesis/2.htm| title=|Douay-Rheims Bible| target=|_top|&gt;DRB&lt;/a&gt;</v>
      </c>
      <c r="T2" t="str">
        <f t="shared" si="4"/>
        <v>&lt;/li&gt;&lt;li&gt;&lt;a href=|http://erv.scripturetext.com/genesis/2.htm| title=|English Revised Version| target=|_top|&gt;ERV&lt;/a&gt;</v>
      </c>
      <c r="V2" t="str">
        <f>CONCATENATE("&lt;/li&gt;&lt;li&gt;&lt;a href=|http://",V1191,"/genesis/2.htm","| ","title=|",V1190,"| target=|_top|&gt;",V1192,"&lt;/a&gt;")</f>
        <v>&lt;/li&gt;&lt;li&gt;&lt;a href=|http://study.interlinearbible.org/genesis/2.htm| title=|Hebrew Study Bible| target=|_top|&gt;Heb Study&lt;/a&gt;</v>
      </c>
      <c r="W2" t="str">
        <f t="shared" si="4"/>
        <v>&lt;/li&gt;&lt;li&gt;&lt;a href=|http://apostolic.interlinearbible.org/genesis/2.htm| title=|Apostolic Bible Polyglot Interlinear| target=|_top|&gt;Polyglot&lt;/a&gt;</v>
      </c>
      <c r="X2" t="str">
        <f t="shared" si="4"/>
        <v>&lt;/li&gt;&lt;li&gt;&lt;a href=|http://interlinearbible.org/genesis/2.htm| title=|Interlinear Bible| target=|_top|&gt;Interlin&lt;/a&gt;</v>
      </c>
      <c r="Y2" t="str">
        <f t="shared" ref="Y2" si="5">CONCATENATE("&lt;/li&gt;&lt;li&gt;&lt;a href=|http://",Y1191,"/genesis/2.htm","| ","title=|",Y1190,"| target=|_top|&gt;",Y1192,"&lt;/a&gt;")</f>
        <v>&lt;/li&gt;&lt;li&gt;&lt;a href=|http://bibleoutline.org/genesis/2.htm| title=|Outline with People and Places List| target=|_top|&gt;Outline&lt;/a&gt;</v>
      </c>
      <c r="Z2" t="str">
        <f t="shared" si="4"/>
        <v>&lt;/li&gt;&lt;li&gt;&lt;a href=|http://kjvs.scripturetext.com/genesis/2.htm| title=|King James Bible with Strong's Numbers| target=|_top|&gt;Strong's&lt;/a&gt;</v>
      </c>
      <c r="AA2" t="str">
        <f t="shared" si="4"/>
        <v>&lt;/li&gt;&lt;li&gt;&lt;a href=|http://childrensbibleonline.com/genesis/2.htm| title=|The Children's Bible| target=|_top|&gt;Children's&lt;/a&gt;</v>
      </c>
      <c r="AB2" s="2" t="str">
        <f t="shared" si="4"/>
        <v>&lt;/li&gt;&lt;li&gt;&lt;a href=|http://tsk.scripturetext.com/genesis/2.htm| title=|Treasury of Scripture Knowledge| target=|_top|&gt;TSK&lt;/a&gt;</v>
      </c>
      <c r="AC2" t="str">
        <f>CONCATENATE("&lt;a href=|http://",AC1191,"/genesis/2.htm","| ","title=|",AC1190,"| target=|_top|&gt;",AC1192,"&lt;/a&gt;")</f>
        <v>&lt;a href=|http://parallelbible.com/genesis/2.htm| title=|Parallel Chapters| target=|_top|&gt;PAR&lt;/a&gt;</v>
      </c>
      <c r="AD2" s="2" t="str">
        <f t="shared" ref="AD2:AK2" si="6">CONCATENATE("&lt;/li&gt;&lt;li&gt;&lt;a href=|http://",AD1191,"/genesis/2.htm","| ","title=|",AD1190,"| target=|_top|&gt;",AD1192,"&lt;/a&gt;")</f>
        <v>&lt;/li&gt;&lt;li&gt;&lt;a href=|http://gsb.biblecommenter.com/genesis/2.htm| title=|Geneva Study Bible| target=|_top|&gt;GSB&lt;/a&gt;</v>
      </c>
      <c r="AE2" s="2" t="str">
        <f t="shared" si="6"/>
        <v>&lt;/li&gt;&lt;li&gt;&lt;a href=|http://jfb.biblecommenter.com/genesis/2.htm| title=|Jamieson-Fausset-Brown Bible Commentary| target=|_top|&gt;JFB&lt;/a&gt;</v>
      </c>
      <c r="AF2" s="2" t="str">
        <f t="shared" si="6"/>
        <v>&lt;/li&gt;&lt;li&gt;&lt;a href=|http://kjt.biblecommenter.com/genesis/2.htm| title=|King James Translators' Notes| target=|_top|&gt;KJT&lt;/a&gt;</v>
      </c>
      <c r="AG2" s="2" t="str">
        <f t="shared" si="6"/>
        <v>&lt;/li&gt;&lt;li&gt;&lt;a href=|http://mhc.biblecommenter.com/genesis/2.htm| title=|Matthew Henry's Concise Commentary| target=|_top|&gt;MHC&lt;/a&gt;</v>
      </c>
      <c r="AH2" s="2" t="str">
        <f t="shared" si="6"/>
        <v>&lt;/li&gt;&lt;li&gt;&lt;a href=|http://sco.biblecommenter.com/genesis/2.htm| title=|Scofield Reference Notes| target=|_top|&gt;SCO&lt;/a&gt;</v>
      </c>
      <c r="AI2" s="2" t="str">
        <f t="shared" si="6"/>
        <v>&lt;/li&gt;&lt;li&gt;&lt;a href=|http://wes.biblecommenter.com/genesis/2.htm| title=|Wesley's Notes on the Bible| target=|_top|&gt;WES&lt;/a&gt;</v>
      </c>
      <c r="AJ2" t="str">
        <f t="shared" si="6"/>
        <v>&lt;/li&gt;&lt;li&gt;&lt;a href=|http://worldebible.com/genesis/2.htm| title=|World English Bible| target=|_top|&gt;WEB&lt;/a&gt;</v>
      </c>
      <c r="AK2" t="str">
        <f t="shared" si="6"/>
        <v>&lt;/li&gt;&lt;li&gt;&lt;a href=|http://yltbible.com/genesis/2.htm| title=|Young's Literal Translation| target=|_top|&gt;YLT&lt;/a&gt;</v>
      </c>
      <c r="AL2" t="str">
        <f>CONCATENATE("&lt;a href=|http://",AL1191,"/genesis/2.htm","| ","title=|",AL1190,"| target=|_top|&gt;",AL1192,"&lt;/a&gt;")</f>
        <v>&lt;a href=|http://kjv.us/genesis/2.htm| title=|American King James Version| target=|_top|&gt;AKJ&lt;/a&gt;</v>
      </c>
      <c r="AM2" t="str">
        <f t="shared" ref="AM2:AN2" si="7">CONCATENATE("&lt;/li&gt;&lt;li&gt;&lt;a href=|http://",AM1191,"/genesis/2.htm","| ","title=|",AM1190,"| target=|_top|&gt;",AM1192,"&lt;/a&gt;")</f>
        <v>&lt;/li&gt;&lt;li&gt;&lt;a href=|http://basicenglishbible.com/genesis/2.htm| title=|Bible in Basic English| target=|_top|&gt;BBE&lt;/a&gt;</v>
      </c>
      <c r="AN2" t="str">
        <f t="shared" si="7"/>
        <v>&lt;/li&gt;&lt;li&gt;&lt;a href=|http://darbybible.com/genesis/2.htm| title=|Darby Bible Translation| target=|_top|&gt;DBY&lt;/a&gt;</v>
      </c>
      <c r="AO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" t="str">
        <f>CONCATENATE("&lt;/li&gt;&lt;li&gt;&lt;a href=|http://",AR1191,"/genesis/2.htm","| ","title=|",AR1190,"| target=|_top|&gt;",AR1192,"&lt;/a&gt;")</f>
        <v>&lt;/li&gt;&lt;li&gt;&lt;a href=|http://websterbible.com/genesis/2.htm| title=|Webster's Bible Translation| target=|_top|&gt;WBS&lt;/a&gt;</v>
      </c>
      <c r="AS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" t="str">
        <f>CONCATENATE("&lt;/li&gt;&lt;li&gt;&lt;a href=|http://",AT1191,"/genesis/2-1.htm","| ","title=|",AT1190,"| target=|_top|&gt;",AT1192,"&lt;/a&gt;")</f>
        <v>&lt;/li&gt;&lt;li&gt;&lt;a href=|http://biblebrowser.com/genesis/2-1.htm| title=|Split View| target=|_top|&gt;Split&lt;/a&gt;</v>
      </c>
      <c r="AU2" s="2" t="s">
        <v>1276</v>
      </c>
      <c r="AV2" t="s">
        <v>64</v>
      </c>
    </row>
    <row r="3" spans="1:48">
      <c r="A3" t="s">
        <v>622</v>
      </c>
      <c r="B3" t="s">
        <v>626</v>
      </c>
      <c r="C3" t="s">
        <v>624</v>
      </c>
      <c r="D3" t="s">
        <v>1268</v>
      </c>
      <c r="E3" t="s">
        <v>1277</v>
      </c>
      <c r="F3" t="s">
        <v>1304</v>
      </c>
      <c r="G3" t="s">
        <v>1266</v>
      </c>
      <c r="H3" t="s">
        <v>1305</v>
      </c>
      <c r="I3" t="s">
        <v>1303</v>
      </c>
      <c r="J3" t="s">
        <v>1267</v>
      </c>
      <c r="K3" t="s">
        <v>1275</v>
      </c>
      <c r="L3" s="2" t="s">
        <v>1274</v>
      </c>
      <c r="M3" t="str">
        <f t="shared" ref="M3:AB3" si="8">CONCATENATE("&lt;/li&gt;&lt;li&gt;&lt;a href=|http://",M1191,"/genesis/3.htm","| ","title=|",M1190,"| target=|_top|&gt;",M1192,"&lt;/a&gt;")</f>
        <v>&lt;/li&gt;&lt;li&gt;&lt;a href=|http://niv.scripturetext.com/genesis/3.htm| title=|New International Version| target=|_top|&gt;NIV&lt;/a&gt;</v>
      </c>
      <c r="N3" t="str">
        <f t="shared" si="8"/>
        <v>&lt;/li&gt;&lt;li&gt;&lt;a href=|http://nlt.scripturetext.com/genesis/3.htm| title=|New Living Translation| target=|_top|&gt;NLT&lt;/a&gt;</v>
      </c>
      <c r="O3" t="str">
        <f t="shared" si="8"/>
        <v>&lt;/li&gt;&lt;li&gt;&lt;a href=|http://nasb.scripturetext.com/genesis/3.htm| title=|New American Standard Bible| target=|_top|&gt;NAS&lt;/a&gt;</v>
      </c>
      <c r="P3" t="str">
        <f t="shared" si="8"/>
        <v>&lt;/li&gt;&lt;li&gt;&lt;a href=|http://gwt.scripturetext.com/genesis/3.htm| title=|God's Word Translation| target=|_top|&gt;GWT&lt;/a&gt;</v>
      </c>
      <c r="Q3" t="str">
        <f t="shared" si="8"/>
        <v>&lt;/li&gt;&lt;li&gt;&lt;a href=|http://kingjbible.com/genesis/3.htm| title=|King James Bible| target=|_top|&gt;KJV&lt;/a&gt;</v>
      </c>
      <c r="R3" t="str">
        <f t="shared" si="8"/>
        <v>&lt;/li&gt;&lt;li&gt;&lt;a href=|http://asvbible.com/genesis/3.htm| title=|American Standard Version| target=|_top|&gt;ASV&lt;/a&gt;</v>
      </c>
      <c r="S3" t="str">
        <f t="shared" si="8"/>
        <v>&lt;/li&gt;&lt;li&gt;&lt;a href=|http://drb.scripturetext.com/genesis/3.htm| title=|Douay-Rheims Bible| target=|_top|&gt;DRB&lt;/a&gt;</v>
      </c>
      <c r="T3" t="str">
        <f t="shared" si="8"/>
        <v>&lt;/li&gt;&lt;li&gt;&lt;a href=|http://erv.scripturetext.com/genesis/3.htm| title=|English Revised Version| target=|_top|&gt;ERV&lt;/a&gt;</v>
      </c>
      <c r="V3" t="str">
        <f>CONCATENATE("&lt;/li&gt;&lt;li&gt;&lt;a href=|http://",V1191,"/genesis/3.htm","| ","title=|",V1190,"| target=|_top|&gt;",V1192,"&lt;/a&gt;")</f>
        <v>&lt;/li&gt;&lt;li&gt;&lt;a href=|http://study.interlinearbible.org/genesis/3.htm| title=|Hebrew Study Bible| target=|_top|&gt;Heb Study&lt;/a&gt;</v>
      </c>
      <c r="W3" t="str">
        <f t="shared" si="8"/>
        <v>&lt;/li&gt;&lt;li&gt;&lt;a href=|http://apostolic.interlinearbible.org/genesis/3.htm| title=|Apostolic Bible Polyglot Interlinear| target=|_top|&gt;Polyglot&lt;/a&gt;</v>
      </c>
      <c r="X3" t="str">
        <f t="shared" si="8"/>
        <v>&lt;/li&gt;&lt;li&gt;&lt;a href=|http://interlinearbible.org/genesis/3.htm| title=|Interlinear Bible| target=|_top|&gt;Interlin&lt;/a&gt;</v>
      </c>
      <c r="Y3" t="str">
        <f t="shared" ref="Y3" si="9">CONCATENATE("&lt;/li&gt;&lt;li&gt;&lt;a href=|http://",Y1191,"/genesis/3.htm","| ","title=|",Y1190,"| target=|_top|&gt;",Y1192,"&lt;/a&gt;")</f>
        <v>&lt;/li&gt;&lt;li&gt;&lt;a href=|http://bibleoutline.org/genesis/3.htm| title=|Outline with People and Places List| target=|_top|&gt;Outline&lt;/a&gt;</v>
      </c>
      <c r="Z3" t="str">
        <f t="shared" si="8"/>
        <v>&lt;/li&gt;&lt;li&gt;&lt;a href=|http://kjvs.scripturetext.com/genesis/3.htm| title=|King James Bible with Strong's Numbers| target=|_top|&gt;Strong's&lt;/a&gt;</v>
      </c>
      <c r="AA3" t="str">
        <f t="shared" si="8"/>
        <v>&lt;/li&gt;&lt;li&gt;&lt;a href=|http://childrensbibleonline.com/genesis/3.htm| title=|The Children's Bible| target=|_top|&gt;Children's&lt;/a&gt;</v>
      </c>
      <c r="AB3" s="2" t="str">
        <f t="shared" si="8"/>
        <v>&lt;/li&gt;&lt;li&gt;&lt;a href=|http://tsk.scripturetext.com/genesis/3.htm| title=|Treasury of Scripture Knowledge| target=|_top|&gt;TSK&lt;/a&gt;</v>
      </c>
      <c r="AC3" t="str">
        <f>CONCATENATE("&lt;a href=|http://",AC1191,"/genesis/3.htm","| ","title=|",AC1190,"| target=|_top|&gt;",AC1192,"&lt;/a&gt;")</f>
        <v>&lt;a href=|http://parallelbible.com/genesis/3.htm| title=|Parallel Chapters| target=|_top|&gt;PAR&lt;/a&gt;</v>
      </c>
      <c r="AD3" s="2" t="str">
        <f t="shared" ref="AD3:AK3" si="10">CONCATENATE("&lt;/li&gt;&lt;li&gt;&lt;a href=|http://",AD1191,"/genesis/3.htm","| ","title=|",AD1190,"| target=|_top|&gt;",AD1192,"&lt;/a&gt;")</f>
        <v>&lt;/li&gt;&lt;li&gt;&lt;a href=|http://gsb.biblecommenter.com/genesis/3.htm| title=|Geneva Study Bible| target=|_top|&gt;GSB&lt;/a&gt;</v>
      </c>
      <c r="AE3" s="2" t="str">
        <f t="shared" si="10"/>
        <v>&lt;/li&gt;&lt;li&gt;&lt;a href=|http://jfb.biblecommenter.com/genesis/3.htm| title=|Jamieson-Fausset-Brown Bible Commentary| target=|_top|&gt;JFB&lt;/a&gt;</v>
      </c>
      <c r="AF3" s="2" t="str">
        <f t="shared" si="10"/>
        <v>&lt;/li&gt;&lt;li&gt;&lt;a href=|http://kjt.biblecommenter.com/genesis/3.htm| title=|King James Translators' Notes| target=|_top|&gt;KJT&lt;/a&gt;</v>
      </c>
      <c r="AG3" s="2" t="str">
        <f t="shared" si="10"/>
        <v>&lt;/li&gt;&lt;li&gt;&lt;a href=|http://mhc.biblecommenter.com/genesis/3.htm| title=|Matthew Henry's Concise Commentary| target=|_top|&gt;MHC&lt;/a&gt;</v>
      </c>
      <c r="AH3" s="2" t="str">
        <f t="shared" si="10"/>
        <v>&lt;/li&gt;&lt;li&gt;&lt;a href=|http://sco.biblecommenter.com/genesis/3.htm| title=|Scofield Reference Notes| target=|_top|&gt;SCO&lt;/a&gt;</v>
      </c>
      <c r="AI3" s="2" t="str">
        <f t="shared" si="10"/>
        <v>&lt;/li&gt;&lt;li&gt;&lt;a href=|http://wes.biblecommenter.com/genesis/3.htm| title=|Wesley's Notes on the Bible| target=|_top|&gt;WES&lt;/a&gt;</v>
      </c>
      <c r="AJ3" t="str">
        <f t="shared" si="10"/>
        <v>&lt;/li&gt;&lt;li&gt;&lt;a href=|http://worldebible.com/genesis/3.htm| title=|World English Bible| target=|_top|&gt;WEB&lt;/a&gt;</v>
      </c>
      <c r="AK3" t="str">
        <f t="shared" si="10"/>
        <v>&lt;/li&gt;&lt;li&gt;&lt;a href=|http://yltbible.com/genesis/3.htm| title=|Young's Literal Translation| target=|_top|&gt;YLT&lt;/a&gt;</v>
      </c>
      <c r="AL3" t="str">
        <f>CONCATENATE("&lt;a href=|http://",AL1191,"/genesis/3.htm","| ","title=|",AL1190,"| target=|_top|&gt;",AL1192,"&lt;/a&gt;")</f>
        <v>&lt;a href=|http://kjv.us/genesis/3.htm| title=|American King James Version| target=|_top|&gt;AKJ&lt;/a&gt;</v>
      </c>
      <c r="AM3" t="str">
        <f t="shared" ref="AM3:AN3" si="11">CONCATENATE("&lt;/li&gt;&lt;li&gt;&lt;a href=|http://",AM1191,"/genesis/3.htm","| ","title=|",AM1190,"| target=|_top|&gt;",AM1192,"&lt;/a&gt;")</f>
        <v>&lt;/li&gt;&lt;li&gt;&lt;a href=|http://basicenglishbible.com/genesis/3.htm| title=|Bible in Basic English| target=|_top|&gt;BBE&lt;/a&gt;</v>
      </c>
      <c r="AN3" t="str">
        <f t="shared" si="11"/>
        <v>&lt;/li&gt;&lt;li&gt;&lt;a href=|http://darbybible.com/genesis/3.htm| title=|Darby Bible Translation| target=|_top|&gt;DBY&lt;/a&gt;</v>
      </c>
      <c r="AO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" t="str">
        <f>CONCATENATE("&lt;/li&gt;&lt;li&gt;&lt;a href=|http://",AR1191,"/genesis/3.htm","| ","title=|",AR1190,"| target=|_top|&gt;",AR1192,"&lt;/a&gt;")</f>
        <v>&lt;/li&gt;&lt;li&gt;&lt;a href=|http://websterbible.com/genesis/3.htm| title=|Webster's Bible Translation| target=|_top|&gt;WBS&lt;/a&gt;</v>
      </c>
      <c r="AS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" t="str">
        <f>CONCATENATE("&lt;/li&gt;&lt;li&gt;&lt;a href=|http://",AT1191,"/genesis/3-1.htm","| ","title=|",AT1190,"| target=|_top|&gt;",AT1192,"&lt;/a&gt;")</f>
        <v>&lt;/li&gt;&lt;li&gt;&lt;a href=|http://biblebrowser.com/genesis/3-1.htm| title=|Split View| target=|_top|&gt;Split&lt;/a&gt;</v>
      </c>
      <c r="AU3" s="2" t="s">
        <v>1276</v>
      </c>
      <c r="AV3" t="s">
        <v>64</v>
      </c>
    </row>
    <row r="4" spans="1:48">
      <c r="A4" t="s">
        <v>622</v>
      </c>
      <c r="B4" t="s">
        <v>627</v>
      </c>
      <c r="C4" t="s">
        <v>624</v>
      </c>
      <c r="D4" t="s">
        <v>1268</v>
      </c>
      <c r="E4" t="s">
        <v>1277</v>
      </c>
      <c r="F4" t="s">
        <v>1304</v>
      </c>
      <c r="G4" t="s">
        <v>1266</v>
      </c>
      <c r="H4" t="s">
        <v>1305</v>
      </c>
      <c r="I4" t="s">
        <v>1303</v>
      </c>
      <c r="J4" t="s">
        <v>1267</v>
      </c>
      <c r="K4" t="s">
        <v>1275</v>
      </c>
      <c r="L4" s="2" t="s">
        <v>1274</v>
      </c>
      <c r="M4" t="str">
        <f t="shared" ref="M4:AB4" si="12">CONCATENATE("&lt;/li&gt;&lt;li&gt;&lt;a href=|http://",M1191,"/genesis/4.htm","| ","title=|",M1190,"| target=|_top|&gt;",M1192,"&lt;/a&gt;")</f>
        <v>&lt;/li&gt;&lt;li&gt;&lt;a href=|http://niv.scripturetext.com/genesis/4.htm| title=|New International Version| target=|_top|&gt;NIV&lt;/a&gt;</v>
      </c>
      <c r="N4" t="str">
        <f t="shared" si="12"/>
        <v>&lt;/li&gt;&lt;li&gt;&lt;a href=|http://nlt.scripturetext.com/genesis/4.htm| title=|New Living Translation| target=|_top|&gt;NLT&lt;/a&gt;</v>
      </c>
      <c r="O4" t="str">
        <f t="shared" si="12"/>
        <v>&lt;/li&gt;&lt;li&gt;&lt;a href=|http://nasb.scripturetext.com/genesis/4.htm| title=|New American Standard Bible| target=|_top|&gt;NAS&lt;/a&gt;</v>
      </c>
      <c r="P4" t="str">
        <f t="shared" si="12"/>
        <v>&lt;/li&gt;&lt;li&gt;&lt;a href=|http://gwt.scripturetext.com/genesis/4.htm| title=|God's Word Translation| target=|_top|&gt;GWT&lt;/a&gt;</v>
      </c>
      <c r="Q4" t="str">
        <f t="shared" si="12"/>
        <v>&lt;/li&gt;&lt;li&gt;&lt;a href=|http://kingjbible.com/genesis/4.htm| title=|King James Bible| target=|_top|&gt;KJV&lt;/a&gt;</v>
      </c>
      <c r="R4" t="str">
        <f t="shared" si="12"/>
        <v>&lt;/li&gt;&lt;li&gt;&lt;a href=|http://asvbible.com/genesis/4.htm| title=|American Standard Version| target=|_top|&gt;ASV&lt;/a&gt;</v>
      </c>
      <c r="S4" t="str">
        <f t="shared" si="12"/>
        <v>&lt;/li&gt;&lt;li&gt;&lt;a href=|http://drb.scripturetext.com/genesis/4.htm| title=|Douay-Rheims Bible| target=|_top|&gt;DRB&lt;/a&gt;</v>
      </c>
      <c r="T4" t="str">
        <f t="shared" si="12"/>
        <v>&lt;/li&gt;&lt;li&gt;&lt;a href=|http://erv.scripturetext.com/genesis/4.htm| title=|English Revised Version| target=|_top|&gt;ERV&lt;/a&gt;</v>
      </c>
      <c r="V4" t="str">
        <f>CONCATENATE("&lt;/li&gt;&lt;li&gt;&lt;a href=|http://",V1191,"/genesis/4.htm","| ","title=|",V1190,"| target=|_top|&gt;",V1192,"&lt;/a&gt;")</f>
        <v>&lt;/li&gt;&lt;li&gt;&lt;a href=|http://study.interlinearbible.org/genesis/4.htm| title=|Hebrew Study Bible| target=|_top|&gt;Heb Study&lt;/a&gt;</v>
      </c>
      <c r="W4" t="str">
        <f t="shared" si="12"/>
        <v>&lt;/li&gt;&lt;li&gt;&lt;a href=|http://apostolic.interlinearbible.org/genesis/4.htm| title=|Apostolic Bible Polyglot Interlinear| target=|_top|&gt;Polyglot&lt;/a&gt;</v>
      </c>
      <c r="X4" t="str">
        <f t="shared" si="12"/>
        <v>&lt;/li&gt;&lt;li&gt;&lt;a href=|http://interlinearbible.org/genesis/4.htm| title=|Interlinear Bible| target=|_top|&gt;Interlin&lt;/a&gt;</v>
      </c>
      <c r="Y4" t="str">
        <f t="shared" ref="Y4" si="13">CONCATENATE("&lt;/li&gt;&lt;li&gt;&lt;a href=|http://",Y1191,"/genesis/4.htm","| ","title=|",Y1190,"| target=|_top|&gt;",Y1192,"&lt;/a&gt;")</f>
        <v>&lt;/li&gt;&lt;li&gt;&lt;a href=|http://bibleoutline.org/genesis/4.htm| title=|Outline with People and Places List| target=|_top|&gt;Outline&lt;/a&gt;</v>
      </c>
      <c r="Z4" t="str">
        <f t="shared" si="12"/>
        <v>&lt;/li&gt;&lt;li&gt;&lt;a href=|http://kjvs.scripturetext.com/genesis/4.htm| title=|King James Bible with Strong's Numbers| target=|_top|&gt;Strong's&lt;/a&gt;</v>
      </c>
      <c r="AA4" t="str">
        <f t="shared" si="12"/>
        <v>&lt;/li&gt;&lt;li&gt;&lt;a href=|http://childrensbibleonline.com/genesis/4.htm| title=|The Children's Bible| target=|_top|&gt;Children's&lt;/a&gt;</v>
      </c>
      <c r="AB4" s="2" t="str">
        <f t="shared" si="12"/>
        <v>&lt;/li&gt;&lt;li&gt;&lt;a href=|http://tsk.scripturetext.com/genesis/4.htm| title=|Treasury of Scripture Knowledge| target=|_top|&gt;TSK&lt;/a&gt;</v>
      </c>
      <c r="AC4" t="str">
        <f>CONCATENATE("&lt;a href=|http://",AC1191,"/genesis/4.htm","| ","title=|",AC1190,"| target=|_top|&gt;",AC1192,"&lt;/a&gt;")</f>
        <v>&lt;a href=|http://parallelbible.com/genesis/4.htm| title=|Parallel Chapters| target=|_top|&gt;PAR&lt;/a&gt;</v>
      </c>
      <c r="AD4" s="2" t="str">
        <f t="shared" ref="AD4:AK4" si="14">CONCATENATE("&lt;/li&gt;&lt;li&gt;&lt;a href=|http://",AD1191,"/genesis/4.htm","| ","title=|",AD1190,"| target=|_top|&gt;",AD1192,"&lt;/a&gt;")</f>
        <v>&lt;/li&gt;&lt;li&gt;&lt;a href=|http://gsb.biblecommenter.com/genesis/4.htm| title=|Geneva Study Bible| target=|_top|&gt;GSB&lt;/a&gt;</v>
      </c>
      <c r="AE4" s="2" t="str">
        <f t="shared" si="14"/>
        <v>&lt;/li&gt;&lt;li&gt;&lt;a href=|http://jfb.biblecommenter.com/genesis/4.htm| title=|Jamieson-Fausset-Brown Bible Commentary| target=|_top|&gt;JFB&lt;/a&gt;</v>
      </c>
      <c r="AF4" s="2" t="str">
        <f t="shared" si="14"/>
        <v>&lt;/li&gt;&lt;li&gt;&lt;a href=|http://kjt.biblecommenter.com/genesis/4.htm| title=|King James Translators' Notes| target=|_top|&gt;KJT&lt;/a&gt;</v>
      </c>
      <c r="AG4" s="2" t="str">
        <f t="shared" si="14"/>
        <v>&lt;/li&gt;&lt;li&gt;&lt;a href=|http://mhc.biblecommenter.com/genesis/4.htm| title=|Matthew Henry's Concise Commentary| target=|_top|&gt;MHC&lt;/a&gt;</v>
      </c>
      <c r="AH4" s="2" t="str">
        <f t="shared" si="14"/>
        <v>&lt;/li&gt;&lt;li&gt;&lt;a href=|http://sco.biblecommenter.com/genesis/4.htm| title=|Scofield Reference Notes| target=|_top|&gt;SCO&lt;/a&gt;</v>
      </c>
      <c r="AI4" s="2" t="str">
        <f t="shared" si="14"/>
        <v>&lt;/li&gt;&lt;li&gt;&lt;a href=|http://wes.biblecommenter.com/genesis/4.htm| title=|Wesley's Notes on the Bible| target=|_top|&gt;WES&lt;/a&gt;</v>
      </c>
      <c r="AJ4" t="str">
        <f t="shared" si="14"/>
        <v>&lt;/li&gt;&lt;li&gt;&lt;a href=|http://worldebible.com/genesis/4.htm| title=|World English Bible| target=|_top|&gt;WEB&lt;/a&gt;</v>
      </c>
      <c r="AK4" t="str">
        <f t="shared" si="14"/>
        <v>&lt;/li&gt;&lt;li&gt;&lt;a href=|http://yltbible.com/genesis/4.htm| title=|Young's Literal Translation| target=|_top|&gt;YLT&lt;/a&gt;</v>
      </c>
      <c r="AL4" t="str">
        <f>CONCATENATE("&lt;a href=|http://",AL1191,"/genesis/4.htm","| ","title=|",AL1190,"| target=|_top|&gt;",AL1192,"&lt;/a&gt;")</f>
        <v>&lt;a href=|http://kjv.us/genesis/4.htm| title=|American King James Version| target=|_top|&gt;AKJ&lt;/a&gt;</v>
      </c>
      <c r="AM4" t="str">
        <f t="shared" ref="AM4:AN4" si="15">CONCATENATE("&lt;/li&gt;&lt;li&gt;&lt;a href=|http://",AM1191,"/genesis/4.htm","| ","title=|",AM1190,"| target=|_top|&gt;",AM1192,"&lt;/a&gt;")</f>
        <v>&lt;/li&gt;&lt;li&gt;&lt;a href=|http://basicenglishbible.com/genesis/4.htm| title=|Bible in Basic English| target=|_top|&gt;BBE&lt;/a&gt;</v>
      </c>
      <c r="AN4" t="str">
        <f t="shared" si="15"/>
        <v>&lt;/li&gt;&lt;li&gt;&lt;a href=|http://darbybible.com/genesis/4.htm| title=|Darby Bible Translation| target=|_top|&gt;DBY&lt;/a&gt;</v>
      </c>
      <c r="AO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" t="str">
        <f>CONCATENATE("&lt;/li&gt;&lt;li&gt;&lt;a href=|http://",AR1191,"/genesis/4.htm","| ","title=|",AR1190,"| target=|_top|&gt;",AR1192,"&lt;/a&gt;")</f>
        <v>&lt;/li&gt;&lt;li&gt;&lt;a href=|http://websterbible.com/genesis/4.htm| title=|Webster's Bible Translation| target=|_top|&gt;WBS&lt;/a&gt;</v>
      </c>
      <c r="AS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" t="str">
        <f>CONCATENATE("&lt;/li&gt;&lt;li&gt;&lt;a href=|http://",AT1191,"/genesis/4-1.htm","| ","title=|",AT1190,"| target=|_top|&gt;",AT1192,"&lt;/a&gt;")</f>
        <v>&lt;/li&gt;&lt;li&gt;&lt;a href=|http://biblebrowser.com/genesis/4-1.htm| title=|Split View| target=|_top|&gt;Split&lt;/a&gt;</v>
      </c>
      <c r="AU4" s="2" t="s">
        <v>1276</v>
      </c>
      <c r="AV4" t="s">
        <v>64</v>
      </c>
    </row>
    <row r="5" spans="1:48">
      <c r="A5" t="s">
        <v>622</v>
      </c>
      <c r="B5" t="s">
        <v>628</v>
      </c>
      <c r="C5" t="s">
        <v>624</v>
      </c>
      <c r="D5" t="s">
        <v>1268</v>
      </c>
      <c r="E5" t="s">
        <v>1277</v>
      </c>
      <c r="F5" t="s">
        <v>1304</v>
      </c>
      <c r="G5" t="s">
        <v>1266</v>
      </c>
      <c r="H5" t="s">
        <v>1305</v>
      </c>
      <c r="I5" t="s">
        <v>1303</v>
      </c>
      <c r="J5" t="s">
        <v>1267</v>
      </c>
      <c r="K5" t="s">
        <v>1275</v>
      </c>
      <c r="L5" s="2" t="s">
        <v>1274</v>
      </c>
      <c r="M5" t="str">
        <f t="shared" ref="M5:AB5" si="16">CONCATENATE("&lt;/li&gt;&lt;li&gt;&lt;a href=|http://",M1191,"/genesis/5.htm","| ","title=|",M1190,"| target=|_top|&gt;",M1192,"&lt;/a&gt;")</f>
        <v>&lt;/li&gt;&lt;li&gt;&lt;a href=|http://niv.scripturetext.com/genesis/5.htm| title=|New International Version| target=|_top|&gt;NIV&lt;/a&gt;</v>
      </c>
      <c r="N5" t="str">
        <f t="shared" si="16"/>
        <v>&lt;/li&gt;&lt;li&gt;&lt;a href=|http://nlt.scripturetext.com/genesis/5.htm| title=|New Living Translation| target=|_top|&gt;NLT&lt;/a&gt;</v>
      </c>
      <c r="O5" t="str">
        <f t="shared" si="16"/>
        <v>&lt;/li&gt;&lt;li&gt;&lt;a href=|http://nasb.scripturetext.com/genesis/5.htm| title=|New American Standard Bible| target=|_top|&gt;NAS&lt;/a&gt;</v>
      </c>
      <c r="P5" t="str">
        <f t="shared" si="16"/>
        <v>&lt;/li&gt;&lt;li&gt;&lt;a href=|http://gwt.scripturetext.com/genesis/5.htm| title=|God's Word Translation| target=|_top|&gt;GWT&lt;/a&gt;</v>
      </c>
      <c r="Q5" t="str">
        <f t="shared" si="16"/>
        <v>&lt;/li&gt;&lt;li&gt;&lt;a href=|http://kingjbible.com/genesis/5.htm| title=|King James Bible| target=|_top|&gt;KJV&lt;/a&gt;</v>
      </c>
      <c r="R5" t="str">
        <f t="shared" si="16"/>
        <v>&lt;/li&gt;&lt;li&gt;&lt;a href=|http://asvbible.com/genesis/5.htm| title=|American Standard Version| target=|_top|&gt;ASV&lt;/a&gt;</v>
      </c>
      <c r="S5" t="str">
        <f t="shared" si="16"/>
        <v>&lt;/li&gt;&lt;li&gt;&lt;a href=|http://drb.scripturetext.com/genesis/5.htm| title=|Douay-Rheims Bible| target=|_top|&gt;DRB&lt;/a&gt;</v>
      </c>
      <c r="T5" t="str">
        <f t="shared" si="16"/>
        <v>&lt;/li&gt;&lt;li&gt;&lt;a href=|http://erv.scripturetext.com/genesis/5.htm| title=|English Revised Version| target=|_top|&gt;ERV&lt;/a&gt;</v>
      </c>
      <c r="V5" t="str">
        <f>CONCATENATE("&lt;/li&gt;&lt;li&gt;&lt;a href=|http://",V1191,"/genesis/5.htm","| ","title=|",V1190,"| target=|_top|&gt;",V1192,"&lt;/a&gt;")</f>
        <v>&lt;/li&gt;&lt;li&gt;&lt;a href=|http://study.interlinearbible.org/genesis/5.htm| title=|Hebrew Study Bible| target=|_top|&gt;Heb Study&lt;/a&gt;</v>
      </c>
      <c r="W5" t="str">
        <f t="shared" si="16"/>
        <v>&lt;/li&gt;&lt;li&gt;&lt;a href=|http://apostolic.interlinearbible.org/genesis/5.htm| title=|Apostolic Bible Polyglot Interlinear| target=|_top|&gt;Polyglot&lt;/a&gt;</v>
      </c>
      <c r="X5" t="str">
        <f t="shared" si="16"/>
        <v>&lt;/li&gt;&lt;li&gt;&lt;a href=|http://interlinearbible.org/genesis/5.htm| title=|Interlinear Bible| target=|_top|&gt;Interlin&lt;/a&gt;</v>
      </c>
      <c r="Y5" t="str">
        <f t="shared" ref="Y5" si="17">CONCATENATE("&lt;/li&gt;&lt;li&gt;&lt;a href=|http://",Y1191,"/genesis/5.htm","| ","title=|",Y1190,"| target=|_top|&gt;",Y1192,"&lt;/a&gt;")</f>
        <v>&lt;/li&gt;&lt;li&gt;&lt;a href=|http://bibleoutline.org/genesis/5.htm| title=|Outline with People and Places List| target=|_top|&gt;Outline&lt;/a&gt;</v>
      </c>
      <c r="Z5" t="str">
        <f t="shared" si="16"/>
        <v>&lt;/li&gt;&lt;li&gt;&lt;a href=|http://kjvs.scripturetext.com/genesis/5.htm| title=|King James Bible with Strong's Numbers| target=|_top|&gt;Strong's&lt;/a&gt;</v>
      </c>
      <c r="AA5" t="str">
        <f t="shared" si="16"/>
        <v>&lt;/li&gt;&lt;li&gt;&lt;a href=|http://childrensbibleonline.com/genesis/5.htm| title=|The Children's Bible| target=|_top|&gt;Children's&lt;/a&gt;</v>
      </c>
      <c r="AB5" s="2" t="str">
        <f t="shared" si="16"/>
        <v>&lt;/li&gt;&lt;li&gt;&lt;a href=|http://tsk.scripturetext.com/genesis/5.htm| title=|Treasury of Scripture Knowledge| target=|_top|&gt;TSK&lt;/a&gt;</v>
      </c>
      <c r="AC5" t="str">
        <f>CONCATENATE("&lt;a href=|http://",AC1191,"/genesis/5.htm","| ","title=|",AC1190,"| target=|_top|&gt;",AC1192,"&lt;/a&gt;")</f>
        <v>&lt;a href=|http://parallelbible.com/genesis/5.htm| title=|Parallel Chapters| target=|_top|&gt;PAR&lt;/a&gt;</v>
      </c>
      <c r="AD5" s="2" t="str">
        <f t="shared" ref="AD5:AK5" si="18">CONCATENATE("&lt;/li&gt;&lt;li&gt;&lt;a href=|http://",AD1191,"/genesis/5.htm","| ","title=|",AD1190,"| target=|_top|&gt;",AD1192,"&lt;/a&gt;")</f>
        <v>&lt;/li&gt;&lt;li&gt;&lt;a href=|http://gsb.biblecommenter.com/genesis/5.htm| title=|Geneva Study Bible| target=|_top|&gt;GSB&lt;/a&gt;</v>
      </c>
      <c r="AE5" s="2" t="str">
        <f t="shared" si="18"/>
        <v>&lt;/li&gt;&lt;li&gt;&lt;a href=|http://jfb.biblecommenter.com/genesis/5.htm| title=|Jamieson-Fausset-Brown Bible Commentary| target=|_top|&gt;JFB&lt;/a&gt;</v>
      </c>
      <c r="AF5" s="2" t="str">
        <f t="shared" si="18"/>
        <v>&lt;/li&gt;&lt;li&gt;&lt;a href=|http://kjt.biblecommenter.com/genesis/5.htm| title=|King James Translators' Notes| target=|_top|&gt;KJT&lt;/a&gt;</v>
      </c>
      <c r="AG5" s="2" t="str">
        <f t="shared" si="18"/>
        <v>&lt;/li&gt;&lt;li&gt;&lt;a href=|http://mhc.biblecommenter.com/genesis/5.htm| title=|Matthew Henry's Concise Commentary| target=|_top|&gt;MHC&lt;/a&gt;</v>
      </c>
      <c r="AH5" s="2" t="str">
        <f t="shared" si="18"/>
        <v>&lt;/li&gt;&lt;li&gt;&lt;a href=|http://sco.biblecommenter.com/genesis/5.htm| title=|Scofield Reference Notes| target=|_top|&gt;SCO&lt;/a&gt;</v>
      </c>
      <c r="AI5" s="2" t="str">
        <f t="shared" si="18"/>
        <v>&lt;/li&gt;&lt;li&gt;&lt;a href=|http://wes.biblecommenter.com/genesis/5.htm| title=|Wesley's Notes on the Bible| target=|_top|&gt;WES&lt;/a&gt;</v>
      </c>
      <c r="AJ5" t="str">
        <f t="shared" si="18"/>
        <v>&lt;/li&gt;&lt;li&gt;&lt;a href=|http://worldebible.com/genesis/5.htm| title=|World English Bible| target=|_top|&gt;WEB&lt;/a&gt;</v>
      </c>
      <c r="AK5" t="str">
        <f t="shared" si="18"/>
        <v>&lt;/li&gt;&lt;li&gt;&lt;a href=|http://yltbible.com/genesis/5.htm| title=|Young's Literal Translation| target=|_top|&gt;YLT&lt;/a&gt;</v>
      </c>
      <c r="AL5" t="str">
        <f>CONCATENATE("&lt;a href=|http://",AL1191,"/genesis/5.htm","| ","title=|",AL1190,"| target=|_top|&gt;",AL1192,"&lt;/a&gt;")</f>
        <v>&lt;a href=|http://kjv.us/genesis/5.htm| title=|American King James Version| target=|_top|&gt;AKJ&lt;/a&gt;</v>
      </c>
      <c r="AM5" t="str">
        <f t="shared" ref="AM5:AN5" si="19">CONCATENATE("&lt;/li&gt;&lt;li&gt;&lt;a href=|http://",AM1191,"/genesis/5.htm","| ","title=|",AM1190,"| target=|_top|&gt;",AM1192,"&lt;/a&gt;")</f>
        <v>&lt;/li&gt;&lt;li&gt;&lt;a href=|http://basicenglishbible.com/genesis/5.htm| title=|Bible in Basic English| target=|_top|&gt;BBE&lt;/a&gt;</v>
      </c>
      <c r="AN5" t="str">
        <f t="shared" si="19"/>
        <v>&lt;/li&gt;&lt;li&gt;&lt;a href=|http://darbybible.com/genesis/5.htm| title=|Darby Bible Translation| target=|_top|&gt;DBY&lt;/a&gt;</v>
      </c>
      <c r="AO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" t="str">
        <f>CONCATENATE("&lt;/li&gt;&lt;li&gt;&lt;a href=|http://",AR1191,"/genesis/5.htm","| ","title=|",AR1190,"| target=|_top|&gt;",AR1192,"&lt;/a&gt;")</f>
        <v>&lt;/li&gt;&lt;li&gt;&lt;a href=|http://websterbible.com/genesis/5.htm| title=|Webster's Bible Translation| target=|_top|&gt;WBS&lt;/a&gt;</v>
      </c>
      <c r="AS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" t="str">
        <f>CONCATENATE("&lt;/li&gt;&lt;li&gt;&lt;a href=|http://",AT1191,"/genesis/5-1.htm","| ","title=|",AT1190,"| target=|_top|&gt;",AT1192,"&lt;/a&gt;")</f>
        <v>&lt;/li&gt;&lt;li&gt;&lt;a href=|http://biblebrowser.com/genesis/5-1.htm| title=|Split View| target=|_top|&gt;Split&lt;/a&gt;</v>
      </c>
      <c r="AU5" s="2" t="s">
        <v>1276</v>
      </c>
      <c r="AV5" t="s">
        <v>64</v>
      </c>
    </row>
    <row r="6" spans="1:48">
      <c r="A6" t="s">
        <v>622</v>
      </c>
      <c r="B6" t="s">
        <v>629</v>
      </c>
      <c r="C6" t="s">
        <v>624</v>
      </c>
      <c r="D6" t="s">
        <v>1268</v>
      </c>
      <c r="E6" t="s">
        <v>1277</v>
      </c>
      <c r="F6" t="s">
        <v>1304</v>
      </c>
      <c r="G6" t="s">
        <v>1266</v>
      </c>
      <c r="H6" t="s">
        <v>1305</v>
      </c>
      <c r="I6" t="s">
        <v>1303</v>
      </c>
      <c r="J6" t="s">
        <v>1267</v>
      </c>
      <c r="K6" t="s">
        <v>1275</v>
      </c>
      <c r="L6" s="2" t="s">
        <v>1274</v>
      </c>
      <c r="M6" t="str">
        <f t="shared" ref="M6:AB6" si="20">CONCATENATE("&lt;/li&gt;&lt;li&gt;&lt;a href=|http://",M1191,"/genesis/6.htm","| ","title=|",M1190,"| target=|_top|&gt;",M1192,"&lt;/a&gt;")</f>
        <v>&lt;/li&gt;&lt;li&gt;&lt;a href=|http://niv.scripturetext.com/genesis/6.htm| title=|New International Version| target=|_top|&gt;NIV&lt;/a&gt;</v>
      </c>
      <c r="N6" t="str">
        <f t="shared" si="20"/>
        <v>&lt;/li&gt;&lt;li&gt;&lt;a href=|http://nlt.scripturetext.com/genesis/6.htm| title=|New Living Translation| target=|_top|&gt;NLT&lt;/a&gt;</v>
      </c>
      <c r="O6" t="str">
        <f t="shared" si="20"/>
        <v>&lt;/li&gt;&lt;li&gt;&lt;a href=|http://nasb.scripturetext.com/genesis/6.htm| title=|New American Standard Bible| target=|_top|&gt;NAS&lt;/a&gt;</v>
      </c>
      <c r="P6" t="str">
        <f t="shared" si="20"/>
        <v>&lt;/li&gt;&lt;li&gt;&lt;a href=|http://gwt.scripturetext.com/genesis/6.htm| title=|God's Word Translation| target=|_top|&gt;GWT&lt;/a&gt;</v>
      </c>
      <c r="Q6" t="str">
        <f t="shared" si="20"/>
        <v>&lt;/li&gt;&lt;li&gt;&lt;a href=|http://kingjbible.com/genesis/6.htm| title=|King James Bible| target=|_top|&gt;KJV&lt;/a&gt;</v>
      </c>
      <c r="R6" t="str">
        <f t="shared" si="20"/>
        <v>&lt;/li&gt;&lt;li&gt;&lt;a href=|http://asvbible.com/genesis/6.htm| title=|American Standard Version| target=|_top|&gt;ASV&lt;/a&gt;</v>
      </c>
      <c r="S6" t="str">
        <f t="shared" si="20"/>
        <v>&lt;/li&gt;&lt;li&gt;&lt;a href=|http://drb.scripturetext.com/genesis/6.htm| title=|Douay-Rheims Bible| target=|_top|&gt;DRB&lt;/a&gt;</v>
      </c>
      <c r="T6" t="str">
        <f t="shared" si="20"/>
        <v>&lt;/li&gt;&lt;li&gt;&lt;a href=|http://erv.scripturetext.com/genesis/6.htm| title=|English Revised Version| target=|_top|&gt;ERV&lt;/a&gt;</v>
      </c>
      <c r="V6" t="str">
        <f>CONCATENATE("&lt;/li&gt;&lt;li&gt;&lt;a href=|http://",V1191,"/genesis/6.htm","| ","title=|",V1190,"| target=|_top|&gt;",V1192,"&lt;/a&gt;")</f>
        <v>&lt;/li&gt;&lt;li&gt;&lt;a href=|http://study.interlinearbible.org/genesis/6.htm| title=|Hebrew Study Bible| target=|_top|&gt;Heb Study&lt;/a&gt;</v>
      </c>
      <c r="W6" t="str">
        <f t="shared" si="20"/>
        <v>&lt;/li&gt;&lt;li&gt;&lt;a href=|http://apostolic.interlinearbible.org/genesis/6.htm| title=|Apostolic Bible Polyglot Interlinear| target=|_top|&gt;Polyglot&lt;/a&gt;</v>
      </c>
      <c r="X6" t="str">
        <f t="shared" si="20"/>
        <v>&lt;/li&gt;&lt;li&gt;&lt;a href=|http://interlinearbible.org/genesis/6.htm| title=|Interlinear Bible| target=|_top|&gt;Interlin&lt;/a&gt;</v>
      </c>
      <c r="Y6" t="str">
        <f t="shared" ref="Y6" si="21">CONCATENATE("&lt;/li&gt;&lt;li&gt;&lt;a href=|http://",Y1191,"/genesis/6.htm","| ","title=|",Y1190,"| target=|_top|&gt;",Y1192,"&lt;/a&gt;")</f>
        <v>&lt;/li&gt;&lt;li&gt;&lt;a href=|http://bibleoutline.org/genesis/6.htm| title=|Outline with People and Places List| target=|_top|&gt;Outline&lt;/a&gt;</v>
      </c>
      <c r="Z6" t="str">
        <f t="shared" si="20"/>
        <v>&lt;/li&gt;&lt;li&gt;&lt;a href=|http://kjvs.scripturetext.com/genesis/6.htm| title=|King James Bible with Strong's Numbers| target=|_top|&gt;Strong's&lt;/a&gt;</v>
      </c>
      <c r="AA6" t="str">
        <f t="shared" si="20"/>
        <v>&lt;/li&gt;&lt;li&gt;&lt;a href=|http://childrensbibleonline.com/genesis/6.htm| title=|The Children's Bible| target=|_top|&gt;Children's&lt;/a&gt;</v>
      </c>
      <c r="AB6" s="2" t="str">
        <f t="shared" si="20"/>
        <v>&lt;/li&gt;&lt;li&gt;&lt;a href=|http://tsk.scripturetext.com/genesis/6.htm| title=|Treasury of Scripture Knowledge| target=|_top|&gt;TSK&lt;/a&gt;</v>
      </c>
      <c r="AC6" t="str">
        <f>CONCATENATE("&lt;a href=|http://",AC1191,"/genesis/6.htm","| ","title=|",AC1190,"| target=|_top|&gt;",AC1192,"&lt;/a&gt;")</f>
        <v>&lt;a href=|http://parallelbible.com/genesis/6.htm| title=|Parallel Chapters| target=|_top|&gt;PAR&lt;/a&gt;</v>
      </c>
      <c r="AD6" s="2" t="str">
        <f t="shared" ref="AD6:AK6" si="22">CONCATENATE("&lt;/li&gt;&lt;li&gt;&lt;a href=|http://",AD1191,"/genesis/6.htm","| ","title=|",AD1190,"| target=|_top|&gt;",AD1192,"&lt;/a&gt;")</f>
        <v>&lt;/li&gt;&lt;li&gt;&lt;a href=|http://gsb.biblecommenter.com/genesis/6.htm| title=|Geneva Study Bible| target=|_top|&gt;GSB&lt;/a&gt;</v>
      </c>
      <c r="AE6" s="2" t="str">
        <f t="shared" si="22"/>
        <v>&lt;/li&gt;&lt;li&gt;&lt;a href=|http://jfb.biblecommenter.com/genesis/6.htm| title=|Jamieson-Fausset-Brown Bible Commentary| target=|_top|&gt;JFB&lt;/a&gt;</v>
      </c>
      <c r="AF6" s="2" t="str">
        <f t="shared" si="22"/>
        <v>&lt;/li&gt;&lt;li&gt;&lt;a href=|http://kjt.biblecommenter.com/genesis/6.htm| title=|King James Translators' Notes| target=|_top|&gt;KJT&lt;/a&gt;</v>
      </c>
      <c r="AG6" s="2" t="str">
        <f t="shared" si="22"/>
        <v>&lt;/li&gt;&lt;li&gt;&lt;a href=|http://mhc.biblecommenter.com/genesis/6.htm| title=|Matthew Henry's Concise Commentary| target=|_top|&gt;MHC&lt;/a&gt;</v>
      </c>
      <c r="AH6" s="2" t="str">
        <f t="shared" si="22"/>
        <v>&lt;/li&gt;&lt;li&gt;&lt;a href=|http://sco.biblecommenter.com/genesis/6.htm| title=|Scofield Reference Notes| target=|_top|&gt;SCO&lt;/a&gt;</v>
      </c>
      <c r="AI6" s="2" t="str">
        <f t="shared" si="22"/>
        <v>&lt;/li&gt;&lt;li&gt;&lt;a href=|http://wes.biblecommenter.com/genesis/6.htm| title=|Wesley's Notes on the Bible| target=|_top|&gt;WES&lt;/a&gt;</v>
      </c>
      <c r="AJ6" t="str">
        <f t="shared" si="22"/>
        <v>&lt;/li&gt;&lt;li&gt;&lt;a href=|http://worldebible.com/genesis/6.htm| title=|World English Bible| target=|_top|&gt;WEB&lt;/a&gt;</v>
      </c>
      <c r="AK6" t="str">
        <f t="shared" si="22"/>
        <v>&lt;/li&gt;&lt;li&gt;&lt;a href=|http://yltbible.com/genesis/6.htm| title=|Young's Literal Translation| target=|_top|&gt;YLT&lt;/a&gt;</v>
      </c>
      <c r="AL6" t="str">
        <f>CONCATENATE("&lt;a href=|http://",AL1191,"/genesis/6.htm","| ","title=|",AL1190,"| target=|_top|&gt;",AL1192,"&lt;/a&gt;")</f>
        <v>&lt;a href=|http://kjv.us/genesis/6.htm| title=|American King James Version| target=|_top|&gt;AKJ&lt;/a&gt;</v>
      </c>
      <c r="AM6" t="str">
        <f t="shared" ref="AM6:AN6" si="23">CONCATENATE("&lt;/li&gt;&lt;li&gt;&lt;a href=|http://",AM1191,"/genesis/6.htm","| ","title=|",AM1190,"| target=|_top|&gt;",AM1192,"&lt;/a&gt;")</f>
        <v>&lt;/li&gt;&lt;li&gt;&lt;a href=|http://basicenglishbible.com/genesis/6.htm| title=|Bible in Basic English| target=|_top|&gt;BBE&lt;/a&gt;</v>
      </c>
      <c r="AN6" t="str">
        <f t="shared" si="23"/>
        <v>&lt;/li&gt;&lt;li&gt;&lt;a href=|http://darbybible.com/genesis/6.htm| title=|Darby Bible Translation| target=|_top|&gt;DBY&lt;/a&gt;</v>
      </c>
      <c r="AO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" t="str">
        <f>CONCATENATE("&lt;/li&gt;&lt;li&gt;&lt;a href=|http://",AR1191,"/genesis/6.htm","| ","title=|",AR1190,"| target=|_top|&gt;",AR1192,"&lt;/a&gt;")</f>
        <v>&lt;/li&gt;&lt;li&gt;&lt;a href=|http://websterbible.com/genesis/6.htm| title=|Webster's Bible Translation| target=|_top|&gt;WBS&lt;/a&gt;</v>
      </c>
      <c r="AS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" t="str">
        <f>CONCATENATE("&lt;/li&gt;&lt;li&gt;&lt;a href=|http://",AT1191,"/genesis/6-1.htm","| ","title=|",AT1190,"| target=|_top|&gt;",AT1192,"&lt;/a&gt;")</f>
        <v>&lt;/li&gt;&lt;li&gt;&lt;a href=|http://biblebrowser.com/genesis/6-1.htm| title=|Split View| target=|_top|&gt;Split&lt;/a&gt;</v>
      </c>
      <c r="AU6" s="2" t="s">
        <v>1276</v>
      </c>
      <c r="AV6" t="s">
        <v>64</v>
      </c>
    </row>
    <row r="7" spans="1:48">
      <c r="A7" t="s">
        <v>622</v>
      </c>
      <c r="B7" t="s">
        <v>630</v>
      </c>
      <c r="C7" t="s">
        <v>624</v>
      </c>
      <c r="D7" t="s">
        <v>1268</v>
      </c>
      <c r="E7" t="s">
        <v>1277</v>
      </c>
      <c r="F7" t="s">
        <v>1304</v>
      </c>
      <c r="G7" t="s">
        <v>1266</v>
      </c>
      <c r="H7" t="s">
        <v>1305</v>
      </c>
      <c r="I7" t="s">
        <v>1303</v>
      </c>
      <c r="J7" t="s">
        <v>1267</v>
      </c>
      <c r="K7" t="s">
        <v>1275</v>
      </c>
      <c r="L7" s="2" t="s">
        <v>1274</v>
      </c>
      <c r="M7" t="str">
        <f t="shared" ref="M7:AB7" si="24">CONCATENATE("&lt;/li&gt;&lt;li&gt;&lt;a href=|http://",M1191,"/genesis/7.htm","| ","title=|",M1190,"| target=|_top|&gt;",M1192,"&lt;/a&gt;")</f>
        <v>&lt;/li&gt;&lt;li&gt;&lt;a href=|http://niv.scripturetext.com/genesis/7.htm| title=|New International Version| target=|_top|&gt;NIV&lt;/a&gt;</v>
      </c>
      <c r="N7" t="str">
        <f t="shared" si="24"/>
        <v>&lt;/li&gt;&lt;li&gt;&lt;a href=|http://nlt.scripturetext.com/genesis/7.htm| title=|New Living Translation| target=|_top|&gt;NLT&lt;/a&gt;</v>
      </c>
      <c r="O7" t="str">
        <f t="shared" si="24"/>
        <v>&lt;/li&gt;&lt;li&gt;&lt;a href=|http://nasb.scripturetext.com/genesis/7.htm| title=|New American Standard Bible| target=|_top|&gt;NAS&lt;/a&gt;</v>
      </c>
      <c r="P7" t="str">
        <f t="shared" si="24"/>
        <v>&lt;/li&gt;&lt;li&gt;&lt;a href=|http://gwt.scripturetext.com/genesis/7.htm| title=|God's Word Translation| target=|_top|&gt;GWT&lt;/a&gt;</v>
      </c>
      <c r="Q7" t="str">
        <f t="shared" si="24"/>
        <v>&lt;/li&gt;&lt;li&gt;&lt;a href=|http://kingjbible.com/genesis/7.htm| title=|King James Bible| target=|_top|&gt;KJV&lt;/a&gt;</v>
      </c>
      <c r="R7" t="str">
        <f t="shared" si="24"/>
        <v>&lt;/li&gt;&lt;li&gt;&lt;a href=|http://asvbible.com/genesis/7.htm| title=|American Standard Version| target=|_top|&gt;ASV&lt;/a&gt;</v>
      </c>
      <c r="S7" t="str">
        <f t="shared" si="24"/>
        <v>&lt;/li&gt;&lt;li&gt;&lt;a href=|http://drb.scripturetext.com/genesis/7.htm| title=|Douay-Rheims Bible| target=|_top|&gt;DRB&lt;/a&gt;</v>
      </c>
      <c r="T7" t="str">
        <f t="shared" si="24"/>
        <v>&lt;/li&gt;&lt;li&gt;&lt;a href=|http://erv.scripturetext.com/genesis/7.htm| title=|English Revised Version| target=|_top|&gt;ERV&lt;/a&gt;</v>
      </c>
      <c r="V7" t="str">
        <f>CONCATENATE("&lt;/li&gt;&lt;li&gt;&lt;a href=|http://",V1191,"/genesis/7.htm","| ","title=|",V1190,"| target=|_top|&gt;",V1192,"&lt;/a&gt;")</f>
        <v>&lt;/li&gt;&lt;li&gt;&lt;a href=|http://study.interlinearbible.org/genesis/7.htm| title=|Hebrew Study Bible| target=|_top|&gt;Heb Study&lt;/a&gt;</v>
      </c>
      <c r="W7" t="str">
        <f t="shared" si="24"/>
        <v>&lt;/li&gt;&lt;li&gt;&lt;a href=|http://apostolic.interlinearbible.org/genesis/7.htm| title=|Apostolic Bible Polyglot Interlinear| target=|_top|&gt;Polyglot&lt;/a&gt;</v>
      </c>
      <c r="X7" t="str">
        <f t="shared" si="24"/>
        <v>&lt;/li&gt;&lt;li&gt;&lt;a href=|http://interlinearbible.org/genesis/7.htm| title=|Interlinear Bible| target=|_top|&gt;Interlin&lt;/a&gt;</v>
      </c>
      <c r="Y7" t="str">
        <f t="shared" ref="Y7" si="25">CONCATENATE("&lt;/li&gt;&lt;li&gt;&lt;a href=|http://",Y1191,"/genesis/7.htm","| ","title=|",Y1190,"| target=|_top|&gt;",Y1192,"&lt;/a&gt;")</f>
        <v>&lt;/li&gt;&lt;li&gt;&lt;a href=|http://bibleoutline.org/genesis/7.htm| title=|Outline with People and Places List| target=|_top|&gt;Outline&lt;/a&gt;</v>
      </c>
      <c r="Z7" t="str">
        <f t="shared" si="24"/>
        <v>&lt;/li&gt;&lt;li&gt;&lt;a href=|http://kjvs.scripturetext.com/genesis/7.htm| title=|King James Bible with Strong's Numbers| target=|_top|&gt;Strong's&lt;/a&gt;</v>
      </c>
      <c r="AA7" t="str">
        <f t="shared" si="24"/>
        <v>&lt;/li&gt;&lt;li&gt;&lt;a href=|http://childrensbibleonline.com/genesis/7.htm| title=|The Children's Bible| target=|_top|&gt;Children's&lt;/a&gt;</v>
      </c>
      <c r="AB7" s="2" t="str">
        <f t="shared" si="24"/>
        <v>&lt;/li&gt;&lt;li&gt;&lt;a href=|http://tsk.scripturetext.com/genesis/7.htm| title=|Treasury of Scripture Knowledge| target=|_top|&gt;TSK&lt;/a&gt;</v>
      </c>
      <c r="AC7" t="str">
        <f>CONCATENATE("&lt;a href=|http://",AC1191,"/genesis/7.htm","| ","title=|",AC1190,"| target=|_top|&gt;",AC1192,"&lt;/a&gt;")</f>
        <v>&lt;a href=|http://parallelbible.com/genesis/7.htm| title=|Parallel Chapters| target=|_top|&gt;PAR&lt;/a&gt;</v>
      </c>
      <c r="AD7" s="2" t="str">
        <f t="shared" ref="AD7:AK7" si="26">CONCATENATE("&lt;/li&gt;&lt;li&gt;&lt;a href=|http://",AD1191,"/genesis/7.htm","| ","title=|",AD1190,"| target=|_top|&gt;",AD1192,"&lt;/a&gt;")</f>
        <v>&lt;/li&gt;&lt;li&gt;&lt;a href=|http://gsb.biblecommenter.com/genesis/7.htm| title=|Geneva Study Bible| target=|_top|&gt;GSB&lt;/a&gt;</v>
      </c>
      <c r="AE7" s="2" t="str">
        <f t="shared" si="26"/>
        <v>&lt;/li&gt;&lt;li&gt;&lt;a href=|http://jfb.biblecommenter.com/genesis/7.htm| title=|Jamieson-Fausset-Brown Bible Commentary| target=|_top|&gt;JFB&lt;/a&gt;</v>
      </c>
      <c r="AF7" s="2" t="str">
        <f t="shared" si="26"/>
        <v>&lt;/li&gt;&lt;li&gt;&lt;a href=|http://kjt.biblecommenter.com/genesis/7.htm| title=|King James Translators' Notes| target=|_top|&gt;KJT&lt;/a&gt;</v>
      </c>
      <c r="AG7" s="2" t="str">
        <f t="shared" si="26"/>
        <v>&lt;/li&gt;&lt;li&gt;&lt;a href=|http://mhc.biblecommenter.com/genesis/7.htm| title=|Matthew Henry's Concise Commentary| target=|_top|&gt;MHC&lt;/a&gt;</v>
      </c>
      <c r="AH7" s="2" t="str">
        <f t="shared" si="26"/>
        <v>&lt;/li&gt;&lt;li&gt;&lt;a href=|http://sco.biblecommenter.com/genesis/7.htm| title=|Scofield Reference Notes| target=|_top|&gt;SCO&lt;/a&gt;</v>
      </c>
      <c r="AI7" s="2" t="str">
        <f t="shared" si="26"/>
        <v>&lt;/li&gt;&lt;li&gt;&lt;a href=|http://wes.biblecommenter.com/genesis/7.htm| title=|Wesley's Notes on the Bible| target=|_top|&gt;WES&lt;/a&gt;</v>
      </c>
      <c r="AJ7" t="str">
        <f t="shared" si="26"/>
        <v>&lt;/li&gt;&lt;li&gt;&lt;a href=|http://worldebible.com/genesis/7.htm| title=|World English Bible| target=|_top|&gt;WEB&lt;/a&gt;</v>
      </c>
      <c r="AK7" t="str">
        <f t="shared" si="26"/>
        <v>&lt;/li&gt;&lt;li&gt;&lt;a href=|http://yltbible.com/genesis/7.htm| title=|Young's Literal Translation| target=|_top|&gt;YLT&lt;/a&gt;</v>
      </c>
      <c r="AL7" t="str">
        <f>CONCATENATE("&lt;a href=|http://",AL1191,"/genesis/7.htm","| ","title=|",AL1190,"| target=|_top|&gt;",AL1192,"&lt;/a&gt;")</f>
        <v>&lt;a href=|http://kjv.us/genesis/7.htm| title=|American King James Version| target=|_top|&gt;AKJ&lt;/a&gt;</v>
      </c>
      <c r="AM7" t="str">
        <f t="shared" ref="AM7:AN7" si="27">CONCATENATE("&lt;/li&gt;&lt;li&gt;&lt;a href=|http://",AM1191,"/genesis/7.htm","| ","title=|",AM1190,"| target=|_top|&gt;",AM1192,"&lt;/a&gt;")</f>
        <v>&lt;/li&gt;&lt;li&gt;&lt;a href=|http://basicenglishbible.com/genesis/7.htm| title=|Bible in Basic English| target=|_top|&gt;BBE&lt;/a&gt;</v>
      </c>
      <c r="AN7" t="str">
        <f t="shared" si="27"/>
        <v>&lt;/li&gt;&lt;li&gt;&lt;a href=|http://darbybible.com/genesis/7.htm| title=|Darby Bible Translation| target=|_top|&gt;DBY&lt;/a&gt;</v>
      </c>
      <c r="AO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" t="str">
        <f>CONCATENATE("&lt;/li&gt;&lt;li&gt;&lt;a href=|http://",AR1191,"/genesis/7.htm","| ","title=|",AR1190,"| target=|_top|&gt;",AR1192,"&lt;/a&gt;")</f>
        <v>&lt;/li&gt;&lt;li&gt;&lt;a href=|http://websterbible.com/genesis/7.htm| title=|Webster's Bible Translation| target=|_top|&gt;WBS&lt;/a&gt;</v>
      </c>
      <c r="AS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" t="str">
        <f>CONCATENATE("&lt;/li&gt;&lt;li&gt;&lt;a href=|http://",AT1191,"/genesis/7-1.htm","| ","title=|",AT1190,"| target=|_top|&gt;",AT1192,"&lt;/a&gt;")</f>
        <v>&lt;/li&gt;&lt;li&gt;&lt;a href=|http://biblebrowser.com/genesis/7-1.htm| title=|Split View| target=|_top|&gt;Split&lt;/a&gt;</v>
      </c>
      <c r="AU7" s="2" t="s">
        <v>1276</v>
      </c>
      <c r="AV7" t="s">
        <v>64</v>
      </c>
    </row>
    <row r="8" spans="1:48">
      <c r="A8" t="s">
        <v>622</v>
      </c>
      <c r="B8" t="s">
        <v>631</v>
      </c>
      <c r="C8" t="s">
        <v>624</v>
      </c>
      <c r="D8" t="s">
        <v>1268</v>
      </c>
      <c r="E8" t="s">
        <v>1277</v>
      </c>
      <c r="F8" t="s">
        <v>1304</v>
      </c>
      <c r="G8" t="s">
        <v>1266</v>
      </c>
      <c r="H8" t="s">
        <v>1305</v>
      </c>
      <c r="I8" t="s">
        <v>1303</v>
      </c>
      <c r="J8" t="s">
        <v>1267</v>
      </c>
      <c r="K8" t="s">
        <v>1275</v>
      </c>
      <c r="L8" s="2" t="s">
        <v>1274</v>
      </c>
      <c r="M8" t="str">
        <f t="shared" ref="M8:AB8" si="28">CONCATENATE("&lt;/li&gt;&lt;li&gt;&lt;a href=|http://",M1191,"/genesis/8.htm","| ","title=|",M1190,"| target=|_top|&gt;",M1192,"&lt;/a&gt;")</f>
        <v>&lt;/li&gt;&lt;li&gt;&lt;a href=|http://niv.scripturetext.com/genesis/8.htm| title=|New International Version| target=|_top|&gt;NIV&lt;/a&gt;</v>
      </c>
      <c r="N8" t="str">
        <f t="shared" si="28"/>
        <v>&lt;/li&gt;&lt;li&gt;&lt;a href=|http://nlt.scripturetext.com/genesis/8.htm| title=|New Living Translation| target=|_top|&gt;NLT&lt;/a&gt;</v>
      </c>
      <c r="O8" t="str">
        <f t="shared" si="28"/>
        <v>&lt;/li&gt;&lt;li&gt;&lt;a href=|http://nasb.scripturetext.com/genesis/8.htm| title=|New American Standard Bible| target=|_top|&gt;NAS&lt;/a&gt;</v>
      </c>
      <c r="P8" t="str">
        <f t="shared" si="28"/>
        <v>&lt;/li&gt;&lt;li&gt;&lt;a href=|http://gwt.scripturetext.com/genesis/8.htm| title=|God's Word Translation| target=|_top|&gt;GWT&lt;/a&gt;</v>
      </c>
      <c r="Q8" t="str">
        <f t="shared" si="28"/>
        <v>&lt;/li&gt;&lt;li&gt;&lt;a href=|http://kingjbible.com/genesis/8.htm| title=|King James Bible| target=|_top|&gt;KJV&lt;/a&gt;</v>
      </c>
      <c r="R8" t="str">
        <f t="shared" si="28"/>
        <v>&lt;/li&gt;&lt;li&gt;&lt;a href=|http://asvbible.com/genesis/8.htm| title=|American Standard Version| target=|_top|&gt;ASV&lt;/a&gt;</v>
      </c>
      <c r="S8" t="str">
        <f t="shared" si="28"/>
        <v>&lt;/li&gt;&lt;li&gt;&lt;a href=|http://drb.scripturetext.com/genesis/8.htm| title=|Douay-Rheims Bible| target=|_top|&gt;DRB&lt;/a&gt;</v>
      </c>
      <c r="T8" t="str">
        <f t="shared" si="28"/>
        <v>&lt;/li&gt;&lt;li&gt;&lt;a href=|http://erv.scripturetext.com/genesis/8.htm| title=|English Revised Version| target=|_top|&gt;ERV&lt;/a&gt;</v>
      </c>
      <c r="V8" t="str">
        <f>CONCATENATE("&lt;/li&gt;&lt;li&gt;&lt;a href=|http://",V1191,"/genesis/8.htm","| ","title=|",V1190,"| target=|_top|&gt;",V1192,"&lt;/a&gt;")</f>
        <v>&lt;/li&gt;&lt;li&gt;&lt;a href=|http://study.interlinearbible.org/genesis/8.htm| title=|Hebrew Study Bible| target=|_top|&gt;Heb Study&lt;/a&gt;</v>
      </c>
      <c r="W8" t="str">
        <f t="shared" si="28"/>
        <v>&lt;/li&gt;&lt;li&gt;&lt;a href=|http://apostolic.interlinearbible.org/genesis/8.htm| title=|Apostolic Bible Polyglot Interlinear| target=|_top|&gt;Polyglot&lt;/a&gt;</v>
      </c>
      <c r="X8" t="str">
        <f t="shared" si="28"/>
        <v>&lt;/li&gt;&lt;li&gt;&lt;a href=|http://interlinearbible.org/genesis/8.htm| title=|Interlinear Bible| target=|_top|&gt;Interlin&lt;/a&gt;</v>
      </c>
      <c r="Y8" t="str">
        <f t="shared" ref="Y8" si="29">CONCATENATE("&lt;/li&gt;&lt;li&gt;&lt;a href=|http://",Y1191,"/genesis/8.htm","| ","title=|",Y1190,"| target=|_top|&gt;",Y1192,"&lt;/a&gt;")</f>
        <v>&lt;/li&gt;&lt;li&gt;&lt;a href=|http://bibleoutline.org/genesis/8.htm| title=|Outline with People and Places List| target=|_top|&gt;Outline&lt;/a&gt;</v>
      </c>
      <c r="Z8" t="str">
        <f t="shared" si="28"/>
        <v>&lt;/li&gt;&lt;li&gt;&lt;a href=|http://kjvs.scripturetext.com/genesis/8.htm| title=|King James Bible with Strong's Numbers| target=|_top|&gt;Strong's&lt;/a&gt;</v>
      </c>
      <c r="AA8" t="str">
        <f t="shared" si="28"/>
        <v>&lt;/li&gt;&lt;li&gt;&lt;a href=|http://childrensbibleonline.com/genesis/8.htm| title=|The Children's Bible| target=|_top|&gt;Children's&lt;/a&gt;</v>
      </c>
      <c r="AB8" s="2" t="str">
        <f t="shared" si="28"/>
        <v>&lt;/li&gt;&lt;li&gt;&lt;a href=|http://tsk.scripturetext.com/genesis/8.htm| title=|Treasury of Scripture Knowledge| target=|_top|&gt;TSK&lt;/a&gt;</v>
      </c>
      <c r="AC8" t="str">
        <f>CONCATENATE("&lt;a href=|http://",AC1191,"/genesis/8.htm","| ","title=|",AC1190,"| target=|_top|&gt;",AC1192,"&lt;/a&gt;")</f>
        <v>&lt;a href=|http://parallelbible.com/genesis/8.htm| title=|Parallel Chapters| target=|_top|&gt;PAR&lt;/a&gt;</v>
      </c>
      <c r="AD8" s="2" t="str">
        <f t="shared" ref="AD8:AK8" si="30">CONCATENATE("&lt;/li&gt;&lt;li&gt;&lt;a href=|http://",AD1191,"/genesis/8.htm","| ","title=|",AD1190,"| target=|_top|&gt;",AD1192,"&lt;/a&gt;")</f>
        <v>&lt;/li&gt;&lt;li&gt;&lt;a href=|http://gsb.biblecommenter.com/genesis/8.htm| title=|Geneva Study Bible| target=|_top|&gt;GSB&lt;/a&gt;</v>
      </c>
      <c r="AE8" s="2" t="str">
        <f t="shared" si="30"/>
        <v>&lt;/li&gt;&lt;li&gt;&lt;a href=|http://jfb.biblecommenter.com/genesis/8.htm| title=|Jamieson-Fausset-Brown Bible Commentary| target=|_top|&gt;JFB&lt;/a&gt;</v>
      </c>
      <c r="AF8" s="2" t="str">
        <f t="shared" si="30"/>
        <v>&lt;/li&gt;&lt;li&gt;&lt;a href=|http://kjt.biblecommenter.com/genesis/8.htm| title=|King James Translators' Notes| target=|_top|&gt;KJT&lt;/a&gt;</v>
      </c>
      <c r="AG8" s="2" t="str">
        <f t="shared" si="30"/>
        <v>&lt;/li&gt;&lt;li&gt;&lt;a href=|http://mhc.biblecommenter.com/genesis/8.htm| title=|Matthew Henry's Concise Commentary| target=|_top|&gt;MHC&lt;/a&gt;</v>
      </c>
      <c r="AH8" s="2" t="str">
        <f t="shared" si="30"/>
        <v>&lt;/li&gt;&lt;li&gt;&lt;a href=|http://sco.biblecommenter.com/genesis/8.htm| title=|Scofield Reference Notes| target=|_top|&gt;SCO&lt;/a&gt;</v>
      </c>
      <c r="AI8" s="2" t="str">
        <f t="shared" si="30"/>
        <v>&lt;/li&gt;&lt;li&gt;&lt;a href=|http://wes.biblecommenter.com/genesis/8.htm| title=|Wesley's Notes on the Bible| target=|_top|&gt;WES&lt;/a&gt;</v>
      </c>
      <c r="AJ8" t="str">
        <f t="shared" si="30"/>
        <v>&lt;/li&gt;&lt;li&gt;&lt;a href=|http://worldebible.com/genesis/8.htm| title=|World English Bible| target=|_top|&gt;WEB&lt;/a&gt;</v>
      </c>
      <c r="AK8" t="str">
        <f t="shared" si="30"/>
        <v>&lt;/li&gt;&lt;li&gt;&lt;a href=|http://yltbible.com/genesis/8.htm| title=|Young's Literal Translation| target=|_top|&gt;YLT&lt;/a&gt;</v>
      </c>
      <c r="AL8" t="str">
        <f>CONCATENATE("&lt;a href=|http://",AL1191,"/genesis/8.htm","| ","title=|",AL1190,"| target=|_top|&gt;",AL1192,"&lt;/a&gt;")</f>
        <v>&lt;a href=|http://kjv.us/genesis/8.htm| title=|American King James Version| target=|_top|&gt;AKJ&lt;/a&gt;</v>
      </c>
      <c r="AM8" t="str">
        <f t="shared" ref="AM8:AN8" si="31">CONCATENATE("&lt;/li&gt;&lt;li&gt;&lt;a href=|http://",AM1191,"/genesis/8.htm","| ","title=|",AM1190,"| target=|_top|&gt;",AM1192,"&lt;/a&gt;")</f>
        <v>&lt;/li&gt;&lt;li&gt;&lt;a href=|http://basicenglishbible.com/genesis/8.htm| title=|Bible in Basic English| target=|_top|&gt;BBE&lt;/a&gt;</v>
      </c>
      <c r="AN8" t="str">
        <f t="shared" si="31"/>
        <v>&lt;/li&gt;&lt;li&gt;&lt;a href=|http://darbybible.com/genesis/8.htm| title=|Darby Bible Translation| target=|_top|&gt;DBY&lt;/a&gt;</v>
      </c>
      <c r="AO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" t="str">
        <f>CONCATENATE("&lt;/li&gt;&lt;li&gt;&lt;a href=|http://",AR1191,"/genesis/8.htm","| ","title=|",AR1190,"| target=|_top|&gt;",AR1192,"&lt;/a&gt;")</f>
        <v>&lt;/li&gt;&lt;li&gt;&lt;a href=|http://websterbible.com/genesis/8.htm| title=|Webster's Bible Translation| target=|_top|&gt;WBS&lt;/a&gt;</v>
      </c>
      <c r="AS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" t="str">
        <f>CONCATENATE("&lt;/li&gt;&lt;li&gt;&lt;a href=|http://",AT1191,"/genesis/8-1.htm","| ","title=|",AT1190,"| target=|_top|&gt;",AT1192,"&lt;/a&gt;")</f>
        <v>&lt;/li&gt;&lt;li&gt;&lt;a href=|http://biblebrowser.com/genesis/8-1.htm| title=|Split View| target=|_top|&gt;Split&lt;/a&gt;</v>
      </c>
      <c r="AU8" s="2" t="s">
        <v>1276</v>
      </c>
      <c r="AV8" t="s">
        <v>64</v>
      </c>
    </row>
    <row r="9" spans="1:48">
      <c r="A9" t="s">
        <v>622</v>
      </c>
      <c r="B9" t="s">
        <v>632</v>
      </c>
      <c r="C9" t="s">
        <v>624</v>
      </c>
      <c r="D9" t="s">
        <v>1268</v>
      </c>
      <c r="E9" t="s">
        <v>1277</v>
      </c>
      <c r="F9" t="s">
        <v>1304</v>
      </c>
      <c r="G9" t="s">
        <v>1266</v>
      </c>
      <c r="H9" t="s">
        <v>1305</v>
      </c>
      <c r="I9" t="s">
        <v>1303</v>
      </c>
      <c r="J9" t="s">
        <v>1267</v>
      </c>
      <c r="K9" t="s">
        <v>1275</v>
      </c>
      <c r="L9" s="2" t="s">
        <v>1274</v>
      </c>
      <c r="M9" t="str">
        <f t="shared" ref="M9:AB9" si="32">CONCATENATE("&lt;/li&gt;&lt;li&gt;&lt;a href=|http://",M1191,"/genesis/9.htm","| ","title=|",M1190,"| target=|_top|&gt;",M1192,"&lt;/a&gt;")</f>
        <v>&lt;/li&gt;&lt;li&gt;&lt;a href=|http://niv.scripturetext.com/genesis/9.htm| title=|New International Version| target=|_top|&gt;NIV&lt;/a&gt;</v>
      </c>
      <c r="N9" t="str">
        <f t="shared" si="32"/>
        <v>&lt;/li&gt;&lt;li&gt;&lt;a href=|http://nlt.scripturetext.com/genesis/9.htm| title=|New Living Translation| target=|_top|&gt;NLT&lt;/a&gt;</v>
      </c>
      <c r="O9" t="str">
        <f t="shared" si="32"/>
        <v>&lt;/li&gt;&lt;li&gt;&lt;a href=|http://nasb.scripturetext.com/genesis/9.htm| title=|New American Standard Bible| target=|_top|&gt;NAS&lt;/a&gt;</v>
      </c>
      <c r="P9" t="str">
        <f t="shared" si="32"/>
        <v>&lt;/li&gt;&lt;li&gt;&lt;a href=|http://gwt.scripturetext.com/genesis/9.htm| title=|God's Word Translation| target=|_top|&gt;GWT&lt;/a&gt;</v>
      </c>
      <c r="Q9" t="str">
        <f t="shared" si="32"/>
        <v>&lt;/li&gt;&lt;li&gt;&lt;a href=|http://kingjbible.com/genesis/9.htm| title=|King James Bible| target=|_top|&gt;KJV&lt;/a&gt;</v>
      </c>
      <c r="R9" t="str">
        <f t="shared" si="32"/>
        <v>&lt;/li&gt;&lt;li&gt;&lt;a href=|http://asvbible.com/genesis/9.htm| title=|American Standard Version| target=|_top|&gt;ASV&lt;/a&gt;</v>
      </c>
      <c r="S9" t="str">
        <f t="shared" si="32"/>
        <v>&lt;/li&gt;&lt;li&gt;&lt;a href=|http://drb.scripturetext.com/genesis/9.htm| title=|Douay-Rheims Bible| target=|_top|&gt;DRB&lt;/a&gt;</v>
      </c>
      <c r="T9" t="str">
        <f t="shared" si="32"/>
        <v>&lt;/li&gt;&lt;li&gt;&lt;a href=|http://erv.scripturetext.com/genesis/9.htm| title=|English Revised Version| target=|_top|&gt;ERV&lt;/a&gt;</v>
      </c>
      <c r="V9" t="str">
        <f>CONCATENATE("&lt;/li&gt;&lt;li&gt;&lt;a href=|http://",V1191,"/genesis/9.htm","| ","title=|",V1190,"| target=|_top|&gt;",V1192,"&lt;/a&gt;")</f>
        <v>&lt;/li&gt;&lt;li&gt;&lt;a href=|http://study.interlinearbible.org/genesis/9.htm| title=|Hebrew Study Bible| target=|_top|&gt;Heb Study&lt;/a&gt;</v>
      </c>
      <c r="W9" t="str">
        <f t="shared" si="32"/>
        <v>&lt;/li&gt;&lt;li&gt;&lt;a href=|http://apostolic.interlinearbible.org/genesis/9.htm| title=|Apostolic Bible Polyglot Interlinear| target=|_top|&gt;Polyglot&lt;/a&gt;</v>
      </c>
      <c r="X9" t="str">
        <f t="shared" si="32"/>
        <v>&lt;/li&gt;&lt;li&gt;&lt;a href=|http://interlinearbible.org/genesis/9.htm| title=|Interlinear Bible| target=|_top|&gt;Interlin&lt;/a&gt;</v>
      </c>
      <c r="Y9" t="str">
        <f t="shared" ref="Y9" si="33">CONCATENATE("&lt;/li&gt;&lt;li&gt;&lt;a href=|http://",Y1191,"/genesis/9.htm","| ","title=|",Y1190,"| target=|_top|&gt;",Y1192,"&lt;/a&gt;")</f>
        <v>&lt;/li&gt;&lt;li&gt;&lt;a href=|http://bibleoutline.org/genesis/9.htm| title=|Outline with People and Places List| target=|_top|&gt;Outline&lt;/a&gt;</v>
      </c>
      <c r="Z9" t="str">
        <f t="shared" si="32"/>
        <v>&lt;/li&gt;&lt;li&gt;&lt;a href=|http://kjvs.scripturetext.com/genesis/9.htm| title=|King James Bible with Strong's Numbers| target=|_top|&gt;Strong's&lt;/a&gt;</v>
      </c>
      <c r="AA9" t="str">
        <f t="shared" si="32"/>
        <v>&lt;/li&gt;&lt;li&gt;&lt;a href=|http://childrensbibleonline.com/genesis/9.htm| title=|The Children's Bible| target=|_top|&gt;Children's&lt;/a&gt;</v>
      </c>
      <c r="AB9" s="2" t="str">
        <f t="shared" si="32"/>
        <v>&lt;/li&gt;&lt;li&gt;&lt;a href=|http://tsk.scripturetext.com/genesis/9.htm| title=|Treasury of Scripture Knowledge| target=|_top|&gt;TSK&lt;/a&gt;</v>
      </c>
      <c r="AC9" t="str">
        <f>CONCATENATE("&lt;a href=|http://",AC1191,"/genesis/9.htm","| ","title=|",AC1190,"| target=|_top|&gt;",AC1192,"&lt;/a&gt;")</f>
        <v>&lt;a href=|http://parallelbible.com/genesis/9.htm| title=|Parallel Chapters| target=|_top|&gt;PAR&lt;/a&gt;</v>
      </c>
      <c r="AD9" s="2" t="str">
        <f t="shared" ref="AD9:AK9" si="34">CONCATENATE("&lt;/li&gt;&lt;li&gt;&lt;a href=|http://",AD1191,"/genesis/9.htm","| ","title=|",AD1190,"| target=|_top|&gt;",AD1192,"&lt;/a&gt;")</f>
        <v>&lt;/li&gt;&lt;li&gt;&lt;a href=|http://gsb.biblecommenter.com/genesis/9.htm| title=|Geneva Study Bible| target=|_top|&gt;GSB&lt;/a&gt;</v>
      </c>
      <c r="AE9" s="2" t="str">
        <f t="shared" si="34"/>
        <v>&lt;/li&gt;&lt;li&gt;&lt;a href=|http://jfb.biblecommenter.com/genesis/9.htm| title=|Jamieson-Fausset-Brown Bible Commentary| target=|_top|&gt;JFB&lt;/a&gt;</v>
      </c>
      <c r="AF9" s="2" t="str">
        <f t="shared" si="34"/>
        <v>&lt;/li&gt;&lt;li&gt;&lt;a href=|http://kjt.biblecommenter.com/genesis/9.htm| title=|King James Translators' Notes| target=|_top|&gt;KJT&lt;/a&gt;</v>
      </c>
      <c r="AG9" s="2" t="str">
        <f t="shared" si="34"/>
        <v>&lt;/li&gt;&lt;li&gt;&lt;a href=|http://mhc.biblecommenter.com/genesis/9.htm| title=|Matthew Henry's Concise Commentary| target=|_top|&gt;MHC&lt;/a&gt;</v>
      </c>
      <c r="AH9" s="2" t="str">
        <f t="shared" si="34"/>
        <v>&lt;/li&gt;&lt;li&gt;&lt;a href=|http://sco.biblecommenter.com/genesis/9.htm| title=|Scofield Reference Notes| target=|_top|&gt;SCO&lt;/a&gt;</v>
      </c>
      <c r="AI9" s="2" t="str">
        <f t="shared" si="34"/>
        <v>&lt;/li&gt;&lt;li&gt;&lt;a href=|http://wes.biblecommenter.com/genesis/9.htm| title=|Wesley's Notes on the Bible| target=|_top|&gt;WES&lt;/a&gt;</v>
      </c>
      <c r="AJ9" t="str">
        <f t="shared" si="34"/>
        <v>&lt;/li&gt;&lt;li&gt;&lt;a href=|http://worldebible.com/genesis/9.htm| title=|World English Bible| target=|_top|&gt;WEB&lt;/a&gt;</v>
      </c>
      <c r="AK9" t="str">
        <f t="shared" si="34"/>
        <v>&lt;/li&gt;&lt;li&gt;&lt;a href=|http://yltbible.com/genesis/9.htm| title=|Young's Literal Translation| target=|_top|&gt;YLT&lt;/a&gt;</v>
      </c>
      <c r="AL9" t="str">
        <f>CONCATENATE("&lt;a href=|http://",AL1191,"/genesis/9.htm","| ","title=|",AL1190,"| target=|_top|&gt;",AL1192,"&lt;/a&gt;")</f>
        <v>&lt;a href=|http://kjv.us/genesis/9.htm| title=|American King James Version| target=|_top|&gt;AKJ&lt;/a&gt;</v>
      </c>
      <c r="AM9" t="str">
        <f t="shared" ref="AM9:AN9" si="35">CONCATENATE("&lt;/li&gt;&lt;li&gt;&lt;a href=|http://",AM1191,"/genesis/9.htm","| ","title=|",AM1190,"| target=|_top|&gt;",AM1192,"&lt;/a&gt;")</f>
        <v>&lt;/li&gt;&lt;li&gt;&lt;a href=|http://basicenglishbible.com/genesis/9.htm| title=|Bible in Basic English| target=|_top|&gt;BBE&lt;/a&gt;</v>
      </c>
      <c r="AN9" t="str">
        <f t="shared" si="35"/>
        <v>&lt;/li&gt;&lt;li&gt;&lt;a href=|http://darbybible.com/genesis/9.htm| title=|Darby Bible Translation| target=|_top|&gt;DBY&lt;/a&gt;</v>
      </c>
      <c r="AO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" t="str">
        <f>CONCATENATE("&lt;/li&gt;&lt;li&gt;&lt;a href=|http://",AR1191,"/genesis/9.htm","| ","title=|",AR1190,"| target=|_top|&gt;",AR1192,"&lt;/a&gt;")</f>
        <v>&lt;/li&gt;&lt;li&gt;&lt;a href=|http://websterbible.com/genesis/9.htm| title=|Webster's Bible Translation| target=|_top|&gt;WBS&lt;/a&gt;</v>
      </c>
      <c r="AS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" t="str">
        <f>CONCATENATE("&lt;/li&gt;&lt;li&gt;&lt;a href=|http://",AT1191,"/genesis/9-1.htm","| ","title=|",AT1190,"| target=|_top|&gt;",AT1192,"&lt;/a&gt;")</f>
        <v>&lt;/li&gt;&lt;li&gt;&lt;a href=|http://biblebrowser.com/genesis/9-1.htm| title=|Split View| target=|_top|&gt;Split&lt;/a&gt;</v>
      </c>
      <c r="AU9" s="2" t="s">
        <v>1276</v>
      </c>
      <c r="AV9" t="s">
        <v>64</v>
      </c>
    </row>
    <row r="10" spans="1:48">
      <c r="A10" t="s">
        <v>622</v>
      </c>
      <c r="B10" t="s">
        <v>633</v>
      </c>
      <c r="C10" t="s">
        <v>624</v>
      </c>
      <c r="D10" t="s">
        <v>1268</v>
      </c>
      <c r="E10" t="s">
        <v>1277</v>
      </c>
      <c r="F10" t="s">
        <v>1304</v>
      </c>
      <c r="G10" t="s">
        <v>1266</v>
      </c>
      <c r="H10" t="s">
        <v>1305</v>
      </c>
      <c r="I10" t="s">
        <v>1303</v>
      </c>
      <c r="J10" t="s">
        <v>1267</v>
      </c>
      <c r="K10" t="s">
        <v>1275</v>
      </c>
      <c r="L10" s="2" t="s">
        <v>1274</v>
      </c>
      <c r="M10" t="str">
        <f t="shared" ref="M10:AB10" si="36">CONCATENATE("&lt;/li&gt;&lt;li&gt;&lt;a href=|http://",M1191,"/genesis/10.htm","| ","title=|",M1190,"| target=|_top|&gt;",M1192,"&lt;/a&gt;")</f>
        <v>&lt;/li&gt;&lt;li&gt;&lt;a href=|http://niv.scripturetext.com/genesis/10.htm| title=|New International Version| target=|_top|&gt;NIV&lt;/a&gt;</v>
      </c>
      <c r="N10" t="str">
        <f t="shared" si="36"/>
        <v>&lt;/li&gt;&lt;li&gt;&lt;a href=|http://nlt.scripturetext.com/genesis/10.htm| title=|New Living Translation| target=|_top|&gt;NLT&lt;/a&gt;</v>
      </c>
      <c r="O10" t="str">
        <f t="shared" si="36"/>
        <v>&lt;/li&gt;&lt;li&gt;&lt;a href=|http://nasb.scripturetext.com/genesis/10.htm| title=|New American Standard Bible| target=|_top|&gt;NAS&lt;/a&gt;</v>
      </c>
      <c r="P10" t="str">
        <f t="shared" si="36"/>
        <v>&lt;/li&gt;&lt;li&gt;&lt;a href=|http://gwt.scripturetext.com/genesis/10.htm| title=|God's Word Translation| target=|_top|&gt;GWT&lt;/a&gt;</v>
      </c>
      <c r="Q10" t="str">
        <f t="shared" si="36"/>
        <v>&lt;/li&gt;&lt;li&gt;&lt;a href=|http://kingjbible.com/genesis/10.htm| title=|King James Bible| target=|_top|&gt;KJV&lt;/a&gt;</v>
      </c>
      <c r="R10" t="str">
        <f t="shared" si="36"/>
        <v>&lt;/li&gt;&lt;li&gt;&lt;a href=|http://asvbible.com/genesis/10.htm| title=|American Standard Version| target=|_top|&gt;ASV&lt;/a&gt;</v>
      </c>
      <c r="S10" t="str">
        <f t="shared" si="36"/>
        <v>&lt;/li&gt;&lt;li&gt;&lt;a href=|http://drb.scripturetext.com/genesis/10.htm| title=|Douay-Rheims Bible| target=|_top|&gt;DRB&lt;/a&gt;</v>
      </c>
      <c r="T10" t="str">
        <f t="shared" si="36"/>
        <v>&lt;/li&gt;&lt;li&gt;&lt;a href=|http://erv.scripturetext.com/genesis/10.htm| title=|English Revised Version| target=|_top|&gt;ERV&lt;/a&gt;</v>
      </c>
      <c r="V10" t="str">
        <f>CONCATENATE("&lt;/li&gt;&lt;li&gt;&lt;a href=|http://",V1191,"/genesis/10.htm","| ","title=|",V1190,"| target=|_top|&gt;",V1192,"&lt;/a&gt;")</f>
        <v>&lt;/li&gt;&lt;li&gt;&lt;a href=|http://study.interlinearbible.org/genesis/10.htm| title=|Hebrew Study Bible| target=|_top|&gt;Heb Study&lt;/a&gt;</v>
      </c>
      <c r="W10" t="str">
        <f t="shared" si="36"/>
        <v>&lt;/li&gt;&lt;li&gt;&lt;a href=|http://apostolic.interlinearbible.org/genesis/10.htm| title=|Apostolic Bible Polyglot Interlinear| target=|_top|&gt;Polyglot&lt;/a&gt;</v>
      </c>
      <c r="X10" t="str">
        <f t="shared" si="36"/>
        <v>&lt;/li&gt;&lt;li&gt;&lt;a href=|http://interlinearbible.org/genesis/10.htm| title=|Interlinear Bible| target=|_top|&gt;Interlin&lt;/a&gt;</v>
      </c>
      <c r="Y10" t="str">
        <f t="shared" ref="Y10" si="37">CONCATENATE("&lt;/li&gt;&lt;li&gt;&lt;a href=|http://",Y1191,"/genesis/10.htm","| ","title=|",Y1190,"| target=|_top|&gt;",Y1192,"&lt;/a&gt;")</f>
        <v>&lt;/li&gt;&lt;li&gt;&lt;a href=|http://bibleoutline.org/genesis/10.htm| title=|Outline with People and Places List| target=|_top|&gt;Outline&lt;/a&gt;</v>
      </c>
      <c r="Z10" t="str">
        <f t="shared" si="36"/>
        <v>&lt;/li&gt;&lt;li&gt;&lt;a href=|http://kjvs.scripturetext.com/genesis/10.htm| title=|King James Bible with Strong's Numbers| target=|_top|&gt;Strong's&lt;/a&gt;</v>
      </c>
      <c r="AA10" t="str">
        <f t="shared" si="36"/>
        <v>&lt;/li&gt;&lt;li&gt;&lt;a href=|http://childrensbibleonline.com/genesis/10.htm| title=|The Children's Bible| target=|_top|&gt;Children's&lt;/a&gt;</v>
      </c>
      <c r="AB10" s="2" t="str">
        <f t="shared" si="36"/>
        <v>&lt;/li&gt;&lt;li&gt;&lt;a href=|http://tsk.scripturetext.com/genesis/10.htm| title=|Treasury of Scripture Knowledge| target=|_top|&gt;TSK&lt;/a&gt;</v>
      </c>
      <c r="AC10" t="str">
        <f>CONCATENATE("&lt;a href=|http://",AC1191,"/genesis/10.htm","| ","title=|",AC1190,"| target=|_top|&gt;",AC1192,"&lt;/a&gt;")</f>
        <v>&lt;a href=|http://parallelbible.com/genesis/10.htm| title=|Parallel Chapters| target=|_top|&gt;PAR&lt;/a&gt;</v>
      </c>
      <c r="AD10" s="2" t="str">
        <f t="shared" ref="AD10:AK10" si="38">CONCATENATE("&lt;/li&gt;&lt;li&gt;&lt;a href=|http://",AD1191,"/genesis/10.htm","| ","title=|",AD1190,"| target=|_top|&gt;",AD1192,"&lt;/a&gt;")</f>
        <v>&lt;/li&gt;&lt;li&gt;&lt;a href=|http://gsb.biblecommenter.com/genesis/10.htm| title=|Geneva Study Bible| target=|_top|&gt;GSB&lt;/a&gt;</v>
      </c>
      <c r="AE10" s="2" t="str">
        <f t="shared" si="38"/>
        <v>&lt;/li&gt;&lt;li&gt;&lt;a href=|http://jfb.biblecommenter.com/genesis/10.htm| title=|Jamieson-Fausset-Brown Bible Commentary| target=|_top|&gt;JFB&lt;/a&gt;</v>
      </c>
      <c r="AF10" s="2" t="str">
        <f t="shared" si="38"/>
        <v>&lt;/li&gt;&lt;li&gt;&lt;a href=|http://kjt.biblecommenter.com/genesis/10.htm| title=|King James Translators' Notes| target=|_top|&gt;KJT&lt;/a&gt;</v>
      </c>
      <c r="AG10" s="2" t="str">
        <f t="shared" si="38"/>
        <v>&lt;/li&gt;&lt;li&gt;&lt;a href=|http://mhc.biblecommenter.com/genesis/10.htm| title=|Matthew Henry's Concise Commentary| target=|_top|&gt;MHC&lt;/a&gt;</v>
      </c>
      <c r="AH10" s="2" t="str">
        <f t="shared" si="38"/>
        <v>&lt;/li&gt;&lt;li&gt;&lt;a href=|http://sco.biblecommenter.com/genesis/10.htm| title=|Scofield Reference Notes| target=|_top|&gt;SCO&lt;/a&gt;</v>
      </c>
      <c r="AI10" s="2" t="str">
        <f t="shared" si="38"/>
        <v>&lt;/li&gt;&lt;li&gt;&lt;a href=|http://wes.biblecommenter.com/genesis/10.htm| title=|Wesley's Notes on the Bible| target=|_top|&gt;WES&lt;/a&gt;</v>
      </c>
      <c r="AJ10" t="str">
        <f t="shared" si="38"/>
        <v>&lt;/li&gt;&lt;li&gt;&lt;a href=|http://worldebible.com/genesis/10.htm| title=|World English Bible| target=|_top|&gt;WEB&lt;/a&gt;</v>
      </c>
      <c r="AK10" t="str">
        <f t="shared" si="38"/>
        <v>&lt;/li&gt;&lt;li&gt;&lt;a href=|http://yltbible.com/genesis/10.htm| title=|Young's Literal Translation| target=|_top|&gt;YLT&lt;/a&gt;</v>
      </c>
      <c r="AL10" t="str">
        <f>CONCATENATE("&lt;a href=|http://",AL1191,"/genesis/10.htm","| ","title=|",AL1190,"| target=|_top|&gt;",AL1192,"&lt;/a&gt;")</f>
        <v>&lt;a href=|http://kjv.us/genesis/10.htm| title=|American King James Version| target=|_top|&gt;AKJ&lt;/a&gt;</v>
      </c>
      <c r="AM10" t="str">
        <f t="shared" ref="AM10:AN10" si="39">CONCATENATE("&lt;/li&gt;&lt;li&gt;&lt;a href=|http://",AM1191,"/genesis/10.htm","| ","title=|",AM1190,"| target=|_top|&gt;",AM1192,"&lt;/a&gt;")</f>
        <v>&lt;/li&gt;&lt;li&gt;&lt;a href=|http://basicenglishbible.com/genesis/10.htm| title=|Bible in Basic English| target=|_top|&gt;BBE&lt;/a&gt;</v>
      </c>
      <c r="AN10" t="str">
        <f t="shared" si="39"/>
        <v>&lt;/li&gt;&lt;li&gt;&lt;a href=|http://darbybible.com/genesis/10.htm| title=|Darby Bible Translation| target=|_top|&gt;DBY&lt;/a&gt;</v>
      </c>
      <c r="AO1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0" t="str">
        <f>CONCATENATE("&lt;/li&gt;&lt;li&gt;&lt;a href=|http://",AR1191,"/genesis/10.htm","| ","title=|",AR1190,"| target=|_top|&gt;",AR1192,"&lt;/a&gt;")</f>
        <v>&lt;/li&gt;&lt;li&gt;&lt;a href=|http://websterbible.com/genesis/10.htm| title=|Webster's Bible Translation| target=|_top|&gt;WBS&lt;/a&gt;</v>
      </c>
      <c r="AS1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0" t="str">
        <f>CONCATENATE("&lt;/li&gt;&lt;li&gt;&lt;a href=|http://",AT1191,"/genesis/10-1.htm","| ","title=|",AT1190,"| target=|_top|&gt;",AT1192,"&lt;/a&gt;")</f>
        <v>&lt;/li&gt;&lt;li&gt;&lt;a href=|http://biblebrowser.com/genesis/10-1.htm| title=|Split View| target=|_top|&gt;Split&lt;/a&gt;</v>
      </c>
      <c r="AU10" s="2" t="s">
        <v>1276</v>
      </c>
      <c r="AV10" t="s">
        <v>64</v>
      </c>
    </row>
    <row r="11" spans="1:48">
      <c r="A11" t="s">
        <v>622</v>
      </c>
      <c r="B11" t="s">
        <v>634</v>
      </c>
      <c r="C11" t="s">
        <v>624</v>
      </c>
      <c r="D11" t="s">
        <v>1268</v>
      </c>
      <c r="E11" t="s">
        <v>1277</v>
      </c>
      <c r="F11" t="s">
        <v>1304</v>
      </c>
      <c r="G11" t="s">
        <v>1266</v>
      </c>
      <c r="H11" t="s">
        <v>1305</v>
      </c>
      <c r="I11" t="s">
        <v>1303</v>
      </c>
      <c r="J11" t="s">
        <v>1267</v>
      </c>
      <c r="K11" t="s">
        <v>1275</v>
      </c>
      <c r="L11" s="2" t="s">
        <v>1274</v>
      </c>
      <c r="M11" t="str">
        <f t="shared" ref="M11:AB11" si="40">CONCATENATE("&lt;/li&gt;&lt;li&gt;&lt;a href=|http://",M1191,"/genesis/11.htm","| ","title=|",M1190,"| target=|_top|&gt;",M1192,"&lt;/a&gt;")</f>
        <v>&lt;/li&gt;&lt;li&gt;&lt;a href=|http://niv.scripturetext.com/genesis/11.htm| title=|New International Version| target=|_top|&gt;NIV&lt;/a&gt;</v>
      </c>
      <c r="N11" t="str">
        <f t="shared" si="40"/>
        <v>&lt;/li&gt;&lt;li&gt;&lt;a href=|http://nlt.scripturetext.com/genesis/11.htm| title=|New Living Translation| target=|_top|&gt;NLT&lt;/a&gt;</v>
      </c>
      <c r="O11" t="str">
        <f t="shared" si="40"/>
        <v>&lt;/li&gt;&lt;li&gt;&lt;a href=|http://nasb.scripturetext.com/genesis/11.htm| title=|New American Standard Bible| target=|_top|&gt;NAS&lt;/a&gt;</v>
      </c>
      <c r="P11" t="str">
        <f t="shared" si="40"/>
        <v>&lt;/li&gt;&lt;li&gt;&lt;a href=|http://gwt.scripturetext.com/genesis/11.htm| title=|God's Word Translation| target=|_top|&gt;GWT&lt;/a&gt;</v>
      </c>
      <c r="Q11" t="str">
        <f t="shared" si="40"/>
        <v>&lt;/li&gt;&lt;li&gt;&lt;a href=|http://kingjbible.com/genesis/11.htm| title=|King James Bible| target=|_top|&gt;KJV&lt;/a&gt;</v>
      </c>
      <c r="R11" t="str">
        <f t="shared" si="40"/>
        <v>&lt;/li&gt;&lt;li&gt;&lt;a href=|http://asvbible.com/genesis/11.htm| title=|American Standard Version| target=|_top|&gt;ASV&lt;/a&gt;</v>
      </c>
      <c r="S11" t="str">
        <f t="shared" si="40"/>
        <v>&lt;/li&gt;&lt;li&gt;&lt;a href=|http://drb.scripturetext.com/genesis/11.htm| title=|Douay-Rheims Bible| target=|_top|&gt;DRB&lt;/a&gt;</v>
      </c>
      <c r="T11" t="str">
        <f t="shared" si="40"/>
        <v>&lt;/li&gt;&lt;li&gt;&lt;a href=|http://erv.scripturetext.com/genesis/11.htm| title=|English Revised Version| target=|_top|&gt;ERV&lt;/a&gt;</v>
      </c>
      <c r="V11" t="str">
        <f>CONCATENATE("&lt;/li&gt;&lt;li&gt;&lt;a href=|http://",V1191,"/genesis/11.htm","| ","title=|",V1190,"| target=|_top|&gt;",V1192,"&lt;/a&gt;")</f>
        <v>&lt;/li&gt;&lt;li&gt;&lt;a href=|http://study.interlinearbible.org/genesis/11.htm| title=|Hebrew Study Bible| target=|_top|&gt;Heb Study&lt;/a&gt;</v>
      </c>
      <c r="W11" t="str">
        <f t="shared" si="40"/>
        <v>&lt;/li&gt;&lt;li&gt;&lt;a href=|http://apostolic.interlinearbible.org/genesis/11.htm| title=|Apostolic Bible Polyglot Interlinear| target=|_top|&gt;Polyglot&lt;/a&gt;</v>
      </c>
      <c r="X11" t="str">
        <f t="shared" si="40"/>
        <v>&lt;/li&gt;&lt;li&gt;&lt;a href=|http://interlinearbible.org/genesis/11.htm| title=|Interlinear Bible| target=|_top|&gt;Interlin&lt;/a&gt;</v>
      </c>
      <c r="Y11" t="str">
        <f t="shared" ref="Y11" si="41">CONCATENATE("&lt;/li&gt;&lt;li&gt;&lt;a href=|http://",Y1191,"/genesis/11.htm","| ","title=|",Y1190,"| target=|_top|&gt;",Y1192,"&lt;/a&gt;")</f>
        <v>&lt;/li&gt;&lt;li&gt;&lt;a href=|http://bibleoutline.org/genesis/11.htm| title=|Outline with People and Places List| target=|_top|&gt;Outline&lt;/a&gt;</v>
      </c>
      <c r="Z11" t="str">
        <f t="shared" si="40"/>
        <v>&lt;/li&gt;&lt;li&gt;&lt;a href=|http://kjvs.scripturetext.com/genesis/11.htm| title=|King James Bible with Strong's Numbers| target=|_top|&gt;Strong's&lt;/a&gt;</v>
      </c>
      <c r="AA11" t="str">
        <f t="shared" si="40"/>
        <v>&lt;/li&gt;&lt;li&gt;&lt;a href=|http://childrensbibleonline.com/genesis/11.htm| title=|The Children's Bible| target=|_top|&gt;Children's&lt;/a&gt;</v>
      </c>
      <c r="AB11" s="2" t="str">
        <f t="shared" si="40"/>
        <v>&lt;/li&gt;&lt;li&gt;&lt;a href=|http://tsk.scripturetext.com/genesis/11.htm| title=|Treasury of Scripture Knowledge| target=|_top|&gt;TSK&lt;/a&gt;</v>
      </c>
      <c r="AC11" t="str">
        <f>CONCATENATE("&lt;a href=|http://",AC1191,"/genesis/11.htm","| ","title=|",AC1190,"| target=|_top|&gt;",AC1192,"&lt;/a&gt;")</f>
        <v>&lt;a href=|http://parallelbible.com/genesis/11.htm| title=|Parallel Chapters| target=|_top|&gt;PAR&lt;/a&gt;</v>
      </c>
      <c r="AD11" s="2" t="str">
        <f t="shared" ref="AD11:AK11" si="42">CONCATENATE("&lt;/li&gt;&lt;li&gt;&lt;a href=|http://",AD1191,"/genesis/11.htm","| ","title=|",AD1190,"| target=|_top|&gt;",AD1192,"&lt;/a&gt;")</f>
        <v>&lt;/li&gt;&lt;li&gt;&lt;a href=|http://gsb.biblecommenter.com/genesis/11.htm| title=|Geneva Study Bible| target=|_top|&gt;GSB&lt;/a&gt;</v>
      </c>
      <c r="AE11" s="2" t="str">
        <f t="shared" si="42"/>
        <v>&lt;/li&gt;&lt;li&gt;&lt;a href=|http://jfb.biblecommenter.com/genesis/11.htm| title=|Jamieson-Fausset-Brown Bible Commentary| target=|_top|&gt;JFB&lt;/a&gt;</v>
      </c>
      <c r="AF11" s="2" t="str">
        <f t="shared" si="42"/>
        <v>&lt;/li&gt;&lt;li&gt;&lt;a href=|http://kjt.biblecommenter.com/genesis/11.htm| title=|King James Translators' Notes| target=|_top|&gt;KJT&lt;/a&gt;</v>
      </c>
      <c r="AG11" s="2" t="str">
        <f t="shared" si="42"/>
        <v>&lt;/li&gt;&lt;li&gt;&lt;a href=|http://mhc.biblecommenter.com/genesis/11.htm| title=|Matthew Henry's Concise Commentary| target=|_top|&gt;MHC&lt;/a&gt;</v>
      </c>
      <c r="AH11" s="2" t="str">
        <f t="shared" si="42"/>
        <v>&lt;/li&gt;&lt;li&gt;&lt;a href=|http://sco.biblecommenter.com/genesis/11.htm| title=|Scofield Reference Notes| target=|_top|&gt;SCO&lt;/a&gt;</v>
      </c>
      <c r="AI11" s="2" t="str">
        <f t="shared" si="42"/>
        <v>&lt;/li&gt;&lt;li&gt;&lt;a href=|http://wes.biblecommenter.com/genesis/11.htm| title=|Wesley's Notes on the Bible| target=|_top|&gt;WES&lt;/a&gt;</v>
      </c>
      <c r="AJ11" t="str">
        <f t="shared" si="42"/>
        <v>&lt;/li&gt;&lt;li&gt;&lt;a href=|http://worldebible.com/genesis/11.htm| title=|World English Bible| target=|_top|&gt;WEB&lt;/a&gt;</v>
      </c>
      <c r="AK11" t="str">
        <f t="shared" si="42"/>
        <v>&lt;/li&gt;&lt;li&gt;&lt;a href=|http://yltbible.com/genesis/11.htm| title=|Young's Literal Translation| target=|_top|&gt;YLT&lt;/a&gt;</v>
      </c>
      <c r="AL11" t="str">
        <f>CONCATENATE("&lt;a href=|http://",AL1191,"/genesis/11.htm","| ","title=|",AL1190,"| target=|_top|&gt;",AL1192,"&lt;/a&gt;")</f>
        <v>&lt;a href=|http://kjv.us/genesis/11.htm| title=|American King James Version| target=|_top|&gt;AKJ&lt;/a&gt;</v>
      </c>
      <c r="AM11" t="str">
        <f t="shared" ref="AM11:AN11" si="43">CONCATENATE("&lt;/li&gt;&lt;li&gt;&lt;a href=|http://",AM1191,"/genesis/11.htm","| ","title=|",AM1190,"| target=|_top|&gt;",AM1192,"&lt;/a&gt;")</f>
        <v>&lt;/li&gt;&lt;li&gt;&lt;a href=|http://basicenglishbible.com/genesis/11.htm| title=|Bible in Basic English| target=|_top|&gt;BBE&lt;/a&gt;</v>
      </c>
      <c r="AN11" t="str">
        <f t="shared" si="43"/>
        <v>&lt;/li&gt;&lt;li&gt;&lt;a href=|http://darbybible.com/genesis/11.htm| title=|Darby Bible Translation| target=|_top|&gt;DBY&lt;/a&gt;</v>
      </c>
      <c r="AO1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1" t="str">
        <f>CONCATENATE("&lt;/li&gt;&lt;li&gt;&lt;a href=|http://",AR1191,"/genesis/11.htm","| ","title=|",AR1190,"| target=|_top|&gt;",AR1192,"&lt;/a&gt;")</f>
        <v>&lt;/li&gt;&lt;li&gt;&lt;a href=|http://websterbible.com/genesis/11.htm| title=|Webster's Bible Translation| target=|_top|&gt;WBS&lt;/a&gt;</v>
      </c>
      <c r="AS1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1" t="str">
        <f>CONCATENATE("&lt;/li&gt;&lt;li&gt;&lt;a href=|http://",AT1191,"/genesis/11-1.htm","| ","title=|",AT1190,"| target=|_top|&gt;",AT1192,"&lt;/a&gt;")</f>
        <v>&lt;/li&gt;&lt;li&gt;&lt;a href=|http://biblebrowser.com/genesis/11-1.htm| title=|Split View| target=|_top|&gt;Split&lt;/a&gt;</v>
      </c>
      <c r="AU11" s="2" t="s">
        <v>1276</v>
      </c>
      <c r="AV11" t="s">
        <v>64</v>
      </c>
    </row>
    <row r="12" spans="1:48">
      <c r="A12" t="s">
        <v>622</v>
      </c>
      <c r="B12" t="s">
        <v>65</v>
      </c>
      <c r="C12" t="s">
        <v>624</v>
      </c>
      <c r="D12" t="s">
        <v>1268</v>
      </c>
      <c r="E12" t="s">
        <v>1277</v>
      </c>
      <c r="F12" t="s">
        <v>1304</v>
      </c>
      <c r="G12" t="s">
        <v>1266</v>
      </c>
      <c r="H12" t="s">
        <v>1305</v>
      </c>
      <c r="I12" t="s">
        <v>1303</v>
      </c>
      <c r="J12" t="s">
        <v>1267</v>
      </c>
      <c r="K12" t="s">
        <v>1275</v>
      </c>
      <c r="L12" s="2" t="s">
        <v>1274</v>
      </c>
      <c r="M12" t="str">
        <f t="shared" ref="M12:AB12" si="44">CONCATENATE("&lt;/li&gt;&lt;li&gt;&lt;a href=|http://",M1191,"/genesis/12.htm","| ","title=|",M1190,"| target=|_top|&gt;",M1192,"&lt;/a&gt;")</f>
        <v>&lt;/li&gt;&lt;li&gt;&lt;a href=|http://niv.scripturetext.com/genesis/12.htm| title=|New International Version| target=|_top|&gt;NIV&lt;/a&gt;</v>
      </c>
      <c r="N12" t="str">
        <f t="shared" si="44"/>
        <v>&lt;/li&gt;&lt;li&gt;&lt;a href=|http://nlt.scripturetext.com/genesis/12.htm| title=|New Living Translation| target=|_top|&gt;NLT&lt;/a&gt;</v>
      </c>
      <c r="O12" t="str">
        <f t="shared" si="44"/>
        <v>&lt;/li&gt;&lt;li&gt;&lt;a href=|http://nasb.scripturetext.com/genesis/12.htm| title=|New American Standard Bible| target=|_top|&gt;NAS&lt;/a&gt;</v>
      </c>
      <c r="P12" t="str">
        <f t="shared" si="44"/>
        <v>&lt;/li&gt;&lt;li&gt;&lt;a href=|http://gwt.scripturetext.com/genesis/12.htm| title=|God's Word Translation| target=|_top|&gt;GWT&lt;/a&gt;</v>
      </c>
      <c r="Q12" t="str">
        <f t="shared" si="44"/>
        <v>&lt;/li&gt;&lt;li&gt;&lt;a href=|http://kingjbible.com/genesis/12.htm| title=|King James Bible| target=|_top|&gt;KJV&lt;/a&gt;</v>
      </c>
      <c r="R12" t="str">
        <f t="shared" si="44"/>
        <v>&lt;/li&gt;&lt;li&gt;&lt;a href=|http://asvbible.com/genesis/12.htm| title=|American Standard Version| target=|_top|&gt;ASV&lt;/a&gt;</v>
      </c>
      <c r="S12" t="str">
        <f t="shared" si="44"/>
        <v>&lt;/li&gt;&lt;li&gt;&lt;a href=|http://drb.scripturetext.com/genesis/12.htm| title=|Douay-Rheims Bible| target=|_top|&gt;DRB&lt;/a&gt;</v>
      </c>
      <c r="T12" t="str">
        <f t="shared" si="44"/>
        <v>&lt;/li&gt;&lt;li&gt;&lt;a href=|http://erv.scripturetext.com/genesis/12.htm| title=|English Revised Version| target=|_top|&gt;ERV&lt;/a&gt;</v>
      </c>
      <c r="V12" t="str">
        <f>CONCATENATE("&lt;/li&gt;&lt;li&gt;&lt;a href=|http://",V1191,"/genesis/12.htm","| ","title=|",V1190,"| target=|_top|&gt;",V1192,"&lt;/a&gt;")</f>
        <v>&lt;/li&gt;&lt;li&gt;&lt;a href=|http://study.interlinearbible.org/genesis/12.htm| title=|Hebrew Study Bible| target=|_top|&gt;Heb Study&lt;/a&gt;</v>
      </c>
      <c r="W12" t="str">
        <f t="shared" si="44"/>
        <v>&lt;/li&gt;&lt;li&gt;&lt;a href=|http://apostolic.interlinearbible.org/genesis/12.htm| title=|Apostolic Bible Polyglot Interlinear| target=|_top|&gt;Polyglot&lt;/a&gt;</v>
      </c>
      <c r="X12" t="str">
        <f t="shared" si="44"/>
        <v>&lt;/li&gt;&lt;li&gt;&lt;a href=|http://interlinearbible.org/genesis/12.htm| title=|Interlinear Bible| target=|_top|&gt;Interlin&lt;/a&gt;</v>
      </c>
      <c r="Y12" t="str">
        <f t="shared" ref="Y12" si="45">CONCATENATE("&lt;/li&gt;&lt;li&gt;&lt;a href=|http://",Y1191,"/genesis/12.htm","| ","title=|",Y1190,"| target=|_top|&gt;",Y1192,"&lt;/a&gt;")</f>
        <v>&lt;/li&gt;&lt;li&gt;&lt;a href=|http://bibleoutline.org/genesis/12.htm| title=|Outline with People and Places List| target=|_top|&gt;Outline&lt;/a&gt;</v>
      </c>
      <c r="Z12" t="str">
        <f t="shared" si="44"/>
        <v>&lt;/li&gt;&lt;li&gt;&lt;a href=|http://kjvs.scripturetext.com/genesis/12.htm| title=|King James Bible with Strong's Numbers| target=|_top|&gt;Strong's&lt;/a&gt;</v>
      </c>
      <c r="AA12" t="str">
        <f t="shared" si="44"/>
        <v>&lt;/li&gt;&lt;li&gt;&lt;a href=|http://childrensbibleonline.com/genesis/12.htm| title=|The Children's Bible| target=|_top|&gt;Children's&lt;/a&gt;</v>
      </c>
      <c r="AB12" s="2" t="str">
        <f t="shared" si="44"/>
        <v>&lt;/li&gt;&lt;li&gt;&lt;a href=|http://tsk.scripturetext.com/genesis/12.htm| title=|Treasury of Scripture Knowledge| target=|_top|&gt;TSK&lt;/a&gt;</v>
      </c>
      <c r="AC12" t="str">
        <f>CONCATENATE("&lt;a href=|http://",AC1191,"/genesis/12.htm","| ","title=|",AC1190,"| target=|_top|&gt;",AC1192,"&lt;/a&gt;")</f>
        <v>&lt;a href=|http://parallelbible.com/genesis/12.htm| title=|Parallel Chapters| target=|_top|&gt;PAR&lt;/a&gt;</v>
      </c>
      <c r="AD12" s="2" t="str">
        <f t="shared" ref="AD12:AK12" si="46">CONCATENATE("&lt;/li&gt;&lt;li&gt;&lt;a href=|http://",AD1191,"/genesis/12.htm","| ","title=|",AD1190,"| target=|_top|&gt;",AD1192,"&lt;/a&gt;")</f>
        <v>&lt;/li&gt;&lt;li&gt;&lt;a href=|http://gsb.biblecommenter.com/genesis/12.htm| title=|Geneva Study Bible| target=|_top|&gt;GSB&lt;/a&gt;</v>
      </c>
      <c r="AE12" s="2" t="str">
        <f t="shared" si="46"/>
        <v>&lt;/li&gt;&lt;li&gt;&lt;a href=|http://jfb.biblecommenter.com/genesis/12.htm| title=|Jamieson-Fausset-Brown Bible Commentary| target=|_top|&gt;JFB&lt;/a&gt;</v>
      </c>
      <c r="AF12" s="2" t="str">
        <f t="shared" si="46"/>
        <v>&lt;/li&gt;&lt;li&gt;&lt;a href=|http://kjt.biblecommenter.com/genesis/12.htm| title=|King James Translators' Notes| target=|_top|&gt;KJT&lt;/a&gt;</v>
      </c>
      <c r="AG12" s="2" t="str">
        <f t="shared" si="46"/>
        <v>&lt;/li&gt;&lt;li&gt;&lt;a href=|http://mhc.biblecommenter.com/genesis/12.htm| title=|Matthew Henry's Concise Commentary| target=|_top|&gt;MHC&lt;/a&gt;</v>
      </c>
      <c r="AH12" s="2" t="str">
        <f t="shared" si="46"/>
        <v>&lt;/li&gt;&lt;li&gt;&lt;a href=|http://sco.biblecommenter.com/genesis/12.htm| title=|Scofield Reference Notes| target=|_top|&gt;SCO&lt;/a&gt;</v>
      </c>
      <c r="AI12" s="2" t="str">
        <f t="shared" si="46"/>
        <v>&lt;/li&gt;&lt;li&gt;&lt;a href=|http://wes.biblecommenter.com/genesis/12.htm| title=|Wesley's Notes on the Bible| target=|_top|&gt;WES&lt;/a&gt;</v>
      </c>
      <c r="AJ12" t="str">
        <f t="shared" si="46"/>
        <v>&lt;/li&gt;&lt;li&gt;&lt;a href=|http://worldebible.com/genesis/12.htm| title=|World English Bible| target=|_top|&gt;WEB&lt;/a&gt;</v>
      </c>
      <c r="AK12" t="str">
        <f t="shared" si="46"/>
        <v>&lt;/li&gt;&lt;li&gt;&lt;a href=|http://yltbible.com/genesis/12.htm| title=|Young's Literal Translation| target=|_top|&gt;YLT&lt;/a&gt;</v>
      </c>
      <c r="AL12" t="str">
        <f>CONCATENATE("&lt;a href=|http://",AL1191,"/genesis/12.htm","| ","title=|",AL1190,"| target=|_top|&gt;",AL1192,"&lt;/a&gt;")</f>
        <v>&lt;a href=|http://kjv.us/genesis/12.htm| title=|American King James Version| target=|_top|&gt;AKJ&lt;/a&gt;</v>
      </c>
      <c r="AM12" t="str">
        <f t="shared" ref="AM12:AN12" si="47">CONCATENATE("&lt;/li&gt;&lt;li&gt;&lt;a href=|http://",AM1191,"/genesis/12.htm","| ","title=|",AM1190,"| target=|_top|&gt;",AM1192,"&lt;/a&gt;")</f>
        <v>&lt;/li&gt;&lt;li&gt;&lt;a href=|http://basicenglishbible.com/genesis/12.htm| title=|Bible in Basic English| target=|_top|&gt;BBE&lt;/a&gt;</v>
      </c>
      <c r="AN12" t="str">
        <f t="shared" si="47"/>
        <v>&lt;/li&gt;&lt;li&gt;&lt;a href=|http://darbybible.com/genesis/12.htm| title=|Darby Bible Translation| target=|_top|&gt;DBY&lt;/a&gt;</v>
      </c>
      <c r="AO1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2" t="str">
        <f>CONCATENATE("&lt;/li&gt;&lt;li&gt;&lt;a href=|http://",AR1191,"/genesis/12.htm","| ","title=|",AR1190,"| target=|_top|&gt;",AR1192,"&lt;/a&gt;")</f>
        <v>&lt;/li&gt;&lt;li&gt;&lt;a href=|http://websterbible.com/genesis/12.htm| title=|Webster's Bible Translation| target=|_top|&gt;WBS&lt;/a&gt;</v>
      </c>
      <c r="AS1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2" t="str">
        <f>CONCATENATE("&lt;/li&gt;&lt;li&gt;&lt;a href=|http://",AT1191,"/genesis/12-1.htm","| ","title=|",AT1190,"| target=|_top|&gt;",AT1192,"&lt;/a&gt;")</f>
        <v>&lt;/li&gt;&lt;li&gt;&lt;a href=|http://biblebrowser.com/genesis/12-1.htm| title=|Split View| target=|_top|&gt;Split&lt;/a&gt;</v>
      </c>
      <c r="AU12" s="2" t="s">
        <v>1276</v>
      </c>
      <c r="AV12" t="s">
        <v>64</v>
      </c>
    </row>
    <row r="13" spans="1:48">
      <c r="A13" t="s">
        <v>622</v>
      </c>
      <c r="B13" t="s">
        <v>66</v>
      </c>
      <c r="C13" t="s">
        <v>624</v>
      </c>
      <c r="D13" t="s">
        <v>1268</v>
      </c>
      <c r="E13" t="s">
        <v>1277</v>
      </c>
      <c r="F13" t="s">
        <v>1304</v>
      </c>
      <c r="G13" t="s">
        <v>1266</v>
      </c>
      <c r="H13" t="s">
        <v>1305</v>
      </c>
      <c r="I13" t="s">
        <v>1303</v>
      </c>
      <c r="J13" t="s">
        <v>1267</v>
      </c>
      <c r="K13" t="s">
        <v>1275</v>
      </c>
      <c r="L13" s="2" t="s">
        <v>1274</v>
      </c>
      <c r="M13" t="str">
        <f t="shared" ref="M13:AB13" si="48">CONCATENATE("&lt;/li&gt;&lt;li&gt;&lt;a href=|http://",M1191,"/genesis/13.htm","| ","title=|",M1190,"| target=|_top|&gt;",M1192,"&lt;/a&gt;")</f>
        <v>&lt;/li&gt;&lt;li&gt;&lt;a href=|http://niv.scripturetext.com/genesis/13.htm| title=|New International Version| target=|_top|&gt;NIV&lt;/a&gt;</v>
      </c>
      <c r="N13" t="str">
        <f t="shared" si="48"/>
        <v>&lt;/li&gt;&lt;li&gt;&lt;a href=|http://nlt.scripturetext.com/genesis/13.htm| title=|New Living Translation| target=|_top|&gt;NLT&lt;/a&gt;</v>
      </c>
      <c r="O13" t="str">
        <f t="shared" si="48"/>
        <v>&lt;/li&gt;&lt;li&gt;&lt;a href=|http://nasb.scripturetext.com/genesis/13.htm| title=|New American Standard Bible| target=|_top|&gt;NAS&lt;/a&gt;</v>
      </c>
      <c r="P13" t="str">
        <f t="shared" si="48"/>
        <v>&lt;/li&gt;&lt;li&gt;&lt;a href=|http://gwt.scripturetext.com/genesis/13.htm| title=|God's Word Translation| target=|_top|&gt;GWT&lt;/a&gt;</v>
      </c>
      <c r="Q13" t="str">
        <f t="shared" si="48"/>
        <v>&lt;/li&gt;&lt;li&gt;&lt;a href=|http://kingjbible.com/genesis/13.htm| title=|King James Bible| target=|_top|&gt;KJV&lt;/a&gt;</v>
      </c>
      <c r="R13" t="str">
        <f t="shared" si="48"/>
        <v>&lt;/li&gt;&lt;li&gt;&lt;a href=|http://asvbible.com/genesis/13.htm| title=|American Standard Version| target=|_top|&gt;ASV&lt;/a&gt;</v>
      </c>
      <c r="S13" t="str">
        <f t="shared" si="48"/>
        <v>&lt;/li&gt;&lt;li&gt;&lt;a href=|http://drb.scripturetext.com/genesis/13.htm| title=|Douay-Rheims Bible| target=|_top|&gt;DRB&lt;/a&gt;</v>
      </c>
      <c r="T13" t="str">
        <f t="shared" si="48"/>
        <v>&lt;/li&gt;&lt;li&gt;&lt;a href=|http://erv.scripturetext.com/genesis/13.htm| title=|English Revised Version| target=|_top|&gt;ERV&lt;/a&gt;</v>
      </c>
      <c r="V13" t="str">
        <f>CONCATENATE("&lt;/li&gt;&lt;li&gt;&lt;a href=|http://",V1191,"/genesis/13.htm","| ","title=|",V1190,"| target=|_top|&gt;",V1192,"&lt;/a&gt;")</f>
        <v>&lt;/li&gt;&lt;li&gt;&lt;a href=|http://study.interlinearbible.org/genesis/13.htm| title=|Hebrew Study Bible| target=|_top|&gt;Heb Study&lt;/a&gt;</v>
      </c>
      <c r="W13" t="str">
        <f t="shared" si="48"/>
        <v>&lt;/li&gt;&lt;li&gt;&lt;a href=|http://apostolic.interlinearbible.org/genesis/13.htm| title=|Apostolic Bible Polyglot Interlinear| target=|_top|&gt;Polyglot&lt;/a&gt;</v>
      </c>
      <c r="X13" t="str">
        <f t="shared" si="48"/>
        <v>&lt;/li&gt;&lt;li&gt;&lt;a href=|http://interlinearbible.org/genesis/13.htm| title=|Interlinear Bible| target=|_top|&gt;Interlin&lt;/a&gt;</v>
      </c>
      <c r="Y13" t="str">
        <f t="shared" ref="Y13" si="49">CONCATENATE("&lt;/li&gt;&lt;li&gt;&lt;a href=|http://",Y1191,"/genesis/13.htm","| ","title=|",Y1190,"| target=|_top|&gt;",Y1192,"&lt;/a&gt;")</f>
        <v>&lt;/li&gt;&lt;li&gt;&lt;a href=|http://bibleoutline.org/genesis/13.htm| title=|Outline with People and Places List| target=|_top|&gt;Outline&lt;/a&gt;</v>
      </c>
      <c r="Z13" t="str">
        <f t="shared" si="48"/>
        <v>&lt;/li&gt;&lt;li&gt;&lt;a href=|http://kjvs.scripturetext.com/genesis/13.htm| title=|King James Bible with Strong's Numbers| target=|_top|&gt;Strong's&lt;/a&gt;</v>
      </c>
      <c r="AA13" t="str">
        <f t="shared" si="48"/>
        <v>&lt;/li&gt;&lt;li&gt;&lt;a href=|http://childrensbibleonline.com/genesis/13.htm| title=|The Children's Bible| target=|_top|&gt;Children's&lt;/a&gt;</v>
      </c>
      <c r="AB13" s="2" t="str">
        <f t="shared" si="48"/>
        <v>&lt;/li&gt;&lt;li&gt;&lt;a href=|http://tsk.scripturetext.com/genesis/13.htm| title=|Treasury of Scripture Knowledge| target=|_top|&gt;TSK&lt;/a&gt;</v>
      </c>
      <c r="AC13" t="str">
        <f>CONCATENATE("&lt;a href=|http://",AC1191,"/genesis/13.htm","| ","title=|",AC1190,"| target=|_top|&gt;",AC1192,"&lt;/a&gt;")</f>
        <v>&lt;a href=|http://parallelbible.com/genesis/13.htm| title=|Parallel Chapters| target=|_top|&gt;PAR&lt;/a&gt;</v>
      </c>
      <c r="AD13" s="2" t="str">
        <f t="shared" ref="AD13:AK13" si="50">CONCATENATE("&lt;/li&gt;&lt;li&gt;&lt;a href=|http://",AD1191,"/genesis/13.htm","| ","title=|",AD1190,"| target=|_top|&gt;",AD1192,"&lt;/a&gt;")</f>
        <v>&lt;/li&gt;&lt;li&gt;&lt;a href=|http://gsb.biblecommenter.com/genesis/13.htm| title=|Geneva Study Bible| target=|_top|&gt;GSB&lt;/a&gt;</v>
      </c>
      <c r="AE13" s="2" t="str">
        <f t="shared" si="50"/>
        <v>&lt;/li&gt;&lt;li&gt;&lt;a href=|http://jfb.biblecommenter.com/genesis/13.htm| title=|Jamieson-Fausset-Brown Bible Commentary| target=|_top|&gt;JFB&lt;/a&gt;</v>
      </c>
      <c r="AF13" s="2" t="str">
        <f t="shared" si="50"/>
        <v>&lt;/li&gt;&lt;li&gt;&lt;a href=|http://kjt.biblecommenter.com/genesis/13.htm| title=|King James Translators' Notes| target=|_top|&gt;KJT&lt;/a&gt;</v>
      </c>
      <c r="AG13" s="2" t="str">
        <f t="shared" si="50"/>
        <v>&lt;/li&gt;&lt;li&gt;&lt;a href=|http://mhc.biblecommenter.com/genesis/13.htm| title=|Matthew Henry's Concise Commentary| target=|_top|&gt;MHC&lt;/a&gt;</v>
      </c>
      <c r="AH13" s="2" t="str">
        <f t="shared" si="50"/>
        <v>&lt;/li&gt;&lt;li&gt;&lt;a href=|http://sco.biblecommenter.com/genesis/13.htm| title=|Scofield Reference Notes| target=|_top|&gt;SCO&lt;/a&gt;</v>
      </c>
      <c r="AI13" s="2" t="str">
        <f t="shared" si="50"/>
        <v>&lt;/li&gt;&lt;li&gt;&lt;a href=|http://wes.biblecommenter.com/genesis/13.htm| title=|Wesley's Notes on the Bible| target=|_top|&gt;WES&lt;/a&gt;</v>
      </c>
      <c r="AJ13" t="str">
        <f t="shared" si="50"/>
        <v>&lt;/li&gt;&lt;li&gt;&lt;a href=|http://worldebible.com/genesis/13.htm| title=|World English Bible| target=|_top|&gt;WEB&lt;/a&gt;</v>
      </c>
      <c r="AK13" t="str">
        <f t="shared" si="50"/>
        <v>&lt;/li&gt;&lt;li&gt;&lt;a href=|http://yltbible.com/genesis/13.htm| title=|Young's Literal Translation| target=|_top|&gt;YLT&lt;/a&gt;</v>
      </c>
      <c r="AL13" t="str">
        <f>CONCATENATE("&lt;a href=|http://",AL1191,"/genesis/13.htm","| ","title=|",AL1190,"| target=|_top|&gt;",AL1192,"&lt;/a&gt;")</f>
        <v>&lt;a href=|http://kjv.us/genesis/13.htm| title=|American King James Version| target=|_top|&gt;AKJ&lt;/a&gt;</v>
      </c>
      <c r="AM13" t="str">
        <f t="shared" ref="AM13:AN13" si="51">CONCATENATE("&lt;/li&gt;&lt;li&gt;&lt;a href=|http://",AM1191,"/genesis/13.htm","| ","title=|",AM1190,"| target=|_top|&gt;",AM1192,"&lt;/a&gt;")</f>
        <v>&lt;/li&gt;&lt;li&gt;&lt;a href=|http://basicenglishbible.com/genesis/13.htm| title=|Bible in Basic English| target=|_top|&gt;BBE&lt;/a&gt;</v>
      </c>
      <c r="AN13" t="str">
        <f t="shared" si="51"/>
        <v>&lt;/li&gt;&lt;li&gt;&lt;a href=|http://darbybible.com/genesis/13.htm| title=|Darby Bible Translation| target=|_top|&gt;DBY&lt;/a&gt;</v>
      </c>
      <c r="AO1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3" t="str">
        <f>CONCATENATE("&lt;/li&gt;&lt;li&gt;&lt;a href=|http://",AR1191,"/genesis/13.htm","| ","title=|",AR1190,"| target=|_top|&gt;",AR1192,"&lt;/a&gt;")</f>
        <v>&lt;/li&gt;&lt;li&gt;&lt;a href=|http://websterbible.com/genesis/13.htm| title=|Webster's Bible Translation| target=|_top|&gt;WBS&lt;/a&gt;</v>
      </c>
      <c r="AS1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3" t="str">
        <f>CONCATENATE("&lt;/li&gt;&lt;li&gt;&lt;a href=|http://",AT1191,"/genesis/13-1.htm","| ","title=|",AT1190,"| target=|_top|&gt;",AT1192,"&lt;/a&gt;")</f>
        <v>&lt;/li&gt;&lt;li&gt;&lt;a href=|http://biblebrowser.com/genesis/13-1.htm| title=|Split View| target=|_top|&gt;Split&lt;/a&gt;</v>
      </c>
      <c r="AU13" s="2" t="s">
        <v>1276</v>
      </c>
      <c r="AV13" t="s">
        <v>64</v>
      </c>
    </row>
    <row r="14" spans="1:48">
      <c r="A14" t="s">
        <v>622</v>
      </c>
      <c r="B14" t="s">
        <v>67</v>
      </c>
      <c r="C14" t="s">
        <v>624</v>
      </c>
      <c r="D14" t="s">
        <v>1268</v>
      </c>
      <c r="E14" t="s">
        <v>1277</v>
      </c>
      <c r="F14" t="s">
        <v>1304</v>
      </c>
      <c r="G14" t="s">
        <v>1266</v>
      </c>
      <c r="H14" t="s">
        <v>1305</v>
      </c>
      <c r="I14" t="s">
        <v>1303</v>
      </c>
      <c r="J14" t="s">
        <v>1267</v>
      </c>
      <c r="K14" t="s">
        <v>1275</v>
      </c>
      <c r="L14" s="2" t="s">
        <v>1274</v>
      </c>
      <c r="M14" t="str">
        <f t="shared" ref="M14:AB14" si="52">CONCATENATE("&lt;/li&gt;&lt;li&gt;&lt;a href=|http://",M1191,"/genesis/14.htm","| ","title=|",M1190,"| target=|_top|&gt;",M1192,"&lt;/a&gt;")</f>
        <v>&lt;/li&gt;&lt;li&gt;&lt;a href=|http://niv.scripturetext.com/genesis/14.htm| title=|New International Version| target=|_top|&gt;NIV&lt;/a&gt;</v>
      </c>
      <c r="N14" t="str">
        <f t="shared" si="52"/>
        <v>&lt;/li&gt;&lt;li&gt;&lt;a href=|http://nlt.scripturetext.com/genesis/14.htm| title=|New Living Translation| target=|_top|&gt;NLT&lt;/a&gt;</v>
      </c>
      <c r="O14" t="str">
        <f t="shared" si="52"/>
        <v>&lt;/li&gt;&lt;li&gt;&lt;a href=|http://nasb.scripturetext.com/genesis/14.htm| title=|New American Standard Bible| target=|_top|&gt;NAS&lt;/a&gt;</v>
      </c>
      <c r="P14" t="str">
        <f t="shared" si="52"/>
        <v>&lt;/li&gt;&lt;li&gt;&lt;a href=|http://gwt.scripturetext.com/genesis/14.htm| title=|God's Word Translation| target=|_top|&gt;GWT&lt;/a&gt;</v>
      </c>
      <c r="Q14" t="str">
        <f t="shared" si="52"/>
        <v>&lt;/li&gt;&lt;li&gt;&lt;a href=|http://kingjbible.com/genesis/14.htm| title=|King James Bible| target=|_top|&gt;KJV&lt;/a&gt;</v>
      </c>
      <c r="R14" t="str">
        <f t="shared" si="52"/>
        <v>&lt;/li&gt;&lt;li&gt;&lt;a href=|http://asvbible.com/genesis/14.htm| title=|American Standard Version| target=|_top|&gt;ASV&lt;/a&gt;</v>
      </c>
      <c r="S14" t="str">
        <f t="shared" si="52"/>
        <v>&lt;/li&gt;&lt;li&gt;&lt;a href=|http://drb.scripturetext.com/genesis/14.htm| title=|Douay-Rheims Bible| target=|_top|&gt;DRB&lt;/a&gt;</v>
      </c>
      <c r="T14" t="str">
        <f t="shared" si="52"/>
        <v>&lt;/li&gt;&lt;li&gt;&lt;a href=|http://erv.scripturetext.com/genesis/14.htm| title=|English Revised Version| target=|_top|&gt;ERV&lt;/a&gt;</v>
      </c>
      <c r="V14" t="str">
        <f>CONCATENATE("&lt;/li&gt;&lt;li&gt;&lt;a href=|http://",V1191,"/genesis/14.htm","| ","title=|",V1190,"| target=|_top|&gt;",V1192,"&lt;/a&gt;")</f>
        <v>&lt;/li&gt;&lt;li&gt;&lt;a href=|http://study.interlinearbible.org/genesis/14.htm| title=|Hebrew Study Bible| target=|_top|&gt;Heb Study&lt;/a&gt;</v>
      </c>
      <c r="W14" t="str">
        <f t="shared" si="52"/>
        <v>&lt;/li&gt;&lt;li&gt;&lt;a href=|http://apostolic.interlinearbible.org/genesis/14.htm| title=|Apostolic Bible Polyglot Interlinear| target=|_top|&gt;Polyglot&lt;/a&gt;</v>
      </c>
      <c r="X14" t="str">
        <f t="shared" si="52"/>
        <v>&lt;/li&gt;&lt;li&gt;&lt;a href=|http://interlinearbible.org/genesis/14.htm| title=|Interlinear Bible| target=|_top|&gt;Interlin&lt;/a&gt;</v>
      </c>
      <c r="Y14" t="str">
        <f t="shared" ref="Y14" si="53">CONCATENATE("&lt;/li&gt;&lt;li&gt;&lt;a href=|http://",Y1191,"/genesis/14.htm","| ","title=|",Y1190,"| target=|_top|&gt;",Y1192,"&lt;/a&gt;")</f>
        <v>&lt;/li&gt;&lt;li&gt;&lt;a href=|http://bibleoutline.org/genesis/14.htm| title=|Outline with People and Places List| target=|_top|&gt;Outline&lt;/a&gt;</v>
      </c>
      <c r="Z14" t="str">
        <f t="shared" si="52"/>
        <v>&lt;/li&gt;&lt;li&gt;&lt;a href=|http://kjvs.scripturetext.com/genesis/14.htm| title=|King James Bible with Strong's Numbers| target=|_top|&gt;Strong's&lt;/a&gt;</v>
      </c>
      <c r="AA14" t="str">
        <f t="shared" si="52"/>
        <v>&lt;/li&gt;&lt;li&gt;&lt;a href=|http://childrensbibleonline.com/genesis/14.htm| title=|The Children's Bible| target=|_top|&gt;Children's&lt;/a&gt;</v>
      </c>
      <c r="AB14" s="2" t="str">
        <f t="shared" si="52"/>
        <v>&lt;/li&gt;&lt;li&gt;&lt;a href=|http://tsk.scripturetext.com/genesis/14.htm| title=|Treasury of Scripture Knowledge| target=|_top|&gt;TSK&lt;/a&gt;</v>
      </c>
      <c r="AC14" t="str">
        <f>CONCATENATE("&lt;a href=|http://",AC1191,"/genesis/14.htm","| ","title=|",AC1190,"| target=|_top|&gt;",AC1192,"&lt;/a&gt;")</f>
        <v>&lt;a href=|http://parallelbible.com/genesis/14.htm| title=|Parallel Chapters| target=|_top|&gt;PAR&lt;/a&gt;</v>
      </c>
      <c r="AD14" s="2" t="str">
        <f t="shared" ref="AD14:AK14" si="54">CONCATENATE("&lt;/li&gt;&lt;li&gt;&lt;a href=|http://",AD1191,"/genesis/14.htm","| ","title=|",AD1190,"| target=|_top|&gt;",AD1192,"&lt;/a&gt;")</f>
        <v>&lt;/li&gt;&lt;li&gt;&lt;a href=|http://gsb.biblecommenter.com/genesis/14.htm| title=|Geneva Study Bible| target=|_top|&gt;GSB&lt;/a&gt;</v>
      </c>
      <c r="AE14" s="2" t="str">
        <f t="shared" si="54"/>
        <v>&lt;/li&gt;&lt;li&gt;&lt;a href=|http://jfb.biblecommenter.com/genesis/14.htm| title=|Jamieson-Fausset-Brown Bible Commentary| target=|_top|&gt;JFB&lt;/a&gt;</v>
      </c>
      <c r="AF14" s="2" t="str">
        <f t="shared" si="54"/>
        <v>&lt;/li&gt;&lt;li&gt;&lt;a href=|http://kjt.biblecommenter.com/genesis/14.htm| title=|King James Translators' Notes| target=|_top|&gt;KJT&lt;/a&gt;</v>
      </c>
      <c r="AG14" s="2" t="str">
        <f t="shared" si="54"/>
        <v>&lt;/li&gt;&lt;li&gt;&lt;a href=|http://mhc.biblecommenter.com/genesis/14.htm| title=|Matthew Henry's Concise Commentary| target=|_top|&gt;MHC&lt;/a&gt;</v>
      </c>
      <c r="AH14" s="2" t="str">
        <f t="shared" si="54"/>
        <v>&lt;/li&gt;&lt;li&gt;&lt;a href=|http://sco.biblecommenter.com/genesis/14.htm| title=|Scofield Reference Notes| target=|_top|&gt;SCO&lt;/a&gt;</v>
      </c>
      <c r="AI14" s="2" t="str">
        <f t="shared" si="54"/>
        <v>&lt;/li&gt;&lt;li&gt;&lt;a href=|http://wes.biblecommenter.com/genesis/14.htm| title=|Wesley's Notes on the Bible| target=|_top|&gt;WES&lt;/a&gt;</v>
      </c>
      <c r="AJ14" t="str">
        <f t="shared" si="54"/>
        <v>&lt;/li&gt;&lt;li&gt;&lt;a href=|http://worldebible.com/genesis/14.htm| title=|World English Bible| target=|_top|&gt;WEB&lt;/a&gt;</v>
      </c>
      <c r="AK14" t="str">
        <f t="shared" si="54"/>
        <v>&lt;/li&gt;&lt;li&gt;&lt;a href=|http://yltbible.com/genesis/14.htm| title=|Young's Literal Translation| target=|_top|&gt;YLT&lt;/a&gt;</v>
      </c>
      <c r="AL14" t="str">
        <f>CONCATENATE("&lt;a href=|http://",AL1191,"/genesis/14.htm","| ","title=|",AL1190,"| target=|_top|&gt;",AL1192,"&lt;/a&gt;")</f>
        <v>&lt;a href=|http://kjv.us/genesis/14.htm| title=|American King James Version| target=|_top|&gt;AKJ&lt;/a&gt;</v>
      </c>
      <c r="AM14" t="str">
        <f t="shared" ref="AM14:AN14" si="55">CONCATENATE("&lt;/li&gt;&lt;li&gt;&lt;a href=|http://",AM1191,"/genesis/14.htm","| ","title=|",AM1190,"| target=|_top|&gt;",AM1192,"&lt;/a&gt;")</f>
        <v>&lt;/li&gt;&lt;li&gt;&lt;a href=|http://basicenglishbible.com/genesis/14.htm| title=|Bible in Basic English| target=|_top|&gt;BBE&lt;/a&gt;</v>
      </c>
      <c r="AN14" t="str">
        <f t="shared" si="55"/>
        <v>&lt;/li&gt;&lt;li&gt;&lt;a href=|http://darbybible.com/genesis/14.htm| title=|Darby Bible Translation| target=|_top|&gt;DBY&lt;/a&gt;</v>
      </c>
      <c r="AO1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4" t="str">
        <f>CONCATENATE("&lt;/li&gt;&lt;li&gt;&lt;a href=|http://",AR1191,"/genesis/14.htm","| ","title=|",AR1190,"| target=|_top|&gt;",AR1192,"&lt;/a&gt;")</f>
        <v>&lt;/li&gt;&lt;li&gt;&lt;a href=|http://websterbible.com/genesis/14.htm| title=|Webster's Bible Translation| target=|_top|&gt;WBS&lt;/a&gt;</v>
      </c>
      <c r="AS1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4" t="str">
        <f>CONCATENATE("&lt;/li&gt;&lt;li&gt;&lt;a href=|http://",AT1191,"/genesis/14-1.htm","| ","title=|",AT1190,"| target=|_top|&gt;",AT1192,"&lt;/a&gt;")</f>
        <v>&lt;/li&gt;&lt;li&gt;&lt;a href=|http://biblebrowser.com/genesis/14-1.htm| title=|Split View| target=|_top|&gt;Split&lt;/a&gt;</v>
      </c>
      <c r="AU14" s="2" t="s">
        <v>1276</v>
      </c>
      <c r="AV14" t="s">
        <v>64</v>
      </c>
    </row>
    <row r="15" spans="1:48">
      <c r="A15" t="s">
        <v>622</v>
      </c>
      <c r="B15" t="s">
        <v>68</v>
      </c>
      <c r="C15" t="s">
        <v>624</v>
      </c>
      <c r="D15" t="s">
        <v>1268</v>
      </c>
      <c r="E15" t="s">
        <v>1277</v>
      </c>
      <c r="F15" t="s">
        <v>1304</v>
      </c>
      <c r="G15" t="s">
        <v>1266</v>
      </c>
      <c r="H15" t="s">
        <v>1305</v>
      </c>
      <c r="I15" t="s">
        <v>1303</v>
      </c>
      <c r="J15" t="s">
        <v>1267</v>
      </c>
      <c r="K15" t="s">
        <v>1275</v>
      </c>
      <c r="L15" s="2" t="s">
        <v>1274</v>
      </c>
      <c r="M15" t="str">
        <f t="shared" ref="M15:AB15" si="56">CONCATENATE("&lt;/li&gt;&lt;li&gt;&lt;a href=|http://",M1191,"/genesis/15.htm","| ","title=|",M1190,"| target=|_top|&gt;",M1192,"&lt;/a&gt;")</f>
        <v>&lt;/li&gt;&lt;li&gt;&lt;a href=|http://niv.scripturetext.com/genesis/15.htm| title=|New International Version| target=|_top|&gt;NIV&lt;/a&gt;</v>
      </c>
      <c r="N15" t="str">
        <f t="shared" si="56"/>
        <v>&lt;/li&gt;&lt;li&gt;&lt;a href=|http://nlt.scripturetext.com/genesis/15.htm| title=|New Living Translation| target=|_top|&gt;NLT&lt;/a&gt;</v>
      </c>
      <c r="O15" t="str">
        <f t="shared" si="56"/>
        <v>&lt;/li&gt;&lt;li&gt;&lt;a href=|http://nasb.scripturetext.com/genesis/15.htm| title=|New American Standard Bible| target=|_top|&gt;NAS&lt;/a&gt;</v>
      </c>
      <c r="P15" t="str">
        <f t="shared" si="56"/>
        <v>&lt;/li&gt;&lt;li&gt;&lt;a href=|http://gwt.scripturetext.com/genesis/15.htm| title=|God's Word Translation| target=|_top|&gt;GWT&lt;/a&gt;</v>
      </c>
      <c r="Q15" t="str">
        <f t="shared" si="56"/>
        <v>&lt;/li&gt;&lt;li&gt;&lt;a href=|http://kingjbible.com/genesis/15.htm| title=|King James Bible| target=|_top|&gt;KJV&lt;/a&gt;</v>
      </c>
      <c r="R15" t="str">
        <f t="shared" si="56"/>
        <v>&lt;/li&gt;&lt;li&gt;&lt;a href=|http://asvbible.com/genesis/15.htm| title=|American Standard Version| target=|_top|&gt;ASV&lt;/a&gt;</v>
      </c>
      <c r="S15" t="str">
        <f t="shared" si="56"/>
        <v>&lt;/li&gt;&lt;li&gt;&lt;a href=|http://drb.scripturetext.com/genesis/15.htm| title=|Douay-Rheims Bible| target=|_top|&gt;DRB&lt;/a&gt;</v>
      </c>
      <c r="T15" t="str">
        <f t="shared" si="56"/>
        <v>&lt;/li&gt;&lt;li&gt;&lt;a href=|http://erv.scripturetext.com/genesis/15.htm| title=|English Revised Version| target=|_top|&gt;ERV&lt;/a&gt;</v>
      </c>
      <c r="V15" t="str">
        <f>CONCATENATE("&lt;/li&gt;&lt;li&gt;&lt;a href=|http://",V1191,"/genesis/15.htm","| ","title=|",V1190,"| target=|_top|&gt;",V1192,"&lt;/a&gt;")</f>
        <v>&lt;/li&gt;&lt;li&gt;&lt;a href=|http://study.interlinearbible.org/genesis/15.htm| title=|Hebrew Study Bible| target=|_top|&gt;Heb Study&lt;/a&gt;</v>
      </c>
      <c r="W15" t="str">
        <f t="shared" si="56"/>
        <v>&lt;/li&gt;&lt;li&gt;&lt;a href=|http://apostolic.interlinearbible.org/genesis/15.htm| title=|Apostolic Bible Polyglot Interlinear| target=|_top|&gt;Polyglot&lt;/a&gt;</v>
      </c>
      <c r="X15" t="str">
        <f t="shared" si="56"/>
        <v>&lt;/li&gt;&lt;li&gt;&lt;a href=|http://interlinearbible.org/genesis/15.htm| title=|Interlinear Bible| target=|_top|&gt;Interlin&lt;/a&gt;</v>
      </c>
      <c r="Y15" t="str">
        <f t="shared" ref="Y15" si="57">CONCATENATE("&lt;/li&gt;&lt;li&gt;&lt;a href=|http://",Y1191,"/genesis/15.htm","| ","title=|",Y1190,"| target=|_top|&gt;",Y1192,"&lt;/a&gt;")</f>
        <v>&lt;/li&gt;&lt;li&gt;&lt;a href=|http://bibleoutline.org/genesis/15.htm| title=|Outline with People and Places List| target=|_top|&gt;Outline&lt;/a&gt;</v>
      </c>
      <c r="Z15" t="str">
        <f t="shared" si="56"/>
        <v>&lt;/li&gt;&lt;li&gt;&lt;a href=|http://kjvs.scripturetext.com/genesis/15.htm| title=|King James Bible with Strong's Numbers| target=|_top|&gt;Strong's&lt;/a&gt;</v>
      </c>
      <c r="AA15" t="str">
        <f t="shared" si="56"/>
        <v>&lt;/li&gt;&lt;li&gt;&lt;a href=|http://childrensbibleonline.com/genesis/15.htm| title=|The Children's Bible| target=|_top|&gt;Children's&lt;/a&gt;</v>
      </c>
      <c r="AB15" s="2" t="str">
        <f t="shared" si="56"/>
        <v>&lt;/li&gt;&lt;li&gt;&lt;a href=|http://tsk.scripturetext.com/genesis/15.htm| title=|Treasury of Scripture Knowledge| target=|_top|&gt;TSK&lt;/a&gt;</v>
      </c>
      <c r="AC15" t="str">
        <f>CONCATENATE("&lt;a href=|http://",AC1191,"/genesis/15.htm","| ","title=|",AC1190,"| target=|_top|&gt;",AC1192,"&lt;/a&gt;")</f>
        <v>&lt;a href=|http://parallelbible.com/genesis/15.htm| title=|Parallel Chapters| target=|_top|&gt;PAR&lt;/a&gt;</v>
      </c>
      <c r="AD15" s="2" t="str">
        <f t="shared" ref="AD15:AK15" si="58">CONCATENATE("&lt;/li&gt;&lt;li&gt;&lt;a href=|http://",AD1191,"/genesis/15.htm","| ","title=|",AD1190,"| target=|_top|&gt;",AD1192,"&lt;/a&gt;")</f>
        <v>&lt;/li&gt;&lt;li&gt;&lt;a href=|http://gsb.biblecommenter.com/genesis/15.htm| title=|Geneva Study Bible| target=|_top|&gt;GSB&lt;/a&gt;</v>
      </c>
      <c r="AE15" s="2" t="str">
        <f t="shared" si="58"/>
        <v>&lt;/li&gt;&lt;li&gt;&lt;a href=|http://jfb.biblecommenter.com/genesis/15.htm| title=|Jamieson-Fausset-Brown Bible Commentary| target=|_top|&gt;JFB&lt;/a&gt;</v>
      </c>
      <c r="AF15" s="2" t="str">
        <f t="shared" si="58"/>
        <v>&lt;/li&gt;&lt;li&gt;&lt;a href=|http://kjt.biblecommenter.com/genesis/15.htm| title=|King James Translators' Notes| target=|_top|&gt;KJT&lt;/a&gt;</v>
      </c>
      <c r="AG15" s="2" t="str">
        <f t="shared" si="58"/>
        <v>&lt;/li&gt;&lt;li&gt;&lt;a href=|http://mhc.biblecommenter.com/genesis/15.htm| title=|Matthew Henry's Concise Commentary| target=|_top|&gt;MHC&lt;/a&gt;</v>
      </c>
      <c r="AH15" s="2" t="str">
        <f t="shared" si="58"/>
        <v>&lt;/li&gt;&lt;li&gt;&lt;a href=|http://sco.biblecommenter.com/genesis/15.htm| title=|Scofield Reference Notes| target=|_top|&gt;SCO&lt;/a&gt;</v>
      </c>
      <c r="AI15" s="2" t="str">
        <f t="shared" si="58"/>
        <v>&lt;/li&gt;&lt;li&gt;&lt;a href=|http://wes.biblecommenter.com/genesis/15.htm| title=|Wesley's Notes on the Bible| target=|_top|&gt;WES&lt;/a&gt;</v>
      </c>
      <c r="AJ15" t="str">
        <f t="shared" si="58"/>
        <v>&lt;/li&gt;&lt;li&gt;&lt;a href=|http://worldebible.com/genesis/15.htm| title=|World English Bible| target=|_top|&gt;WEB&lt;/a&gt;</v>
      </c>
      <c r="AK15" t="str">
        <f t="shared" si="58"/>
        <v>&lt;/li&gt;&lt;li&gt;&lt;a href=|http://yltbible.com/genesis/15.htm| title=|Young's Literal Translation| target=|_top|&gt;YLT&lt;/a&gt;</v>
      </c>
      <c r="AL15" t="str">
        <f>CONCATENATE("&lt;a href=|http://",AL1191,"/genesis/15.htm","| ","title=|",AL1190,"| target=|_top|&gt;",AL1192,"&lt;/a&gt;")</f>
        <v>&lt;a href=|http://kjv.us/genesis/15.htm| title=|American King James Version| target=|_top|&gt;AKJ&lt;/a&gt;</v>
      </c>
      <c r="AM15" t="str">
        <f t="shared" ref="AM15:AN15" si="59">CONCATENATE("&lt;/li&gt;&lt;li&gt;&lt;a href=|http://",AM1191,"/genesis/15.htm","| ","title=|",AM1190,"| target=|_top|&gt;",AM1192,"&lt;/a&gt;")</f>
        <v>&lt;/li&gt;&lt;li&gt;&lt;a href=|http://basicenglishbible.com/genesis/15.htm| title=|Bible in Basic English| target=|_top|&gt;BBE&lt;/a&gt;</v>
      </c>
      <c r="AN15" t="str">
        <f t="shared" si="59"/>
        <v>&lt;/li&gt;&lt;li&gt;&lt;a href=|http://darbybible.com/genesis/15.htm| title=|Darby Bible Translation| target=|_top|&gt;DBY&lt;/a&gt;</v>
      </c>
      <c r="AO1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5" t="str">
        <f>CONCATENATE("&lt;/li&gt;&lt;li&gt;&lt;a href=|http://",AR1191,"/genesis/15.htm","| ","title=|",AR1190,"| target=|_top|&gt;",AR1192,"&lt;/a&gt;")</f>
        <v>&lt;/li&gt;&lt;li&gt;&lt;a href=|http://websterbible.com/genesis/15.htm| title=|Webster's Bible Translation| target=|_top|&gt;WBS&lt;/a&gt;</v>
      </c>
      <c r="AS1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5" t="str">
        <f>CONCATENATE("&lt;/li&gt;&lt;li&gt;&lt;a href=|http://",AT1191,"/genesis/15-1.htm","| ","title=|",AT1190,"| target=|_top|&gt;",AT1192,"&lt;/a&gt;")</f>
        <v>&lt;/li&gt;&lt;li&gt;&lt;a href=|http://biblebrowser.com/genesis/15-1.htm| title=|Split View| target=|_top|&gt;Split&lt;/a&gt;</v>
      </c>
      <c r="AU15" s="2" t="s">
        <v>1276</v>
      </c>
      <c r="AV15" t="s">
        <v>64</v>
      </c>
    </row>
    <row r="16" spans="1:48">
      <c r="A16" t="s">
        <v>622</v>
      </c>
      <c r="B16" t="s">
        <v>69</v>
      </c>
      <c r="C16" t="s">
        <v>624</v>
      </c>
      <c r="D16" t="s">
        <v>1268</v>
      </c>
      <c r="E16" t="s">
        <v>1277</v>
      </c>
      <c r="F16" t="s">
        <v>1304</v>
      </c>
      <c r="G16" t="s">
        <v>1266</v>
      </c>
      <c r="H16" t="s">
        <v>1305</v>
      </c>
      <c r="I16" t="s">
        <v>1303</v>
      </c>
      <c r="J16" t="s">
        <v>1267</v>
      </c>
      <c r="K16" t="s">
        <v>1275</v>
      </c>
      <c r="L16" s="2" t="s">
        <v>1274</v>
      </c>
      <c r="M16" t="str">
        <f t="shared" ref="M16:AB16" si="60">CONCATENATE("&lt;/li&gt;&lt;li&gt;&lt;a href=|http://",M1191,"/genesis/16.htm","| ","title=|",M1190,"| target=|_top|&gt;",M1192,"&lt;/a&gt;")</f>
        <v>&lt;/li&gt;&lt;li&gt;&lt;a href=|http://niv.scripturetext.com/genesis/16.htm| title=|New International Version| target=|_top|&gt;NIV&lt;/a&gt;</v>
      </c>
      <c r="N16" t="str">
        <f t="shared" si="60"/>
        <v>&lt;/li&gt;&lt;li&gt;&lt;a href=|http://nlt.scripturetext.com/genesis/16.htm| title=|New Living Translation| target=|_top|&gt;NLT&lt;/a&gt;</v>
      </c>
      <c r="O16" t="str">
        <f t="shared" si="60"/>
        <v>&lt;/li&gt;&lt;li&gt;&lt;a href=|http://nasb.scripturetext.com/genesis/16.htm| title=|New American Standard Bible| target=|_top|&gt;NAS&lt;/a&gt;</v>
      </c>
      <c r="P16" t="str">
        <f t="shared" si="60"/>
        <v>&lt;/li&gt;&lt;li&gt;&lt;a href=|http://gwt.scripturetext.com/genesis/16.htm| title=|God's Word Translation| target=|_top|&gt;GWT&lt;/a&gt;</v>
      </c>
      <c r="Q16" t="str">
        <f t="shared" si="60"/>
        <v>&lt;/li&gt;&lt;li&gt;&lt;a href=|http://kingjbible.com/genesis/16.htm| title=|King James Bible| target=|_top|&gt;KJV&lt;/a&gt;</v>
      </c>
      <c r="R16" t="str">
        <f t="shared" si="60"/>
        <v>&lt;/li&gt;&lt;li&gt;&lt;a href=|http://asvbible.com/genesis/16.htm| title=|American Standard Version| target=|_top|&gt;ASV&lt;/a&gt;</v>
      </c>
      <c r="S16" t="str">
        <f t="shared" si="60"/>
        <v>&lt;/li&gt;&lt;li&gt;&lt;a href=|http://drb.scripturetext.com/genesis/16.htm| title=|Douay-Rheims Bible| target=|_top|&gt;DRB&lt;/a&gt;</v>
      </c>
      <c r="T16" t="str">
        <f t="shared" si="60"/>
        <v>&lt;/li&gt;&lt;li&gt;&lt;a href=|http://erv.scripturetext.com/genesis/16.htm| title=|English Revised Version| target=|_top|&gt;ERV&lt;/a&gt;</v>
      </c>
      <c r="V16" t="str">
        <f>CONCATENATE("&lt;/li&gt;&lt;li&gt;&lt;a href=|http://",V1191,"/genesis/16.htm","| ","title=|",V1190,"| target=|_top|&gt;",V1192,"&lt;/a&gt;")</f>
        <v>&lt;/li&gt;&lt;li&gt;&lt;a href=|http://study.interlinearbible.org/genesis/16.htm| title=|Hebrew Study Bible| target=|_top|&gt;Heb Study&lt;/a&gt;</v>
      </c>
      <c r="W16" t="str">
        <f t="shared" si="60"/>
        <v>&lt;/li&gt;&lt;li&gt;&lt;a href=|http://apostolic.interlinearbible.org/genesis/16.htm| title=|Apostolic Bible Polyglot Interlinear| target=|_top|&gt;Polyglot&lt;/a&gt;</v>
      </c>
      <c r="X16" t="str">
        <f t="shared" si="60"/>
        <v>&lt;/li&gt;&lt;li&gt;&lt;a href=|http://interlinearbible.org/genesis/16.htm| title=|Interlinear Bible| target=|_top|&gt;Interlin&lt;/a&gt;</v>
      </c>
      <c r="Y16" t="str">
        <f t="shared" ref="Y16" si="61">CONCATENATE("&lt;/li&gt;&lt;li&gt;&lt;a href=|http://",Y1191,"/genesis/16.htm","| ","title=|",Y1190,"| target=|_top|&gt;",Y1192,"&lt;/a&gt;")</f>
        <v>&lt;/li&gt;&lt;li&gt;&lt;a href=|http://bibleoutline.org/genesis/16.htm| title=|Outline with People and Places List| target=|_top|&gt;Outline&lt;/a&gt;</v>
      </c>
      <c r="Z16" t="str">
        <f t="shared" si="60"/>
        <v>&lt;/li&gt;&lt;li&gt;&lt;a href=|http://kjvs.scripturetext.com/genesis/16.htm| title=|King James Bible with Strong's Numbers| target=|_top|&gt;Strong's&lt;/a&gt;</v>
      </c>
      <c r="AA16" t="str">
        <f t="shared" si="60"/>
        <v>&lt;/li&gt;&lt;li&gt;&lt;a href=|http://childrensbibleonline.com/genesis/16.htm| title=|The Children's Bible| target=|_top|&gt;Children's&lt;/a&gt;</v>
      </c>
      <c r="AB16" s="2" t="str">
        <f t="shared" si="60"/>
        <v>&lt;/li&gt;&lt;li&gt;&lt;a href=|http://tsk.scripturetext.com/genesis/16.htm| title=|Treasury of Scripture Knowledge| target=|_top|&gt;TSK&lt;/a&gt;</v>
      </c>
      <c r="AC16" t="str">
        <f>CONCATENATE("&lt;a href=|http://",AC1191,"/genesis/16.htm","| ","title=|",AC1190,"| target=|_top|&gt;",AC1192,"&lt;/a&gt;")</f>
        <v>&lt;a href=|http://parallelbible.com/genesis/16.htm| title=|Parallel Chapters| target=|_top|&gt;PAR&lt;/a&gt;</v>
      </c>
      <c r="AD16" s="2" t="str">
        <f t="shared" ref="AD16:AK16" si="62">CONCATENATE("&lt;/li&gt;&lt;li&gt;&lt;a href=|http://",AD1191,"/genesis/16.htm","| ","title=|",AD1190,"| target=|_top|&gt;",AD1192,"&lt;/a&gt;")</f>
        <v>&lt;/li&gt;&lt;li&gt;&lt;a href=|http://gsb.biblecommenter.com/genesis/16.htm| title=|Geneva Study Bible| target=|_top|&gt;GSB&lt;/a&gt;</v>
      </c>
      <c r="AE16" s="2" t="str">
        <f t="shared" si="62"/>
        <v>&lt;/li&gt;&lt;li&gt;&lt;a href=|http://jfb.biblecommenter.com/genesis/16.htm| title=|Jamieson-Fausset-Brown Bible Commentary| target=|_top|&gt;JFB&lt;/a&gt;</v>
      </c>
      <c r="AF16" s="2" t="str">
        <f t="shared" si="62"/>
        <v>&lt;/li&gt;&lt;li&gt;&lt;a href=|http://kjt.biblecommenter.com/genesis/16.htm| title=|King James Translators' Notes| target=|_top|&gt;KJT&lt;/a&gt;</v>
      </c>
      <c r="AG16" s="2" t="str">
        <f t="shared" si="62"/>
        <v>&lt;/li&gt;&lt;li&gt;&lt;a href=|http://mhc.biblecommenter.com/genesis/16.htm| title=|Matthew Henry's Concise Commentary| target=|_top|&gt;MHC&lt;/a&gt;</v>
      </c>
      <c r="AH16" s="2" t="str">
        <f t="shared" si="62"/>
        <v>&lt;/li&gt;&lt;li&gt;&lt;a href=|http://sco.biblecommenter.com/genesis/16.htm| title=|Scofield Reference Notes| target=|_top|&gt;SCO&lt;/a&gt;</v>
      </c>
      <c r="AI16" s="2" t="str">
        <f t="shared" si="62"/>
        <v>&lt;/li&gt;&lt;li&gt;&lt;a href=|http://wes.biblecommenter.com/genesis/16.htm| title=|Wesley's Notes on the Bible| target=|_top|&gt;WES&lt;/a&gt;</v>
      </c>
      <c r="AJ16" t="str">
        <f t="shared" si="62"/>
        <v>&lt;/li&gt;&lt;li&gt;&lt;a href=|http://worldebible.com/genesis/16.htm| title=|World English Bible| target=|_top|&gt;WEB&lt;/a&gt;</v>
      </c>
      <c r="AK16" t="str">
        <f t="shared" si="62"/>
        <v>&lt;/li&gt;&lt;li&gt;&lt;a href=|http://yltbible.com/genesis/16.htm| title=|Young's Literal Translation| target=|_top|&gt;YLT&lt;/a&gt;</v>
      </c>
      <c r="AL16" t="str">
        <f>CONCATENATE("&lt;a href=|http://",AL1191,"/genesis/16.htm","| ","title=|",AL1190,"| target=|_top|&gt;",AL1192,"&lt;/a&gt;")</f>
        <v>&lt;a href=|http://kjv.us/genesis/16.htm| title=|American King James Version| target=|_top|&gt;AKJ&lt;/a&gt;</v>
      </c>
      <c r="AM16" t="str">
        <f t="shared" ref="AM16:AN16" si="63">CONCATENATE("&lt;/li&gt;&lt;li&gt;&lt;a href=|http://",AM1191,"/genesis/16.htm","| ","title=|",AM1190,"| target=|_top|&gt;",AM1192,"&lt;/a&gt;")</f>
        <v>&lt;/li&gt;&lt;li&gt;&lt;a href=|http://basicenglishbible.com/genesis/16.htm| title=|Bible in Basic English| target=|_top|&gt;BBE&lt;/a&gt;</v>
      </c>
      <c r="AN16" t="str">
        <f t="shared" si="63"/>
        <v>&lt;/li&gt;&lt;li&gt;&lt;a href=|http://darbybible.com/genesis/16.htm| title=|Darby Bible Translation| target=|_top|&gt;DBY&lt;/a&gt;</v>
      </c>
      <c r="AO1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6" t="str">
        <f>CONCATENATE("&lt;/li&gt;&lt;li&gt;&lt;a href=|http://",AR1191,"/genesis/16.htm","| ","title=|",AR1190,"| target=|_top|&gt;",AR1192,"&lt;/a&gt;")</f>
        <v>&lt;/li&gt;&lt;li&gt;&lt;a href=|http://websterbible.com/genesis/16.htm| title=|Webster's Bible Translation| target=|_top|&gt;WBS&lt;/a&gt;</v>
      </c>
      <c r="AS1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6" t="str">
        <f>CONCATENATE("&lt;/li&gt;&lt;li&gt;&lt;a href=|http://",AT1191,"/genesis/16-1.htm","| ","title=|",AT1190,"| target=|_top|&gt;",AT1192,"&lt;/a&gt;")</f>
        <v>&lt;/li&gt;&lt;li&gt;&lt;a href=|http://biblebrowser.com/genesis/16-1.htm| title=|Split View| target=|_top|&gt;Split&lt;/a&gt;</v>
      </c>
      <c r="AU16" s="2" t="s">
        <v>1276</v>
      </c>
      <c r="AV16" t="s">
        <v>64</v>
      </c>
    </row>
    <row r="17" spans="1:48">
      <c r="A17" t="s">
        <v>622</v>
      </c>
      <c r="B17" t="s">
        <v>70</v>
      </c>
      <c r="C17" t="s">
        <v>624</v>
      </c>
      <c r="D17" t="s">
        <v>1268</v>
      </c>
      <c r="E17" t="s">
        <v>1277</v>
      </c>
      <c r="F17" t="s">
        <v>1304</v>
      </c>
      <c r="G17" t="s">
        <v>1266</v>
      </c>
      <c r="H17" t="s">
        <v>1305</v>
      </c>
      <c r="I17" t="s">
        <v>1303</v>
      </c>
      <c r="J17" t="s">
        <v>1267</v>
      </c>
      <c r="K17" t="s">
        <v>1275</v>
      </c>
      <c r="L17" s="2" t="s">
        <v>1274</v>
      </c>
      <c r="M17" t="str">
        <f t="shared" ref="M17:AB17" si="64">CONCATENATE("&lt;/li&gt;&lt;li&gt;&lt;a href=|http://",M1191,"/genesis/17.htm","| ","title=|",M1190,"| target=|_top|&gt;",M1192,"&lt;/a&gt;")</f>
        <v>&lt;/li&gt;&lt;li&gt;&lt;a href=|http://niv.scripturetext.com/genesis/17.htm| title=|New International Version| target=|_top|&gt;NIV&lt;/a&gt;</v>
      </c>
      <c r="N17" t="str">
        <f t="shared" si="64"/>
        <v>&lt;/li&gt;&lt;li&gt;&lt;a href=|http://nlt.scripturetext.com/genesis/17.htm| title=|New Living Translation| target=|_top|&gt;NLT&lt;/a&gt;</v>
      </c>
      <c r="O17" t="str">
        <f t="shared" si="64"/>
        <v>&lt;/li&gt;&lt;li&gt;&lt;a href=|http://nasb.scripturetext.com/genesis/17.htm| title=|New American Standard Bible| target=|_top|&gt;NAS&lt;/a&gt;</v>
      </c>
      <c r="P17" t="str">
        <f t="shared" si="64"/>
        <v>&lt;/li&gt;&lt;li&gt;&lt;a href=|http://gwt.scripturetext.com/genesis/17.htm| title=|God's Word Translation| target=|_top|&gt;GWT&lt;/a&gt;</v>
      </c>
      <c r="Q17" t="str">
        <f t="shared" si="64"/>
        <v>&lt;/li&gt;&lt;li&gt;&lt;a href=|http://kingjbible.com/genesis/17.htm| title=|King James Bible| target=|_top|&gt;KJV&lt;/a&gt;</v>
      </c>
      <c r="R17" t="str">
        <f t="shared" si="64"/>
        <v>&lt;/li&gt;&lt;li&gt;&lt;a href=|http://asvbible.com/genesis/17.htm| title=|American Standard Version| target=|_top|&gt;ASV&lt;/a&gt;</v>
      </c>
      <c r="S17" t="str">
        <f t="shared" si="64"/>
        <v>&lt;/li&gt;&lt;li&gt;&lt;a href=|http://drb.scripturetext.com/genesis/17.htm| title=|Douay-Rheims Bible| target=|_top|&gt;DRB&lt;/a&gt;</v>
      </c>
      <c r="T17" t="str">
        <f t="shared" si="64"/>
        <v>&lt;/li&gt;&lt;li&gt;&lt;a href=|http://erv.scripturetext.com/genesis/17.htm| title=|English Revised Version| target=|_top|&gt;ERV&lt;/a&gt;</v>
      </c>
      <c r="V17" t="str">
        <f>CONCATENATE("&lt;/li&gt;&lt;li&gt;&lt;a href=|http://",V1191,"/genesis/17.htm","| ","title=|",V1190,"| target=|_top|&gt;",V1192,"&lt;/a&gt;")</f>
        <v>&lt;/li&gt;&lt;li&gt;&lt;a href=|http://study.interlinearbible.org/genesis/17.htm| title=|Hebrew Study Bible| target=|_top|&gt;Heb Study&lt;/a&gt;</v>
      </c>
      <c r="W17" t="str">
        <f t="shared" si="64"/>
        <v>&lt;/li&gt;&lt;li&gt;&lt;a href=|http://apostolic.interlinearbible.org/genesis/17.htm| title=|Apostolic Bible Polyglot Interlinear| target=|_top|&gt;Polyglot&lt;/a&gt;</v>
      </c>
      <c r="X17" t="str">
        <f t="shared" si="64"/>
        <v>&lt;/li&gt;&lt;li&gt;&lt;a href=|http://interlinearbible.org/genesis/17.htm| title=|Interlinear Bible| target=|_top|&gt;Interlin&lt;/a&gt;</v>
      </c>
      <c r="Y17" t="str">
        <f t="shared" ref="Y17" si="65">CONCATENATE("&lt;/li&gt;&lt;li&gt;&lt;a href=|http://",Y1191,"/genesis/17.htm","| ","title=|",Y1190,"| target=|_top|&gt;",Y1192,"&lt;/a&gt;")</f>
        <v>&lt;/li&gt;&lt;li&gt;&lt;a href=|http://bibleoutline.org/genesis/17.htm| title=|Outline with People and Places List| target=|_top|&gt;Outline&lt;/a&gt;</v>
      </c>
      <c r="Z17" t="str">
        <f t="shared" si="64"/>
        <v>&lt;/li&gt;&lt;li&gt;&lt;a href=|http://kjvs.scripturetext.com/genesis/17.htm| title=|King James Bible with Strong's Numbers| target=|_top|&gt;Strong's&lt;/a&gt;</v>
      </c>
      <c r="AA17" t="str">
        <f t="shared" si="64"/>
        <v>&lt;/li&gt;&lt;li&gt;&lt;a href=|http://childrensbibleonline.com/genesis/17.htm| title=|The Children's Bible| target=|_top|&gt;Children's&lt;/a&gt;</v>
      </c>
      <c r="AB17" s="2" t="str">
        <f t="shared" si="64"/>
        <v>&lt;/li&gt;&lt;li&gt;&lt;a href=|http://tsk.scripturetext.com/genesis/17.htm| title=|Treasury of Scripture Knowledge| target=|_top|&gt;TSK&lt;/a&gt;</v>
      </c>
      <c r="AC17" t="str">
        <f>CONCATENATE("&lt;a href=|http://",AC1191,"/genesis/17.htm","| ","title=|",AC1190,"| target=|_top|&gt;",AC1192,"&lt;/a&gt;")</f>
        <v>&lt;a href=|http://parallelbible.com/genesis/17.htm| title=|Parallel Chapters| target=|_top|&gt;PAR&lt;/a&gt;</v>
      </c>
      <c r="AD17" s="2" t="str">
        <f t="shared" ref="AD17:AK17" si="66">CONCATENATE("&lt;/li&gt;&lt;li&gt;&lt;a href=|http://",AD1191,"/genesis/17.htm","| ","title=|",AD1190,"| target=|_top|&gt;",AD1192,"&lt;/a&gt;")</f>
        <v>&lt;/li&gt;&lt;li&gt;&lt;a href=|http://gsb.biblecommenter.com/genesis/17.htm| title=|Geneva Study Bible| target=|_top|&gt;GSB&lt;/a&gt;</v>
      </c>
      <c r="AE17" s="2" t="str">
        <f t="shared" si="66"/>
        <v>&lt;/li&gt;&lt;li&gt;&lt;a href=|http://jfb.biblecommenter.com/genesis/17.htm| title=|Jamieson-Fausset-Brown Bible Commentary| target=|_top|&gt;JFB&lt;/a&gt;</v>
      </c>
      <c r="AF17" s="2" t="str">
        <f t="shared" si="66"/>
        <v>&lt;/li&gt;&lt;li&gt;&lt;a href=|http://kjt.biblecommenter.com/genesis/17.htm| title=|King James Translators' Notes| target=|_top|&gt;KJT&lt;/a&gt;</v>
      </c>
      <c r="AG17" s="2" t="str">
        <f t="shared" si="66"/>
        <v>&lt;/li&gt;&lt;li&gt;&lt;a href=|http://mhc.biblecommenter.com/genesis/17.htm| title=|Matthew Henry's Concise Commentary| target=|_top|&gt;MHC&lt;/a&gt;</v>
      </c>
      <c r="AH17" s="2" t="str">
        <f t="shared" si="66"/>
        <v>&lt;/li&gt;&lt;li&gt;&lt;a href=|http://sco.biblecommenter.com/genesis/17.htm| title=|Scofield Reference Notes| target=|_top|&gt;SCO&lt;/a&gt;</v>
      </c>
      <c r="AI17" s="2" t="str">
        <f t="shared" si="66"/>
        <v>&lt;/li&gt;&lt;li&gt;&lt;a href=|http://wes.biblecommenter.com/genesis/17.htm| title=|Wesley's Notes on the Bible| target=|_top|&gt;WES&lt;/a&gt;</v>
      </c>
      <c r="AJ17" t="str">
        <f t="shared" si="66"/>
        <v>&lt;/li&gt;&lt;li&gt;&lt;a href=|http://worldebible.com/genesis/17.htm| title=|World English Bible| target=|_top|&gt;WEB&lt;/a&gt;</v>
      </c>
      <c r="AK17" t="str">
        <f t="shared" si="66"/>
        <v>&lt;/li&gt;&lt;li&gt;&lt;a href=|http://yltbible.com/genesis/17.htm| title=|Young's Literal Translation| target=|_top|&gt;YLT&lt;/a&gt;</v>
      </c>
      <c r="AL17" t="str">
        <f>CONCATENATE("&lt;a href=|http://",AL1191,"/genesis/17.htm","| ","title=|",AL1190,"| target=|_top|&gt;",AL1192,"&lt;/a&gt;")</f>
        <v>&lt;a href=|http://kjv.us/genesis/17.htm| title=|American King James Version| target=|_top|&gt;AKJ&lt;/a&gt;</v>
      </c>
      <c r="AM17" t="str">
        <f t="shared" ref="AM17:AN17" si="67">CONCATENATE("&lt;/li&gt;&lt;li&gt;&lt;a href=|http://",AM1191,"/genesis/17.htm","| ","title=|",AM1190,"| target=|_top|&gt;",AM1192,"&lt;/a&gt;")</f>
        <v>&lt;/li&gt;&lt;li&gt;&lt;a href=|http://basicenglishbible.com/genesis/17.htm| title=|Bible in Basic English| target=|_top|&gt;BBE&lt;/a&gt;</v>
      </c>
      <c r="AN17" t="str">
        <f t="shared" si="67"/>
        <v>&lt;/li&gt;&lt;li&gt;&lt;a href=|http://darbybible.com/genesis/17.htm| title=|Darby Bible Translation| target=|_top|&gt;DBY&lt;/a&gt;</v>
      </c>
      <c r="AO1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7" t="str">
        <f>CONCATENATE("&lt;/li&gt;&lt;li&gt;&lt;a href=|http://",AR1191,"/genesis/17.htm","| ","title=|",AR1190,"| target=|_top|&gt;",AR1192,"&lt;/a&gt;")</f>
        <v>&lt;/li&gt;&lt;li&gt;&lt;a href=|http://websterbible.com/genesis/17.htm| title=|Webster's Bible Translation| target=|_top|&gt;WBS&lt;/a&gt;</v>
      </c>
      <c r="AS1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7" t="str">
        <f>CONCATENATE("&lt;/li&gt;&lt;li&gt;&lt;a href=|http://",AT1191,"/genesis/17-1.htm","| ","title=|",AT1190,"| target=|_top|&gt;",AT1192,"&lt;/a&gt;")</f>
        <v>&lt;/li&gt;&lt;li&gt;&lt;a href=|http://biblebrowser.com/genesis/17-1.htm| title=|Split View| target=|_top|&gt;Split&lt;/a&gt;</v>
      </c>
      <c r="AU17" s="2" t="s">
        <v>1276</v>
      </c>
      <c r="AV17" t="s">
        <v>64</v>
      </c>
    </row>
    <row r="18" spans="1:48">
      <c r="A18" t="s">
        <v>622</v>
      </c>
      <c r="B18" t="s">
        <v>71</v>
      </c>
      <c r="C18" t="s">
        <v>624</v>
      </c>
      <c r="D18" t="s">
        <v>1268</v>
      </c>
      <c r="E18" t="s">
        <v>1277</v>
      </c>
      <c r="F18" t="s">
        <v>1304</v>
      </c>
      <c r="G18" t="s">
        <v>1266</v>
      </c>
      <c r="H18" t="s">
        <v>1305</v>
      </c>
      <c r="I18" t="s">
        <v>1303</v>
      </c>
      <c r="J18" t="s">
        <v>1267</v>
      </c>
      <c r="K18" t="s">
        <v>1275</v>
      </c>
      <c r="L18" s="2" t="s">
        <v>1274</v>
      </c>
      <c r="M18" t="str">
        <f t="shared" ref="M18:AB18" si="68">CONCATENATE("&lt;/li&gt;&lt;li&gt;&lt;a href=|http://",M1191,"/genesis/18.htm","| ","title=|",M1190,"| target=|_top|&gt;",M1192,"&lt;/a&gt;")</f>
        <v>&lt;/li&gt;&lt;li&gt;&lt;a href=|http://niv.scripturetext.com/genesis/18.htm| title=|New International Version| target=|_top|&gt;NIV&lt;/a&gt;</v>
      </c>
      <c r="N18" t="str">
        <f t="shared" si="68"/>
        <v>&lt;/li&gt;&lt;li&gt;&lt;a href=|http://nlt.scripturetext.com/genesis/18.htm| title=|New Living Translation| target=|_top|&gt;NLT&lt;/a&gt;</v>
      </c>
      <c r="O18" t="str">
        <f t="shared" si="68"/>
        <v>&lt;/li&gt;&lt;li&gt;&lt;a href=|http://nasb.scripturetext.com/genesis/18.htm| title=|New American Standard Bible| target=|_top|&gt;NAS&lt;/a&gt;</v>
      </c>
      <c r="P18" t="str">
        <f t="shared" si="68"/>
        <v>&lt;/li&gt;&lt;li&gt;&lt;a href=|http://gwt.scripturetext.com/genesis/18.htm| title=|God's Word Translation| target=|_top|&gt;GWT&lt;/a&gt;</v>
      </c>
      <c r="Q18" t="str">
        <f t="shared" si="68"/>
        <v>&lt;/li&gt;&lt;li&gt;&lt;a href=|http://kingjbible.com/genesis/18.htm| title=|King James Bible| target=|_top|&gt;KJV&lt;/a&gt;</v>
      </c>
      <c r="R18" t="str">
        <f t="shared" si="68"/>
        <v>&lt;/li&gt;&lt;li&gt;&lt;a href=|http://asvbible.com/genesis/18.htm| title=|American Standard Version| target=|_top|&gt;ASV&lt;/a&gt;</v>
      </c>
      <c r="S18" t="str">
        <f t="shared" si="68"/>
        <v>&lt;/li&gt;&lt;li&gt;&lt;a href=|http://drb.scripturetext.com/genesis/18.htm| title=|Douay-Rheims Bible| target=|_top|&gt;DRB&lt;/a&gt;</v>
      </c>
      <c r="T18" t="str">
        <f t="shared" si="68"/>
        <v>&lt;/li&gt;&lt;li&gt;&lt;a href=|http://erv.scripturetext.com/genesis/18.htm| title=|English Revised Version| target=|_top|&gt;ERV&lt;/a&gt;</v>
      </c>
      <c r="V18" t="str">
        <f>CONCATENATE("&lt;/li&gt;&lt;li&gt;&lt;a href=|http://",V1191,"/genesis/18.htm","| ","title=|",V1190,"| target=|_top|&gt;",V1192,"&lt;/a&gt;")</f>
        <v>&lt;/li&gt;&lt;li&gt;&lt;a href=|http://study.interlinearbible.org/genesis/18.htm| title=|Hebrew Study Bible| target=|_top|&gt;Heb Study&lt;/a&gt;</v>
      </c>
      <c r="W18" t="str">
        <f t="shared" si="68"/>
        <v>&lt;/li&gt;&lt;li&gt;&lt;a href=|http://apostolic.interlinearbible.org/genesis/18.htm| title=|Apostolic Bible Polyglot Interlinear| target=|_top|&gt;Polyglot&lt;/a&gt;</v>
      </c>
      <c r="X18" t="str">
        <f t="shared" si="68"/>
        <v>&lt;/li&gt;&lt;li&gt;&lt;a href=|http://interlinearbible.org/genesis/18.htm| title=|Interlinear Bible| target=|_top|&gt;Interlin&lt;/a&gt;</v>
      </c>
      <c r="Y18" t="str">
        <f t="shared" ref="Y18" si="69">CONCATENATE("&lt;/li&gt;&lt;li&gt;&lt;a href=|http://",Y1191,"/genesis/18.htm","| ","title=|",Y1190,"| target=|_top|&gt;",Y1192,"&lt;/a&gt;")</f>
        <v>&lt;/li&gt;&lt;li&gt;&lt;a href=|http://bibleoutline.org/genesis/18.htm| title=|Outline with People and Places List| target=|_top|&gt;Outline&lt;/a&gt;</v>
      </c>
      <c r="Z18" t="str">
        <f t="shared" si="68"/>
        <v>&lt;/li&gt;&lt;li&gt;&lt;a href=|http://kjvs.scripturetext.com/genesis/18.htm| title=|King James Bible with Strong's Numbers| target=|_top|&gt;Strong's&lt;/a&gt;</v>
      </c>
      <c r="AA18" t="str">
        <f t="shared" si="68"/>
        <v>&lt;/li&gt;&lt;li&gt;&lt;a href=|http://childrensbibleonline.com/genesis/18.htm| title=|The Children's Bible| target=|_top|&gt;Children's&lt;/a&gt;</v>
      </c>
      <c r="AB18" s="2" t="str">
        <f t="shared" si="68"/>
        <v>&lt;/li&gt;&lt;li&gt;&lt;a href=|http://tsk.scripturetext.com/genesis/18.htm| title=|Treasury of Scripture Knowledge| target=|_top|&gt;TSK&lt;/a&gt;</v>
      </c>
      <c r="AC18" t="str">
        <f>CONCATENATE("&lt;a href=|http://",AC1191,"/genesis/18.htm","| ","title=|",AC1190,"| target=|_top|&gt;",AC1192,"&lt;/a&gt;")</f>
        <v>&lt;a href=|http://parallelbible.com/genesis/18.htm| title=|Parallel Chapters| target=|_top|&gt;PAR&lt;/a&gt;</v>
      </c>
      <c r="AD18" s="2" t="str">
        <f t="shared" ref="AD18:AK18" si="70">CONCATENATE("&lt;/li&gt;&lt;li&gt;&lt;a href=|http://",AD1191,"/genesis/18.htm","| ","title=|",AD1190,"| target=|_top|&gt;",AD1192,"&lt;/a&gt;")</f>
        <v>&lt;/li&gt;&lt;li&gt;&lt;a href=|http://gsb.biblecommenter.com/genesis/18.htm| title=|Geneva Study Bible| target=|_top|&gt;GSB&lt;/a&gt;</v>
      </c>
      <c r="AE18" s="2" t="str">
        <f t="shared" si="70"/>
        <v>&lt;/li&gt;&lt;li&gt;&lt;a href=|http://jfb.biblecommenter.com/genesis/18.htm| title=|Jamieson-Fausset-Brown Bible Commentary| target=|_top|&gt;JFB&lt;/a&gt;</v>
      </c>
      <c r="AF18" s="2" t="str">
        <f t="shared" si="70"/>
        <v>&lt;/li&gt;&lt;li&gt;&lt;a href=|http://kjt.biblecommenter.com/genesis/18.htm| title=|King James Translators' Notes| target=|_top|&gt;KJT&lt;/a&gt;</v>
      </c>
      <c r="AG18" s="2" t="str">
        <f t="shared" si="70"/>
        <v>&lt;/li&gt;&lt;li&gt;&lt;a href=|http://mhc.biblecommenter.com/genesis/18.htm| title=|Matthew Henry's Concise Commentary| target=|_top|&gt;MHC&lt;/a&gt;</v>
      </c>
      <c r="AH18" s="2" t="str">
        <f t="shared" si="70"/>
        <v>&lt;/li&gt;&lt;li&gt;&lt;a href=|http://sco.biblecommenter.com/genesis/18.htm| title=|Scofield Reference Notes| target=|_top|&gt;SCO&lt;/a&gt;</v>
      </c>
      <c r="AI18" s="2" t="str">
        <f t="shared" si="70"/>
        <v>&lt;/li&gt;&lt;li&gt;&lt;a href=|http://wes.biblecommenter.com/genesis/18.htm| title=|Wesley's Notes on the Bible| target=|_top|&gt;WES&lt;/a&gt;</v>
      </c>
      <c r="AJ18" t="str">
        <f t="shared" si="70"/>
        <v>&lt;/li&gt;&lt;li&gt;&lt;a href=|http://worldebible.com/genesis/18.htm| title=|World English Bible| target=|_top|&gt;WEB&lt;/a&gt;</v>
      </c>
      <c r="AK18" t="str">
        <f t="shared" si="70"/>
        <v>&lt;/li&gt;&lt;li&gt;&lt;a href=|http://yltbible.com/genesis/18.htm| title=|Young's Literal Translation| target=|_top|&gt;YLT&lt;/a&gt;</v>
      </c>
      <c r="AL18" t="str">
        <f>CONCATENATE("&lt;a href=|http://",AL1191,"/genesis/18.htm","| ","title=|",AL1190,"| target=|_top|&gt;",AL1192,"&lt;/a&gt;")</f>
        <v>&lt;a href=|http://kjv.us/genesis/18.htm| title=|American King James Version| target=|_top|&gt;AKJ&lt;/a&gt;</v>
      </c>
      <c r="AM18" t="str">
        <f t="shared" ref="AM18:AN18" si="71">CONCATENATE("&lt;/li&gt;&lt;li&gt;&lt;a href=|http://",AM1191,"/genesis/18.htm","| ","title=|",AM1190,"| target=|_top|&gt;",AM1192,"&lt;/a&gt;")</f>
        <v>&lt;/li&gt;&lt;li&gt;&lt;a href=|http://basicenglishbible.com/genesis/18.htm| title=|Bible in Basic English| target=|_top|&gt;BBE&lt;/a&gt;</v>
      </c>
      <c r="AN18" t="str">
        <f t="shared" si="71"/>
        <v>&lt;/li&gt;&lt;li&gt;&lt;a href=|http://darbybible.com/genesis/18.htm| title=|Darby Bible Translation| target=|_top|&gt;DBY&lt;/a&gt;</v>
      </c>
      <c r="AO1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8" t="str">
        <f>CONCATENATE("&lt;/li&gt;&lt;li&gt;&lt;a href=|http://",AR1191,"/genesis/18.htm","| ","title=|",AR1190,"| target=|_top|&gt;",AR1192,"&lt;/a&gt;")</f>
        <v>&lt;/li&gt;&lt;li&gt;&lt;a href=|http://websterbible.com/genesis/18.htm| title=|Webster's Bible Translation| target=|_top|&gt;WBS&lt;/a&gt;</v>
      </c>
      <c r="AS1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8" t="str">
        <f>CONCATENATE("&lt;/li&gt;&lt;li&gt;&lt;a href=|http://",AT1191,"/genesis/18-1.htm","| ","title=|",AT1190,"| target=|_top|&gt;",AT1192,"&lt;/a&gt;")</f>
        <v>&lt;/li&gt;&lt;li&gt;&lt;a href=|http://biblebrowser.com/genesis/18-1.htm| title=|Split View| target=|_top|&gt;Split&lt;/a&gt;</v>
      </c>
      <c r="AU18" s="2" t="s">
        <v>1276</v>
      </c>
      <c r="AV18" t="s">
        <v>64</v>
      </c>
    </row>
    <row r="19" spans="1:48">
      <c r="A19" t="s">
        <v>622</v>
      </c>
      <c r="B19" t="s">
        <v>72</v>
      </c>
      <c r="C19" t="s">
        <v>624</v>
      </c>
      <c r="D19" t="s">
        <v>1268</v>
      </c>
      <c r="E19" t="s">
        <v>1277</v>
      </c>
      <c r="F19" t="s">
        <v>1304</v>
      </c>
      <c r="G19" t="s">
        <v>1266</v>
      </c>
      <c r="H19" t="s">
        <v>1305</v>
      </c>
      <c r="I19" t="s">
        <v>1303</v>
      </c>
      <c r="J19" t="s">
        <v>1267</v>
      </c>
      <c r="K19" t="s">
        <v>1275</v>
      </c>
      <c r="L19" s="2" t="s">
        <v>1274</v>
      </c>
      <c r="M19" t="str">
        <f t="shared" ref="M19:AB19" si="72">CONCATENATE("&lt;/li&gt;&lt;li&gt;&lt;a href=|http://",M1191,"/genesis/19.htm","| ","title=|",M1190,"| target=|_top|&gt;",M1192,"&lt;/a&gt;")</f>
        <v>&lt;/li&gt;&lt;li&gt;&lt;a href=|http://niv.scripturetext.com/genesis/19.htm| title=|New International Version| target=|_top|&gt;NIV&lt;/a&gt;</v>
      </c>
      <c r="N19" t="str">
        <f t="shared" si="72"/>
        <v>&lt;/li&gt;&lt;li&gt;&lt;a href=|http://nlt.scripturetext.com/genesis/19.htm| title=|New Living Translation| target=|_top|&gt;NLT&lt;/a&gt;</v>
      </c>
      <c r="O19" t="str">
        <f t="shared" si="72"/>
        <v>&lt;/li&gt;&lt;li&gt;&lt;a href=|http://nasb.scripturetext.com/genesis/19.htm| title=|New American Standard Bible| target=|_top|&gt;NAS&lt;/a&gt;</v>
      </c>
      <c r="P19" t="str">
        <f t="shared" si="72"/>
        <v>&lt;/li&gt;&lt;li&gt;&lt;a href=|http://gwt.scripturetext.com/genesis/19.htm| title=|God's Word Translation| target=|_top|&gt;GWT&lt;/a&gt;</v>
      </c>
      <c r="Q19" t="str">
        <f t="shared" si="72"/>
        <v>&lt;/li&gt;&lt;li&gt;&lt;a href=|http://kingjbible.com/genesis/19.htm| title=|King James Bible| target=|_top|&gt;KJV&lt;/a&gt;</v>
      </c>
      <c r="R19" t="str">
        <f t="shared" si="72"/>
        <v>&lt;/li&gt;&lt;li&gt;&lt;a href=|http://asvbible.com/genesis/19.htm| title=|American Standard Version| target=|_top|&gt;ASV&lt;/a&gt;</v>
      </c>
      <c r="S19" t="str">
        <f t="shared" si="72"/>
        <v>&lt;/li&gt;&lt;li&gt;&lt;a href=|http://drb.scripturetext.com/genesis/19.htm| title=|Douay-Rheims Bible| target=|_top|&gt;DRB&lt;/a&gt;</v>
      </c>
      <c r="T19" t="str">
        <f t="shared" si="72"/>
        <v>&lt;/li&gt;&lt;li&gt;&lt;a href=|http://erv.scripturetext.com/genesis/19.htm| title=|English Revised Version| target=|_top|&gt;ERV&lt;/a&gt;</v>
      </c>
      <c r="V19" t="str">
        <f>CONCATENATE("&lt;/li&gt;&lt;li&gt;&lt;a href=|http://",V1191,"/genesis/19.htm","| ","title=|",V1190,"| target=|_top|&gt;",V1192,"&lt;/a&gt;")</f>
        <v>&lt;/li&gt;&lt;li&gt;&lt;a href=|http://study.interlinearbible.org/genesis/19.htm| title=|Hebrew Study Bible| target=|_top|&gt;Heb Study&lt;/a&gt;</v>
      </c>
      <c r="W19" t="str">
        <f t="shared" si="72"/>
        <v>&lt;/li&gt;&lt;li&gt;&lt;a href=|http://apostolic.interlinearbible.org/genesis/19.htm| title=|Apostolic Bible Polyglot Interlinear| target=|_top|&gt;Polyglot&lt;/a&gt;</v>
      </c>
      <c r="X19" t="str">
        <f t="shared" si="72"/>
        <v>&lt;/li&gt;&lt;li&gt;&lt;a href=|http://interlinearbible.org/genesis/19.htm| title=|Interlinear Bible| target=|_top|&gt;Interlin&lt;/a&gt;</v>
      </c>
      <c r="Y19" t="str">
        <f t="shared" ref="Y19" si="73">CONCATENATE("&lt;/li&gt;&lt;li&gt;&lt;a href=|http://",Y1191,"/genesis/19.htm","| ","title=|",Y1190,"| target=|_top|&gt;",Y1192,"&lt;/a&gt;")</f>
        <v>&lt;/li&gt;&lt;li&gt;&lt;a href=|http://bibleoutline.org/genesis/19.htm| title=|Outline with People and Places List| target=|_top|&gt;Outline&lt;/a&gt;</v>
      </c>
      <c r="Z19" t="str">
        <f t="shared" si="72"/>
        <v>&lt;/li&gt;&lt;li&gt;&lt;a href=|http://kjvs.scripturetext.com/genesis/19.htm| title=|King James Bible with Strong's Numbers| target=|_top|&gt;Strong's&lt;/a&gt;</v>
      </c>
      <c r="AA19" t="str">
        <f t="shared" si="72"/>
        <v>&lt;/li&gt;&lt;li&gt;&lt;a href=|http://childrensbibleonline.com/genesis/19.htm| title=|The Children's Bible| target=|_top|&gt;Children's&lt;/a&gt;</v>
      </c>
      <c r="AB19" s="2" t="str">
        <f t="shared" si="72"/>
        <v>&lt;/li&gt;&lt;li&gt;&lt;a href=|http://tsk.scripturetext.com/genesis/19.htm| title=|Treasury of Scripture Knowledge| target=|_top|&gt;TSK&lt;/a&gt;</v>
      </c>
      <c r="AC19" t="str">
        <f>CONCATENATE("&lt;a href=|http://",AC1191,"/genesis/19.htm","| ","title=|",AC1190,"| target=|_top|&gt;",AC1192,"&lt;/a&gt;")</f>
        <v>&lt;a href=|http://parallelbible.com/genesis/19.htm| title=|Parallel Chapters| target=|_top|&gt;PAR&lt;/a&gt;</v>
      </c>
      <c r="AD19" s="2" t="str">
        <f t="shared" ref="AD19:AK19" si="74">CONCATENATE("&lt;/li&gt;&lt;li&gt;&lt;a href=|http://",AD1191,"/genesis/19.htm","| ","title=|",AD1190,"| target=|_top|&gt;",AD1192,"&lt;/a&gt;")</f>
        <v>&lt;/li&gt;&lt;li&gt;&lt;a href=|http://gsb.biblecommenter.com/genesis/19.htm| title=|Geneva Study Bible| target=|_top|&gt;GSB&lt;/a&gt;</v>
      </c>
      <c r="AE19" s="2" t="str">
        <f t="shared" si="74"/>
        <v>&lt;/li&gt;&lt;li&gt;&lt;a href=|http://jfb.biblecommenter.com/genesis/19.htm| title=|Jamieson-Fausset-Brown Bible Commentary| target=|_top|&gt;JFB&lt;/a&gt;</v>
      </c>
      <c r="AF19" s="2" t="str">
        <f t="shared" si="74"/>
        <v>&lt;/li&gt;&lt;li&gt;&lt;a href=|http://kjt.biblecommenter.com/genesis/19.htm| title=|King James Translators' Notes| target=|_top|&gt;KJT&lt;/a&gt;</v>
      </c>
      <c r="AG19" s="2" t="str">
        <f t="shared" si="74"/>
        <v>&lt;/li&gt;&lt;li&gt;&lt;a href=|http://mhc.biblecommenter.com/genesis/19.htm| title=|Matthew Henry's Concise Commentary| target=|_top|&gt;MHC&lt;/a&gt;</v>
      </c>
      <c r="AH19" s="2" t="str">
        <f t="shared" si="74"/>
        <v>&lt;/li&gt;&lt;li&gt;&lt;a href=|http://sco.biblecommenter.com/genesis/19.htm| title=|Scofield Reference Notes| target=|_top|&gt;SCO&lt;/a&gt;</v>
      </c>
      <c r="AI19" s="2" t="str">
        <f t="shared" si="74"/>
        <v>&lt;/li&gt;&lt;li&gt;&lt;a href=|http://wes.biblecommenter.com/genesis/19.htm| title=|Wesley's Notes on the Bible| target=|_top|&gt;WES&lt;/a&gt;</v>
      </c>
      <c r="AJ19" t="str">
        <f t="shared" si="74"/>
        <v>&lt;/li&gt;&lt;li&gt;&lt;a href=|http://worldebible.com/genesis/19.htm| title=|World English Bible| target=|_top|&gt;WEB&lt;/a&gt;</v>
      </c>
      <c r="AK19" t="str">
        <f t="shared" si="74"/>
        <v>&lt;/li&gt;&lt;li&gt;&lt;a href=|http://yltbible.com/genesis/19.htm| title=|Young's Literal Translation| target=|_top|&gt;YLT&lt;/a&gt;</v>
      </c>
      <c r="AL19" t="str">
        <f>CONCATENATE("&lt;a href=|http://",AL1191,"/genesis/19.htm","| ","title=|",AL1190,"| target=|_top|&gt;",AL1192,"&lt;/a&gt;")</f>
        <v>&lt;a href=|http://kjv.us/genesis/19.htm| title=|American King James Version| target=|_top|&gt;AKJ&lt;/a&gt;</v>
      </c>
      <c r="AM19" t="str">
        <f t="shared" ref="AM19:AN19" si="75">CONCATENATE("&lt;/li&gt;&lt;li&gt;&lt;a href=|http://",AM1191,"/genesis/19.htm","| ","title=|",AM1190,"| target=|_top|&gt;",AM1192,"&lt;/a&gt;")</f>
        <v>&lt;/li&gt;&lt;li&gt;&lt;a href=|http://basicenglishbible.com/genesis/19.htm| title=|Bible in Basic English| target=|_top|&gt;BBE&lt;/a&gt;</v>
      </c>
      <c r="AN19" t="str">
        <f t="shared" si="75"/>
        <v>&lt;/li&gt;&lt;li&gt;&lt;a href=|http://darbybible.com/genesis/19.htm| title=|Darby Bible Translation| target=|_top|&gt;DBY&lt;/a&gt;</v>
      </c>
      <c r="AO1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9" t="str">
        <f>CONCATENATE("&lt;/li&gt;&lt;li&gt;&lt;a href=|http://",AR1191,"/genesis/19.htm","| ","title=|",AR1190,"| target=|_top|&gt;",AR1192,"&lt;/a&gt;")</f>
        <v>&lt;/li&gt;&lt;li&gt;&lt;a href=|http://websterbible.com/genesis/19.htm| title=|Webster's Bible Translation| target=|_top|&gt;WBS&lt;/a&gt;</v>
      </c>
      <c r="AS1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9" t="str">
        <f>CONCATENATE("&lt;/li&gt;&lt;li&gt;&lt;a href=|http://",AT1191,"/genesis/19-1.htm","| ","title=|",AT1190,"| target=|_top|&gt;",AT1192,"&lt;/a&gt;")</f>
        <v>&lt;/li&gt;&lt;li&gt;&lt;a href=|http://biblebrowser.com/genesis/19-1.htm| title=|Split View| target=|_top|&gt;Split&lt;/a&gt;</v>
      </c>
      <c r="AU19" s="2" t="s">
        <v>1276</v>
      </c>
      <c r="AV19" t="s">
        <v>64</v>
      </c>
    </row>
    <row r="20" spans="1:48">
      <c r="A20" t="s">
        <v>622</v>
      </c>
      <c r="B20" t="s">
        <v>73</v>
      </c>
      <c r="C20" t="s">
        <v>624</v>
      </c>
      <c r="D20" t="s">
        <v>1268</v>
      </c>
      <c r="E20" t="s">
        <v>1277</v>
      </c>
      <c r="F20" t="s">
        <v>1304</v>
      </c>
      <c r="G20" t="s">
        <v>1266</v>
      </c>
      <c r="H20" t="s">
        <v>1305</v>
      </c>
      <c r="I20" t="s">
        <v>1303</v>
      </c>
      <c r="J20" t="s">
        <v>1267</v>
      </c>
      <c r="K20" t="s">
        <v>1275</v>
      </c>
      <c r="L20" s="2" t="s">
        <v>1274</v>
      </c>
      <c r="M20" t="str">
        <f t="shared" ref="M20:AB20" si="76">CONCATENATE("&lt;/li&gt;&lt;li&gt;&lt;a href=|http://",M1191,"/genesis/20.htm","| ","title=|",M1190,"| target=|_top|&gt;",M1192,"&lt;/a&gt;")</f>
        <v>&lt;/li&gt;&lt;li&gt;&lt;a href=|http://niv.scripturetext.com/genesis/20.htm| title=|New International Version| target=|_top|&gt;NIV&lt;/a&gt;</v>
      </c>
      <c r="N20" t="str">
        <f t="shared" si="76"/>
        <v>&lt;/li&gt;&lt;li&gt;&lt;a href=|http://nlt.scripturetext.com/genesis/20.htm| title=|New Living Translation| target=|_top|&gt;NLT&lt;/a&gt;</v>
      </c>
      <c r="O20" t="str">
        <f t="shared" si="76"/>
        <v>&lt;/li&gt;&lt;li&gt;&lt;a href=|http://nasb.scripturetext.com/genesis/20.htm| title=|New American Standard Bible| target=|_top|&gt;NAS&lt;/a&gt;</v>
      </c>
      <c r="P20" t="str">
        <f t="shared" si="76"/>
        <v>&lt;/li&gt;&lt;li&gt;&lt;a href=|http://gwt.scripturetext.com/genesis/20.htm| title=|God's Word Translation| target=|_top|&gt;GWT&lt;/a&gt;</v>
      </c>
      <c r="Q20" t="str">
        <f t="shared" si="76"/>
        <v>&lt;/li&gt;&lt;li&gt;&lt;a href=|http://kingjbible.com/genesis/20.htm| title=|King James Bible| target=|_top|&gt;KJV&lt;/a&gt;</v>
      </c>
      <c r="R20" t="str">
        <f t="shared" si="76"/>
        <v>&lt;/li&gt;&lt;li&gt;&lt;a href=|http://asvbible.com/genesis/20.htm| title=|American Standard Version| target=|_top|&gt;ASV&lt;/a&gt;</v>
      </c>
      <c r="S20" t="str">
        <f t="shared" si="76"/>
        <v>&lt;/li&gt;&lt;li&gt;&lt;a href=|http://drb.scripturetext.com/genesis/20.htm| title=|Douay-Rheims Bible| target=|_top|&gt;DRB&lt;/a&gt;</v>
      </c>
      <c r="T20" t="str">
        <f t="shared" si="76"/>
        <v>&lt;/li&gt;&lt;li&gt;&lt;a href=|http://erv.scripturetext.com/genesis/20.htm| title=|English Revised Version| target=|_top|&gt;ERV&lt;/a&gt;</v>
      </c>
      <c r="V20" t="str">
        <f>CONCATENATE("&lt;/li&gt;&lt;li&gt;&lt;a href=|http://",V1191,"/genesis/20.htm","| ","title=|",V1190,"| target=|_top|&gt;",V1192,"&lt;/a&gt;")</f>
        <v>&lt;/li&gt;&lt;li&gt;&lt;a href=|http://study.interlinearbible.org/genesis/20.htm| title=|Hebrew Study Bible| target=|_top|&gt;Heb Study&lt;/a&gt;</v>
      </c>
      <c r="W20" t="str">
        <f t="shared" si="76"/>
        <v>&lt;/li&gt;&lt;li&gt;&lt;a href=|http://apostolic.interlinearbible.org/genesis/20.htm| title=|Apostolic Bible Polyglot Interlinear| target=|_top|&gt;Polyglot&lt;/a&gt;</v>
      </c>
      <c r="X20" t="str">
        <f t="shared" si="76"/>
        <v>&lt;/li&gt;&lt;li&gt;&lt;a href=|http://interlinearbible.org/genesis/20.htm| title=|Interlinear Bible| target=|_top|&gt;Interlin&lt;/a&gt;</v>
      </c>
      <c r="Y20" t="str">
        <f t="shared" ref="Y20" si="77">CONCATENATE("&lt;/li&gt;&lt;li&gt;&lt;a href=|http://",Y1191,"/genesis/20.htm","| ","title=|",Y1190,"| target=|_top|&gt;",Y1192,"&lt;/a&gt;")</f>
        <v>&lt;/li&gt;&lt;li&gt;&lt;a href=|http://bibleoutline.org/genesis/20.htm| title=|Outline with People and Places List| target=|_top|&gt;Outline&lt;/a&gt;</v>
      </c>
      <c r="Z20" t="str">
        <f t="shared" si="76"/>
        <v>&lt;/li&gt;&lt;li&gt;&lt;a href=|http://kjvs.scripturetext.com/genesis/20.htm| title=|King James Bible with Strong's Numbers| target=|_top|&gt;Strong's&lt;/a&gt;</v>
      </c>
      <c r="AA20" t="str">
        <f t="shared" si="76"/>
        <v>&lt;/li&gt;&lt;li&gt;&lt;a href=|http://childrensbibleonline.com/genesis/20.htm| title=|The Children's Bible| target=|_top|&gt;Children's&lt;/a&gt;</v>
      </c>
      <c r="AB20" s="2" t="str">
        <f t="shared" si="76"/>
        <v>&lt;/li&gt;&lt;li&gt;&lt;a href=|http://tsk.scripturetext.com/genesis/20.htm| title=|Treasury of Scripture Knowledge| target=|_top|&gt;TSK&lt;/a&gt;</v>
      </c>
      <c r="AC20" t="str">
        <f>CONCATENATE("&lt;a href=|http://",AC1191,"/genesis/20.htm","| ","title=|",AC1190,"| target=|_top|&gt;",AC1192,"&lt;/a&gt;")</f>
        <v>&lt;a href=|http://parallelbible.com/genesis/20.htm| title=|Parallel Chapters| target=|_top|&gt;PAR&lt;/a&gt;</v>
      </c>
      <c r="AD20" s="2" t="str">
        <f t="shared" ref="AD20:AK20" si="78">CONCATENATE("&lt;/li&gt;&lt;li&gt;&lt;a href=|http://",AD1191,"/genesis/20.htm","| ","title=|",AD1190,"| target=|_top|&gt;",AD1192,"&lt;/a&gt;")</f>
        <v>&lt;/li&gt;&lt;li&gt;&lt;a href=|http://gsb.biblecommenter.com/genesis/20.htm| title=|Geneva Study Bible| target=|_top|&gt;GSB&lt;/a&gt;</v>
      </c>
      <c r="AE20" s="2" t="str">
        <f t="shared" si="78"/>
        <v>&lt;/li&gt;&lt;li&gt;&lt;a href=|http://jfb.biblecommenter.com/genesis/20.htm| title=|Jamieson-Fausset-Brown Bible Commentary| target=|_top|&gt;JFB&lt;/a&gt;</v>
      </c>
      <c r="AF20" s="2" t="str">
        <f t="shared" si="78"/>
        <v>&lt;/li&gt;&lt;li&gt;&lt;a href=|http://kjt.biblecommenter.com/genesis/20.htm| title=|King James Translators' Notes| target=|_top|&gt;KJT&lt;/a&gt;</v>
      </c>
      <c r="AG20" s="2" t="str">
        <f t="shared" si="78"/>
        <v>&lt;/li&gt;&lt;li&gt;&lt;a href=|http://mhc.biblecommenter.com/genesis/20.htm| title=|Matthew Henry's Concise Commentary| target=|_top|&gt;MHC&lt;/a&gt;</v>
      </c>
      <c r="AH20" s="2" t="str">
        <f t="shared" si="78"/>
        <v>&lt;/li&gt;&lt;li&gt;&lt;a href=|http://sco.biblecommenter.com/genesis/20.htm| title=|Scofield Reference Notes| target=|_top|&gt;SCO&lt;/a&gt;</v>
      </c>
      <c r="AI20" s="2" t="str">
        <f t="shared" si="78"/>
        <v>&lt;/li&gt;&lt;li&gt;&lt;a href=|http://wes.biblecommenter.com/genesis/20.htm| title=|Wesley's Notes on the Bible| target=|_top|&gt;WES&lt;/a&gt;</v>
      </c>
      <c r="AJ20" t="str">
        <f t="shared" si="78"/>
        <v>&lt;/li&gt;&lt;li&gt;&lt;a href=|http://worldebible.com/genesis/20.htm| title=|World English Bible| target=|_top|&gt;WEB&lt;/a&gt;</v>
      </c>
      <c r="AK20" t="str">
        <f t="shared" si="78"/>
        <v>&lt;/li&gt;&lt;li&gt;&lt;a href=|http://yltbible.com/genesis/20.htm| title=|Young's Literal Translation| target=|_top|&gt;YLT&lt;/a&gt;</v>
      </c>
      <c r="AL20" t="str">
        <f>CONCATENATE("&lt;a href=|http://",AL1191,"/genesis/20.htm","| ","title=|",AL1190,"| target=|_top|&gt;",AL1192,"&lt;/a&gt;")</f>
        <v>&lt;a href=|http://kjv.us/genesis/20.htm| title=|American King James Version| target=|_top|&gt;AKJ&lt;/a&gt;</v>
      </c>
      <c r="AM20" t="str">
        <f t="shared" ref="AM20:AN20" si="79">CONCATENATE("&lt;/li&gt;&lt;li&gt;&lt;a href=|http://",AM1191,"/genesis/20.htm","| ","title=|",AM1190,"| target=|_top|&gt;",AM1192,"&lt;/a&gt;")</f>
        <v>&lt;/li&gt;&lt;li&gt;&lt;a href=|http://basicenglishbible.com/genesis/20.htm| title=|Bible in Basic English| target=|_top|&gt;BBE&lt;/a&gt;</v>
      </c>
      <c r="AN20" t="str">
        <f t="shared" si="79"/>
        <v>&lt;/li&gt;&lt;li&gt;&lt;a href=|http://darbybible.com/genesis/20.htm| title=|Darby Bible Translation| target=|_top|&gt;DBY&lt;/a&gt;</v>
      </c>
      <c r="AO2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0" t="str">
        <f>CONCATENATE("&lt;/li&gt;&lt;li&gt;&lt;a href=|http://",AR1191,"/genesis/20.htm","| ","title=|",AR1190,"| target=|_top|&gt;",AR1192,"&lt;/a&gt;")</f>
        <v>&lt;/li&gt;&lt;li&gt;&lt;a href=|http://websterbible.com/genesis/20.htm| title=|Webster's Bible Translation| target=|_top|&gt;WBS&lt;/a&gt;</v>
      </c>
      <c r="AS2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0" t="str">
        <f>CONCATENATE("&lt;/li&gt;&lt;li&gt;&lt;a href=|http://",AT1191,"/genesis/20-1.htm","| ","title=|",AT1190,"| target=|_top|&gt;",AT1192,"&lt;/a&gt;")</f>
        <v>&lt;/li&gt;&lt;li&gt;&lt;a href=|http://biblebrowser.com/genesis/20-1.htm| title=|Split View| target=|_top|&gt;Split&lt;/a&gt;</v>
      </c>
      <c r="AU20" s="2" t="s">
        <v>1276</v>
      </c>
      <c r="AV20" t="s">
        <v>64</v>
      </c>
    </row>
    <row r="21" spans="1:48">
      <c r="A21" t="s">
        <v>622</v>
      </c>
      <c r="B21" t="s">
        <v>74</v>
      </c>
      <c r="C21" t="s">
        <v>624</v>
      </c>
      <c r="D21" t="s">
        <v>1268</v>
      </c>
      <c r="E21" t="s">
        <v>1277</v>
      </c>
      <c r="F21" t="s">
        <v>1304</v>
      </c>
      <c r="G21" t="s">
        <v>1266</v>
      </c>
      <c r="H21" t="s">
        <v>1305</v>
      </c>
      <c r="I21" t="s">
        <v>1303</v>
      </c>
      <c r="J21" t="s">
        <v>1267</v>
      </c>
      <c r="K21" t="s">
        <v>1275</v>
      </c>
      <c r="L21" s="2" t="s">
        <v>1274</v>
      </c>
      <c r="M21" t="str">
        <f t="shared" ref="M21:AB21" si="80">CONCATENATE("&lt;/li&gt;&lt;li&gt;&lt;a href=|http://",M1191,"/genesis/21.htm","| ","title=|",M1190,"| target=|_top|&gt;",M1192,"&lt;/a&gt;")</f>
        <v>&lt;/li&gt;&lt;li&gt;&lt;a href=|http://niv.scripturetext.com/genesis/21.htm| title=|New International Version| target=|_top|&gt;NIV&lt;/a&gt;</v>
      </c>
      <c r="N21" t="str">
        <f t="shared" si="80"/>
        <v>&lt;/li&gt;&lt;li&gt;&lt;a href=|http://nlt.scripturetext.com/genesis/21.htm| title=|New Living Translation| target=|_top|&gt;NLT&lt;/a&gt;</v>
      </c>
      <c r="O21" t="str">
        <f t="shared" si="80"/>
        <v>&lt;/li&gt;&lt;li&gt;&lt;a href=|http://nasb.scripturetext.com/genesis/21.htm| title=|New American Standard Bible| target=|_top|&gt;NAS&lt;/a&gt;</v>
      </c>
      <c r="P21" t="str">
        <f t="shared" si="80"/>
        <v>&lt;/li&gt;&lt;li&gt;&lt;a href=|http://gwt.scripturetext.com/genesis/21.htm| title=|God's Word Translation| target=|_top|&gt;GWT&lt;/a&gt;</v>
      </c>
      <c r="Q21" t="str">
        <f t="shared" si="80"/>
        <v>&lt;/li&gt;&lt;li&gt;&lt;a href=|http://kingjbible.com/genesis/21.htm| title=|King James Bible| target=|_top|&gt;KJV&lt;/a&gt;</v>
      </c>
      <c r="R21" t="str">
        <f t="shared" si="80"/>
        <v>&lt;/li&gt;&lt;li&gt;&lt;a href=|http://asvbible.com/genesis/21.htm| title=|American Standard Version| target=|_top|&gt;ASV&lt;/a&gt;</v>
      </c>
      <c r="S21" t="str">
        <f t="shared" si="80"/>
        <v>&lt;/li&gt;&lt;li&gt;&lt;a href=|http://drb.scripturetext.com/genesis/21.htm| title=|Douay-Rheims Bible| target=|_top|&gt;DRB&lt;/a&gt;</v>
      </c>
      <c r="T21" t="str">
        <f t="shared" si="80"/>
        <v>&lt;/li&gt;&lt;li&gt;&lt;a href=|http://erv.scripturetext.com/genesis/21.htm| title=|English Revised Version| target=|_top|&gt;ERV&lt;/a&gt;</v>
      </c>
      <c r="V21" t="str">
        <f>CONCATENATE("&lt;/li&gt;&lt;li&gt;&lt;a href=|http://",V1191,"/genesis/21.htm","| ","title=|",V1190,"| target=|_top|&gt;",V1192,"&lt;/a&gt;")</f>
        <v>&lt;/li&gt;&lt;li&gt;&lt;a href=|http://study.interlinearbible.org/genesis/21.htm| title=|Hebrew Study Bible| target=|_top|&gt;Heb Study&lt;/a&gt;</v>
      </c>
      <c r="W21" t="str">
        <f t="shared" si="80"/>
        <v>&lt;/li&gt;&lt;li&gt;&lt;a href=|http://apostolic.interlinearbible.org/genesis/21.htm| title=|Apostolic Bible Polyglot Interlinear| target=|_top|&gt;Polyglot&lt;/a&gt;</v>
      </c>
      <c r="X21" t="str">
        <f t="shared" si="80"/>
        <v>&lt;/li&gt;&lt;li&gt;&lt;a href=|http://interlinearbible.org/genesis/21.htm| title=|Interlinear Bible| target=|_top|&gt;Interlin&lt;/a&gt;</v>
      </c>
      <c r="Y21" t="str">
        <f t="shared" ref="Y21" si="81">CONCATENATE("&lt;/li&gt;&lt;li&gt;&lt;a href=|http://",Y1191,"/genesis/21.htm","| ","title=|",Y1190,"| target=|_top|&gt;",Y1192,"&lt;/a&gt;")</f>
        <v>&lt;/li&gt;&lt;li&gt;&lt;a href=|http://bibleoutline.org/genesis/21.htm| title=|Outline with People and Places List| target=|_top|&gt;Outline&lt;/a&gt;</v>
      </c>
      <c r="Z21" t="str">
        <f t="shared" si="80"/>
        <v>&lt;/li&gt;&lt;li&gt;&lt;a href=|http://kjvs.scripturetext.com/genesis/21.htm| title=|King James Bible with Strong's Numbers| target=|_top|&gt;Strong's&lt;/a&gt;</v>
      </c>
      <c r="AA21" t="str">
        <f t="shared" si="80"/>
        <v>&lt;/li&gt;&lt;li&gt;&lt;a href=|http://childrensbibleonline.com/genesis/21.htm| title=|The Children's Bible| target=|_top|&gt;Children's&lt;/a&gt;</v>
      </c>
      <c r="AB21" s="2" t="str">
        <f t="shared" si="80"/>
        <v>&lt;/li&gt;&lt;li&gt;&lt;a href=|http://tsk.scripturetext.com/genesis/21.htm| title=|Treasury of Scripture Knowledge| target=|_top|&gt;TSK&lt;/a&gt;</v>
      </c>
      <c r="AC21" t="str">
        <f>CONCATENATE("&lt;a href=|http://",AC1191,"/genesis/21.htm","| ","title=|",AC1190,"| target=|_top|&gt;",AC1192,"&lt;/a&gt;")</f>
        <v>&lt;a href=|http://parallelbible.com/genesis/21.htm| title=|Parallel Chapters| target=|_top|&gt;PAR&lt;/a&gt;</v>
      </c>
      <c r="AD21" s="2" t="str">
        <f t="shared" ref="AD21:AK21" si="82">CONCATENATE("&lt;/li&gt;&lt;li&gt;&lt;a href=|http://",AD1191,"/genesis/21.htm","| ","title=|",AD1190,"| target=|_top|&gt;",AD1192,"&lt;/a&gt;")</f>
        <v>&lt;/li&gt;&lt;li&gt;&lt;a href=|http://gsb.biblecommenter.com/genesis/21.htm| title=|Geneva Study Bible| target=|_top|&gt;GSB&lt;/a&gt;</v>
      </c>
      <c r="AE21" s="2" t="str">
        <f t="shared" si="82"/>
        <v>&lt;/li&gt;&lt;li&gt;&lt;a href=|http://jfb.biblecommenter.com/genesis/21.htm| title=|Jamieson-Fausset-Brown Bible Commentary| target=|_top|&gt;JFB&lt;/a&gt;</v>
      </c>
      <c r="AF21" s="2" t="str">
        <f t="shared" si="82"/>
        <v>&lt;/li&gt;&lt;li&gt;&lt;a href=|http://kjt.biblecommenter.com/genesis/21.htm| title=|King James Translators' Notes| target=|_top|&gt;KJT&lt;/a&gt;</v>
      </c>
      <c r="AG21" s="2" t="str">
        <f t="shared" si="82"/>
        <v>&lt;/li&gt;&lt;li&gt;&lt;a href=|http://mhc.biblecommenter.com/genesis/21.htm| title=|Matthew Henry's Concise Commentary| target=|_top|&gt;MHC&lt;/a&gt;</v>
      </c>
      <c r="AH21" s="2" t="str">
        <f t="shared" si="82"/>
        <v>&lt;/li&gt;&lt;li&gt;&lt;a href=|http://sco.biblecommenter.com/genesis/21.htm| title=|Scofield Reference Notes| target=|_top|&gt;SCO&lt;/a&gt;</v>
      </c>
      <c r="AI21" s="2" t="str">
        <f t="shared" si="82"/>
        <v>&lt;/li&gt;&lt;li&gt;&lt;a href=|http://wes.biblecommenter.com/genesis/21.htm| title=|Wesley's Notes on the Bible| target=|_top|&gt;WES&lt;/a&gt;</v>
      </c>
      <c r="AJ21" t="str">
        <f t="shared" si="82"/>
        <v>&lt;/li&gt;&lt;li&gt;&lt;a href=|http://worldebible.com/genesis/21.htm| title=|World English Bible| target=|_top|&gt;WEB&lt;/a&gt;</v>
      </c>
      <c r="AK21" t="str">
        <f t="shared" si="82"/>
        <v>&lt;/li&gt;&lt;li&gt;&lt;a href=|http://yltbible.com/genesis/21.htm| title=|Young's Literal Translation| target=|_top|&gt;YLT&lt;/a&gt;</v>
      </c>
      <c r="AL21" t="str">
        <f>CONCATENATE("&lt;a href=|http://",AL1191,"/genesis/21.htm","| ","title=|",AL1190,"| target=|_top|&gt;",AL1192,"&lt;/a&gt;")</f>
        <v>&lt;a href=|http://kjv.us/genesis/21.htm| title=|American King James Version| target=|_top|&gt;AKJ&lt;/a&gt;</v>
      </c>
      <c r="AM21" t="str">
        <f t="shared" ref="AM21:AN21" si="83">CONCATENATE("&lt;/li&gt;&lt;li&gt;&lt;a href=|http://",AM1191,"/genesis/21.htm","| ","title=|",AM1190,"| target=|_top|&gt;",AM1192,"&lt;/a&gt;")</f>
        <v>&lt;/li&gt;&lt;li&gt;&lt;a href=|http://basicenglishbible.com/genesis/21.htm| title=|Bible in Basic English| target=|_top|&gt;BBE&lt;/a&gt;</v>
      </c>
      <c r="AN21" t="str">
        <f t="shared" si="83"/>
        <v>&lt;/li&gt;&lt;li&gt;&lt;a href=|http://darbybible.com/genesis/21.htm| title=|Darby Bible Translation| target=|_top|&gt;DBY&lt;/a&gt;</v>
      </c>
      <c r="AO2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1" t="str">
        <f>CONCATENATE("&lt;/li&gt;&lt;li&gt;&lt;a href=|http://",AR1191,"/genesis/21.htm","| ","title=|",AR1190,"| target=|_top|&gt;",AR1192,"&lt;/a&gt;")</f>
        <v>&lt;/li&gt;&lt;li&gt;&lt;a href=|http://websterbible.com/genesis/21.htm| title=|Webster's Bible Translation| target=|_top|&gt;WBS&lt;/a&gt;</v>
      </c>
      <c r="AS2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1" t="str">
        <f>CONCATENATE("&lt;/li&gt;&lt;li&gt;&lt;a href=|http://",AT1191,"/genesis/21-1.htm","| ","title=|",AT1190,"| target=|_top|&gt;",AT1192,"&lt;/a&gt;")</f>
        <v>&lt;/li&gt;&lt;li&gt;&lt;a href=|http://biblebrowser.com/genesis/21-1.htm| title=|Split View| target=|_top|&gt;Split&lt;/a&gt;</v>
      </c>
      <c r="AU21" s="2" t="s">
        <v>1276</v>
      </c>
      <c r="AV21" t="s">
        <v>64</v>
      </c>
    </row>
    <row r="22" spans="1:48">
      <c r="A22" t="s">
        <v>622</v>
      </c>
      <c r="B22" t="s">
        <v>75</v>
      </c>
      <c r="C22" t="s">
        <v>624</v>
      </c>
      <c r="D22" t="s">
        <v>1268</v>
      </c>
      <c r="E22" t="s">
        <v>1277</v>
      </c>
      <c r="F22" t="s">
        <v>1304</v>
      </c>
      <c r="G22" t="s">
        <v>1266</v>
      </c>
      <c r="H22" t="s">
        <v>1305</v>
      </c>
      <c r="I22" t="s">
        <v>1303</v>
      </c>
      <c r="J22" t="s">
        <v>1267</v>
      </c>
      <c r="K22" t="s">
        <v>1275</v>
      </c>
      <c r="L22" s="2" t="s">
        <v>1274</v>
      </c>
      <c r="M22" t="str">
        <f t="shared" ref="M22:AB22" si="84">CONCATENATE("&lt;/li&gt;&lt;li&gt;&lt;a href=|http://",M1191,"/genesis/22.htm","| ","title=|",M1190,"| target=|_top|&gt;",M1192,"&lt;/a&gt;")</f>
        <v>&lt;/li&gt;&lt;li&gt;&lt;a href=|http://niv.scripturetext.com/genesis/22.htm| title=|New International Version| target=|_top|&gt;NIV&lt;/a&gt;</v>
      </c>
      <c r="N22" t="str">
        <f t="shared" si="84"/>
        <v>&lt;/li&gt;&lt;li&gt;&lt;a href=|http://nlt.scripturetext.com/genesis/22.htm| title=|New Living Translation| target=|_top|&gt;NLT&lt;/a&gt;</v>
      </c>
      <c r="O22" t="str">
        <f t="shared" si="84"/>
        <v>&lt;/li&gt;&lt;li&gt;&lt;a href=|http://nasb.scripturetext.com/genesis/22.htm| title=|New American Standard Bible| target=|_top|&gt;NAS&lt;/a&gt;</v>
      </c>
      <c r="P22" t="str">
        <f t="shared" si="84"/>
        <v>&lt;/li&gt;&lt;li&gt;&lt;a href=|http://gwt.scripturetext.com/genesis/22.htm| title=|God's Word Translation| target=|_top|&gt;GWT&lt;/a&gt;</v>
      </c>
      <c r="Q22" t="str">
        <f t="shared" si="84"/>
        <v>&lt;/li&gt;&lt;li&gt;&lt;a href=|http://kingjbible.com/genesis/22.htm| title=|King James Bible| target=|_top|&gt;KJV&lt;/a&gt;</v>
      </c>
      <c r="R22" t="str">
        <f t="shared" si="84"/>
        <v>&lt;/li&gt;&lt;li&gt;&lt;a href=|http://asvbible.com/genesis/22.htm| title=|American Standard Version| target=|_top|&gt;ASV&lt;/a&gt;</v>
      </c>
      <c r="S22" t="str">
        <f t="shared" si="84"/>
        <v>&lt;/li&gt;&lt;li&gt;&lt;a href=|http://drb.scripturetext.com/genesis/22.htm| title=|Douay-Rheims Bible| target=|_top|&gt;DRB&lt;/a&gt;</v>
      </c>
      <c r="T22" t="str">
        <f t="shared" si="84"/>
        <v>&lt;/li&gt;&lt;li&gt;&lt;a href=|http://erv.scripturetext.com/genesis/22.htm| title=|English Revised Version| target=|_top|&gt;ERV&lt;/a&gt;</v>
      </c>
      <c r="V22" t="str">
        <f>CONCATENATE("&lt;/li&gt;&lt;li&gt;&lt;a href=|http://",V1191,"/genesis/22.htm","| ","title=|",V1190,"| target=|_top|&gt;",V1192,"&lt;/a&gt;")</f>
        <v>&lt;/li&gt;&lt;li&gt;&lt;a href=|http://study.interlinearbible.org/genesis/22.htm| title=|Hebrew Study Bible| target=|_top|&gt;Heb Study&lt;/a&gt;</v>
      </c>
      <c r="W22" t="str">
        <f t="shared" si="84"/>
        <v>&lt;/li&gt;&lt;li&gt;&lt;a href=|http://apostolic.interlinearbible.org/genesis/22.htm| title=|Apostolic Bible Polyglot Interlinear| target=|_top|&gt;Polyglot&lt;/a&gt;</v>
      </c>
      <c r="X22" t="str">
        <f t="shared" si="84"/>
        <v>&lt;/li&gt;&lt;li&gt;&lt;a href=|http://interlinearbible.org/genesis/22.htm| title=|Interlinear Bible| target=|_top|&gt;Interlin&lt;/a&gt;</v>
      </c>
      <c r="Y22" t="str">
        <f t="shared" ref="Y22" si="85">CONCATENATE("&lt;/li&gt;&lt;li&gt;&lt;a href=|http://",Y1191,"/genesis/22.htm","| ","title=|",Y1190,"| target=|_top|&gt;",Y1192,"&lt;/a&gt;")</f>
        <v>&lt;/li&gt;&lt;li&gt;&lt;a href=|http://bibleoutline.org/genesis/22.htm| title=|Outline with People and Places List| target=|_top|&gt;Outline&lt;/a&gt;</v>
      </c>
      <c r="Z22" t="str">
        <f t="shared" si="84"/>
        <v>&lt;/li&gt;&lt;li&gt;&lt;a href=|http://kjvs.scripturetext.com/genesis/22.htm| title=|King James Bible with Strong's Numbers| target=|_top|&gt;Strong's&lt;/a&gt;</v>
      </c>
      <c r="AA22" t="str">
        <f t="shared" si="84"/>
        <v>&lt;/li&gt;&lt;li&gt;&lt;a href=|http://childrensbibleonline.com/genesis/22.htm| title=|The Children's Bible| target=|_top|&gt;Children's&lt;/a&gt;</v>
      </c>
      <c r="AB22" s="2" t="str">
        <f t="shared" si="84"/>
        <v>&lt;/li&gt;&lt;li&gt;&lt;a href=|http://tsk.scripturetext.com/genesis/22.htm| title=|Treasury of Scripture Knowledge| target=|_top|&gt;TSK&lt;/a&gt;</v>
      </c>
      <c r="AC22" t="str">
        <f>CONCATENATE("&lt;a href=|http://",AC1191,"/genesis/22.htm","| ","title=|",AC1190,"| target=|_top|&gt;",AC1192,"&lt;/a&gt;")</f>
        <v>&lt;a href=|http://parallelbible.com/genesis/22.htm| title=|Parallel Chapters| target=|_top|&gt;PAR&lt;/a&gt;</v>
      </c>
      <c r="AD22" s="2" t="str">
        <f t="shared" ref="AD22:AK22" si="86">CONCATENATE("&lt;/li&gt;&lt;li&gt;&lt;a href=|http://",AD1191,"/genesis/22.htm","| ","title=|",AD1190,"| target=|_top|&gt;",AD1192,"&lt;/a&gt;")</f>
        <v>&lt;/li&gt;&lt;li&gt;&lt;a href=|http://gsb.biblecommenter.com/genesis/22.htm| title=|Geneva Study Bible| target=|_top|&gt;GSB&lt;/a&gt;</v>
      </c>
      <c r="AE22" s="2" t="str">
        <f t="shared" si="86"/>
        <v>&lt;/li&gt;&lt;li&gt;&lt;a href=|http://jfb.biblecommenter.com/genesis/22.htm| title=|Jamieson-Fausset-Brown Bible Commentary| target=|_top|&gt;JFB&lt;/a&gt;</v>
      </c>
      <c r="AF22" s="2" t="str">
        <f t="shared" si="86"/>
        <v>&lt;/li&gt;&lt;li&gt;&lt;a href=|http://kjt.biblecommenter.com/genesis/22.htm| title=|King James Translators' Notes| target=|_top|&gt;KJT&lt;/a&gt;</v>
      </c>
      <c r="AG22" s="2" t="str">
        <f t="shared" si="86"/>
        <v>&lt;/li&gt;&lt;li&gt;&lt;a href=|http://mhc.biblecommenter.com/genesis/22.htm| title=|Matthew Henry's Concise Commentary| target=|_top|&gt;MHC&lt;/a&gt;</v>
      </c>
      <c r="AH22" s="2" t="str">
        <f t="shared" si="86"/>
        <v>&lt;/li&gt;&lt;li&gt;&lt;a href=|http://sco.biblecommenter.com/genesis/22.htm| title=|Scofield Reference Notes| target=|_top|&gt;SCO&lt;/a&gt;</v>
      </c>
      <c r="AI22" s="2" t="str">
        <f t="shared" si="86"/>
        <v>&lt;/li&gt;&lt;li&gt;&lt;a href=|http://wes.biblecommenter.com/genesis/22.htm| title=|Wesley's Notes on the Bible| target=|_top|&gt;WES&lt;/a&gt;</v>
      </c>
      <c r="AJ22" t="str">
        <f t="shared" si="86"/>
        <v>&lt;/li&gt;&lt;li&gt;&lt;a href=|http://worldebible.com/genesis/22.htm| title=|World English Bible| target=|_top|&gt;WEB&lt;/a&gt;</v>
      </c>
      <c r="AK22" t="str">
        <f t="shared" si="86"/>
        <v>&lt;/li&gt;&lt;li&gt;&lt;a href=|http://yltbible.com/genesis/22.htm| title=|Young's Literal Translation| target=|_top|&gt;YLT&lt;/a&gt;</v>
      </c>
      <c r="AL22" t="str">
        <f>CONCATENATE("&lt;a href=|http://",AL1191,"/genesis/22.htm","| ","title=|",AL1190,"| target=|_top|&gt;",AL1192,"&lt;/a&gt;")</f>
        <v>&lt;a href=|http://kjv.us/genesis/22.htm| title=|American King James Version| target=|_top|&gt;AKJ&lt;/a&gt;</v>
      </c>
      <c r="AM22" t="str">
        <f t="shared" ref="AM22:AN22" si="87">CONCATENATE("&lt;/li&gt;&lt;li&gt;&lt;a href=|http://",AM1191,"/genesis/22.htm","| ","title=|",AM1190,"| target=|_top|&gt;",AM1192,"&lt;/a&gt;")</f>
        <v>&lt;/li&gt;&lt;li&gt;&lt;a href=|http://basicenglishbible.com/genesis/22.htm| title=|Bible in Basic English| target=|_top|&gt;BBE&lt;/a&gt;</v>
      </c>
      <c r="AN22" t="str">
        <f t="shared" si="87"/>
        <v>&lt;/li&gt;&lt;li&gt;&lt;a href=|http://darbybible.com/genesis/22.htm| title=|Darby Bible Translation| target=|_top|&gt;DBY&lt;/a&gt;</v>
      </c>
      <c r="AO2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2" t="str">
        <f>CONCATENATE("&lt;/li&gt;&lt;li&gt;&lt;a href=|http://",AR1191,"/genesis/22.htm","| ","title=|",AR1190,"| target=|_top|&gt;",AR1192,"&lt;/a&gt;")</f>
        <v>&lt;/li&gt;&lt;li&gt;&lt;a href=|http://websterbible.com/genesis/22.htm| title=|Webster's Bible Translation| target=|_top|&gt;WBS&lt;/a&gt;</v>
      </c>
      <c r="AS2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2" t="str">
        <f>CONCATENATE("&lt;/li&gt;&lt;li&gt;&lt;a href=|http://",AT1191,"/genesis/22-1.htm","| ","title=|",AT1190,"| target=|_top|&gt;",AT1192,"&lt;/a&gt;")</f>
        <v>&lt;/li&gt;&lt;li&gt;&lt;a href=|http://biblebrowser.com/genesis/22-1.htm| title=|Split View| target=|_top|&gt;Split&lt;/a&gt;</v>
      </c>
      <c r="AU22" s="2" t="s">
        <v>1276</v>
      </c>
      <c r="AV22" t="s">
        <v>64</v>
      </c>
    </row>
    <row r="23" spans="1:48">
      <c r="A23" t="s">
        <v>622</v>
      </c>
      <c r="B23" t="s">
        <v>76</v>
      </c>
      <c r="C23" t="s">
        <v>624</v>
      </c>
      <c r="D23" t="s">
        <v>1268</v>
      </c>
      <c r="E23" t="s">
        <v>1277</v>
      </c>
      <c r="F23" t="s">
        <v>1304</v>
      </c>
      <c r="G23" t="s">
        <v>1266</v>
      </c>
      <c r="H23" t="s">
        <v>1305</v>
      </c>
      <c r="I23" t="s">
        <v>1303</v>
      </c>
      <c r="J23" t="s">
        <v>1267</v>
      </c>
      <c r="K23" t="s">
        <v>1275</v>
      </c>
      <c r="L23" s="2" t="s">
        <v>1274</v>
      </c>
      <c r="M23" t="str">
        <f t="shared" ref="M23:AB23" si="88">CONCATENATE("&lt;/li&gt;&lt;li&gt;&lt;a href=|http://",M1191,"/genesis/23.htm","| ","title=|",M1190,"| target=|_top|&gt;",M1192,"&lt;/a&gt;")</f>
        <v>&lt;/li&gt;&lt;li&gt;&lt;a href=|http://niv.scripturetext.com/genesis/23.htm| title=|New International Version| target=|_top|&gt;NIV&lt;/a&gt;</v>
      </c>
      <c r="N23" t="str">
        <f t="shared" si="88"/>
        <v>&lt;/li&gt;&lt;li&gt;&lt;a href=|http://nlt.scripturetext.com/genesis/23.htm| title=|New Living Translation| target=|_top|&gt;NLT&lt;/a&gt;</v>
      </c>
      <c r="O23" t="str">
        <f t="shared" si="88"/>
        <v>&lt;/li&gt;&lt;li&gt;&lt;a href=|http://nasb.scripturetext.com/genesis/23.htm| title=|New American Standard Bible| target=|_top|&gt;NAS&lt;/a&gt;</v>
      </c>
      <c r="P23" t="str">
        <f t="shared" si="88"/>
        <v>&lt;/li&gt;&lt;li&gt;&lt;a href=|http://gwt.scripturetext.com/genesis/23.htm| title=|God's Word Translation| target=|_top|&gt;GWT&lt;/a&gt;</v>
      </c>
      <c r="Q23" t="str">
        <f t="shared" si="88"/>
        <v>&lt;/li&gt;&lt;li&gt;&lt;a href=|http://kingjbible.com/genesis/23.htm| title=|King James Bible| target=|_top|&gt;KJV&lt;/a&gt;</v>
      </c>
      <c r="R23" t="str">
        <f t="shared" si="88"/>
        <v>&lt;/li&gt;&lt;li&gt;&lt;a href=|http://asvbible.com/genesis/23.htm| title=|American Standard Version| target=|_top|&gt;ASV&lt;/a&gt;</v>
      </c>
      <c r="S23" t="str">
        <f t="shared" si="88"/>
        <v>&lt;/li&gt;&lt;li&gt;&lt;a href=|http://drb.scripturetext.com/genesis/23.htm| title=|Douay-Rheims Bible| target=|_top|&gt;DRB&lt;/a&gt;</v>
      </c>
      <c r="T23" t="str">
        <f t="shared" si="88"/>
        <v>&lt;/li&gt;&lt;li&gt;&lt;a href=|http://erv.scripturetext.com/genesis/23.htm| title=|English Revised Version| target=|_top|&gt;ERV&lt;/a&gt;</v>
      </c>
      <c r="V23" t="str">
        <f>CONCATENATE("&lt;/li&gt;&lt;li&gt;&lt;a href=|http://",V1191,"/genesis/23.htm","| ","title=|",V1190,"| target=|_top|&gt;",V1192,"&lt;/a&gt;")</f>
        <v>&lt;/li&gt;&lt;li&gt;&lt;a href=|http://study.interlinearbible.org/genesis/23.htm| title=|Hebrew Study Bible| target=|_top|&gt;Heb Study&lt;/a&gt;</v>
      </c>
      <c r="W23" t="str">
        <f t="shared" si="88"/>
        <v>&lt;/li&gt;&lt;li&gt;&lt;a href=|http://apostolic.interlinearbible.org/genesis/23.htm| title=|Apostolic Bible Polyglot Interlinear| target=|_top|&gt;Polyglot&lt;/a&gt;</v>
      </c>
      <c r="X23" t="str">
        <f t="shared" si="88"/>
        <v>&lt;/li&gt;&lt;li&gt;&lt;a href=|http://interlinearbible.org/genesis/23.htm| title=|Interlinear Bible| target=|_top|&gt;Interlin&lt;/a&gt;</v>
      </c>
      <c r="Y23" t="str">
        <f t="shared" ref="Y23" si="89">CONCATENATE("&lt;/li&gt;&lt;li&gt;&lt;a href=|http://",Y1191,"/genesis/23.htm","| ","title=|",Y1190,"| target=|_top|&gt;",Y1192,"&lt;/a&gt;")</f>
        <v>&lt;/li&gt;&lt;li&gt;&lt;a href=|http://bibleoutline.org/genesis/23.htm| title=|Outline with People and Places List| target=|_top|&gt;Outline&lt;/a&gt;</v>
      </c>
      <c r="Z23" t="str">
        <f t="shared" si="88"/>
        <v>&lt;/li&gt;&lt;li&gt;&lt;a href=|http://kjvs.scripturetext.com/genesis/23.htm| title=|King James Bible with Strong's Numbers| target=|_top|&gt;Strong's&lt;/a&gt;</v>
      </c>
      <c r="AA23" t="str">
        <f t="shared" si="88"/>
        <v>&lt;/li&gt;&lt;li&gt;&lt;a href=|http://childrensbibleonline.com/genesis/23.htm| title=|The Children's Bible| target=|_top|&gt;Children's&lt;/a&gt;</v>
      </c>
      <c r="AB23" s="2" t="str">
        <f t="shared" si="88"/>
        <v>&lt;/li&gt;&lt;li&gt;&lt;a href=|http://tsk.scripturetext.com/genesis/23.htm| title=|Treasury of Scripture Knowledge| target=|_top|&gt;TSK&lt;/a&gt;</v>
      </c>
      <c r="AC23" t="str">
        <f>CONCATENATE("&lt;a href=|http://",AC1191,"/genesis/23.htm","| ","title=|",AC1190,"| target=|_top|&gt;",AC1192,"&lt;/a&gt;")</f>
        <v>&lt;a href=|http://parallelbible.com/genesis/23.htm| title=|Parallel Chapters| target=|_top|&gt;PAR&lt;/a&gt;</v>
      </c>
      <c r="AD23" s="2" t="str">
        <f t="shared" ref="AD23:AK23" si="90">CONCATENATE("&lt;/li&gt;&lt;li&gt;&lt;a href=|http://",AD1191,"/genesis/23.htm","| ","title=|",AD1190,"| target=|_top|&gt;",AD1192,"&lt;/a&gt;")</f>
        <v>&lt;/li&gt;&lt;li&gt;&lt;a href=|http://gsb.biblecommenter.com/genesis/23.htm| title=|Geneva Study Bible| target=|_top|&gt;GSB&lt;/a&gt;</v>
      </c>
      <c r="AE23" s="2" t="str">
        <f t="shared" si="90"/>
        <v>&lt;/li&gt;&lt;li&gt;&lt;a href=|http://jfb.biblecommenter.com/genesis/23.htm| title=|Jamieson-Fausset-Brown Bible Commentary| target=|_top|&gt;JFB&lt;/a&gt;</v>
      </c>
      <c r="AF23" s="2" t="str">
        <f t="shared" si="90"/>
        <v>&lt;/li&gt;&lt;li&gt;&lt;a href=|http://kjt.biblecommenter.com/genesis/23.htm| title=|King James Translators' Notes| target=|_top|&gt;KJT&lt;/a&gt;</v>
      </c>
      <c r="AG23" s="2" t="str">
        <f t="shared" si="90"/>
        <v>&lt;/li&gt;&lt;li&gt;&lt;a href=|http://mhc.biblecommenter.com/genesis/23.htm| title=|Matthew Henry's Concise Commentary| target=|_top|&gt;MHC&lt;/a&gt;</v>
      </c>
      <c r="AH23" s="2" t="str">
        <f t="shared" si="90"/>
        <v>&lt;/li&gt;&lt;li&gt;&lt;a href=|http://sco.biblecommenter.com/genesis/23.htm| title=|Scofield Reference Notes| target=|_top|&gt;SCO&lt;/a&gt;</v>
      </c>
      <c r="AI23" s="2" t="str">
        <f t="shared" si="90"/>
        <v>&lt;/li&gt;&lt;li&gt;&lt;a href=|http://wes.biblecommenter.com/genesis/23.htm| title=|Wesley's Notes on the Bible| target=|_top|&gt;WES&lt;/a&gt;</v>
      </c>
      <c r="AJ23" t="str">
        <f t="shared" si="90"/>
        <v>&lt;/li&gt;&lt;li&gt;&lt;a href=|http://worldebible.com/genesis/23.htm| title=|World English Bible| target=|_top|&gt;WEB&lt;/a&gt;</v>
      </c>
      <c r="AK23" t="str">
        <f t="shared" si="90"/>
        <v>&lt;/li&gt;&lt;li&gt;&lt;a href=|http://yltbible.com/genesis/23.htm| title=|Young's Literal Translation| target=|_top|&gt;YLT&lt;/a&gt;</v>
      </c>
      <c r="AL23" t="str">
        <f>CONCATENATE("&lt;a href=|http://",AL1191,"/genesis/23.htm","| ","title=|",AL1190,"| target=|_top|&gt;",AL1192,"&lt;/a&gt;")</f>
        <v>&lt;a href=|http://kjv.us/genesis/23.htm| title=|American King James Version| target=|_top|&gt;AKJ&lt;/a&gt;</v>
      </c>
      <c r="AM23" t="str">
        <f t="shared" ref="AM23:AN23" si="91">CONCATENATE("&lt;/li&gt;&lt;li&gt;&lt;a href=|http://",AM1191,"/genesis/23.htm","| ","title=|",AM1190,"| target=|_top|&gt;",AM1192,"&lt;/a&gt;")</f>
        <v>&lt;/li&gt;&lt;li&gt;&lt;a href=|http://basicenglishbible.com/genesis/23.htm| title=|Bible in Basic English| target=|_top|&gt;BBE&lt;/a&gt;</v>
      </c>
      <c r="AN23" t="str">
        <f t="shared" si="91"/>
        <v>&lt;/li&gt;&lt;li&gt;&lt;a href=|http://darbybible.com/genesis/23.htm| title=|Darby Bible Translation| target=|_top|&gt;DBY&lt;/a&gt;</v>
      </c>
      <c r="AO2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3" t="str">
        <f>CONCATENATE("&lt;/li&gt;&lt;li&gt;&lt;a href=|http://",AR1191,"/genesis/23.htm","| ","title=|",AR1190,"| target=|_top|&gt;",AR1192,"&lt;/a&gt;")</f>
        <v>&lt;/li&gt;&lt;li&gt;&lt;a href=|http://websterbible.com/genesis/23.htm| title=|Webster's Bible Translation| target=|_top|&gt;WBS&lt;/a&gt;</v>
      </c>
      <c r="AS2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3" t="str">
        <f>CONCATENATE("&lt;/li&gt;&lt;li&gt;&lt;a href=|http://",AT1191,"/genesis/23-1.htm","| ","title=|",AT1190,"| target=|_top|&gt;",AT1192,"&lt;/a&gt;")</f>
        <v>&lt;/li&gt;&lt;li&gt;&lt;a href=|http://biblebrowser.com/genesis/23-1.htm| title=|Split View| target=|_top|&gt;Split&lt;/a&gt;</v>
      </c>
      <c r="AU23" s="2" t="s">
        <v>1276</v>
      </c>
      <c r="AV23" t="s">
        <v>64</v>
      </c>
    </row>
    <row r="24" spans="1:48">
      <c r="A24" t="s">
        <v>622</v>
      </c>
      <c r="B24" t="s">
        <v>77</v>
      </c>
      <c r="C24" t="s">
        <v>624</v>
      </c>
      <c r="D24" t="s">
        <v>1268</v>
      </c>
      <c r="E24" t="s">
        <v>1277</v>
      </c>
      <c r="F24" t="s">
        <v>1304</v>
      </c>
      <c r="G24" t="s">
        <v>1266</v>
      </c>
      <c r="H24" t="s">
        <v>1305</v>
      </c>
      <c r="I24" t="s">
        <v>1303</v>
      </c>
      <c r="J24" t="s">
        <v>1267</v>
      </c>
      <c r="K24" t="s">
        <v>1275</v>
      </c>
      <c r="L24" s="2" t="s">
        <v>1274</v>
      </c>
      <c r="M24" t="str">
        <f t="shared" ref="M24:AB24" si="92">CONCATENATE("&lt;/li&gt;&lt;li&gt;&lt;a href=|http://",M1191,"/genesis/24.htm","| ","title=|",M1190,"| target=|_top|&gt;",M1192,"&lt;/a&gt;")</f>
        <v>&lt;/li&gt;&lt;li&gt;&lt;a href=|http://niv.scripturetext.com/genesis/24.htm| title=|New International Version| target=|_top|&gt;NIV&lt;/a&gt;</v>
      </c>
      <c r="N24" t="str">
        <f t="shared" si="92"/>
        <v>&lt;/li&gt;&lt;li&gt;&lt;a href=|http://nlt.scripturetext.com/genesis/24.htm| title=|New Living Translation| target=|_top|&gt;NLT&lt;/a&gt;</v>
      </c>
      <c r="O24" t="str">
        <f t="shared" si="92"/>
        <v>&lt;/li&gt;&lt;li&gt;&lt;a href=|http://nasb.scripturetext.com/genesis/24.htm| title=|New American Standard Bible| target=|_top|&gt;NAS&lt;/a&gt;</v>
      </c>
      <c r="P24" t="str">
        <f t="shared" si="92"/>
        <v>&lt;/li&gt;&lt;li&gt;&lt;a href=|http://gwt.scripturetext.com/genesis/24.htm| title=|God's Word Translation| target=|_top|&gt;GWT&lt;/a&gt;</v>
      </c>
      <c r="Q24" t="str">
        <f t="shared" si="92"/>
        <v>&lt;/li&gt;&lt;li&gt;&lt;a href=|http://kingjbible.com/genesis/24.htm| title=|King James Bible| target=|_top|&gt;KJV&lt;/a&gt;</v>
      </c>
      <c r="R24" t="str">
        <f t="shared" si="92"/>
        <v>&lt;/li&gt;&lt;li&gt;&lt;a href=|http://asvbible.com/genesis/24.htm| title=|American Standard Version| target=|_top|&gt;ASV&lt;/a&gt;</v>
      </c>
      <c r="S24" t="str">
        <f t="shared" si="92"/>
        <v>&lt;/li&gt;&lt;li&gt;&lt;a href=|http://drb.scripturetext.com/genesis/24.htm| title=|Douay-Rheims Bible| target=|_top|&gt;DRB&lt;/a&gt;</v>
      </c>
      <c r="T24" t="str">
        <f t="shared" si="92"/>
        <v>&lt;/li&gt;&lt;li&gt;&lt;a href=|http://erv.scripturetext.com/genesis/24.htm| title=|English Revised Version| target=|_top|&gt;ERV&lt;/a&gt;</v>
      </c>
      <c r="V24" t="str">
        <f>CONCATENATE("&lt;/li&gt;&lt;li&gt;&lt;a href=|http://",V1191,"/genesis/24.htm","| ","title=|",V1190,"| target=|_top|&gt;",V1192,"&lt;/a&gt;")</f>
        <v>&lt;/li&gt;&lt;li&gt;&lt;a href=|http://study.interlinearbible.org/genesis/24.htm| title=|Hebrew Study Bible| target=|_top|&gt;Heb Study&lt;/a&gt;</v>
      </c>
      <c r="W24" t="str">
        <f t="shared" si="92"/>
        <v>&lt;/li&gt;&lt;li&gt;&lt;a href=|http://apostolic.interlinearbible.org/genesis/24.htm| title=|Apostolic Bible Polyglot Interlinear| target=|_top|&gt;Polyglot&lt;/a&gt;</v>
      </c>
      <c r="X24" t="str">
        <f t="shared" si="92"/>
        <v>&lt;/li&gt;&lt;li&gt;&lt;a href=|http://interlinearbible.org/genesis/24.htm| title=|Interlinear Bible| target=|_top|&gt;Interlin&lt;/a&gt;</v>
      </c>
      <c r="Y24" t="str">
        <f t="shared" ref="Y24" si="93">CONCATENATE("&lt;/li&gt;&lt;li&gt;&lt;a href=|http://",Y1191,"/genesis/24.htm","| ","title=|",Y1190,"| target=|_top|&gt;",Y1192,"&lt;/a&gt;")</f>
        <v>&lt;/li&gt;&lt;li&gt;&lt;a href=|http://bibleoutline.org/genesis/24.htm| title=|Outline with People and Places List| target=|_top|&gt;Outline&lt;/a&gt;</v>
      </c>
      <c r="Z24" t="str">
        <f t="shared" si="92"/>
        <v>&lt;/li&gt;&lt;li&gt;&lt;a href=|http://kjvs.scripturetext.com/genesis/24.htm| title=|King James Bible with Strong's Numbers| target=|_top|&gt;Strong's&lt;/a&gt;</v>
      </c>
      <c r="AA24" t="str">
        <f t="shared" si="92"/>
        <v>&lt;/li&gt;&lt;li&gt;&lt;a href=|http://childrensbibleonline.com/genesis/24.htm| title=|The Children's Bible| target=|_top|&gt;Children's&lt;/a&gt;</v>
      </c>
      <c r="AB24" s="2" t="str">
        <f t="shared" si="92"/>
        <v>&lt;/li&gt;&lt;li&gt;&lt;a href=|http://tsk.scripturetext.com/genesis/24.htm| title=|Treasury of Scripture Knowledge| target=|_top|&gt;TSK&lt;/a&gt;</v>
      </c>
      <c r="AC24" t="str">
        <f>CONCATENATE("&lt;a href=|http://",AC1191,"/genesis/24.htm","| ","title=|",AC1190,"| target=|_top|&gt;",AC1192,"&lt;/a&gt;")</f>
        <v>&lt;a href=|http://parallelbible.com/genesis/24.htm| title=|Parallel Chapters| target=|_top|&gt;PAR&lt;/a&gt;</v>
      </c>
      <c r="AD24" s="2" t="str">
        <f t="shared" ref="AD24:AK24" si="94">CONCATENATE("&lt;/li&gt;&lt;li&gt;&lt;a href=|http://",AD1191,"/genesis/24.htm","| ","title=|",AD1190,"| target=|_top|&gt;",AD1192,"&lt;/a&gt;")</f>
        <v>&lt;/li&gt;&lt;li&gt;&lt;a href=|http://gsb.biblecommenter.com/genesis/24.htm| title=|Geneva Study Bible| target=|_top|&gt;GSB&lt;/a&gt;</v>
      </c>
      <c r="AE24" s="2" t="str">
        <f t="shared" si="94"/>
        <v>&lt;/li&gt;&lt;li&gt;&lt;a href=|http://jfb.biblecommenter.com/genesis/24.htm| title=|Jamieson-Fausset-Brown Bible Commentary| target=|_top|&gt;JFB&lt;/a&gt;</v>
      </c>
      <c r="AF24" s="2" t="str">
        <f t="shared" si="94"/>
        <v>&lt;/li&gt;&lt;li&gt;&lt;a href=|http://kjt.biblecommenter.com/genesis/24.htm| title=|King James Translators' Notes| target=|_top|&gt;KJT&lt;/a&gt;</v>
      </c>
      <c r="AG24" s="2" t="str">
        <f t="shared" si="94"/>
        <v>&lt;/li&gt;&lt;li&gt;&lt;a href=|http://mhc.biblecommenter.com/genesis/24.htm| title=|Matthew Henry's Concise Commentary| target=|_top|&gt;MHC&lt;/a&gt;</v>
      </c>
      <c r="AH24" s="2" t="str">
        <f t="shared" si="94"/>
        <v>&lt;/li&gt;&lt;li&gt;&lt;a href=|http://sco.biblecommenter.com/genesis/24.htm| title=|Scofield Reference Notes| target=|_top|&gt;SCO&lt;/a&gt;</v>
      </c>
      <c r="AI24" s="2" t="str">
        <f t="shared" si="94"/>
        <v>&lt;/li&gt;&lt;li&gt;&lt;a href=|http://wes.biblecommenter.com/genesis/24.htm| title=|Wesley's Notes on the Bible| target=|_top|&gt;WES&lt;/a&gt;</v>
      </c>
      <c r="AJ24" t="str">
        <f t="shared" si="94"/>
        <v>&lt;/li&gt;&lt;li&gt;&lt;a href=|http://worldebible.com/genesis/24.htm| title=|World English Bible| target=|_top|&gt;WEB&lt;/a&gt;</v>
      </c>
      <c r="AK24" t="str">
        <f t="shared" si="94"/>
        <v>&lt;/li&gt;&lt;li&gt;&lt;a href=|http://yltbible.com/genesis/24.htm| title=|Young's Literal Translation| target=|_top|&gt;YLT&lt;/a&gt;</v>
      </c>
      <c r="AL24" t="str">
        <f>CONCATENATE("&lt;a href=|http://",AL1191,"/genesis/24.htm","| ","title=|",AL1190,"| target=|_top|&gt;",AL1192,"&lt;/a&gt;")</f>
        <v>&lt;a href=|http://kjv.us/genesis/24.htm| title=|American King James Version| target=|_top|&gt;AKJ&lt;/a&gt;</v>
      </c>
      <c r="AM24" t="str">
        <f t="shared" ref="AM24:AN24" si="95">CONCATENATE("&lt;/li&gt;&lt;li&gt;&lt;a href=|http://",AM1191,"/genesis/24.htm","| ","title=|",AM1190,"| target=|_top|&gt;",AM1192,"&lt;/a&gt;")</f>
        <v>&lt;/li&gt;&lt;li&gt;&lt;a href=|http://basicenglishbible.com/genesis/24.htm| title=|Bible in Basic English| target=|_top|&gt;BBE&lt;/a&gt;</v>
      </c>
      <c r="AN24" t="str">
        <f t="shared" si="95"/>
        <v>&lt;/li&gt;&lt;li&gt;&lt;a href=|http://darbybible.com/genesis/24.htm| title=|Darby Bible Translation| target=|_top|&gt;DBY&lt;/a&gt;</v>
      </c>
      <c r="AO2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4" t="str">
        <f>CONCATENATE("&lt;/li&gt;&lt;li&gt;&lt;a href=|http://",AR1191,"/genesis/24.htm","| ","title=|",AR1190,"| target=|_top|&gt;",AR1192,"&lt;/a&gt;")</f>
        <v>&lt;/li&gt;&lt;li&gt;&lt;a href=|http://websterbible.com/genesis/24.htm| title=|Webster's Bible Translation| target=|_top|&gt;WBS&lt;/a&gt;</v>
      </c>
      <c r="AS2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4" t="str">
        <f>CONCATENATE("&lt;/li&gt;&lt;li&gt;&lt;a href=|http://",AT1191,"/genesis/24-1.htm","| ","title=|",AT1190,"| target=|_top|&gt;",AT1192,"&lt;/a&gt;")</f>
        <v>&lt;/li&gt;&lt;li&gt;&lt;a href=|http://biblebrowser.com/genesis/24-1.htm| title=|Split View| target=|_top|&gt;Split&lt;/a&gt;</v>
      </c>
      <c r="AU24" s="2" t="s">
        <v>1276</v>
      </c>
      <c r="AV24" t="s">
        <v>64</v>
      </c>
    </row>
    <row r="25" spans="1:48">
      <c r="A25" t="s">
        <v>622</v>
      </c>
      <c r="B25" t="s">
        <v>78</v>
      </c>
      <c r="C25" t="s">
        <v>624</v>
      </c>
      <c r="D25" t="s">
        <v>1268</v>
      </c>
      <c r="E25" t="s">
        <v>1277</v>
      </c>
      <c r="F25" t="s">
        <v>1304</v>
      </c>
      <c r="G25" t="s">
        <v>1266</v>
      </c>
      <c r="H25" t="s">
        <v>1305</v>
      </c>
      <c r="I25" t="s">
        <v>1303</v>
      </c>
      <c r="J25" t="s">
        <v>1267</v>
      </c>
      <c r="K25" t="s">
        <v>1275</v>
      </c>
      <c r="L25" s="2" t="s">
        <v>1274</v>
      </c>
      <c r="M25" t="str">
        <f t="shared" ref="M25:AB25" si="96">CONCATENATE("&lt;/li&gt;&lt;li&gt;&lt;a href=|http://",M1191,"/genesis/25.htm","| ","title=|",M1190,"| target=|_top|&gt;",M1192,"&lt;/a&gt;")</f>
        <v>&lt;/li&gt;&lt;li&gt;&lt;a href=|http://niv.scripturetext.com/genesis/25.htm| title=|New International Version| target=|_top|&gt;NIV&lt;/a&gt;</v>
      </c>
      <c r="N25" t="str">
        <f t="shared" si="96"/>
        <v>&lt;/li&gt;&lt;li&gt;&lt;a href=|http://nlt.scripturetext.com/genesis/25.htm| title=|New Living Translation| target=|_top|&gt;NLT&lt;/a&gt;</v>
      </c>
      <c r="O25" t="str">
        <f t="shared" si="96"/>
        <v>&lt;/li&gt;&lt;li&gt;&lt;a href=|http://nasb.scripturetext.com/genesis/25.htm| title=|New American Standard Bible| target=|_top|&gt;NAS&lt;/a&gt;</v>
      </c>
      <c r="P25" t="str">
        <f t="shared" si="96"/>
        <v>&lt;/li&gt;&lt;li&gt;&lt;a href=|http://gwt.scripturetext.com/genesis/25.htm| title=|God's Word Translation| target=|_top|&gt;GWT&lt;/a&gt;</v>
      </c>
      <c r="Q25" t="str">
        <f t="shared" si="96"/>
        <v>&lt;/li&gt;&lt;li&gt;&lt;a href=|http://kingjbible.com/genesis/25.htm| title=|King James Bible| target=|_top|&gt;KJV&lt;/a&gt;</v>
      </c>
      <c r="R25" t="str">
        <f t="shared" si="96"/>
        <v>&lt;/li&gt;&lt;li&gt;&lt;a href=|http://asvbible.com/genesis/25.htm| title=|American Standard Version| target=|_top|&gt;ASV&lt;/a&gt;</v>
      </c>
      <c r="S25" t="str">
        <f t="shared" si="96"/>
        <v>&lt;/li&gt;&lt;li&gt;&lt;a href=|http://drb.scripturetext.com/genesis/25.htm| title=|Douay-Rheims Bible| target=|_top|&gt;DRB&lt;/a&gt;</v>
      </c>
      <c r="T25" t="str">
        <f t="shared" si="96"/>
        <v>&lt;/li&gt;&lt;li&gt;&lt;a href=|http://erv.scripturetext.com/genesis/25.htm| title=|English Revised Version| target=|_top|&gt;ERV&lt;/a&gt;</v>
      </c>
      <c r="V25" t="str">
        <f>CONCATENATE("&lt;/li&gt;&lt;li&gt;&lt;a href=|http://",V1191,"/genesis/25.htm","| ","title=|",V1190,"| target=|_top|&gt;",V1192,"&lt;/a&gt;")</f>
        <v>&lt;/li&gt;&lt;li&gt;&lt;a href=|http://study.interlinearbible.org/genesis/25.htm| title=|Hebrew Study Bible| target=|_top|&gt;Heb Study&lt;/a&gt;</v>
      </c>
      <c r="W25" t="str">
        <f t="shared" si="96"/>
        <v>&lt;/li&gt;&lt;li&gt;&lt;a href=|http://apostolic.interlinearbible.org/genesis/25.htm| title=|Apostolic Bible Polyglot Interlinear| target=|_top|&gt;Polyglot&lt;/a&gt;</v>
      </c>
      <c r="X25" t="str">
        <f t="shared" si="96"/>
        <v>&lt;/li&gt;&lt;li&gt;&lt;a href=|http://interlinearbible.org/genesis/25.htm| title=|Interlinear Bible| target=|_top|&gt;Interlin&lt;/a&gt;</v>
      </c>
      <c r="Y25" t="str">
        <f t="shared" ref="Y25" si="97">CONCATENATE("&lt;/li&gt;&lt;li&gt;&lt;a href=|http://",Y1191,"/genesis/25.htm","| ","title=|",Y1190,"| target=|_top|&gt;",Y1192,"&lt;/a&gt;")</f>
        <v>&lt;/li&gt;&lt;li&gt;&lt;a href=|http://bibleoutline.org/genesis/25.htm| title=|Outline with People and Places List| target=|_top|&gt;Outline&lt;/a&gt;</v>
      </c>
      <c r="Z25" t="str">
        <f t="shared" si="96"/>
        <v>&lt;/li&gt;&lt;li&gt;&lt;a href=|http://kjvs.scripturetext.com/genesis/25.htm| title=|King James Bible with Strong's Numbers| target=|_top|&gt;Strong's&lt;/a&gt;</v>
      </c>
      <c r="AA25" t="str">
        <f t="shared" si="96"/>
        <v>&lt;/li&gt;&lt;li&gt;&lt;a href=|http://childrensbibleonline.com/genesis/25.htm| title=|The Children's Bible| target=|_top|&gt;Children's&lt;/a&gt;</v>
      </c>
      <c r="AB25" s="2" t="str">
        <f t="shared" si="96"/>
        <v>&lt;/li&gt;&lt;li&gt;&lt;a href=|http://tsk.scripturetext.com/genesis/25.htm| title=|Treasury of Scripture Knowledge| target=|_top|&gt;TSK&lt;/a&gt;</v>
      </c>
      <c r="AC25" t="str">
        <f>CONCATENATE("&lt;a href=|http://",AC1191,"/genesis/25.htm","| ","title=|",AC1190,"| target=|_top|&gt;",AC1192,"&lt;/a&gt;")</f>
        <v>&lt;a href=|http://parallelbible.com/genesis/25.htm| title=|Parallel Chapters| target=|_top|&gt;PAR&lt;/a&gt;</v>
      </c>
      <c r="AD25" s="2" t="str">
        <f t="shared" ref="AD25:AK25" si="98">CONCATENATE("&lt;/li&gt;&lt;li&gt;&lt;a href=|http://",AD1191,"/genesis/25.htm","| ","title=|",AD1190,"| target=|_top|&gt;",AD1192,"&lt;/a&gt;")</f>
        <v>&lt;/li&gt;&lt;li&gt;&lt;a href=|http://gsb.biblecommenter.com/genesis/25.htm| title=|Geneva Study Bible| target=|_top|&gt;GSB&lt;/a&gt;</v>
      </c>
      <c r="AE25" s="2" t="str">
        <f t="shared" si="98"/>
        <v>&lt;/li&gt;&lt;li&gt;&lt;a href=|http://jfb.biblecommenter.com/genesis/25.htm| title=|Jamieson-Fausset-Brown Bible Commentary| target=|_top|&gt;JFB&lt;/a&gt;</v>
      </c>
      <c r="AF25" s="2" t="str">
        <f t="shared" si="98"/>
        <v>&lt;/li&gt;&lt;li&gt;&lt;a href=|http://kjt.biblecommenter.com/genesis/25.htm| title=|King James Translators' Notes| target=|_top|&gt;KJT&lt;/a&gt;</v>
      </c>
      <c r="AG25" s="2" t="str">
        <f t="shared" si="98"/>
        <v>&lt;/li&gt;&lt;li&gt;&lt;a href=|http://mhc.biblecommenter.com/genesis/25.htm| title=|Matthew Henry's Concise Commentary| target=|_top|&gt;MHC&lt;/a&gt;</v>
      </c>
      <c r="AH25" s="2" t="str">
        <f t="shared" si="98"/>
        <v>&lt;/li&gt;&lt;li&gt;&lt;a href=|http://sco.biblecommenter.com/genesis/25.htm| title=|Scofield Reference Notes| target=|_top|&gt;SCO&lt;/a&gt;</v>
      </c>
      <c r="AI25" s="2" t="str">
        <f t="shared" si="98"/>
        <v>&lt;/li&gt;&lt;li&gt;&lt;a href=|http://wes.biblecommenter.com/genesis/25.htm| title=|Wesley's Notes on the Bible| target=|_top|&gt;WES&lt;/a&gt;</v>
      </c>
      <c r="AJ25" t="str">
        <f t="shared" si="98"/>
        <v>&lt;/li&gt;&lt;li&gt;&lt;a href=|http://worldebible.com/genesis/25.htm| title=|World English Bible| target=|_top|&gt;WEB&lt;/a&gt;</v>
      </c>
      <c r="AK25" t="str">
        <f t="shared" si="98"/>
        <v>&lt;/li&gt;&lt;li&gt;&lt;a href=|http://yltbible.com/genesis/25.htm| title=|Young's Literal Translation| target=|_top|&gt;YLT&lt;/a&gt;</v>
      </c>
      <c r="AL25" t="str">
        <f>CONCATENATE("&lt;a href=|http://",AL1191,"/genesis/25.htm","| ","title=|",AL1190,"| target=|_top|&gt;",AL1192,"&lt;/a&gt;")</f>
        <v>&lt;a href=|http://kjv.us/genesis/25.htm| title=|American King James Version| target=|_top|&gt;AKJ&lt;/a&gt;</v>
      </c>
      <c r="AM25" t="str">
        <f t="shared" ref="AM25:AN25" si="99">CONCATENATE("&lt;/li&gt;&lt;li&gt;&lt;a href=|http://",AM1191,"/genesis/25.htm","| ","title=|",AM1190,"| target=|_top|&gt;",AM1192,"&lt;/a&gt;")</f>
        <v>&lt;/li&gt;&lt;li&gt;&lt;a href=|http://basicenglishbible.com/genesis/25.htm| title=|Bible in Basic English| target=|_top|&gt;BBE&lt;/a&gt;</v>
      </c>
      <c r="AN25" t="str">
        <f t="shared" si="99"/>
        <v>&lt;/li&gt;&lt;li&gt;&lt;a href=|http://darbybible.com/genesis/25.htm| title=|Darby Bible Translation| target=|_top|&gt;DBY&lt;/a&gt;</v>
      </c>
      <c r="AO2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5" t="str">
        <f>CONCATENATE("&lt;/li&gt;&lt;li&gt;&lt;a href=|http://",AR1191,"/genesis/25.htm","| ","title=|",AR1190,"| target=|_top|&gt;",AR1192,"&lt;/a&gt;")</f>
        <v>&lt;/li&gt;&lt;li&gt;&lt;a href=|http://websterbible.com/genesis/25.htm| title=|Webster's Bible Translation| target=|_top|&gt;WBS&lt;/a&gt;</v>
      </c>
      <c r="AS2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5" t="str">
        <f>CONCATENATE("&lt;/li&gt;&lt;li&gt;&lt;a href=|http://",AT1191,"/genesis/25-1.htm","| ","title=|",AT1190,"| target=|_top|&gt;",AT1192,"&lt;/a&gt;")</f>
        <v>&lt;/li&gt;&lt;li&gt;&lt;a href=|http://biblebrowser.com/genesis/25-1.htm| title=|Split View| target=|_top|&gt;Split&lt;/a&gt;</v>
      </c>
      <c r="AU25" s="2" t="s">
        <v>1276</v>
      </c>
      <c r="AV25" t="s">
        <v>64</v>
      </c>
    </row>
    <row r="26" spans="1:48">
      <c r="A26" t="s">
        <v>622</v>
      </c>
      <c r="B26" t="s">
        <v>79</v>
      </c>
      <c r="C26" t="s">
        <v>624</v>
      </c>
      <c r="D26" t="s">
        <v>1268</v>
      </c>
      <c r="E26" t="s">
        <v>1277</v>
      </c>
      <c r="F26" t="s">
        <v>1304</v>
      </c>
      <c r="G26" t="s">
        <v>1266</v>
      </c>
      <c r="H26" t="s">
        <v>1305</v>
      </c>
      <c r="I26" t="s">
        <v>1303</v>
      </c>
      <c r="J26" t="s">
        <v>1267</v>
      </c>
      <c r="K26" t="s">
        <v>1275</v>
      </c>
      <c r="L26" s="2" t="s">
        <v>1274</v>
      </c>
      <c r="M26" t="str">
        <f t="shared" ref="M26:AB26" si="100">CONCATENATE("&lt;/li&gt;&lt;li&gt;&lt;a href=|http://",M1191,"/genesis/26.htm","| ","title=|",M1190,"| target=|_top|&gt;",M1192,"&lt;/a&gt;")</f>
        <v>&lt;/li&gt;&lt;li&gt;&lt;a href=|http://niv.scripturetext.com/genesis/26.htm| title=|New International Version| target=|_top|&gt;NIV&lt;/a&gt;</v>
      </c>
      <c r="N26" t="str">
        <f t="shared" si="100"/>
        <v>&lt;/li&gt;&lt;li&gt;&lt;a href=|http://nlt.scripturetext.com/genesis/26.htm| title=|New Living Translation| target=|_top|&gt;NLT&lt;/a&gt;</v>
      </c>
      <c r="O26" t="str">
        <f t="shared" si="100"/>
        <v>&lt;/li&gt;&lt;li&gt;&lt;a href=|http://nasb.scripturetext.com/genesis/26.htm| title=|New American Standard Bible| target=|_top|&gt;NAS&lt;/a&gt;</v>
      </c>
      <c r="P26" t="str">
        <f t="shared" si="100"/>
        <v>&lt;/li&gt;&lt;li&gt;&lt;a href=|http://gwt.scripturetext.com/genesis/26.htm| title=|God's Word Translation| target=|_top|&gt;GWT&lt;/a&gt;</v>
      </c>
      <c r="Q26" t="str">
        <f t="shared" si="100"/>
        <v>&lt;/li&gt;&lt;li&gt;&lt;a href=|http://kingjbible.com/genesis/26.htm| title=|King James Bible| target=|_top|&gt;KJV&lt;/a&gt;</v>
      </c>
      <c r="R26" t="str">
        <f t="shared" si="100"/>
        <v>&lt;/li&gt;&lt;li&gt;&lt;a href=|http://asvbible.com/genesis/26.htm| title=|American Standard Version| target=|_top|&gt;ASV&lt;/a&gt;</v>
      </c>
      <c r="S26" t="str">
        <f t="shared" si="100"/>
        <v>&lt;/li&gt;&lt;li&gt;&lt;a href=|http://drb.scripturetext.com/genesis/26.htm| title=|Douay-Rheims Bible| target=|_top|&gt;DRB&lt;/a&gt;</v>
      </c>
      <c r="T26" t="str">
        <f t="shared" si="100"/>
        <v>&lt;/li&gt;&lt;li&gt;&lt;a href=|http://erv.scripturetext.com/genesis/26.htm| title=|English Revised Version| target=|_top|&gt;ERV&lt;/a&gt;</v>
      </c>
      <c r="V26" t="str">
        <f>CONCATENATE("&lt;/li&gt;&lt;li&gt;&lt;a href=|http://",V1191,"/genesis/26.htm","| ","title=|",V1190,"| target=|_top|&gt;",V1192,"&lt;/a&gt;")</f>
        <v>&lt;/li&gt;&lt;li&gt;&lt;a href=|http://study.interlinearbible.org/genesis/26.htm| title=|Hebrew Study Bible| target=|_top|&gt;Heb Study&lt;/a&gt;</v>
      </c>
      <c r="W26" t="str">
        <f t="shared" si="100"/>
        <v>&lt;/li&gt;&lt;li&gt;&lt;a href=|http://apostolic.interlinearbible.org/genesis/26.htm| title=|Apostolic Bible Polyglot Interlinear| target=|_top|&gt;Polyglot&lt;/a&gt;</v>
      </c>
      <c r="X26" t="str">
        <f t="shared" si="100"/>
        <v>&lt;/li&gt;&lt;li&gt;&lt;a href=|http://interlinearbible.org/genesis/26.htm| title=|Interlinear Bible| target=|_top|&gt;Interlin&lt;/a&gt;</v>
      </c>
      <c r="Y26" t="str">
        <f t="shared" ref="Y26" si="101">CONCATENATE("&lt;/li&gt;&lt;li&gt;&lt;a href=|http://",Y1191,"/genesis/26.htm","| ","title=|",Y1190,"| target=|_top|&gt;",Y1192,"&lt;/a&gt;")</f>
        <v>&lt;/li&gt;&lt;li&gt;&lt;a href=|http://bibleoutline.org/genesis/26.htm| title=|Outline with People and Places List| target=|_top|&gt;Outline&lt;/a&gt;</v>
      </c>
      <c r="Z26" t="str">
        <f t="shared" si="100"/>
        <v>&lt;/li&gt;&lt;li&gt;&lt;a href=|http://kjvs.scripturetext.com/genesis/26.htm| title=|King James Bible with Strong's Numbers| target=|_top|&gt;Strong's&lt;/a&gt;</v>
      </c>
      <c r="AA26" t="str">
        <f t="shared" si="100"/>
        <v>&lt;/li&gt;&lt;li&gt;&lt;a href=|http://childrensbibleonline.com/genesis/26.htm| title=|The Children's Bible| target=|_top|&gt;Children's&lt;/a&gt;</v>
      </c>
      <c r="AB26" s="2" t="str">
        <f t="shared" si="100"/>
        <v>&lt;/li&gt;&lt;li&gt;&lt;a href=|http://tsk.scripturetext.com/genesis/26.htm| title=|Treasury of Scripture Knowledge| target=|_top|&gt;TSK&lt;/a&gt;</v>
      </c>
      <c r="AC26" t="str">
        <f>CONCATENATE("&lt;a href=|http://",AC1191,"/genesis/26.htm","| ","title=|",AC1190,"| target=|_top|&gt;",AC1192,"&lt;/a&gt;")</f>
        <v>&lt;a href=|http://parallelbible.com/genesis/26.htm| title=|Parallel Chapters| target=|_top|&gt;PAR&lt;/a&gt;</v>
      </c>
      <c r="AD26" s="2" t="str">
        <f t="shared" ref="AD26:AK26" si="102">CONCATENATE("&lt;/li&gt;&lt;li&gt;&lt;a href=|http://",AD1191,"/genesis/26.htm","| ","title=|",AD1190,"| target=|_top|&gt;",AD1192,"&lt;/a&gt;")</f>
        <v>&lt;/li&gt;&lt;li&gt;&lt;a href=|http://gsb.biblecommenter.com/genesis/26.htm| title=|Geneva Study Bible| target=|_top|&gt;GSB&lt;/a&gt;</v>
      </c>
      <c r="AE26" s="2" t="str">
        <f t="shared" si="102"/>
        <v>&lt;/li&gt;&lt;li&gt;&lt;a href=|http://jfb.biblecommenter.com/genesis/26.htm| title=|Jamieson-Fausset-Brown Bible Commentary| target=|_top|&gt;JFB&lt;/a&gt;</v>
      </c>
      <c r="AF26" s="2" t="str">
        <f t="shared" si="102"/>
        <v>&lt;/li&gt;&lt;li&gt;&lt;a href=|http://kjt.biblecommenter.com/genesis/26.htm| title=|King James Translators' Notes| target=|_top|&gt;KJT&lt;/a&gt;</v>
      </c>
      <c r="AG26" s="2" t="str">
        <f t="shared" si="102"/>
        <v>&lt;/li&gt;&lt;li&gt;&lt;a href=|http://mhc.biblecommenter.com/genesis/26.htm| title=|Matthew Henry's Concise Commentary| target=|_top|&gt;MHC&lt;/a&gt;</v>
      </c>
      <c r="AH26" s="2" t="str">
        <f t="shared" si="102"/>
        <v>&lt;/li&gt;&lt;li&gt;&lt;a href=|http://sco.biblecommenter.com/genesis/26.htm| title=|Scofield Reference Notes| target=|_top|&gt;SCO&lt;/a&gt;</v>
      </c>
      <c r="AI26" s="2" t="str">
        <f t="shared" si="102"/>
        <v>&lt;/li&gt;&lt;li&gt;&lt;a href=|http://wes.biblecommenter.com/genesis/26.htm| title=|Wesley's Notes on the Bible| target=|_top|&gt;WES&lt;/a&gt;</v>
      </c>
      <c r="AJ26" t="str">
        <f t="shared" si="102"/>
        <v>&lt;/li&gt;&lt;li&gt;&lt;a href=|http://worldebible.com/genesis/26.htm| title=|World English Bible| target=|_top|&gt;WEB&lt;/a&gt;</v>
      </c>
      <c r="AK26" t="str">
        <f t="shared" si="102"/>
        <v>&lt;/li&gt;&lt;li&gt;&lt;a href=|http://yltbible.com/genesis/26.htm| title=|Young's Literal Translation| target=|_top|&gt;YLT&lt;/a&gt;</v>
      </c>
      <c r="AL26" t="str">
        <f>CONCATENATE("&lt;a href=|http://",AL1191,"/genesis/26.htm","| ","title=|",AL1190,"| target=|_top|&gt;",AL1192,"&lt;/a&gt;")</f>
        <v>&lt;a href=|http://kjv.us/genesis/26.htm| title=|American King James Version| target=|_top|&gt;AKJ&lt;/a&gt;</v>
      </c>
      <c r="AM26" t="str">
        <f t="shared" ref="AM26:AN26" si="103">CONCATENATE("&lt;/li&gt;&lt;li&gt;&lt;a href=|http://",AM1191,"/genesis/26.htm","| ","title=|",AM1190,"| target=|_top|&gt;",AM1192,"&lt;/a&gt;")</f>
        <v>&lt;/li&gt;&lt;li&gt;&lt;a href=|http://basicenglishbible.com/genesis/26.htm| title=|Bible in Basic English| target=|_top|&gt;BBE&lt;/a&gt;</v>
      </c>
      <c r="AN26" t="str">
        <f t="shared" si="103"/>
        <v>&lt;/li&gt;&lt;li&gt;&lt;a href=|http://darbybible.com/genesis/26.htm| title=|Darby Bible Translation| target=|_top|&gt;DBY&lt;/a&gt;</v>
      </c>
      <c r="AO2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6" t="str">
        <f>CONCATENATE("&lt;/li&gt;&lt;li&gt;&lt;a href=|http://",AR1191,"/genesis/26.htm","| ","title=|",AR1190,"| target=|_top|&gt;",AR1192,"&lt;/a&gt;")</f>
        <v>&lt;/li&gt;&lt;li&gt;&lt;a href=|http://websterbible.com/genesis/26.htm| title=|Webster's Bible Translation| target=|_top|&gt;WBS&lt;/a&gt;</v>
      </c>
      <c r="AS2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6" t="str">
        <f>CONCATENATE("&lt;/li&gt;&lt;li&gt;&lt;a href=|http://",AT1191,"/genesis/26-1.htm","| ","title=|",AT1190,"| target=|_top|&gt;",AT1192,"&lt;/a&gt;")</f>
        <v>&lt;/li&gt;&lt;li&gt;&lt;a href=|http://biblebrowser.com/genesis/26-1.htm| title=|Split View| target=|_top|&gt;Split&lt;/a&gt;</v>
      </c>
      <c r="AU26" s="2" t="s">
        <v>1276</v>
      </c>
      <c r="AV26" t="s">
        <v>64</v>
      </c>
    </row>
    <row r="27" spans="1:48">
      <c r="A27" t="s">
        <v>622</v>
      </c>
      <c r="B27" t="s">
        <v>80</v>
      </c>
      <c r="C27" t="s">
        <v>624</v>
      </c>
      <c r="D27" t="s">
        <v>1268</v>
      </c>
      <c r="E27" t="s">
        <v>1277</v>
      </c>
      <c r="F27" t="s">
        <v>1304</v>
      </c>
      <c r="G27" t="s">
        <v>1266</v>
      </c>
      <c r="H27" t="s">
        <v>1305</v>
      </c>
      <c r="I27" t="s">
        <v>1303</v>
      </c>
      <c r="J27" t="s">
        <v>1267</v>
      </c>
      <c r="K27" t="s">
        <v>1275</v>
      </c>
      <c r="L27" s="2" t="s">
        <v>1274</v>
      </c>
      <c r="M27" t="str">
        <f t="shared" ref="M27:AB27" si="104">CONCATENATE("&lt;/li&gt;&lt;li&gt;&lt;a href=|http://",M1191,"/genesis/27.htm","| ","title=|",M1190,"| target=|_top|&gt;",M1192,"&lt;/a&gt;")</f>
        <v>&lt;/li&gt;&lt;li&gt;&lt;a href=|http://niv.scripturetext.com/genesis/27.htm| title=|New International Version| target=|_top|&gt;NIV&lt;/a&gt;</v>
      </c>
      <c r="N27" t="str">
        <f t="shared" si="104"/>
        <v>&lt;/li&gt;&lt;li&gt;&lt;a href=|http://nlt.scripturetext.com/genesis/27.htm| title=|New Living Translation| target=|_top|&gt;NLT&lt;/a&gt;</v>
      </c>
      <c r="O27" t="str">
        <f t="shared" si="104"/>
        <v>&lt;/li&gt;&lt;li&gt;&lt;a href=|http://nasb.scripturetext.com/genesis/27.htm| title=|New American Standard Bible| target=|_top|&gt;NAS&lt;/a&gt;</v>
      </c>
      <c r="P27" t="str">
        <f t="shared" si="104"/>
        <v>&lt;/li&gt;&lt;li&gt;&lt;a href=|http://gwt.scripturetext.com/genesis/27.htm| title=|God's Word Translation| target=|_top|&gt;GWT&lt;/a&gt;</v>
      </c>
      <c r="Q27" t="str">
        <f t="shared" si="104"/>
        <v>&lt;/li&gt;&lt;li&gt;&lt;a href=|http://kingjbible.com/genesis/27.htm| title=|King James Bible| target=|_top|&gt;KJV&lt;/a&gt;</v>
      </c>
      <c r="R27" t="str">
        <f t="shared" si="104"/>
        <v>&lt;/li&gt;&lt;li&gt;&lt;a href=|http://asvbible.com/genesis/27.htm| title=|American Standard Version| target=|_top|&gt;ASV&lt;/a&gt;</v>
      </c>
      <c r="S27" t="str">
        <f t="shared" si="104"/>
        <v>&lt;/li&gt;&lt;li&gt;&lt;a href=|http://drb.scripturetext.com/genesis/27.htm| title=|Douay-Rheims Bible| target=|_top|&gt;DRB&lt;/a&gt;</v>
      </c>
      <c r="T27" t="str">
        <f t="shared" si="104"/>
        <v>&lt;/li&gt;&lt;li&gt;&lt;a href=|http://erv.scripturetext.com/genesis/27.htm| title=|English Revised Version| target=|_top|&gt;ERV&lt;/a&gt;</v>
      </c>
      <c r="V27" t="str">
        <f>CONCATENATE("&lt;/li&gt;&lt;li&gt;&lt;a href=|http://",V1191,"/genesis/27.htm","| ","title=|",V1190,"| target=|_top|&gt;",V1192,"&lt;/a&gt;")</f>
        <v>&lt;/li&gt;&lt;li&gt;&lt;a href=|http://study.interlinearbible.org/genesis/27.htm| title=|Hebrew Study Bible| target=|_top|&gt;Heb Study&lt;/a&gt;</v>
      </c>
      <c r="W27" t="str">
        <f t="shared" si="104"/>
        <v>&lt;/li&gt;&lt;li&gt;&lt;a href=|http://apostolic.interlinearbible.org/genesis/27.htm| title=|Apostolic Bible Polyglot Interlinear| target=|_top|&gt;Polyglot&lt;/a&gt;</v>
      </c>
      <c r="X27" t="str">
        <f t="shared" si="104"/>
        <v>&lt;/li&gt;&lt;li&gt;&lt;a href=|http://interlinearbible.org/genesis/27.htm| title=|Interlinear Bible| target=|_top|&gt;Interlin&lt;/a&gt;</v>
      </c>
      <c r="Y27" t="str">
        <f t="shared" ref="Y27" si="105">CONCATENATE("&lt;/li&gt;&lt;li&gt;&lt;a href=|http://",Y1191,"/genesis/27.htm","| ","title=|",Y1190,"| target=|_top|&gt;",Y1192,"&lt;/a&gt;")</f>
        <v>&lt;/li&gt;&lt;li&gt;&lt;a href=|http://bibleoutline.org/genesis/27.htm| title=|Outline with People and Places List| target=|_top|&gt;Outline&lt;/a&gt;</v>
      </c>
      <c r="Z27" t="str">
        <f t="shared" si="104"/>
        <v>&lt;/li&gt;&lt;li&gt;&lt;a href=|http://kjvs.scripturetext.com/genesis/27.htm| title=|King James Bible with Strong's Numbers| target=|_top|&gt;Strong's&lt;/a&gt;</v>
      </c>
      <c r="AA27" t="str">
        <f t="shared" si="104"/>
        <v>&lt;/li&gt;&lt;li&gt;&lt;a href=|http://childrensbibleonline.com/genesis/27.htm| title=|The Children's Bible| target=|_top|&gt;Children's&lt;/a&gt;</v>
      </c>
      <c r="AB27" s="2" t="str">
        <f t="shared" si="104"/>
        <v>&lt;/li&gt;&lt;li&gt;&lt;a href=|http://tsk.scripturetext.com/genesis/27.htm| title=|Treasury of Scripture Knowledge| target=|_top|&gt;TSK&lt;/a&gt;</v>
      </c>
      <c r="AC27" t="str">
        <f>CONCATENATE("&lt;a href=|http://",AC1191,"/genesis/27.htm","| ","title=|",AC1190,"| target=|_top|&gt;",AC1192,"&lt;/a&gt;")</f>
        <v>&lt;a href=|http://parallelbible.com/genesis/27.htm| title=|Parallel Chapters| target=|_top|&gt;PAR&lt;/a&gt;</v>
      </c>
      <c r="AD27" s="2" t="str">
        <f t="shared" ref="AD27:AK27" si="106">CONCATENATE("&lt;/li&gt;&lt;li&gt;&lt;a href=|http://",AD1191,"/genesis/27.htm","| ","title=|",AD1190,"| target=|_top|&gt;",AD1192,"&lt;/a&gt;")</f>
        <v>&lt;/li&gt;&lt;li&gt;&lt;a href=|http://gsb.biblecommenter.com/genesis/27.htm| title=|Geneva Study Bible| target=|_top|&gt;GSB&lt;/a&gt;</v>
      </c>
      <c r="AE27" s="2" t="str">
        <f t="shared" si="106"/>
        <v>&lt;/li&gt;&lt;li&gt;&lt;a href=|http://jfb.biblecommenter.com/genesis/27.htm| title=|Jamieson-Fausset-Brown Bible Commentary| target=|_top|&gt;JFB&lt;/a&gt;</v>
      </c>
      <c r="AF27" s="2" t="str">
        <f t="shared" si="106"/>
        <v>&lt;/li&gt;&lt;li&gt;&lt;a href=|http://kjt.biblecommenter.com/genesis/27.htm| title=|King James Translators' Notes| target=|_top|&gt;KJT&lt;/a&gt;</v>
      </c>
      <c r="AG27" s="2" t="str">
        <f t="shared" si="106"/>
        <v>&lt;/li&gt;&lt;li&gt;&lt;a href=|http://mhc.biblecommenter.com/genesis/27.htm| title=|Matthew Henry's Concise Commentary| target=|_top|&gt;MHC&lt;/a&gt;</v>
      </c>
      <c r="AH27" s="2" t="str">
        <f t="shared" si="106"/>
        <v>&lt;/li&gt;&lt;li&gt;&lt;a href=|http://sco.biblecommenter.com/genesis/27.htm| title=|Scofield Reference Notes| target=|_top|&gt;SCO&lt;/a&gt;</v>
      </c>
      <c r="AI27" s="2" t="str">
        <f t="shared" si="106"/>
        <v>&lt;/li&gt;&lt;li&gt;&lt;a href=|http://wes.biblecommenter.com/genesis/27.htm| title=|Wesley's Notes on the Bible| target=|_top|&gt;WES&lt;/a&gt;</v>
      </c>
      <c r="AJ27" t="str">
        <f t="shared" si="106"/>
        <v>&lt;/li&gt;&lt;li&gt;&lt;a href=|http://worldebible.com/genesis/27.htm| title=|World English Bible| target=|_top|&gt;WEB&lt;/a&gt;</v>
      </c>
      <c r="AK27" t="str">
        <f t="shared" si="106"/>
        <v>&lt;/li&gt;&lt;li&gt;&lt;a href=|http://yltbible.com/genesis/27.htm| title=|Young's Literal Translation| target=|_top|&gt;YLT&lt;/a&gt;</v>
      </c>
      <c r="AL27" t="str">
        <f>CONCATENATE("&lt;a href=|http://",AL1191,"/genesis/27.htm","| ","title=|",AL1190,"| target=|_top|&gt;",AL1192,"&lt;/a&gt;")</f>
        <v>&lt;a href=|http://kjv.us/genesis/27.htm| title=|American King James Version| target=|_top|&gt;AKJ&lt;/a&gt;</v>
      </c>
      <c r="AM27" t="str">
        <f t="shared" ref="AM27:AN27" si="107">CONCATENATE("&lt;/li&gt;&lt;li&gt;&lt;a href=|http://",AM1191,"/genesis/27.htm","| ","title=|",AM1190,"| target=|_top|&gt;",AM1192,"&lt;/a&gt;")</f>
        <v>&lt;/li&gt;&lt;li&gt;&lt;a href=|http://basicenglishbible.com/genesis/27.htm| title=|Bible in Basic English| target=|_top|&gt;BBE&lt;/a&gt;</v>
      </c>
      <c r="AN27" t="str">
        <f t="shared" si="107"/>
        <v>&lt;/li&gt;&lt;li&gt;&lt;a href=|http://darbybible.com/genesis/27.htm| title=|Darby Bible Translation| target=|_top|&gt;DBY&lt;/a&gt;</v>
      </c>
      <c r="AO2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7" t="str">
        <f>CONCATENATE("&lt;/li&gt;&lt;li&gt;&lt;a href=|http://",AR1191,"/genesis/27.htm","| ","title=|",AR1190,"| target=|_top|&gt;",AR1192,"&lt;/a&gt;")</f>
        <v>&lt;/li&gt;&lt;li&gt;&lt;a href=|http://websterbible.com/genesis/27.htm| title=|Webster's Bible Translation| target=|_top|&gt;WBS&lt;/a&gt;</v>
      </c>
      <c r="AS2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7" t="str">
        <f>CONCATENATE("&lt;/li&gt;&lt;li&gt;&lt;a href=|http://",AT1191,"/genesis/27-1.htm","| ","title=|",AT1190,"| target=|_top|&gt;",AT1192,"&lt;/a&gt;")</f>
        <v>&lt;/li&gt;&lt;li&gt;&lt;a href=|http://biblebrowser.com/genesis/27-1.htm| title=|Split View| target=|_top|&gt;Split&lt;/a&gt;</v>
      </c>
      <c r="AU27" s="2" t="s">
        <v>1276</v>
      </c>
      <c r="AV27" t="s">
        <v>64</v>
      </c>
    </row>
    <row r="28" spans="1:48">
      <c r="A28" t="s">
        <v>622</v>
      </c>
      <c r="B28" t="s">
        <v>81</v>
      </c>
      <c r="C28" t="s">
        <v>624</v>
      </c>
      <c r="D28" t="s">
        <v>1268</v>
      </c>
      <c r="E28" t="s">
        <v>1277</v>
      </c>
      <c r="F28" t="s">
        <v>1304</v>
      </c>
      <c r="G28" t="s">
        <v>1266</v>
      </c>
      <c r="H28" t="s">
        <v>1305</v>
      </c>
      <c r="I28" t="s">
        <v>1303</v>
      </c>
      <c r="J28" t="s">
        <v>1267</v>
      </c>
      <c r="K28" t="s">
        <v>1275</v>
      </c>
      <c r="L28" s="2" t="s">
        <v>1274</v>
      </c>
      <c r="M28" t="str">
        <f t="shared" ref="M28:AB28" si="108">CONCATENATE("&lt;/li&gt;&lt;li&gt;&lt;a href=|http://",M1191,"/genesis/28.htm","| ","title=|",M1190,"| target=|_top|&gt;",M1192,"&lt;/a&gt;")</f>
        <v>&lt;/li&gt;&lt;li&gt;&lt;a href=|http://niv.scripturetext.com/genesis/28.htm| title=|New International Version| target=|_top|&gt;NIV&lt;/a&gt;</v>
      </c>
      <c r="N28" t="str">
        <f t="shared" si="108"/>
        <v>&lt;/li&gt;&lt;li&gt;&lt;a href=|http://nlt.scripturetext.com/genesis/28.htm| title=|New Living Translation| target=|_top|&gt;NLT&lt;/a&gt;</v>
      </c>
      <c r="O28" t="str">
        <f t="shared" si="108"/>
        <v>&lt;/li&gt;&lt;li&gt;&lt;a href=|http://nasb.scripturetext.com/genesis/28.htm| title=|New American Standard Bible| target=|_top|&gt;NAS&lt;/a&gt;</v>
      </c>
      <c r="P28" t="str">
        <f t="shared" si="108"/>
        <v>&lt;/li&gt;&lt;li&gt;&lt;a href=|http://gwt.scripturetext.com/genesis/28.htm| title=|God's Word Translation| target=|_top|&gt;GWT&lt;/a&gt;</v>
      </c>
      <c r="Q28" t="str">
        <f t="shared" si="108"/>
        <v>&lt;/li&gt;&lt;li&gt;&lt;a href=|http://kingjbible.com/genesis/28.htm| title=|King James Bible| target=|_top|&gt;KJV&lt;/a&gt;</v>
      </c>
      <c r="R28" t="str">
        <f t="shared" si="108"/>
        <v>&lt;/li&gt;&lt;li&gt;&lt;a href=|http://asvbible.com/genesis/28.htm| title=|American Standard Version| target=|_top|&gt;ASV&lt;/a&gt;</v>
      </c>
      <c r="S28" t="str">
        <f t="shared" si="108"/>
        <v>&lt;/li&gt;&lt;li&gt;&lt;a href=|http://drb.scripturetext.com/genesis/28.htm| title=|Douay-Rheims Bible| target=|_top|&gt;DRB&lt;/a&gt;</v>
      </c>
      <c r="T28" t="str">
        <f t="shared" si="108"/>
        <v>&lt;/li&gt;&lt;li&gt;&lt;a href=|http://erv.scripturetext.com/genesis/28.htm| title=|English Revised Version| target=|_top|&gt;ERV&lt;/a&gt;</v>
      </c>
      <c r="V28" t="str">
        <f>CONCATENATE("&lt;/li&gt;&lt;li&gt;&lt;a href=|http://",V1191,"/genesis/28.htm","| ","title=|",V1190,"| target=|_top|&gt;",V1192,"&lt;/a&gt;")</f>
        <v>&lt;/li&gt;&lt;li&gt;&lt;a href=|http://study.interlinearbible.org/genesis/28.htm| title=|Hebrew Study Bible| target=|_top|&gt;Heb Study&lt;/a&gt;</v>
      </c>
      <c r="W28" t="str">
        <f t="shared" si="108"/>
        <v>&lt;/li&gt;&lt;li&gt;&lt;a href=|http://apostolic.interlinearbible.org/genesis/28.htm| title=|Apostolic Bible Polyglot Interlinear| target=|_top|&gt;Polyglot&lt;/a&gt;</v>
      </c>
      <c r="X28" t="str">
        <f t="shared" si="108"/>
        <v>&lt;/li&gt;&lt;li&gt;&lt;a href=|http://interlinearbible.org/genesis/28.htm| title=|Interlinear Bible| target=|_top|&gt;Interlin&lt;/a&gt;</v>
      </c>
      <c r="Y28" t="str">
        <f t="shared" ref="Y28" si="109">CONCATENATE("&lt;/li&gt;&lt;li&gt;&lt;a href=|http://",Y1191,"/genesis/28.htm","| ","title=|",Y1190,"| target=|_top|&gt;",Y1192,"&lt;/a&gt;")</f>
        <v>&lt;/li&gt;&lt;li&gt;&lt;a href=|http://bibleoutline.org/genesis/28.htm| title=|Outline with People and Places List| target=|_top|&gt;Outline&lt;/a&gt;</v>
      </c>
      <c r="Z28" t="str">
        <f t="shared" si="108"/>
        <v>&lt;/li&gt;&lt;li&gt;&lt;a href=|http://kjvs.scripturetext.com/genesis/28.htm| title=|King James Bible with Strong's Numbers| target=|_top|&gt;Strong's&lt;/a&gt;</v>
      </c>
      <c r="AA28" t="str">
        <f t="shared" si="108"/>
        <v>&lt;/li&gt;&lt;li&gt;&lt;a href=|http://childrensbibleonline.com/genesis/28.htm| title=|The Children's Bible| target=|_top|&gt;Children's&lt;/a&gt;</v>
      </c>
      <c r="AB28" s="2" t="str">
        <f t="shared" si="108"/>
        <v>&lt;/li&gt;&lt;li&gt;&lt;a href=|http://tsk.scripturetext.com/genesis/28.htm| title=|Treasury of Scripture Knowledge| target=|_top|&gt;TSK&lt;/a&gt;</v>
      </c>
      <c r="AC28" t="str">
        <f>CONCATENATE("&lt;a href=|http://",AC1191,"/genesis/28.htm","| ","title=|",AC1190,"| target=|_top|&gt;",AC1192,"&lt;/a&gt;")</f>
        <v>&lt;a href=|http://parallelbible.com/genesis/28.htm| title=|Parallel Chapters| target=|_top|&gt;PAR&lt;/a&gt;</v>
      </c>
      <c r="AD28" s="2" t="str">
        <f t="shared" ref="AD28:AK28" si="110">CONCATENATE("&lt;/li&gt;&lt;li&gt;&lt;a href=|http://",AD1191,"/genesis/28.htm","| ","title=|",AD1190,"| target=|_top|&gt;",AD1192,"&lt;/a&gt;")</f>
        <v>&lt;/li&gt;&lt;li&gt;&lt;a href=|http://gsb.biblecommenter.com/genesis/28.htm| title=|Geneva Study Bible| target=|_top|&gt;GSB&lt;/a&gt;</v>
      </c>
      <c r="AE28" s="2" t="str">
        <f t="shared" si="110"/>
        <v>&lt;/li&gt;&lt;li&gt;&lt;a href=|http://jfb.biblecommenter.com/genesis/28.htm| title=|Jamieson-Fausset-Brown Bible Commentary| target=|_top|&gt;JFB&lt;/a&gt;</v>
      </c>
      <c r="AF28" s="2" t="str">
        <f t="shared" si="110"/>
        <v>&lt;/li&gt;&lt;li&gt;&lt;a href=|http://kjt.biblecommenter.com/genesis/28.htm| title=|King James Translators' Notes| target=|_top|&gt;KJT&lt;/a&gt;</v>
      </c>
      <c r="AG28" s="2" t="str">
        <f t="shared" si="110"/>
        <v>&lt;/li&gt;&lt;li&gt;&lt;a href=|http://mhc.biblecommenter.com/genesis/28.htm| title=|Matthew Henry's Concise Commentary| target=|_top|&gt;MHC&lt;/a&gt;</v>
      </c>
      <c r="AH28" s="2" t="str">
        <f t="shared" si="110"/>
        <v>&lt;/li&gt;&lt;li&gt;&lt;a href=|http://sco.biblecommenter.com/genesis/28.htm| title=|Scofield Reference Notes| target=|_top|&gt;SCO&lt;/a&gt;</v>
      </c>
      <c r="AI28" s="2" t="str">
        <f t="shared" si="110"/>
        <v>&lt;/li&gt;&lt;li&gt;&lt;a href=|http://wes.biblecommenter.com/genesis/28.htm| title=|Wesley's Notes on the Bible| target=|_top|&gt;WES&lt;/a&gt;</v>
      </c>
      <c r="AJ28" t="str">
        <f t="shared" si="110"/>
        <v>&lt;/li&gt;&lt;li&gt;&lt;a href=|http://worldebible.com/genesis/28.htm| title=|World English Bible| target=|_top|&gt;WEB&lt;/a&gt;</v>
      </c>
      <c r="AK28" t="str">
        <f t="shared" si="110"/>
        <v>&lt;/li&gt;&lt;li&gt;&lt;a href=|http://yltbible.com/genesis/28.htm| title=|Young's Literal Translation| target=|_top|&gt;YLT&lt;/a&gt;</v>
      </c>
      <c r="AL28" t="str">
        <f>CONCATENATE("&lt;a href=|http://",AL1191,"/genesis/28.htm","| ","title=|",AL1190,"| target=|_top|&gt;",AL1192,"&lt;/a&gt;")</f>
        <v>&lt;a href=|http://kjv.us/genesis/28.htm| title=|American King James Version| target=|_top|&gt;AKJ&lt;/a&gt;</v>
      </c>
      <c r="AM28" t="str">
        <f t="shared" ref="AM28:AN28" si="111">CONCATENATE("&lt;/li&gt;&lt;li&gt;&lt;a href=|http://",AM1191,"/genesis/28.htm","| ","title=|",AM1190,"| target=|_top|&gt;",AM1192,"&lt;/a&gt;")</f>
        <v>&lt;/li&gt;&lt;li&gt;&lt;a href=|http://basicenglishbible.com/genesis/28.htm| title=|Bible in Basic English| target=|_top|&gt;BBE&lt;/a&gt;</v>
      </c>
      <c r="AN28" t="str">
        <f t="shared" si="111"/>
        <v>&lt;/li&gt;&lt;li&gt;&lt;a href=|http://darbybible.com/genesis/28.htm| title=|Darby Bible Translation| target=|_top|&gt;DBY&lt;/a&gt;</v>
      </c>
      <c r="AO2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8" t="str">
        <f>CONCATENATE("&lt;/li&gt;&lt;li&gt;&lt;a href=|http://",AR1191,"/genesis/28.htm","| ","title=|",AR1190,"| target=|_top|&gt;",AR1192,"&lt;/a&gt;")</f>
        <v>&lt;/li&gt;&lt;li&gt;&lt;a href=|http://websterbible.com/genesis/28.htm| title=|Webster's Bible Translation| target=|_top|&gt;WBS&lt;/a&gt;</v>
      </c>
      <c r="AS2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8" t="str">
        <f>CONCATENATE("&lt;/li&gt;&lt;li&gt;&lt;a href=|http://",AT1191,"/genesis/28-1.htm","| ","title=|",AT1190,"| target=|_top|&gt;",AT1192,"&lt;/a&gt;")</f>
        <v>&lt;/li&gt;&lt;li&gt;&lt;a href=|http://biblebrowser.com/genesis/28-1.htm| title=|Split View| target=|_top|&gt;Split&lt;/a&gt;</v>
      </c>
      <c r="AU28" s="2" t="s">
        <v>1276</v>
      </c>
      <c r="AV28" t="s">
        <v>64</v>
      </c>
    </row>
    <row r="29" spans="1:48">
      <c r="A29" t="s">
        <v>622</v>
      </c>
      <c r="B29" t="s">
        <v>82</v>
      </c>
      <c r="C29" t="s">
        <v>624</v>
      </c>
      <c r="D29" t="s">
        <v>1268</v>
      </c>
      <c r="E29" t="s">
        <v>1277</v>
      </c>
      <c r="F29" t="s">
        <v>1304</v>
      </c>
      <c r="G29" t="s">
        <v>1266</v>
      </c>
      <c r="H29" t="s">
        <v>1305</v>
      </c>
      <c r="I29" t="s">
        <v>1303</v>
      </c>
      <c r="J29" t="s">
        <v>1267</v>
      </c>
      <c r="K29" t="s">
        <v>1275</v>
      </c>
      <c r="L29" s="2" t="s">
        <v>1274</v>
      </c>
      <c r="M29" t="str">
        <f t="shared" ref="M29:AB29" si="112">CONCATENATE("&lt;/li&gt;&lt;li&gt;&lt;a href=|http://",M1191,"/genesis/29.htm","| ","title=|",M1190,"| target=|_top|&gt;",M1192,"&lt;/a&gt;")</f>
        <v>&lt;/li&gt;&lt;li&gt;&lt;a href=|http://niv.scripturetext.com/genesis/29.htm| title=|New International Version| target=|_top|&gt;NIV&lt;/a&gt;</v>
      </c>
      <c r="N29" t="str">
        <f t="shared" si="112"/>
        <v>&lt;/li&gt;&lt;li&gt;&lt;a href=|http://nlt.scripturetext.com/genesis/29.htm| title=|New Living Translation| target=|_top|&gt;NLT&lt;/a&gt;</v>
      </c>
      <c r="O29" t="str">
        <f t="shared" si="112"/>
        <v>&lt;/li&gt;&lt;li&gt;&lt;a href=|http://nasb.scripturetext.com/genesis/29.htm| title=|New American Standard Bible| target=|_top|&gt;NAS&lt;/a&gt;</v>
      </c>
      <c r="P29" t="str">
        <f t="shared" si="112"/>
        <v>&lt;/li&gt;&lt;li&gt;&lt;a href=|http://gwt.scripturetext.com/genesis/29.htm| title=|God's Word Translation| target=|_top|&gt;GWT&lt;/a&gt;</v>
      </c>
      <c r="Q29" t="str">
        <f t="shared" si="112"/>
        <v>&lt;/li&gt;&lt;li&gt;&lt;a href=|http://kingjbible.com/genesis/29.htm| title=|King James Bible| target=|_top|&gt;KJV&lt;/a&gt;</v>
      </c>
      <c r="R29" t="str">
        <f t="shared" si="112"/>
        <v>&lt;/li&gt;&lt;li&gt;&lt;a href=|http://asvbible.com/genesis/29.htm| title=|American Standard Version| target=|_top|&gt;ASV&lt;/a&gt;</v>
      </c>
      <c r="S29" t="str">
        <f t="shared" si="112"/>
        <v>&lt;/li&gt;&lt;li&gt;&lt;a href=|http://drb.scripturetext.com/genesis/29.htm| title=|Douay-Rheims Bible| target=|_top|&gt;DRB&lt;/a&gt;</v>
      </c>
      <c r="T29" t="str">
        <f t="shared" si="112"/>
        <v>&lt;/li&gt;&lt;li&gt;&lt;a href=|http://erv.scripturetext.com/genesis/29.htm| title=|English Revised Version| target=|_top|&gt;ERV&lt;/a&gt;</v>
      </c>
      <c r="V29" t="str">
        <f>CONCATENATE("&lt;/li&gt;&lt;li&gt;&lt;a href=|http://",V1191,"/genesis/29.htm","| ","title=|",V1190,"| target=|_top|&gt;",V1192,"&lt;/a&gt;")</f>
        <v>&lt;/li&gt;&lt;li&gt;&lt;a href=|http://study.interlinearbible.org/genesis/29.htm| title=|Hebrew Study Bible| target=|_top|&gt;Heb Study&lt;/a&gt;</v>
      </c>
      <c r="W29" t="str">
        <f t="shared" si="112"/>
        <v>&lt;/li&gt;&lt;li&gt;&lt;a href=|http://apostolic.interlinearbible.org/genesis/29.htm| title=|Apostolic Bible Polyglot Interlinear| target=|_top|&gt;Polyglot&lt;/a&gt;</v>
      </c>
      <c r="X29" t="str">
        <f t="shared" si="112"/>
        <v>&lt;/li&gt;&lt;li&gt;&lt;a href=|http://interlinearbible.org/genesis/29.htm| title=|Interlinear Bible| target=|_top|&gt;Interlin&lt;/a&gt;</v>
      </c>
      <c r="Y29" t="str">
        <f t="shared" ref="Y29" si="113">CONCATENATE("&lt;/li&gt;&lt;li&gt;&lt;a href=|http://",Y1191,"/genesis/29.htm","| ","title=|",Y1190,"| target=|_top|&gt;",Y1192,"&lt;/a&gt;")</f>
        <v>&lt;/li&gt;&lt;li&gt;&lt;a href=|http://bibleoutline.org/genesis/29.htm| title=|Outline with People and Places List| target=|_top|&gt;Outline&lt;/a&gt;</v>
      </c>
      <c r="Z29" t="str">
        <f t="shared" si="112"/>
        <v>&lt;/li&gt;&lt;li&gt;&lt;a href=|http://kjvs.scripturetext.com/genesis/29.htm| title=|King James Bible with Strong's Numbers| target=|_top|&gt;Strong's&lt;/a&gt;</v>
      </c>
      <c r="AA29" t="str">
        <f t="shared" si="112"/>
        <v>&lt;/li&gt;&lt;li&gt;&lt;a href=|http://childrensbibleonline.com/genesis/29.htm| title=|The Children's Bible| target=|_top|&gt;Children's&lt;/a&gt;</v>
      </c>
      <c r="AB29" s="2" t="str">
        <f t="shared" si="112"/>
        <v>&lt;/li&gt;&lt;li&gt;&lt;a href=|http://tsk.scripturetext.com/genesis/29.htm| title=|Treasury of Scripture Knowledge| target=|_top|&gt;TSK&lt;/a&gt;</v>
      </c>
      <c r="AC29" t="str">
        <f>CONCATENATE("&lt;a href=|http://",AC1191,"/genesis/29.htm","| ","title=|",AC1190,"| target=|_top|&gt;",AC1192,"&lt;/a&gt;")</f>
        <v>&lt;a href=|http://parallelbible.com/genesis/29.htm| title=|Parallel Chapters| target=|_top|&gt;PAR&lt;/a&gt;</v>
      </c>
      <c r="AD29" s="2" t="str">
        <f t="shared" ref="AD29:AK29" si="114">CONCATENATE("&lt;/li&gt;&lt;li&gt;&lt;a href=|http://",AD1191,"/genesis/29.htm","| ","title=|",AD1190,"| target=|_top|&gt;",AD1192,"&lt;/a&gt;")</f>
        <v>&lt;/li&gt;&lt;li&gt;&lt;a href=|http://gsb.biblecommenter.com/genesis/29.htm| title=|Geneva Study Bible| target=|_top|&gt;GSB&lt;/a&gt;</v>
      </c>
      <c r="AE29" s="2" t="str">
        <f t="shared" si="114"/>
        <v>&lt;/li&gt;&lt;li&gt;&lt;a href=|http://jfb.biblecommenter.com/genesis/29.htm| title=|Jamieson-Fausset-Brown Bible Commentary| target=|_top|&gt;JFB&lt;/a&gt;</v>
      </c>
      <c r="AF29" s="2" t="str">
        <f t="shared" si="114"/>
        <v>&lt;/li&gt;&lt;li&gt;&lt;a href=|http://kjt.biblecommenter.com/genesis/29.htm| title=|King James Translators' Notes| target=|_top|&gt;KJT&lt;/a&gt;</v>
      </c>
      <c r="AG29" s="2" t="str">
        <f t="shared" si="114"/>
        <v>&lt;/li&gt;&lt;li&gt;&lt;a href=|http://mhc.biblecommenter.com/genesis/29.htm| title=|Matthew Henry's Concise Commentary| target=|_top|&gt;MHC&lt;/a&gt;</v>
      </c>
      <c r="AH29" s="2" t="str">
        <f t="shared" si="114"/>
        <v>&lt;/li&gt;&lt;li&gt;&lt;a href=|http://sco.biblecommenter.com/genesis/29.htm| title=|Scofield Reference Notes| target=|_top|&gt;SCO&lt;/a&gt;</v>
      </c>
      <c r="AI29" s="2" t="str">
        <f t="shared" si="114"/>
        <v>&lt;/li&gt;&lt;li&gt;&lt;a href=|http://wes.biblecommenter.com/genesis/29.htm| title=|Wesley's Notes on the Bible| target=|_top|&gt;WES&lt;/a&gt;</v>
      </c>
      <c r="AJ29" t="str">
        <f t="shared" si="114"/>
        <v>&lt;/li&gt;&lt;li&gt;&lt;a href=|http://worldebible.com/genesis/29.htm| title=|World English Bible| target=|_top|&gt;WEB&lt;/a&gt;</v>
      </c>
      <c r="AK29" t="str">
        <f t="shared" si="114"/>
        <v>&lt;/li&gt;&lt;li&gt;&lt;a href=|http://yltbible.com/genesis/29.htm| title=|Young's Literal Translation| target=|_top|&gt;YLT&lt;/a&gt;</v>
      </c>
      <c r="AL29" t="str">
        <f>CONCATENATE("&lt;a href=|http://",AL1191,"/genesis/29.htm","| ","title=|",AL1190,"| target=|_top|&gt;",AL1192,"&lt;/a&gt;")</f>
        <v>&lt;a href=|http://kjv.us/genesis/29.htm| title=|American King James Version| target=|_top|&gt;AKJ&lt;/a&gt;</v>
      </c>
      <c r="AM29" t="str">
        <f t="shared" ref="AM29:AN29" si="115">CONCATENATE("&lt;/li&gt;&lt;li&gt;&lt;a href=|http://",AM1191,"/genesis/29.htm","| ","title=|",AM1190,"| target=|_top|&gt;",AM1192,"&lt;/a&gt;")</f>
        <v>&lt;/li&gt;&lt;li&gt;&lt;a href=|http://basicenglishbible.com/genesis/29.htm| title=|Bible in Basic English| target=|_top|&gt;BBE&lt;/a&gt;</v>
      </c>
      <c r="AN29" t="str">
        <f t="shared" si="115"/>
        <v>&lt;/li&gt;&lt;li&gt;&lt;a href=|http://darbybible.com/genesis/29.htm| title=|Darby Bible Translation| target=|_top|&gt;DBY&lt;/a&gt;</v>
      </c>
      <c r="AO2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9" t="str">
        <f>CONCATENATE("&lt;/li&gt;&lt;li&gt;&lt;a href=|http://",AR1191,"/genesis/29.htm","| ","title=|",AR1190,"| target=|_top|&gt;",AR1192,"&lt;/a&gt;")</f>
        <v>&lt;/li&gt;&lt;li&gt;&lt;a href=|http://websterbible.com/genesis/29.htm| title=|Webster's Bible Translation| target=|_top|&gt;WBS&lt;/a&gt;</v>
      </c>
      <c r="AS2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9" t="str">
        <f>CONCATENATE("&lt;/li&gt;&lt;li&gt;&lt;a href=|http://",AT1191,"/genesis/29-1.htm","| ","title=|",AT1190,"| target=|_top|&gt;",AT1192,"&lt;/a&gt;")</f>
        <v>&lt;/li&gt;&lt;li&gt;&lt;a href=|http://biblebrowser.com/genesis/29-1.htm| title=|Split View| target=|_top|&gt;Split&lt;/a&gt;</v>
      </c>
      <c r="AU29" s="2" t="s">
        <v>1276</v>
      </c>
      <c r="AV29" t="s">
        <v>64</v>
      </c>
    </row>
    <row r="30" spans="1:48">
      <c r="A30" t="s">
        <v>622</v>
      </c>
      <c r="B30" t="s">
        <v>83</v>
      </c>
      <c r="C30" t="s">
        <v>624</v>
      </c>
      <c r="D30" t="s">
        <v>1268</v>
      </c>
      <c r="E30" t="s">
        <v>1277</v>
      </c>
      <c r="F30" t="s">
        <v>1304</v>
      </c>
      <c r="G30" t="s">
        <v>1266</v>
      </c>
      <c r="H30" t="s">
        <v>1305</v>
      </c>
      <c r="I30" t="s">
        <v>1303</v>
      </c>
      <c r="J30" t="s">
        <v>1267</v>
      </c>
      <c r="K30" t="s">
        <v>1275</v>
      </c>
      <c r="L30" s="2" t="s">
        <v>1274</v>
      </c>
      <c r="M30" t="str">
        <f t="shared" ref="M30:AB30" si="116">CONCATENATE("&lt;/li&gt;&lt;li&gt;&lt;a href=|http://",M1191,"/genesis/30.htm","| ","title=|",M1190,"| target=|_top|&gt;",M1192,"&lt;/a&gt;")</f>
        <v>&lt;/li&gt;&lt;li&gt;&lt;a href=|http://niv.scripturetext.com/genesis/30.htm| title=|New International Version| target=|_top|&gt;NIV&lt;/a&gt;</v>
      </c>
      <c r="N30" t="str">
        <f t="shared" si="116"/>
        <v>&lt;/li&gt;&lt;li&gt;&lt;a href=|http://nlt.scripturetext.com/genesis/30.htm| title=|New Living Translation| target=|_top|&gt;NLT&lt;/a&gt;</v>
      </c>
      <c r="O30" t="str">
        <f t="shared" si="116"/>
        <v>&lt;/li&gt;&lt;li&gt;&lt;a href=|http://nasb.scripturetext.com/genesis/30.htm| title=|New American Standard Bible| target=|_top|&gt;NAS&lt;/a&gt;</v>
      </c>
      <c r="P30" t="str">
        <f t="shared" si="116"/>
        <v>&lt;/li&gt;&lt;li&gt;&lt;a href=|http://gwt.scripturetext.com/genesis/30.htm| title=|God's Word Translation| target=|_top|&gt;GWT&lt;/a&gt;</v>
      </c>
      <c r="Q30" t="str">
        <f t="shared" si="116"/>
        <v>&lt;/li&gt;&lt;li&gt;&lt;a href=|http://kingjbible.com/genesis/30.htm| title=|King James Bible| target=|_top|&gt;KJV&lt;/a&gt;</v>
      </c>
      <c r="R30" t="str">
        <f t="shared" si="116"/>
        <v>&lt;/li&gt;&lt;li&gt;&lt;a href=|http://asvbible.com/genesis/30.htm| title=|American Standard Version| target=|_top|&gt;ASV&lt;/a&gt;</v>
      </c>
      <c r="S30" t="str">
        <f t="shared" si="116"/>
        <v>&lt;/li&gt;&lt;li&gt;&lt;a href=|http://drb.scripturetext.com/genesis/30.htm| title=|Douay-Rheims Bible| target=|_top|&gt;DRB&lt;/a&gt;</v>
      </c>
      <c r="T30" t="str">
        <f t="shared" si="116"/>
        <v>&lt;/li&gt;&lt;li&gt;&lt;a href=|http://erv.scripturetext.com/genesis/30.htm| title=|English Revised Version| target=|_top|&gt;ERV&lt;/a&gt;</v>
      </c>
      <c r="V30" t="str">
        <f>CONCATENATE("&lt;/li&gt;&lt;li&gt;&lt;a href=|http://",V1191,"/genesis/30.htm","| ","title=|",V1190,"| target=|_top|&gt;",V1192,"&lt;/a&gt;")</f>
        <v>&lt;/li&gt;&lt;li&gt;&lt;a href=|http://study.interlinearbible.org/genesis/30.htm| title=|Hebrew Study Bible| target=|_top|&gt;Heb Study&lt;/a&gt;</v>
      </c>
      <c r="W30" t="str">
        <f t="shared" si="116"/>
        <v>&lt;/li&gt;&lt;li&gt;&lt;a href=|http://apostolic.interlinearbible.org/genesis/30.htm| title=|Apostolic Bible Polyglot Interlinear| target=|_top|&gt;Polyglot&lt;/a&gt;</v>
      </c>
      <c r="X30" t="str">
        <f t="shared" si="116"/>
        <v>&lt;/li&gt;&lt;li&gt;&lt;a href=|http://interlinearbible.org/genesis/30.htm| title=|Interlinear Bible| target=|_top|&gt;Interlin&lt;/a&gt;</v>
      </c>
      <c r="Y30" t="str">
        <f t="shared" ref="Y30" si="117">CONCATENATE("&lt;/li&gt;&lt;li&gt;&lt;a href=|http://",Y1191,"/genesis/30.htm","| ","title=|",Y1190,"| target=|_top|&gt;",Y1192,"&lt;/a&gt;")</f>
        <v>&lt;/li&gt;&lt;li&gt;&lt;a href=|http://bibleoutline.org/genesis/30.htm| title=|Outline with People and Places List| target=|_top|&gt;Outline&lt;/a&gt;</v>
      </c>
      <c r="Z30" t="str">
        <f t="shared" si="116"/>
        <v>&lt;/li&gt;&lt;li&gt;&lt;a href=|http://kjvs.scripturetext.com/genesis/30.htm| title=|King James Bible with Strong's Numbers| target=|_top|&gt;Strong's&lt;/a&gt;</v>
      </c>
      <c r="AA30" t="str">
        <f t="shared" si="116"/>
        <v>&lt;/li&gt;&lt;li&gt;&lt;a href=|http://childrensbibleonline.com/genesis/30.htm| title=|The Children's Bible| target=|_top|&gt;Children's&lt;/a&gt;</v>
      </c>
      <c r="AB30" s="2" t="str">
        <f t="shared" si="116"/>
        <v>&lt;/li&gt;&lt;li&gt;&lt;a href=|http://tsk.scripturetext.com/genesis/30.htm| title=|Treasury of Scripture Knowledge| target=|_top|&gt;TSK&lt;/a&gt;</v>
      </c>
      <c r="AC30" t="str">
        <f>CONCATENATE("&lt;a href=|http://",AC1191,"/genesis/30.htm","| ","title=|",AC1190,"| target=|_top|&gt;",AC1192,"&lt;/a&gt;")</f>
        <v>&lt;a href=|http://parallelbible.com/genesis/30.htm| title=|Parallel Chapters| target=|_top|&gt;PAR&lt;/a&gt;</v>
      </c>
      <c r="AD30" s="2" t="str">
        <f t="shared" ref="AD30:AK30" si="118">CONCATENATE("&lt;/li&gt;&lt;li&gt;&lt;a href=|http://",AD1191,"/genesis/30.htm","| ","title=|",AD1190,"| target=|_top|&gt;",AD1192,"&lt;/a&gt;")</f>
        <v>&lt;/li&gt;&lt;li&gt;&lt;a href=|http://gsb.biblecommenter.com/genesis/30.htm| title=|Geneva Study Bible| target=|_top|&gt;GSB&lt;/a&gt;</v>
      </c>
      <c r="AE30" s="2" t="str">
        <f t="shared" si="118"/>
        <v>&lt;/li&gt;&lt;li&gt;&lt;a href=|http://jfb.biblecommenter.com/genesis/30.htm| title=|Jamieson-Fausset-Brown Bible Commentary| target=|_top|&gt;JFB&lt;/a&gt;</v>
      </c>
      <c r="AF30" s="2" t="str">
        <f t="shared" si="118"/>
        <v>&lt;/li&gt;&lt;li&gt;&lt;a href=|http://kjt.biblecommenter.com/genesis/30.htm| title=|King James Translators' Notes| target=|_top|&gt;KJT&lt;/a&gt;</v>
      </c>
      <c r="AG30" s="2" t="str">
        <f t="shared" si="118"/>
        <v>&lt;/li&gt;&lt;li&gt;&lt;a href=|http://mhc.biblecommenter.com/genesis/30.htm| title=|Matthew Henry's Concise Commentary| target=|_top|&gt;MHC&lt;/a&gt;</v>
      </c>
      <c r="AH30" s="2" t="str">
        <f t="shared" si="118"/>
        <v>&lt;/li&gt;&lt;li&gt;&lt;a href=|http://sco.biblecommenter.com/genesis/30.htm| title=|Scofield Reference Notes| target=|_top|&gt;SCO&lt;/a&gt;</v>
      </c>
      <c r="AI30" s="2" t="str">
        <f t="shared" si="118"/>
        <v>&lt;/li&gt;&lt;li&gt;&lt;a href=|http://wes.biblecommenter.com/genesis/30.htm| title=|Wesley's Notes on the Bible| target=|_top|&gt;WES&lt;/a&gt;</v>
      </c>
      <c r="AJ30" t="str">
        <f t="shared" si="118"/>
        <v>&lt;/li&gt;&lt;li&gt;&lt;a href=|http://worldebible.com/genesis/30.htm| title=|World English Bible| target=|_top|&gt;WEB&lt;/a&gt;</v>
      </c>
      <c r="AK30" t="str">
        <f t="shared" si="118"/>
        <v>&lt;/li&gt;&lt;li&gt;&lt;a href=|http://yltbible.com/genesis/30.htm| title=|Young's Literal Translation| target=|_top|&gt;YLT&lt;/a&gt;</v>
      </c>
      <c r="AL30" t="str">
        <f>CONCATENATE("&lt;a href=|http://",AL1191,"/genesis/30.htm","| ","title=|",AL1190,"| target=|_top|&gt;",AL1192,"&lt;/a&gt;")</f>
        <v>&lt;a href=|http://kjv.us/genesis/30.htm| title=|American King James Version| target=|_top|&gt;AKJ&lt;/a&gt;</v>
      </c>
      <c r="AM30" t="str">
        <f t="shared" ref="AM30:AN30" si="119">CONCATENATE("&lt;/li&gt;&lt;li&gt;&lt;a href=|http://",AM1191,"/genesis/30.htm","| ","title=|",AM1190,"| target=|_top|&gt;",AM1192,"&lt;/a&gt;")</f>
        <v>&lt;/li&gt;&lt;li&gt;&lt;a href=|http://basicenglishbible.com/genesis/30.htm| title=|Bible in Basic English| target=|_top|&gt;BBE&lt;/a&gt;</v>
      </c>
      <c r="AN30" t="str">
        <f t="shared" si="119"/>
        <v>&lt;/li&gt;&lt;li&gt;&lt;a href=|http://darbybible.com/genesis/30.htm| title=|Darby Bible Translation| target=|_top|&gt;DBY&lt;/a&gt;</v>
      </c>
      <c r="AO3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0" t="str">
        <f>CONCATENATE("&lt;/li&gt;&lt;li&gt;&lt;a href=|http://",AR1191,"/genesis/30.htm","| ","title=|",AR1190,"| target=|_top|&gt;",AR1192,"&lt;/a&gt;")</f>
        <v>&lt;/li&gt;&lt;li&gt;&lt;a href=|http://websterbible.com/genesis/30.htm| title=|Webster's Bible Translation| target=|_top|&gt;WBS&lt;/a&gt;</v>
      </c>
      <c r="AS3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0" t="str">
        <f>CONCATENATE("&lt;/li&gt;&lt;li&gt;&lt;a href=|http://",AT1191,"/genesis/30-1.htm","| ","title=|",AT1190,"| target=|_top|&gt;",AT1192,"&lt;/a&gt;")</f>
        <v>&lt;/li&gt;&lt;li&gt;&lt;a href=|http://biblebrowser.com/genesis/30-1.htm| title=|Split View| target=|_top|&gt;Split&lt;/a&gt;</v>
      </c>
      <c r="AU30" s="2" t="s">
        <v>1276</v>
      </c>
      <c r="AV30" t="s">
        <v>64</v>
      </c>
    </row>
    <row r="31" spans="1:48">
      <c r="A31" t="s">
        <v>622</v>
      </c>
      <c r="B31" t="s">
        <v>84</v>
      </c>
      <c r="C31" t="s">
        <v>624</v>
      </c>
      <c r="D31" t="s">
        <v>1268</v>
      </c>
      <c r="E31" t="s">
        <v>1277</v>
      </c>
      <c r="F31" t="s">
        <v>1304</v>
      </c>
      <c r="G31" t="s">
        <v>1266</v>
      </c>
      <c r="H31" t="s">
        <v>1305</v>
      </c>
      <c r="I31" t="s">
        <v>1303</v>
      </c>
      <c r="J31" t="s">
        <v>1267</v>
      </c>
      <c r="K31" t="s">
        <v>1275</v>
      </c>
      <c r="L31" s="2" t="s">
        <v>1274</v>
      </c>
      <c r="M31" t="str">
        <f t="shared" ref="M31:AB31" si="120">CONCATENATE("&lt;/li&gt;&lt;li&gt;&lt;a href=|http://",M1191,"/genesis/31.htm","| ","title=|",M1190,"| target=|_top|&gt;",M1192,"&lt;/a&gt;")</f>
        <v>&lt;/li&gt;&lt;li&gt;&lt;a href=|http://niv.scripturetext.com/genesis/31.htm| title=|New International Version| target=|_top|&gt;NIV&lt;/a&gt;</v>
      </c>
      <c r="N31" t="str">
        <f t="shared" si="120"/>
        <v>&lt;/li&gt;&lt;li&gt;&lt;a href=|http://nlt.scripturetext.com/genesis/31.htm| title=|New Living Translation| target=|_top|&gt;NLT&lt;/a&gt;</v>
      </c>
      <c r="O31" t="str">
        <f t="shared" si="120"/>
        <v>&lt;/li&gt;&lt;li&gt;&lt;a href=|http://nasb.scripturetext.com/genesis/31.htm| title=|New American Standard Bible| target=|_top|&gt;NAS&lt;/a&gt;</v>
      </c>
      <c r="P31" t="str">
        <f t="shared" si="120"/>
        <v>&lt;/li&gt;&lt;li&gt;&lt;a href=|http://gwt.scripturetext.com/genesis/31.htm| title=|God's Word Translation| target=|_top|&gt;GWT&lt;/a&gt;</v>
      </c>
      <c r="Q31" t="str">
        <f t="shared" si="120"/>
        <v>&lt;/li&gt;&lt;li&gt;&lt;a href=|http://kingjbible.com/genesis/31.htm| title=|King James Bible| target=|_top|&gt;KJV&lt;/a&gt;</v>
      </c>
      <c r="R31" t="str">
        <f t="shared" si="120"/>
        <v>&lt;/li&gt;&lt;li&gt;&lt;a href=|http://asvbible.com/genesis/31.htm| title=|American Standard Version| target=|_top|&gt;ASV&lt;/a&gt;</v>
      </c>
      <c r="S31" t="str">
        <f t="shared" si="120"/>
        <v>&lt;/li&gt;&lt;li&gt;&lt;a href=|http://drb.scripturetext.com/genesis/31.htm| title=|Douay-Rheims Bible| target=|_top|&gt;DRB&lt;/a&gt;</v>
      </c>
      <c r="T31" t="str">
        <f t="shared" si="120"/>
        <v>&lt;/li&gt;&lt;li&gt;&lt;a href=|http://erv.scripturetext.com/genesis/31.htm| title=|English Revised Version| target=|_top|&gt;ERV&lt;/a&gt;</v>
      </c>
      <c r="V31" t="str">
        <f>CONCATENATE("&lt;/li&gt;&lt;li&gt;&lt;a href=|http://",V1191,"/genesis/31.htm","| ","title=|",V1190,"| target=|_top|&gt;",V1192,"&lt;/a&gt;")</f>
        <v>&lt;/li&gt;&lt;li&gt;&lt;a href=|http://study.interlinearbible.org/genesis/31.htm| title=|Hebrew Study Bible| target=|_top|&gt;Heb Study&lt;/a&gt;</v>
      </c>
      <c r="W31" t="str">
        <f t="shared" si="120"/>
        <v>&lt;/li&gt;&lt;li&gt;&lt;a href=|http://apostolic.interlinearbible.org/genesis/31.htm| title=|Apostolic Bible Polyglot Interlinear| target=|_top|&gt;Polyglot&lt;/a&gt;</v>
      </c>
      <c r="X31" t="str">
        <f t="shared" si="120"/>
        <v>&lt;/li&gt;&lt;li&gt;&lt;a href=|http://interlinearbible.org/genesis/31.htm| title=|Interlinear Bible| target=|_top|&gt;Interlin&lt;/a&gt;</v>
      </c>
      <c r="Y31" t="str">
        <f t="shared" ref="Y31" si="121">CONCATENATE("&lt;/li&gt;&lt;li&gt;&lt;a href=|http://",Y1191,"/genesis/31.htm","| ","title=|",Y1190,"| target=|_top|&gt;",Y1192,"&lt;/a&gt;")</f>
        <v>&lt;/li&gt;&lt;li&gt;&lt;a href=|http://bibleoutline.org/genesis/31.htm| title=|Outline with People and Places List| target=|_top|&gt;Outline&lt;/a&gt;</v>
      </c>
      <c r="Z31" t="str">
        <f t="shared" si="120"/>
        <v>&lt;/li&gt;&lt;li&gt;&lt;a href=|http://kjvs.scripturetext.com/genesis/31.htm| title=|King James Bible with Strong's Numbers| target=|_top|&gt;Strong's&lt;/a&gt;</v>
      </c>
      <c r="AA31" t="str">
        <f t="shared" si="120"/>
        <v>&lt;/li&gt;&lt;li&gt;&lt;a href=|http://childrensbibleonline.com/genesis/31.htm| title=|The Children's Bible| target=|_top|&gt;Children's&lt;/a&gt;</v>
      </c>
      <c r="AB31" s="2" t="str">
        <f t="shared" si="120"/>
        <v>&lt;/li&gt;&lt;li&gt;&lt;a href=|http://tsk.scripturetext.com/genesis/31.htm| title=|Treasury of Scripture Knowledge| target=|_top|&gt;TSK&lt;/a&gt;</v>
      </c>
      <c r="AC31" t="str">
        <f>CONCATENATE("&lt;a href=|http://",AC1191,"/genesis/31.htm","| ","title=|",AC1190,"| target=|_top|&gt;",AC1192,"&lt;/a&gt;")</f>
        <v>&lt;a href=|http://parallelbible.com/genesis/31.htm| title=|Parallel Chapters| target=|_top|&gt;PAR&lt;/a&gt;</v>
      </c>
      <c r="AD31" s="2" t="str">
        <f t="shared" ref="AD31:AK31" si="122">CONCATENATE("&lt;/li&gt;&lt;li&gt;&lt;a href=|http://",AD1191,"/genesis/31.htm","| ","title=|",AD1190,"| target=|_top|&gt;",AD1192,"&lt;/a&gt;")</f>
        <v>&lt;/li&gt;&lt;li&gt;&lt;a href=|http://gsb.biblecommenter.com/genesis/31.htm| title=|Geneva Study Bible| target=|_top|&gt;GSB&lt;/a&gt;</v>
      </c>
      <c r="AE31" s="2" t="str">
        <f t="shared" si="122"/>
        <v>&lt;/li&gt;&lt;li&gt;&lt;a href=|http://jfb.biblecommenter.com/genesis/31.htm| title=|Jamieson-Fausset-Brown Bible Commentary| target=|_top|&gt;JFB&lt;/a&gt;</v>
      </c>
      <c r="AF31" s="2" t="str">
        <f t="shared" si="122"/>
        <v>&lt;/li&gt;&lt;li&gt;&lt;a href=|http://kjt.biblecommenter.com/genesis/31.htm| title=|King James Translators' Notes| target=|_top|&gt;KJT&lt;/a&gt;</v>
      </c>
      <c r="AG31" s="2" t="str">
        <f t="shared" si="122"/>
        <v>&lt;/li&gt;&lt;li&gt;&lt;a href=|http://mhc.biblecommenter.com/genesis/31.htm| title=|Matthew Henry's Concise Commentary| target=|_top|&gt;MHC&lt;/a&gt;</v>
      </c>
      <c r="AH31" s="2" t="str">
        <f t="shared" si="122"/>
        <v>&lt;/li&gt;&lt;li&gt;&lt;a href=|http://sco.biblecommenter.com/genesis/31.htm| title=|Scofield Reference Notes| target=|_top|&gt;SCO&lt;/a&gt;</v>
      </c>
      <c r="AI31" s="2" t="str">
        <f t="shared" si="122"/>
        <v>&lt;/li&gt;&lt;li&gt;&lt;a href=|http://wes.biblecommenter.com/genesis/31.htm| title=|Wesley's Notes on the Bible| target=|_top|&gt;WES&lt;/a&gt;</v>
      </c>
      <c r="AJ31" t="str">
        <f t="shared" si="122"/>
        <v>&lt;/li&gt;&lt;li&gt;&lt;a href=|http://worldebible.com/genesis/31.htm| title=|World English Bible| target=|_top|&gt;WEB&lt;/a&gt;</v>
      </c>
      <c r="AK31" t="str">
        <f t="shared" si="122"/>
        <v>&lt;/li&gt;&lt;li&gt;&lt;a href=|http://yltbible.com/genesis/31.htm| title=|Young's Literal Translation| target=|_top|&gt;YLT&lt;/a&gt;</v>
      </c>
      <c r="AL31" t="str">
        <f>CONCATENATE("&lt;a href=|http://",AL1191,"/genesis/31.htm","| ","title=|",AL1190,"| target=|_top|&gt;",AL1192,"&lt;/a&gt;")</f>
        <v>&lt;a href=|http://kjv.us/genesis/31.htm| title=|American King James Version| target=|_top|&gt;AKJ&lt;/a&gt;</v>
      </c>
      <c r="AM31" t="str">
        <f t="shared" ref="AM31:AN31" si="123">CONCATENATE("&lt;/li&gt;&lt;li&gt;&lt;a href=|http://",AM1191,"/genesis/31.htm","| ","title=|",AM1190,"| target=|_top|&gt;",AM1192,"&lt;/a&gt;")</f>
        <v>&lt;/li&gt;&lt;li&gt;&lt;a href=|http://basicenglishbible.com/genesis/31.htm| title=|Bible in Basic English| target=|_top|&gt;BBE&lt;/a&gt;</v>
      </c>
      <c r="AN31" t="str">
        <f t="shared" si="123"/>
        <v>&lt;/li&gt;&lt;li&gt;&lt;a href=|http://darbybible.com/genesis/31.htm| title=|Darby Bible Translation| target=|_top|&gt;DBY&lt;/a&gt;</v>
      </c>
      <c r="AO3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1" t="str">
        <f>CONCATENATE("&lt;/li&gt;&lt;li&gt;&lt;a href=|http://",AR1191,"/genesis/31.htm","| ","title=|",AR1190,"| target=|_top|&gt;",AR1192,"&lt;/a&gt;")</f>
        <v>&lt;/li&gt;&lt;li&gt;&lt;a href=|http://websterbible.com/genesis/31.htm| title=|Webster's Bible Translation| target=|_top|&gt;WBS&lt;/a&gt;</v>
      </c>
      <c r="AS3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1" t="str">
        <f>CONCATENATE("&lt;/li&gt;&lt;li&gt;&lt;a href=|http://",AT1191,"/genesis/31-1.htm","| ","title=|",AT1190,"| target=|_top|&gt;",AT1192,"&lt;/a&gt;")</f>
        <v>&lt;/li&gt;&lt;li&gt;&lt;a href=|http://biblebrowser.com/genesis/31-1.htm| title=|Split View| target=|_top|&gt;Split&lt;/a&gt;</v>
      </c>
      <c r="AU31" s="2" t="s">
        <v>1276</v>
      </c>
      <c r="AV31" t="s">
        <v>64</v>
      </c>
    </row>
    <row r="32" spans="1:48">
      <c r="A32" t="s">
        <v>622</v>
      </c>
      <c r="B32" t="s">
        <v>85</v>
      </c>
      <c r="C32" t="s">
        <v>624</v>
      </c>
      <c r="D32" t="s">
        <v>1268</v>
      </c>
      <c r="E32" t="s">
        <v>1277</v>
      </c>
      <c r="F32" t="s">
        <v>1304</v>
      </c>
      <c r="G32" t="s">
        <v>1266</v>
      </c>
      <c r="H32" t="s">
        <v>1305</v>
      </c>
      <c r="I32" t="s">
        <v>1303</v>
      </c>
      <c r="J32" t="s">
        <v>1267</v>
      </c>
      <c r="K32" t="s">
        <v>1275</v>
      </c>
      <c r="L32" s="2" t="s">
        <v>1274</v>
      </c>
      <c r="M32" t="str">
        <f t="shared" ref="M32:AB32" si="124">CONCATENATE("&lt;/li&gt;&lt;li&gt;&lt;a href=|http://",M1191,"/genesis/32.htm","| ","title=|",M1190,"| target=|_top|&gt;",M1192,"&lt;/a&gt;")</f>
        <v>&lt;/li&gt;&lt;li&gt;&lt;a href=|http://niv.scripturetext.com/genesis/32.htm| title=|New International Version| target=|_top|&gt;NIV&lt;/a&gt;</v>
      </c>
      <c r="N32" t="str">
        <f t="shared" si="124"/>
        <v>&lt;/li&gt;&lt;li&gt;&lt;a href=|http://nlt.scripturetext.com/genesis/32.htm| title=|New Living Translation| target=|_top|&gt;NLT&lt;/a&gt;</v>
      </c>
      <c r="O32" t="str">
        <f t="shared" si="124"/>
        <v>&lt;/li&gt;&lt;li&gt;&lt;a href=|http://nasb.scripturetext.com/genesis/32.htm| title=|New American Standard Bible| target=|_top|&gt;NAS&lt;/a&gt;</v>
      </c>
      <c r="P32" t="str">
        <f t="shared" si="124"/>
        <v>&lt;/li&gt;&lt;li&gt;&lt;a href=|http://gwt.scripturetext.com/genesis/32.htm| title=|God's Word Translation| target=|_top|&gt;GWT&lt;/a&gt;</v>
      </c>
      <c r="Q32" t="str">
        <f t="shared" si="124"/>
        <v>&lt;/li&gt;&lt;li&gt;&lt;a href=|http://kingjbible.com/genesis/32.htm| title=|King James Bible| target=|_top|&gt;KJV&lt;/a&gt;</v>
      </c>
      <c r="R32" t="str">
        <f t="shared" si="124"/>
        <v>&lt;/li&gt;&lt;li&gt;&lt;a href=|http://asvbible.com/genesis/32.htm| title=|American Standard Version| target=|_top|&gt;ASV&lt;/a&gt;</v>
      </c>
      <c r="S32" t="str">
        <f t="shared" si="124"/>
        <v>&lt;/li&gt;&lt;li&gt;&lt;a href=|http://drb.scripturetext.com/genesis/32.htm| title=|Douay-Rheims Bible| target=|_top|&gt;DRB&lt;/a&gt;</v>
      </c>
      <c r="T32" t="str">
        <f t="shared" si="124"/>
        <v>&lt;/li&gt;&lt;li&gt;&lt;a href=|http://erv.scripturetext.com/genesis/32.htm| title=|English Revised Version| target=|_top|&gt;ERV&lt;/a&gt;</v>
      </c>
      <c r="V32" t="str">
        <f>CONCATENATE("&lt;/li&gt;&lt;li&gt;&lt;a href=|http://",V1191,"/genesis/32.htm","| ","title=|",V1190,"| target=|_top|&gt;",V1192,"&lt;/a&gt;")</f>
        <v>&lt;/li&gt;&lt;li&gt;&lt;a href=|http://study.interlinearbible.org/genesis/32.htm| title=|Hebrew Study Bible| target=|_top|&gt;Heb Study&lt;/a&gt;</v>
      </c>
      <c r="W32" t="str">
        <f t="shared" si="124"/>
        <v>&lt;/li&gt;&lt;li&gt;&lt;a href=|http://apostolic.interlinearbible.org/genesis/32.htm| title=|Apostolic Bible Polyglot Interlinear| target=|_top|&gt;Polyglot&lt;/a&gt;</v>
      </c>
      <c r="X32" t="str">
        <f t="shared" si="124"/>
        <v>&lt;/li&gt;&lt;li&gt;&lt;a href=|http://interlinearbible.org/genesis/32.htm| title=|Interlinear Bible| target=|_top|&gt;Interlin&lt;/a&gt;</v>
      </c>
      <c r="Y32" t="str">
        <f t="shared" ref="Y32" si="125">CONCATENATE("&lt;/li&gt;&lt;li&gt;&lt;a href=|http://",Y1191,"/genesis/32.htm","| ","title=|",Y1190,"| target=|_top|&gt;",Y1192,"&lt;/a&gt;")</f>
        <v>&lt;/li&gt;&lt;li&gt;&lt;a href=|http://bibleoutline.org/genesis/32.htm| title=|Outline with People and Places List| target=|_top|&gt;Outline&lt;/a&gt;</v>
      </c>
      <c r="Z32" t="str">
        <f t="shared" si="124"/>
        <v>&lt;/li&gt;&lt;li&gt;&lt;a href=|http://kjvs.scripturetext.com/genesis/32.htm| title=|King James Bible with Strong's Numbers| target=|_top|&gt;Strong's&lt;/a&gt;</v>
      </c>
      <c r="AA32" t="str">
        <f t="shared" si="124"/>
        <v>&lt;/li&gt;&lt;li&gt;&lt;a href=|http://childrensbibleonline.com/genesis/32.htm| title=|The Children's Bible| target=|_top|&gt;Children's&lt;/a&gt;</v>
      </c>
      <c r="AB32" s="2" t="str">
        <f t="shared" si="124"/>
        <v>&lt;/li&gt;&lt;li&gt;&lt;a href=|http://tsk.scripturetext.com/genesis/32.htm| title=|Treasury of Scripture Knowledge| target=|_top|&gt;TSK&lt;/a&gt;</v>
      </c>
      <c r="AC32" t="str">
        <f>CONCATENATE("&lt;a href=|http://",AC1191,"/genesis/32.htm","| ","title=|",AC1190,"| target=|_top|&gt;",AC1192,"&lt;/a&gt;")</f>
        <v>&lt;a href=|http://parallelbible.com/genesis/32.htm| title=|Parallel Chapters| target=|_top|&gt;PAR&lt;/a&gt;</v>
      </c>
      <c r="AD32" s="2" t="str">
        <f t="shared" ref="AD32:AK32" si="126">CONCATENATE("&lt;/li&gt;&lt;li&gt;&lt;a href=|http://",AD1191,"/genesis/32.htm","| ","title=|",AD1190,"| target=|_top|&gt;",AD1192,"&lt;/a&gt;")</f>
        <v>&lt;/li&gt;&lt;li&gt;&lt;a href=|http://gsb.biblecommenter.com/genesis/32.htm| title=|Geneva Study Bible| target=|_top|&gt;GSB&lt;/a&gt;</v>
      </c>
      <c r="AE32" s="2" t="str">
        <f t="shared" si="126"/>
        <v>&lt;/li&gt;&lt;li&gt;&lt;a href=|http://jfb.biblecommenter.com/genesis/32.htm| title=|Jamieson-Fausset-Brown Bible Commentary| target=|_top|&gt;JFB&lt;/a&gt;</v>
      </c>
      <c r="AF32" s="2" t="str">
        <f t="shared" si="126"/>
        <v>&lt;/li&gt;&lt;li&gt;&lt;a href=|http://kjt.biblecommenter.com/genesis/32.htm| title=|King James Translators' Notes| target=|_top|&gt;KJT&lt;/a&gt;</v>
      </c>
      <c r="AG32" s="2" t="str">
        <f t="shared" si="126"/>
        <v>&lt;/li&gt;&lt;li&gt;&lt;a href=|http://mhc.biblecommenter.com/genesis/32.htm| title=|Matthew Henry's Concise Commentary| target=|_top|&gt;MHC&lt;/a&gt;</v>
      </c>
      <c r="AH32" s="2" t="str">
        <f t="shared" si="126"/>
        <v>&lt;/li&gt;&lt;li&gt;&lt;a href=|http://sco.biblecommenter.com/genesis/32.htm| title=|Scofield Reference Notes| target=|_top|&gt;SCO&lt;/a&gt;</v>
      </c>
      <c r="AI32" s="2" t="str">
        <f t="shared" si="126"/>
        <v>&lt;/li&gt;&lt;li&gt;&lt;a href=|http://wes.biblecommenter.com/genesis/32.htm| title=|Wesley's Notes on the Bible| target=|_top|&gt;WES&lt;/a&gt;</v>
      </c>
      <c r="AJ32" t="str">
        <f t="shared" si="126"/>
        <v>&lt;/li&gt;&lt;li&gt;&lt;a href=|http://worldebible.com/genesis/32.htm| title=|World English Bible| target=|_top|&gt;WEB&lt;/a&gt;</v>
      </c>
      <c r="AK32" t="str">
        <f t="shared" si="126"/>
        <v>&lt;/li&gt;&lt;li&gt;&lt;a href=|http://yltbible.com/genesis/32.htm| title=|Young's Literal Translation| target=|_top|&gt;YLT&lt;/a&gt;</v>
      </c>
      <c r="AL32" t="str">
        <f>CONCATENATE("&lt;a href=|http://",AL1191,"/genesis/32.htm","| ","title=|",AL1190,"| target=|_top|&gt;",AL1192,"&lt;/a&gt;")</f>
        <v>&lt;a href=|http://kjv.us/genesis/32.htm| title=|American King James Version| target=|_top|&gt;AKJ&lt;/a&gt;</v>
      </c>
      <c r="AM32" t="str">
        <f t="shared" ref="AM32:AN32" si="127">CONCATENATE("&lt;/li&gt;&lt;li&gt;&lt;a href=|http://",AM1191,"/genesis/32.htm","| ","title=|",AM1190,"| target=|_top|&gt;",AM1192,"&lt;/a&gt;")</f>
        <v>&lt;/li&gt;&lt;li&gt;&lt;a href=|http://basicenglishbible.com/genesis/32.htm| title=|Bible in Basic English| target=|_top|&gt;BBE&lt;/a&gt;</v>
      </c>
      <c r="AN32" t="str">
        <f t="shared" si="127"/>
        <v>&lt;/li&gt;&lt;li&gt;&lt;a href=|http://darbybible.com/genesis/32.htm| title=|Darby Bible Translation| target=|_top|&gt;DBY&lt;/a&gt;</v>
      </c>
      <c r="AO3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2" t="str">
        <f>CONCATENATE("&lt;/li&gt;&lt;li&gt;&lt;a href=|http://",AR1191,"/genesis/32.htm","| ","title=|",AR1190,"| target=|_top|&gt;",AR1192,"&lt;/a&gt;")</f>
        <v>&lt;/li&gt;&lt;li&gt;&lt;a href=|http://websterbible.com/genesis/32.htm| title=|Webster's Bible Translation| target=|_top|&gt;WBS&lt;/a&gt;</v>
      </c>
      <c r="AS3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2" t="str">
        <f>CONCATENATE("&lt;/li&gt;&lt;li&gt;&lt;a href=|http://",AT1191,"/genesis/32-1.htm","| ","title=|",AT1190,"| target=|_top|&gt;",AT1192,"&lt;/a&gt;")</f>
        <v>&lt;/li&gt;&lt;li&gt;&lt;a href=|http://biblebrowser.com/genesis/32-1.htm| title=|Split View| target=|_top|&gt;Split&lt;/a&gt;</v>
      </c>
      <c r="AU32" s="2" t="s">
        <v>1276</v>
      </c>
      <c r="AV32" t="s">
        <v>64</v>
      </c>
    </row>
    <row r="33" spans="1:48">
      <c r="A33" t="s">
        <v>622</v>
      </c>
      <c r="B33" t="s">
        <v>86</v>
      </c>
      <c r="C33" t="s">
        <v>624</v>
      </c>
      <c r="D33" t="s">
        <v>1268</v>
      </c>
      <c r="E33" t="s">
        <v>1277</v>
      </c>
      <c r="F33" t="s">
        <v>1304</v>
      </c>
      <c r="G33" t="s">
        <v>1266</v>
      </c>
      <c r="H33" t="s">
        <v>1305</v>
      </c>
      <c r="I33" t="s">
        <v>1303</v>
      </c>
      <c r="J33" t="s">
        <v>1267</v>
      </c>
      <c r="K33" t="s">
        <v>1275</v>
      </c>
      <c r="L33" s="2" t="s">
        <v>1274</v>
      </c>
      <c r="M33" t="str">
        <f t="shared" ref="M33:AB33" si="128">CONCATENATE("&lt;/li&gt;&lt;li&gt;&lt;a href=|http://",M1191,"/genesis/33.htm","| ","title=|",M1190,"| target=|_top|&gt;",M1192,"&lt;/a&gt;")</f>
        <v>&lt;/li&gt;&lt;li&gt;&lt;a href=|http://niv.scripturetext.com/genesis/33.htm| title=|New International Version| target=|_top|&gt;NIV&lt;/a&gt;</v>
      </c>
      <c r="N33" t="str">
        <f t="shared" si="128"/>
        <v>&lt;/li&gt;&lt;li&gt;&lt;a href=|http://nlt.scripturetext.com/genesis/33.htm| title=|New Living Translation| target=|_top|&gt;NLT&lt;/a&gt;</v>
      </c>
      <c r="O33" t="str">
        <f t="shared" si="128"/>
        <v>&lt;/li&gt;&lt;li&gt;&lt;a href=|http://nasb.scripturetext.com/genesis/33.htm| title=|New American Standard Bible| target=|_top|&gt;NAS&lt;/a&gt;</v>
      </c>
      <c r="P33" t="str">
        <f t="shared" si="128"/>
        <v>&lt;/li&gt;&lt;li&gt;&lt;a href=|http://gwt.scripturetext.com/genesis/33.htm| title=|God's Word Translation| target=|_top|&gt;GWT&lt;/a&gt;</v>
      </c>
      <c r="Q33" t="str">
        <f t="shared" si="128"/>
        <v>&lt;/li&gt;&lt;li&gt;&lt;a href=|http://kingjbible.com/genesis/33.htm| title=|King James Bible| target=|_top|&gt;KJV&lt;/a&gt;</v>
      </c>
      <c r="R33" t="str">
        <f t="shared" si="128"/>
        <v>&lt;/li&gt;&lt;li&gt;&lt;a href=|http://asvbible.com/genesis/33.htm| title=|American Standard Version| target=|_top|&gt;ASV&lt;/a&gt;</v>
      </c>
      <c r="S33" t="str">
        <f t="shared" si="128"/>
        <v>&lt;/li&gt;&lt;li&gt;&lt;a href=|http://drb.scripturetext.com/genesis/33.htm| title=|Douay-Rheims Bible| target=|_top|&gt;DRB&lt;/a&gt;</v>
      </c>
      <c r="T33" t="str">
        <f t="shared" si="128"/>
        <v>&lt;/li&gt;&lt;li&gt;&lt;a href=|http://erv.scripturetext.com/genesis/33.htm| title=|English Revised Version| target=|_top|&gt;ERV&lt;/a&gt;</v>
      </c>
      <c r="V33" t="str">
        <f>CONCATENATE("&lt;/li&gt;&lt;li&gt;&lt;a href=|http://",V1191,"/genesis/33.htm","| ","title=|",V1190,"| target=|_top|&gt;",V1192,"&lt;/a&gt;")</f>
        <v>&lt;/li&gt;&lt;li&gt;&lt;a href=|http://study.interlinearbible.org/genesis/33.htm| title=|Hebrew Study Bible| target=|_top|&gt;Heb Study&lt;/a&gt;</v>
      </c>
      <c r="W33" t="str">
        <f t="shared" si="128"/>
        <v>&lt;/li&gt;&lt;li&gt;&lt;a href=|http://apostolic.interlinearbible.org/genesis/33.htm| title=|Apostolic Bible Polyglot Interlinear| target=|_top|&gt;Polyglot&lt;/a&gt;</v>
      </c>
      <c r="X33" t="str">
        <f t="shared" si="128"/>
        <v>&lt;/li&gt;&lt;li&gt;&lt;a href=|http://interlinearbible.org/genesis/33.htm| title=|Interlinear Bible| target=|_top|&gt;Interlin&lt;/a&gt;</v>
      </c>
      <c r="Y33" t="str">
        <f t="shared" ref="Y33" si="129">CONCATENATE("&lt;/li&gt;&lt;li&gt;&lt;a href=|http://",Y1191,"/genesis/33.htm","| ","title=|",Y1190,"| target=|_top|&gt;",Y1192,"&lt;/a&gt;")</f>
        <v>&lt;/li&gt;&lt;li&gt;&lt;a href=|http://bibleoutline.org/genesis/33.htm| title=|Outline with People and Places List| target=|_top|&gt;Outline&lt;/a&gt;</v>
      </c>
      <c r="Z33" t="str">
        <f t="shared" si="128"/>
        <v>&lt;/li&gt;&lt;li&gt;&lt;a href=|http://kjvs.scripturetext.com/genesis/33.htm| title=|King James Bible with Strong's Numbers| target=|_top|&gt;Strong's&lt;/a&gt;</v>
      </c>
      <c r="AA33" t="str">
        <f t="shared" si="128"/>
        <v>&lt;/li&gt;&lt;li&gt;&lt;a href=|http://childrensbibleonline.com/genesis/33.htm| title=|The Children's Bible| target=|_top|&gt;Children's&lt;/a&gt;</v>
      </c>
      <c r="AB33" s="2" t="str">
        <f t="shared" si="128"/>
        <v>&lt;/li&gt;&lt;li&gt;&lt;a href=|http://tsk.scripturetext.com/genesis/33.htm| title=|Treasury of Scripture Knowledge| target=|_top|&gt;TSK&lt;/a&gt;</v>
      </c>
      <c r="AC33" t="str">
        <f>CONCATENATE("&lt;a href=|http://",AC1191,"/genesis/33.htm","| ","title=|",AC1190,"| target=|_top|&gt;",AC1192,"&lt;/a&gt;")</f>
        <v>&lt;a href=|http://parallelbible.com/genesis/33.htm| title=|Parallel Chapters| target=|_top|&gt;PAR&lt;/a&gt;</v>
      </c>
      <c r="AD33" s="2" t="str">
        <f t="shared" ref="AD33:AK33" si="130">CONCATENATE("&lt;/li&gt;&lt;li&gt;&lt;a href=|http://",AD1191,"/genesis/33.htm","| ","title=|",AD1190,"| target=|_top|&gt;",AD1192,"&lt;/a&gt;")</f>
        <v>&lt;/li&gt;&lt;li&gt;&lt;a href=|http://gsb.biblecommenter.com/genesis/33.htm| title=|Geneva Study Bible| target=|_top|&gt;GSB&lt;/a&gt;</v>
      </c>
      <c r="AE33" s="2" t="str">
        <f t="shared" si="130"/>
        <v>&lt;/li&gt;&lt;li&gt;&lt;a href=|http://jfb.biblecommenter.com/genesis/33.htm| title=|Jamieson-Fausset-Brown Bible Commentary| target=|_top|&gt;JFB&lt;/a&gt;</v>
      </c>
      <c r="AF33" s="2" t="str">
        <f t="shared" si="130"/>
        <v>&lt;/li&gt;&lt;li&gt;&lt;a href=|http://kjt.biblecommenter.com/genesis/33.htm| title=|King James Translators' Notes| target=|_top|&gt;KJT&lt;/a&gt;</v>
      </c>
      <c r="AG33" s="2" t="str">
        <f t="shared" si="130"/>
        <v>&lt;/li&gt;&lt;li&gt;&lt;a href=|http://mhc.biblecommenter.com/genesis/33.htm| title=|Matthew Henry's Concise Commentary| target=|_top|&gt;MHC&lt;/a&gt;</v>
      </c>
      <c r="AH33" s="2" t="str">
        <f t="shared" si="130"/>
        <v>&lt;/li&gt;&lt;li&gt;&lt;a href=|http://sco.biblecommenter.com/genesis/33.htm| title=|Scofield Reference Notes| target=|_top|&gt;SCO&lt;/a&gt;</v>
      </c>
      <c r="AI33" s="2" t="str">
        <f t="shared" si="130"/>
        <v>&lt;/li&gt;&lt;li&gt;&lt;a href=|http://wes.biblecommenter.com/genesis/33.htm| title=|Wesley's Notes on the Bible| target=|_top|&gt;WES&lt;/a&gt;</v>
      </c>
      <c r="AJ33" t="str">
        <f t="shared" si="130"/>
        <v>&lt;/li&gt;&lt;li&gt;&lt;a href=|http://worldebible.com/genesis/33.htm| title=|World English Bible| target=|_top|&gt;WEB&lt;/a&gt;</v>
      </c>
      <c r="AK33" t="str">
        <f t="shared" si="130"/>
        <v>&lt;/li&gt;&lt;li&gt;&lt;a href=|http://yltbible.com/genesis/33.htm| title=|Young's Literal Translation| target=|_top|&gt;YLT&lt;/a&gt;</v>
      </c>
      <c r="AL33" t="str">
        <f>CONCATENATE("&lt;a href=|http://",AL1191,"/genesis/33.htm","| ","title=|",AL1190,"| target=|_top|&gt;",AL1192,"&lt;/a&gt;")</f>
        <v>&lt;a href=|http://kjv.us/genesis/33.htm| title=|American King James Version| target=|_top|&gt;AKJ&lt;/a&gt;</v>
      </c>
      <c r="AM33" t="str">
        <f t="shared" ref="AM33:AN33" si="131">CONCATENATE("&lt;/li&gt;&lt;li&gt;&lt;a href=|http://",AM1191,"/genesis/33.htm","| ","title=|",AM1190,"| target=|_top|&gt;",AM1192,"&lt;/a&gt;")</f>
        <v>&lt;/li&gt;&lt;li&gt;&lt;a href=|http://basicenglishbible.com/genesis/33.htm| title=|Bible in Basic English| target=|_top|&gt;BBE&lt;/a&gt;</v>
      </c>
      <c r="AN33" t="str">
        <f t="shared" si="131"/>
        <v>&lt;/li&gt;&lt;li&gt;&lt;a href=|http://darbybible.com/genesis/33.htm| title=|Darby Bible Translation| target=|_top|&gt;DBY&lt;/a&gt;</v>
      </c>
      <c r="AO3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3" t="str">
        <f>CONCATENATE("&lt;/li&gt;&lt;li&gt;&lt;a href=|http://",AR1191,"/genesis/33.htm","| ","title=|",AR1190,"| target=|_top|&gt;",AR1192,"&lt;/a&gt;")</f>
        <v>&lt;/li&gt;&lt;li&gt;&lt;a href=|http://websterbible.com/genesis/33.htm| title=|Webster's Bible Translation| target=|_top|&gt;WBS&lt;/a&gt;</v>
      </c>
      <c r="AS3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3" t="str">
        <f>CONCATENATE("&lt;/li&gt;&lt;li&gt;&lt;a href=|http://",AT1191,"/genesis/33-1.htm","| ","title=|",AT1190,"| target=|_top|&gt;",AT1192,"&lt;/a&gt;")</f>
        <v>&lt;/li&gt;&lt;li&gt;&lt;a href=|http://biblebrowser.com/genesis/33-1.htm| title=|Split View| target=|_top|&gt;Split&lt;/a&gt;</v>
      </c>
      <c r="AU33" s="2" t="s">
        <v>1276</v>
      </c>
      <c r="AV33" t="s">
        <v>64</v>
      </c>
    </row>
    <row r="34" spans="1:48">
      <c r="A34" t="s">
        <v>622</v>
      </c>
      <c r="B34" t="s">
        <v>87</v>
      </c>
      <c r="C34" t="s">
        <v>624</v>
      </c>
      <c r="D34" t="s">
        <v>1268</v>
      </c>
      <c r="E34" t="s">
        <v>1277</v>
      </c>
      <c r="F34" t="s">
        <v>1304</v>
      </c>
      <c r="G34" t="s">
        <v>1266</v>
      </c>
      <c r="H34" t="s">
        <v>1305</v>
      </c>
      <c r="I34" t="s">
        <v>1303</v>
      </c>
      <c r="J34" t="s">
        <v>1267</v>
      </c>
      <c r="K34" t="s">
        <v>1275</v>
      </c>
      <c r="L34" s="2" t="s">
        <v>1274</v>
      </c>
      <c r="M34" t="str">
        <f t="shared" ref="M34:AB34" si="132">CONCATENATE("&lt;/li&gt;&lt;li&gt;&lt;a href=|http://",M1191,"/genesis/34.htm","| ","title=|",M1190,"| target=|_top|&gt;",M1192,"&lt;/a&gt;")</f>
        <v>&lt;/li&gt;&lt;li&gt;&lt;a href=|http://niv.scripturetext.com/genesis/34.htm| title=|New International Version| target=|_top|&gt;NIV&lt;/a&gt;</v>
      </c>
      <c r="N34" t="str">
        <f t="shared" si="132"/>
        <v>&lt;/li&gt;&lt;li&gt;&lt;a href=|http://nlt.scripturetext.com/genesis/34.htm| title=|New Living Translation| target=|_top|&gt;NLT&lt;/a&gt;</v>
      </c>
      <c r="O34" t="str">
        <f t="shared" si="132"/>
        <v>&lt;/li&gt;&lt;li&gt;&lt;a href=|http://nasb.scripturetext.com/genesis/34.htm| title=|New American Standard Bible| target=|_top|&gt;NAS&lt;/a&gt;</v>
      </c>
      <c r="P34" t="str">
        <f t="shared" si="132"/>
        <v>&lt;/li&gt;&lt;li&gt;&lt;a href=|http://gwt.scripturetext.com/genesis/34.htm| title=|God's Word Translation| target=|_top|&gt;GWT&lt;/a&gt;</v>
      </c>
      <c r="Q34" t="str">
        <f t="shared" si="132"/>
        <v>&lt;/li&gt;&lt;li&gt;&lt;a href=|http://kingjbible.com/genesis/34.htm| title=|King James Bible| target=|_top|&gt;KJV&lt;/a&gt;</v>
      </c>
      <c r="R34" t="str">
        <f t="shared" si="132"/>
        <v>&lt;/li&gt;&lt;li&gt;&lt;a href=|http://asvbible.com/genesis/34.htm| title=|American Standard Version| target=|_top|&gt;ASV&lt;/a&gt;</v>
      </c>
      <c r="S34" t="str">
        <f t="shared" si="132"/>
        <v>&lt;/li&gt;&lt;li&gt;&lt;a href=|http://drb.scripturetext.com/genesis/34.htm| title=|Douay-Rheims Bible| target=|_top|&gt;DRB&lt;/a&gt;</v>
      </c>
      <c r="T34" t="str">
        <f t="shared" si="132"/>
        <v>&lt;/li&gt;&lt;li&gt;&lt;a href=|http://erv.scripturetext.com/genesis/34.htm| title=|English Revised Version| target=|_top|&gt;ERV&lt;/a&gt;</v>
      </c>
      <c r="V34" t="str">
        <f>CONCATENATE("&lt;/li&gt;&lt;li&gt;&lt;a href=|http://",V1191,"/genesis/34.htm","| ","title=|",V1190,"| target=|_top|&gt;",V1192,"&lt;/a&gt;")</f>
        <v>&lt;/li&gt;&lt;li&gt;&lt;a href=|http://study.interlinearbible.org/genesis/34.htm| title=|Hebrew Study Bible| target=|_top|&gt;Heb Study&lt;/a&gt;</v>
      </c>
      <c r="W34" t="str">
        <f t="shared" si="132"/>
        <v>&lt;/li&gt;&lt;li&gt;&lt;a href=|http://apostolic.interlinearbible.org/genesis/34.htm| title=|Apostolic Bible Polyglot Interlinear| target=|_top|&gt;Polyglot&lt;/a&gt;</v>
      </c>
      <c r="X34" t="str">
        <f t="shared" si="132"/>
        <v>&lt;/li&gt;&lt;li&gt;&lt;a href=|http://interlinearbible.org/genesis/34.htm| title=|Interlinear Bible| target=|_top|&gt;Interlin&lt;/a&gt;</v>
      </c>
      <c r="Y34" t="str">
        <f t="shared" ref="Y34" si="133">CONCATENATE("&lt;/li&gt;&lt;li&gt;&lt;a href=|http://",Y1191,"/genesis/34.htm","| ","title=|",Y1190,"| target=|_top|&gt;",Y1192,"&lt;/a&gt;")</f>
        <v>&lt;/li&gt;&lt;li&gt;&lt;a href=|http://bibleoutline.org/genesis/34.htm| title=|Outline with People and Places List| target=|_top|&gt;Outline&lt;/a&gt;</v>
      </c>
      <c r="Z34" t="str">
        <f t="shared" si="132"/>
        <v>&lt;/li&gt;&lt;li&gt;&lt;a href=|http://kjvs.scripturetext.com/genesis/34.htm| title=|King James Bible with Strong's Numbers| target=|_top|&gt;Strong's&lt;/a&gt;</v>
      </c>
      <c r="AA34" t="str">
        <f t="shared" si="132"/>
        <v>&lt;/li&gt;&lt;li&gt;&lt;a href=|http://childrensbibleonline.com/genesis/34.htm| title=|The Children's Bible| target=|_top|&gt;Children's&lt;/a&gt;</v>
      </c>
      <c r="AB34" s="2" t="str">
        <f t="shared" si="132"/>
        <v>&lt;/li&gt;&lt;li&gt;&lt;a href=|http://tsk.scripturetext.com/genesis/34.htm| title=|Treasury of Scripture Knowledge| target=|_top|&gt;TSK&lt;/a&gt;</v>
      </c>
      <c r="AC34" t="str">
        <f>CONCATENATE("&lt;a href=|http://",AC1191,"/genesis/34.htm","| ","title=|",AC1190,"| target=|_top|&gt;",AC1192,"&lt;/a&gt;")</f>
        <v>&lt;a href=|http://parallelbible.com/genesis/34.htm| title=|Parallel Chapters| target=|_top|&gt;PAR&lt;/a&gt;</v>
      </c>
      <c r="AD34" s="2" t="str">
        <f t="shared" ref="AD34:AK34" si="134">CONCATENATE("&lt;/li&gt;&lt;li&gt;&lt;a href=|http://",AD1191,"/genesis/34.htm","| ","title=|",AD1190,"| target=|_top|&gt;",AD1192,"&lt;/a&gt;")</f>
        <v>&lt;/li&gt;&lt;li&gt;&lt;a href=|http://gsb.biblecommenter.com/genesis/34.htm| title=|Geneva Study Bible| target=|_top|&gt;GSB&lt;/a&gt;</v>
      </c>
      <c r="AE34" s="2" t="str">
        <f t="shared" si="134"/>
        <v>&lt;/li&gt;&lt;li&gt;&lt;a href=|http://jfb.biblecommenter.com/genesis/34.htm| title=|Jamieson-Fausset-Brown Bible Commentary| target=|_top|&gt;JFB&lt;/a&gt;</v>
      </c>
      <c r="AF34" s="2" t="str">
        <f t="shared" si="134"/>
        <v>&lt;/li&gt;&lt;li&gt;&lt;a href=|http://kjt.biblecommenter.com/genesis/34.htm| title=|King James Translators' Notes| target=|_top|&gt;KJT&lt;/a&gt;</v>
      </c>
      <c r="AG34" s="2" t="str">
        <f t="shared" si="134"/>
        <v>&lt;/li&gt;&lt;li&gt;&lt;a href=|http://mhc.biblecommenter.com/genesis/34.htm| title=|Matthew Henry's Concise Commentary| target=|_top|&gt;MHC&lt;/a&gt;</v>
      </c>
      <c r="AH34" s="2" t="str">
        <f t="shared" si="134"/>
        <v>&lt;/li&gt;&lt;li&gt;&lt;a href=|http://sco.biblecommenter.com/genesis/34.htm| title=|Scofield Reference Notes| target=|_top|&gt;SCO&lt;/a&gt;</v>
      </c>
      <c r="AI34" s="2" t="str">
        <f t="shared" si="134"/>
        <v>&lt;/li&gt;&lt;li&gt;&lt;a href=|http://wes.biblecommenter.com/genesis/34.htm| title=|Wesley's Notes on the Bible| target=|_top|&gt;WES&lt;/a&gt;</v>
      </c>
      <c r="AJ34" t="str">
        <f t="shared" si="134"/>
        <v>&lt;/li&gt;&lt;li&gt;&lt;a href=|http://worldebible.com/genesis/34.htm| title=|World English Bible| target=|_top|&gt;WEB&lt;/a&gt;</v>
      </c>
      <c r="AK34" t="str">
        <f t="shared" si="134"/>
        <v>&lt;/li&gt;&lt;li&gt;&lt;a href=|http://yltbible.com/genesis/34.htm| title=|Young's Literal Translation| target=|_top|&gt;YLT&lt;/a&gt;</v>
      </c>
      <c r="AL34" t="str">
        <f>CONCATENATE("&lt;a href=|http://",AL1191,"/genesis/34.htm","| ","title=|",AL1190,"| target=|_top|&gt;",AL1192,"&lt;/a&gt;")</f>
        <v>&lt;a href=|http://kjv.us/genesis/34.htm| title=|American King James Version| target=|_top|&gt;AKJ&lt;/a&gt;</v>
      </c>
      <c r="AM34" t="str">
        <f t="shared" ref="AM34:AN34" si="135">CONCATENATE("&lt;/li&gt;&lt;li&gt;&lt;a href=|http://",AM1191,"/genesis/34.htm","| ","title=|",AM1190,"| target=|_top|&gt;",AM1192,"&lt;/a&gt;")</f>
        <v>&lt;/li&gt;&lt;li&gt;&lt;a href=|http://basicenglishbible.com/genesis/34.htm| title=|Bible in Basic English| target=|_top|&gt;BBE&lt;/a&gt;</v>
      </c>
      <c r="AN34" t="str">
        <f t="shared" si="135"/>
        <v>&lt;/li&gt;&lt;li&gt;&lt;a href=|http://darbybible.com/genesis/34.htm| title=|Darby Bible Translation| target=|_top|&gt;DBY&lt;/a&gt;</v>
      </c>
      <c r="AO3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4" t="str">
        <f>CONCATENATE("&lt;/li&gt;&lt;li&gt;&lt;a href=|http://",AR1191,"/genesis/34.htm","| ","title=|",AR1190,"| target=|_top|&gt;",AR1192,"&lt;/a&gt;")</f>
        <v>&lt;/li&gt;&lt;li&gt;&lt;a href=|http://websterbible.com/genesis/34.htm| title=|Webster's Bible Translation| target=|_top|&gt;WBS&lt;/a&gt;</v>
      </c>
      <c r="AS3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4" t="str">
        <f>CONCATENATE("&lt;/li&gt;&lt;li&gt;&lt;a href=|http://",AT1191,"/genesis/34-1.htm","| ","title=|",AT1190,"| target=|_top|&gt;",AT1192,"&lt;/a&gt;")</f>
        <v>&lt;/li&gt;&lt;li&gt;&lt;a href=|http://biblebrowser.com/genesis/34-1.htm| title=|Split View| target=|_top|&gt;Split&lt;/a&gt;</v>
      </c>
      <c r="AU34" s="2" t="s">
        <v>1276</v>
      </c>
      <c r="AV34" t="s">
        <v>64</v>
      </c>
    </row>
    <row r="35" spans="1:48">
      <c r="A35" t="s">
        <v>622</v>
      </c>
      <c r="B35" t="s">
        <v>88</v>
      </c>
      <c r="C35" t="s">
        <v>624</v>
      </c>
      <c r="D35" t="s">
        <v>1268</v>
      </c>
      <c r="E35" t="s">
        <v>1277</v>
      </c>
      <c r="F35" t="s">
        <v>1304</v>
      </c>
      <c r="G35" t="s">
        <v>1266</v>
      </c>
      <c r="H35" t="s">
        <v>1305</v>
      </c>
      <c r="I35" t="s">
        <v>1303</v>
      </c>
      <c r="J35" t="s">
        <v>1267</v>
      </c>
      <c r="K35" t="s">
        <v>1275</v>
      </c>
      <c r="L35" s="2" t="s">
        <v>1274</v>
      </c>
      <c r="M35" t="str">
        <f t="shared" ref="M35:AB35" si="136">CONCATENATE("&lt;/li&gt;&lt;li&gt;&lt;a href=|http://",M1191,"/genesis/35.htm","| ","title=|",M1190,"| target=|_top|&gt;",M1192,"&lt;/a&gt;")</f>
        <v>&lt;/li&gt;&lt;li&gt;&lt;a href=|http://niv.scripturetext.com/genesis/35.htm| title=|New International Version| target=|_top|&gt;NIV&lt;/a&gt;</v>
      </c>
      <c r="N35" t="str">
        <f t="shared" si="136"/>
        <v>&lt;/li&gt;&lt;li&gt;&lt;a href=|http://nlt.scripturetext.com/genesis/35.htm| title=|New Living Translation| target=|_top|&gt;NLT&lt;/a&gt;</v>
      </c>
      <c r="O35" t="str">
        <f t="shared" si="136"/>
        <v>&lt;/li&gt;&lt;li&gt;&lt;a href=|http://nasb.scripturetext.com/genesis/35.htm| title=|New American Standard Bible| target=|_top|&gt;NAS&lt;/a&gt;</v>
      </c>
      <c r="P35" t="str">
        <f t="shared" si="136"/>
        <v>&lt;/li&gt;&lt;li&gt;&lt;a href=|http://gwt.scripturetext.com/genesis/35.htm| title=|God's Word Translation| target=|_top|&gt;GWT&lt;/a&gt;</v>
      </c>
      <c r="Q35" t="str">
        <f t="shared" si="136"/>
        <v>&lt;/li&gt;&lt;li&gt;&lt;a href=|http://kingjbible.com/genesis/35.htm| title=|King James Bible| target=|_top|&gt;KJV&lt;/a&gt;</v>
      </c>
      <c r="R35" t="str">
        <f t="shared" si="136"/>
        <v>&lt;/li&gt;&lt;li&gt;&lt;a href=|http://asvbible.com/genesis/35.htm| title=|American Standard Version| target=|_top|&gt;ASV&lt;/a&gt;</v>
      </c>
      <c r="S35" t="str">
        <f t="shared" si="136"/>
        <v>&lt;/li&gt;&lt;li&gt;&lt;a href=|http://drb.scripturetext.com/genesis/35.htm| title=|Douay-Rheims Bible| target=|_top|&gt;DRB&lt;/a&gt;</v>
      </c>
      <c r="T35" t="str">
        <f t="shared" si="136"/>
        <v>&lt;/li&gt;&lt;li&gt;&lt;a href=|http://erv.scripturetext.com/genesis/35.htm| title=|English Revised Version| target=|_top|&gt;ERV&lt;/a&gt;</v>
      </c>
      <c r="V35" t="str">
        <f>CONCATENATE("&lt;/li&gt;&lt;li&gt;&lt;a href=|http://",V1191,"/genesis/35.htm","| ","title=|",V1190,"| target=|_top|&gt;",V1192,"&lt;/a&gt;")</f>
        <v>&lt;/li&gt;&lt;li&gt;&lt;a href=|http://study.interlinearbible.org/genesis/35.htm| title=|Hebrew Study Bible| target=|_top|&gt;Heb Study&lt;/a&gt;</v>
      </c>
      <c r="W35" t="str">
        <f t="shared" si="136"/>
        <v>&lt;/li&gt;&lt;li&gt;&lt;a href=|http://apostolic.interlinearbible.org/genesis/35.htm| title=|Apostolic Bible Polyglot Interlinear| target=|_top|&gt;Polyglot&lt;/a&gt;</v>
      </c>
      <c r="X35" t="str">
        <f t="shared" si="136"/>
        <v>&lt;/li&gt;&lt;li&gt;&lt;a href=|http://interlinearbible.org/genesis/35.htm| title=|Interlinear Bible| target=|_top|&gt;Interlin&lt;/a&gt;</v>
      </c>
      <c r="Y35" t="str">
        <f t="shared" ref="Y35" si="137">CONCATENATE("&lt;/li&gt;&lt;li&gt;&lt;a href=|http://",Y1191,"/genesis/35.htm","| ","title=|",Y1190,"| target=|_top|&gt;",Y1192,"&lt;/a&gt;")</f>
        <v>&lt;/li&gt;&lt;li&gt;&lt;a href=|http://bibleoutline.org/genesis/35.htm| title=|Outline with People and Places List| target=|_top|&gt;Outline&lt;/a&gt;</v>
      </c>
      <c r="Z35" t="str">
        <f t="shared" si="136"/>
        <v>&lt;/li&gt;&lt;li&gt;&lt;a href=|http://kjvs.scripturetext.com/genesis/35.htm| title=|King James Bible with Strong's Numbers| target=|_top|&gt;Strong's&lt;/a&gt;</v>
      </c>
      <c r="AA35" t="str">
        <f t="shared" si="136"/>
        <v>&lt;/li&gt;&lt;li&gt;&lt;a href=|http://childrensbibleonline.com/genesis/35.htm| title=|The Children's Bible| target=|_top|&gt;Children's&lt;/a&gt;</v>
      </c>
      <c r="AB35" s="2" t="str">
        <f t="shared" si="136"/>
        <v>&lt;/li&gt;&lt;li&gt;&lt;a href=|http://tsk.scripturetext.com/genesis/35.htm| title=|Treasury of Scripture Knowledge| target=|_top|&gt;TSK&lt;/a&gt;</v>
      </c>
      <c r="AC35" t="str">
        <f>CONCATENATE("&lt;a href=|http://",AC1191,"/genesis/35.htm","| ","title=|",AC1190,"| target=|_top|&gt;",AC1192,"&lt;/a&gt;")</f>
        <v>&lt;a href=|http://parallelbible.com/genesis/35.htm| title=|Parallel Chapters| target=|_top|&gt;PAR&lt;/a&gt;</v>
      </c>
      <c r="AD35" s="2" t="str">
        <f t="shared" ref="AD35:AK35" si="138">CONCATENATE("&lt;/li&gt;&lt;li&gt;&lt;a href=|http://",AD1191,"/genesis/35.htm","| ","title=|",AD1190,"| target=|_top|&gt;",AD1192,"&lt;/a&gt;")</f>
        <v>&lt;/li&gt;&lt;li&gt;&lt;a href=|http://gsb.biblecommenter.com/genesis/35.htm| title=|Geneva Study Bible| target=|_top|&gt;GSB&lt;/a&gt;</v>
      </c>
      <c r="AE35" s="2" t="str">
        <f t="shared" si="138"/>
        <v>&lt;/li&gt;&lt;li&gt;&lt;a href=|http://jfb.biblecommenter.com/genesis/35.htm| title=|Jamieson-Fausset-Brown Bible Commentary| target=|_top|&gt;JFB&lt;/a&gt;</v>
      </c>
      <c r="AF35" s="2" t="str">
        <f t="shared" si="138"/>
        <v>&lt;/li&gt;&lt;li&gt;&lt;a href=|http://kjt.biblecommenter.com/genesis/35.htm| title=|King James Translators' Notes| target=|_top|&gt;KJT&lt;/a&gt;</v>
      </c>
      <c r="AG35" s="2" t="str">
        <f t="shared" si="138"/>
        <v>&lt;/li&gt;&lt;li&gt;&lt;a href=|http://mhc.biblecommenter.com/genesis/35.htm| title=|Matthew Henry's Concise Commentary| target=|_top|&gt;MHC&lt;/a&gt;</v>
      </c>
      <c r="AH35" s="2" t="str">
        <f t="shared" si="138"/>
        <v>&lt;/li&gt;&lt;li&gt;&lt;a href=|http://sco.biblecommenter.com/genesis/35.htm| title=|Scofield Reference Notes| target=|_top|&gt;SCO&lt;/a&gt;</v>
      </c>
      <c r="AI35" s="2" t="str">
        <f t="shared" si="138"/>
        <v>&lt;/li&gt;&lt;li&gt;&lt;a href=|http://wes.biblecommenter.com/genesis/35.htm| title=|Wesley's Notes on the Bible| target=|_top|&gt;WES&lt;/a&gt;</v>
      </c>
      <c r="AJ35" t="str">
        <f t="shared" si="138"/>
        <v>&lt;/li&gt;&lt;li&gt;&lt;a href=|http://worldebible.com/genesis/35.htm| title=|World English Bible| target=|_top|&gt;WEB&lt;/a&gt;</v>
      </c>
      <c r="AK35" t="str">
        <f t="shared" si="138"/>
        <v>&lt;/li&gt;&lt;li&gt;&lt;a href=|http://yltbible.com/genesis/35.htm| title=|Young's Literal Translation| target=|_top|&gt;YLT&lt;/a&gt;</v>
      </c>
      <c r="AL35" t="str">
        <f>CONCATENATE("&lt;a href=|http://",AL1191,"/genesis/35.htm","| ","title=|",AL1190,"| target=|_top|&gt;",AL1192,"&lt;/a&gt;")</f>
        <v>&lt;a href=|http://kjv.us/genesis/35.htm| title=|American King James Version| target=|_top|&gt;AKJ&lt;/a&gt;</v>
      </c>
      <c r="AM35" t="str">
        <f t="shared" ref="AM35:AN35" si="139">CONCATENATE("&lt;/li&gt;&lt;li&gt;&lt;a href=|http://",AM1191,"/genesis/35.htm","| ","title=|",AM1190,"| target=|_top|&gt;",AM1192,"&lt;/a&gt;")</f>
        <v>&lt;/li&gt;&lt;li&gt;&lt;a href=|http://basicenglishbible.com/genesis/35.htm| title=|Bible in Basic English| target=|_top|&gt;BBE&lt;/a&gt;</v>
      </c>
      <c r="AN35" t="str">
        <f t="shared" si="139"/>
        <v>&lt;/li&gt;&lt;li&gt;&lt;a href=|http://darbybible.com/genesis/35.htm| title=|Darby Bible Translation| target=|_top|&gt;DBY&lt;/a&gt;</v>
      </c>
      <c r="AO3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5" t="str">
        <f>CONCATENATE("&lt;/li&gt;&lt;li&gt;&lt;a href=|http://",AR1191,"/genesis/35.htm","| ","title=|",AR1190,"| target=|_top|&gt;",AR1192,"&lt;/a&gt;")</f>
        <v>&lt;/li&gt;&lt;li&gt;&lt;a href=|http://websterbible.com/genesis/35.htm| title=|Webster's Bible Translation| target=|_top|&gt;WBS&lt;/a&gt;</v>
      </c>
      <c r="AS3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5" t="str">
        <f>CONCATENATE("&lt;/li&gt;&lt;li&gt;&lt;a href=|http://",AT1191,"/genesis/35-1.htm","| ","title=|",AT1190,"| target=|_top|&gt;",AT1192,"&lt;/a&gt;")</f>
        <v>&lt;/li&gt;&lt;li&gt;&lt;a href=|http://biblebrowser.com/genesis/35-1.htm| title=|Split View| target=|_top|&gt;Split&lt;/a&gt;</v>
      </c>
      <c r="AU35" s="2" t="s">
        <v>1276</v>
      </c>
      <c r="AV35" t="s">
        <v>64</v>
      </c>
    </row>
    <row r="36" spans="1:48">
      <c r="A36" t="s">
        <v>622</v>
      </c>
      <c r="B36" t="s">
        <v>89</v>
      </c>
      <c r="C36" t="s">
        <v>624</v>
      </c>
      <c r="D36" t="s">
        <v>1268</v>
      </c>
      <c r="E36" t="s">
        <v>1277</v>
      </c>
      <c r="F36" t="s">
        <v>1304</v>
      </c>
      <c r="G36" t="s">
        <v>1266</v>
      </c>
      <c r="H36" t="s">
        <v>1305</v>
      </c>
      <c r="I36" t="s">
        <v>1303</v>
      </c>
      <c r="J36" t="s">
        <v>1267</v>
      </c>
      <c r="K36" t="s">
        <v>1275</v>
      </c>
      <c r="L36" s="2" t="s">
        <v>1274</v>
      </c>
      <c r="M36" t="str">
        <f t="shared" ref="M36:AB36" si="140">CONCATENATE("&lt;/li&gt;&lt;li&gt;&lt;a href=|http://",M1191,"/genesis/36.htm","| ","title=|",M1190,"| target=|_top|&gt;",M1192,"&lt;/a&gt;")</f>
        <v>&lt;/li&gt;&lt;li&gt;&lt;a href=|http://niv.scripturetext.com/genesis/36.htm| title=|New International Version| target=|_top|&gt;NIV&lt;/a&gt;</v>
      </c>
      <c r="N36" t="str">
        <f t="shared" si="140"/>
        <v>&lt;/li&gt;&lt;li&gt;&lt;a href=|http://nlt.scripturetext.com/genesis/36.htm| title=|New Living Translation| target=|_top|&gt;NLT&lt;/a&gt;</v>
      </c>
      <c r="O36" t="str">
        <f t="shared" si="140"/>
        <v>&lt;/li&gt;&lt;li&gt;&lt;a href=|http://nasb.scripturetext.com/genesis/36.htm| title=|New American Standard Bible| target=|_top|&gt;NAS&lt;/a&gt;</v>
      </c>
      <c r="P36" t="str">
        <f t="shared" si="140"/>
        <v>&lt;/li&gt;&lt;li&gt;&lt;a href=|http://gwt.scripturetext.com/genesis/36.htm| title=|God's Word Translation| target=|_top|&gt;GWT&lt;/a&gt;</v>
      </c>
      <c r="Q36" t="str">
        <f t="shared" si="140"/>
        <v>&lt;/li&gt;&lt;li&gt;&lt;a href=|http://kingjbible.com/genesis/36.htm| title=|King James Bible| target=|_top|&gt;KJV&lt;/a&gt;</v>
      </c>
      <c r="R36" t="str">
        <f t="shared" si="140"/>
        <v>&lt;/li&gt;&lt;li&gt;&lt;a href=|http://asvbible.com/genesis/36.htm| title=|American Standard Version| target=|_top|&gt;ASV&lt;/a&gt;</v>
      </c>
      <c r="S36" t="str">
        <f t="shared" si="140"/>
        <v>&lt;/li&gt;&lt;li&gt;&lt;a href=|http://drb.scripturetext.com/genesis/36.htm| title=|Douay-Rheims Bible| target=|_top|&gt;DRB&lt;/a&gt;</v>
      </c>
      <c r="T36" t="str">
        <f t="shared" si="140"/>
        <v>&lt;/li&gt;&lt;li&gt;&lt;a href=|http://erv.scripturetext.com/genesis/36.htm| title=|English Revised Version| target=|_top|&gt;ERV&lt;/a&gt;</v>
      </c>
      <c r="V36" t="str">
        <f>CONCATENATE("&lt;/li&gt;&lt;li&gt;&lt;a href=|http://",V1191,"/genesis/36.htm","| ","title=|",V1190,"| target=|_top|&gt;",V1192,"&lt;/a&gt;")</f>
        <v>&lt;/li&gt;&lt;li&gt;&lt;a href=|http://study.interlinearbible.org/genesis/36.htm| title=|Hebrew Study Bible| target=|_top|&gt;Heb Study&lt;/a&gt;</v>
      </c>
      <c r="W36" t="str">
        <f t="shared" si="140"/>
        <v>&lt;/li&gt;&lt;li&gt;&lt;a href=|http://apostolic.interlinearbible.org/genesis/36.htm| title=|Apostolic Bible Polyglot Interlinear| target=|_top|&gt;Polyglot&lt;/a&gt;</v>
      </c>
      <c r="X36" t="str">
        <f t="shared" si="140"/>
        <v>&lt;/li&gt;&lt;li&gt;&lt;a href=|http://interlinearbible.org/genesis/36.htm| title=|Interlinear Bible| target=|_top|&gt;Interlin&lt;/a&gt;</v>
      </c>
      <c r="Y36" t="str">
        <f t="shared" ref="Y36" si="141">CONCATENATE("&lt;/li&gt;&lt;li&gt;&lt;a href=|http://",Y1191,"/genesis/36.htm","| ","title=|",Y1190,"| target=|_top|&gt;",Y1192,"&lt;/a&gt;")</f>
        <v>&lt;/li&gt;&lt;li&gt;&lt;a href=|http://bibleoutline.org/genesis/36.htm| title=|Outline with People and Places List| target=|_top|&gt;Outline&lt;/a&gt;</v>
      </c>
      <c r="Z36" t="str">
        <f t="shared" si="140"/>
        <v>&lt;/li&gt;&lt;li&gt;&lt;a href=|http://kjvs.scripturetext.com/genesis/36.htm| title=|King James Bible with Strong's Numbers| target=|_top|&gt;Strong's&lt;/a&gt;</v>
      </c>
      <c r="AA36" t="str">
        <f t="shared" si="140"/>
        <v>&lt;/li&gt;&lt;li&gt;&lt;a href=|http://childrensbibleonline.com/genesis/36.htm| title=|The Children's Bible| target=|_top|&gt;Children's&lt;/a&gt;</v>
      </c>
      <c r="AB36" s="2" t="str">
        <f t="shared" si="140"/>
        <v>&lt;/li&gt;&lt;li&gt;&lt;a href=|http://tsk.scripturetext.com/genesis/36.htm| title=|Treasury of Scripture Knowledge| target=|_top|&gt;TSK&lt;/a&gt;</v>
      </c>
      <c r="AC36" t="str">
        <f>CONCATENATE("&lt;a href=|http://",AC1191,"/genesis/36.htm","| ","title=|",AC1190,"| target=|_top|&gt;",AC1192,"&lt;/a&gt;")</f>
        <v>&lt;a href=|http://parallelbible.com/genesis/36.htm| title=|Parallel Chapters| target=|_top|&gt;PAR&lt;/a&gt;</v>
      </c>
      <c r="AD36" s="2" t="str">
        <f t="shared" ref="AD36:AK36" si="142">CONCATENATE("&lt;/li&gt;&lt;li&gt;&lt;a href=|http://",AD1191,"/genesis/36.htm","| ","title=|",AD1190,"| target=|_top|&gt;",AD1192,"&lt;/a&gt;")</f>
        <v>&lt;/li&gt;&lt;li&gt;&lt;a href=|http://gsb.biblecommenter.com/genesis/36.htm| title=|Geneva Study Bible| target=|_top|&gt;GSB&lt;/a&gt;</v>
      </c>
      <c r="AE36" s="2" t="str">
        <f t="shared" si="142"/>
        <v>&lt;/li&gt;&lt;li&gt;&lt;a href=|http://jfb.biblecommenter.com/genesis/36.htm| title=|Jamieson-Fausset-Brown Bible Commentary| target=|_top|&gt;JFB&lt;/a&gt;</v>
      </c>
      <c r="AF36" s="2" t="str">
        <f t="shared" si="142"/>
        <v>&lt;/li&gt;&lt;li&gt;&lt;a href=|http://kjt.biblecommenter.com/genesis/36.htm| title=|King James Translators' Notes| target=|_top|&gt;KJT&lt;/a&gt;</v>
      </c>
      <c r="AG36" s="2" t="str">
        <f t="shared" si="142"/>
        <v>&lt;/li&gt;&lt;li&gt;&lt;a href=|http://mhc.biblecommenter.com/genesis/36.htm| title=|Matthew Henry's Concise Commentary| target=|_top|&gt;MHC&lt;/a&gt;</v>
      </c>
      <c r="AH36" s="2" t="str">
        <f t="shared" si="142"/>
        <v>&lt;/li&gt;&lt;li&gt;&lt;a href=|http://sco.biblecommenter.com/genesis/36.htm| title=|Scofield Reference Notes| target=|_top|&gt;SCO&lt;/a&gt;</v>
      </c>
      <c r="AI36" s="2" t="str">
        <f t="shared" si="142"/>
        <v>&lt;/li&gt;&lt;li&gt;&lt;a href=|http://wes.biblecommenter.com/genesis/36.htm| title=|Wesley's Notes on the Bible| target=|_top|&gt;WES&lt;/a&gt;</v>
      </c>
      <c r="AJ36" t="str">
        <f t="shared" si="142"/>
        <v>&lt;/li&gt;&lt;li&gt;&lt;a href=|http://worldebible.com/genesis/36.htm| title=|World English Bible| target=|_top|&gt;WEB&lt;/a&gt;</v>
      </c>
      <c r="AK36" t="str">
        <f t="shared" si="142"/>
        <v>&lt;/li&gt;&lt;li&gt;&lt;a href=|http://yltbible.com/genesis/36.htm| title=|Young's Literal Translation| target=|_top|&gt;YLT&lt;/a&gt;</v>
      </c>
      <c r="AL36" t="str">
        <f>CONCATENATE("&lt;a href=|http://",AL1191,"/genesis/36.htm","| ","title=|",AL1190,"| target=|_top|&gt;",AL1192,"&lt;/a&gt;")</f>
        <v>&lt;a href=|http://kjv.us/genesis/36.htm| title=|American King James Version| target=|_top|&gt;AKJ&lt;/a&gt;</v>
      </c>
      <c r="AM36" t="str">
        <f t="shared" ref="AM36:AN36" si="143">CONCATENATE("&lt;/li&gt;&lt;li&gt;&lt;a href=|http://",AM1191,"/genesis/36.htm","| ","title=|",AM1190,"| target=|_top|&gt;",AM1192,"&lt;/a&gt;")</f>
        <v>&lt;/li&gt;&lt;li&gt;&lt;a href=|http://basicenglishbible.com/genesis/36.htm| title=|Bible in Basic English| target=|_top|&gt;BBE&lt;/a&gt;</v>
      </c>
      <c r="AN36" t="str">
        <f t="shared" si="143"/>
        <v>&lt;/li&gt;&lt;li&gt;&lt;a href=|http://darbybible.com/genesis/36.htm| title=|Darby Bible Translation| target=|_top|&gt;DBY&lt;/a&gt;</v>
      </c>
      <c r="AO3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6" t="str">
        <f>CONCATENATE("&lt;/li&gt;&lt;li&gt;&lt;a href=|http://",AR1191,"/genesis/36.htm","| ","title=|",AR1190,"| target=|_top|&gt;",AR1192,"&lt;/a&gt;")</f>
        <v>&lt;/li&gt;&lt;li&gt;&lt;a href=|http://websterbible.com/genesis/36.htm| title=|Webster's Bible Translation| target=|_top|&gt;WBS&lt;/a&gt;</v>
      </c>
      <c r="AS3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6" t="str">
        <f>CONCATENATE("&lt;/li&gt;&lt;li&gt;&lt;a href=|http://",AT1191,"/genesis/36-1.htm","| ","title=|",AT1190,"| target=|_top|&gt;",AT1192,"&lt;/a&gt;")</f>
        <v>&lt;/li&gt;&lt;li&gt;&lt;a href=|http://biblebrowser.com/genesis/36-1.htm| title=|Split View| target=|_top|&gt;Split&lt;/a&gt;</v>
      </c>
      <c r="AU36" s="2" t="s">
        <v>1276</v>
      </c>
      <c r="AV36" t="s">
        <v>64</v>
      </c>
    </row>
    <row r="37" spans="1:48">
      <c r="A37" t="s">
        <v>622</v>
      </c>
      <c r="B37" t="s">
        <v>90</v>
      </c>
      <c r="C37" t="s">
        <v>624</v>
      </c>
      <c r="D37" t="s">
        <v>1268</v>
      </c>
      <c r="E37" t="s">
        <v>1277</v>
      </c>
      <c r="F37" t="s">
        <v>1304</v>
      </c>
      <c r="G37" t="s">
        <v>1266</v>
      </c>
      <c r="H37" t="s">
        <v>1305</v>
      </c>
      <c r="I37" t="s">
        <v>1303</v>
      </c>
      <c r="J37" t="s">
        <v>1267</v>
      </c>
      <c r="K37" t="s">
        <v>1275</v>
      </c>
      <c r="L37" s="2" t="s">
        <v>1274</v>
      </c>
      <c r="M37" t="str">
        <f t="shared" ref="M37:AB37" si="144">CONCATENATE("&lt;/li&gt;&lt;li&gt;&lt;a href=|http://",M1191,"/genesis/37.htm","| ","title=|",M1190,"| target=|_top|&gt;",M1192,"&lt;/a&gt;")</f>
        <v>&lt;/li&gt;&lt;li&gt;&lt;a href=|http://niv.scripturetext.com/genesis/37.htm| title=|New International Version| target=|_top|&gt;NIV&lt;/a&gt;</v>
      </c>
      <c r="N37" t="str">
        <f t="shared" si="144"/>
        <v>&lt;/li&gt;&lt;li&gt;&lt;a href=|http://nlt.scripturetext.com/genesis/37.htm| title=|New Living Translation| target=|_top|&gt;NLT&lt;/a&gt;</v>
      </c>
      <c r="O37" t="str">
        <f t="shared" si="144"/>
        <v>&lt;/li&gt;&lt;li&gt;&lt;a href=|http://nasb.scripturetext.com/genesis/37.htm| title=|New American Standard Bible| target=|_top|&gt;NAS&lt;/a&gt;</v>
      </c>
      <c r="P37" t="str">
        <f t="shared" si="144"/>
        <v>&lt;/li&gt;&lt;li&gt;&lt;a href=|http://gwt.scripturetext.com/genesis/37.htm| title=|God's Word Translation| target=|_top|&gt;GWT&lt;/a&gt;</v>
      </c>
      <c r="Q37" t="str">
        <f t="shared" si="144"/>
        <v>&lt;/li&gt;&lt;li&gt;&lt;a href=|http://kingjbible.com/genesis/37.htm| title=|King James Bible| target=|_top|&gt;KJV&lt;/a&gt;</v>
      </c>
      <c r="R37" t="str">
        <f t="shared" si="144"/>
        <v>&lt;/li&gt;&lt;li&gt;&lt;a href=|http://asvbible.com/genesis/37.htm| title=|American Standard Version| target=|_top|&gt;ASV&lt;/a&gt;</v>
      </c>
      <c r="S37" t="str">
        <f t="shared" si="144"/>
        <v>&lt;/li&gt;&lt;li&gt;&lt;a href=|http://drb.scripturetext.com/genesis/37.htm| title=|Douay-Rheims Bible| target=|_top|&gt;DRB&lt;/a&gt;</v>
      </c>
      <c r="T37" t="str">
        <f t="shared" si="144"/>
        <v>&lt;/li&gt;&lt;li&gt;&lt;a href=|http://erv.scripturetext.com/genesis/37.htm| title=|English Revised Version| target=|_top|&gt;ERV&lt;/a&gt;</v>
      </c>
      <c r="V37" t="str">
        <f>CONCATENATE("&lt;/li&gt;&lt;li&gt;&lt;a href=|http://",V1191,"/genesis/37.htm","| ","title=|",V1190,"| target=|_top|&gt;",V1192,"&lt;/a&gt;")</f>
        <v>&lt;/li&gt;&lt;li&gt;&lt;a href=|http://study.interlinearbible.org/genesis/37.htm| title=|Hebrew Study Bible| target=|_top|&gt;Heb Study&lt;/a&gt;</v>
      </c>
      <c r="W37" t="str">
        <f t="shared" si="144"/>
        <v>&lt;/li&gt;&lt;li&gt;&lt;a href=|http://apostolic.interlinearbible.org/genesis/37.htm| title=|Apostolic Bible Polyglot Interlinear| target=|_top|&gt;Polyglot&lt;/a&gt;</v>
      </c>
      <c r="X37" t="str">
        <f t="shared" si="144"/>
        <v>&lt;/li&gt;&lt;li&gt;&lt;a href=|http://interlinearbible.org/genesis/37.htm| title=|Interlinear Bible| target=|_top|&gt;Interlin&lt;/a&gt;</v>
      </c>
      <c r="Y37" t="str">
        <f t="shared" ref="Y37" si="145">CONCATENATE("&lt;/li&gt;&lt;li&gt;&lt;a href=|http://",Y1191,"/genesis/37.htm","| ","title=|",Y1190,"| target=|_top|&gt;",Y1192,"&lt;/a&gt;")</f>
        <v>&lt;/li&gt;&lt;li&gt;&lt;a href=|http://bibleoutline.org/genesis/37.htm| title=|Outline with People and Places List| target=|_top|&gt;Outline&lt;/a&gt;</v>
      </c>
      <c r="Z37" t="str">
        <f t="shared" si="144"/>
        <v>&lt;/li&gt;&lt;li&gt;&lt;a href=|http://kjvs.scripturetext.com/genesis/37.htm| title=|King James Bible with Strong's Numbers| target=|_top|&gt;Strong's&lt;/a&gt;</v>
      </c>
      <c r="AA37" t="str">
        <f t="shared" si="144"/>
        <v>&lt;/li&gt;&lt;li&gt;&lt;a href=|http://childrensbibleonline.com/genesis/37.htm| title=|The Children's Bible| target=|_top|&gt;Children's&lt;/a&gt;</v>
      </c>
      <c r="AB37" s="2" t="str">
        <f t="shared" si="144"/>
        <v>&lt;/li&gt;&lt;li&gt;&lt;a href=|http://tsk.scripturetext.com/genesis/37.htm| title=|Treasury of Scripture Knowledge| target=|_top|&gt;TSK&lt;/a&gt;</v>
      </c>
      <c r="AC37" t="str">
        <f>CONCATENATE("&lt;a href=|http://",AC1191,"/genesis/37.htm","| ","title=|",AC1190,"| target=|_top|&gt;",AC1192,"&lt;/a&gt;")</f>
        <v>&lt;a href=|http://parallelbible.com/genesis/37.htm| title=|Parallel Chapters| target=|_top|&gt;PAR&lt;/a&gt;</v>
      </c>
      <c r="AD37" s="2" t="str">
        <f t="shared" ref="AD37:AK37" si="146">CONCATENATE("&lt;/li&gt;&lt;li&gt;&lt;a href=|http://",AD1191,"/genesis/37.htm","| ","title=|",AD1190,"| target=|_top|&gt;",AD1192,"&lt;/a&gt;")</f>
        <v>&lt;/li&gt;&lt;li&gt;&lt;a href=|http://gsb.biblecommenter.com/genesis/37.htm| title=|Geneva Study Bible| target=|_top|&gt;GSB&lt;/a&gt;</v>
      </c>
      <c r="AE37" s="2" t="str">
        <f t="shared" si="146"/>
        <v>&lt;/li&gt;&lt;li&gt;&lt;a href=|http://jfb.biblecommenter.com/genesis/37.htm| title=|Jamieson-Fausset-Brown Bible Commentary| target=|_top|&gt;JFB&lt;/a&gt;</v>
      </c>
      <c r="AF37" s="2" t="str">
        <f t="shared" si="146"/>
        <v>&lt;/li&gt;&lt;li&gt;&lt;a href=|http://kjt.biblecommenter.com/genesis/37.htm| title=|King James Translators' Notes| target=|_top|&gt;KJT&lt;/a&gt;</v>
      </c>
      <c r="AG37" s="2" t="str">
        <f t="shared" si="146"/>
        <v>&lt;/li&gt;&lt;li&gt;&lt;a href=|http://mhc.biblecommenter.com/genesis/37.htm| title=|Matthew Henry's Concise Commentary| target=|_top|&gt;MHC&lt;/a&gt;</v>
      </c>
      <c r="AH37" s="2" t="str">
        <f t="shared" si="146"/>
        <v>&lt;/li&gt;&lt;li&gt;&lt;a href=|http://sco.biblecommenter.com/genesis/37.htm| title=|Scofield Reference Notes| target=|_top|&gt;SCO&lt;/a&gt;</v>
      </c>
      <c r="AI37" s="2" t="str">
        <f t="shared" si="146"/>
        <v>&lt;/li&gt;&lt;li&gt;&lt;a href=|http://wes.biblecommenter.com/genesis/37.htm| title=|Wesley's Notes on the Bible| target=|_top|&gt;WES&lt;/a&gt;</v>
      </c>
      <c r="AJ37" t="str">
        <f t="shared" si="146"/>
        <v>&lt;/li&gt;&lt;li&gt;&lt;a href=|http://worldebible.com/genesis/37.htm| title=|World English Bible| target=|_top|&gt;WEB&lt;/a&gt;</v>
      </c>
      <c r="AK37" t="str">
        <f t="shared" si="146"/>
        <v>&lt;/li&gt;&lt;li&gt;&lt;a href=|http://yltbible.com/genesis/37.htm| title=|Young's Literal Translation| target=|_top|&gt;YLT&lt;/a&gt;</v>
      </c>
      <c r="AL37" t="str">
        <f>CONCATENATE("&lt;a href=|http://",AL1191,"/genesis/37.htm","| ","title=|",AL1190,"| target=|_top|&gt;",AL1192,"&lt;/a&gt;")</f>
        <v>&lt;a href=|http://kjv.us/genesis/37.htm| title=|American King James Version| target=|_top|&gt;AKJ&lt;/a&gt;</v>
      </c>
      <c r="AM37" t="str">
        <f t="shared" ref="AM37:AN37" si="147">CONCATENATE("&lt;/li&gt;&lt;li&gt;&lt;a href=|http://",AM1191,"/genesis/37.htm","| ","title=|",AM1190,"| target=|_top|&gt;",AM1192,"&lt;/a&gt;")</f>
        <v>&lt;/li&gt;&lt;li&gt;&lt;a href=|http://basicenglishbible.com/genesis/37.htm| title=|Bible in Basic English| target=|_top|&gt;BBE&lt;/a&gt;</v>
      </c>
      <c r="AN37" t="str">
        <f t="shared" si="147"/>
        <v>&lt;/li&gt;&lt;li&gt;&lt;a href=|http://darbybible.com/genesis/37.htm| title=|Darby Bible Translation| target=|_top|&gt;DBY&lt;/a&gt;</v>
      </c>
      <c r="AO3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7" t="str">
        <f>CONCATENATE("&lt;/li&gt;&lt;li&gt;&lt;a href=|http://",AR1191,"/genesis/37.htm","| ","title=|",AR1190,"| target=|_top|&gt;",AR1192,"&lt;/a&gt;")</f>
        <v>&lt;/li&gt;&lt;li&gt;&lt;a href=|http://websterbible.com/genesis/37.htm| title=|Webster's Bible Translation| target=|_top|&gt;WBS&lt;/a&gt;</v>
      </c>
      <c r="AS3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7" t="str">
        <f>CONCATENATE("&lt;/li&gt;&lt;li&gt;&lt;a href=|http://",AT1191,"/genesis/37-1.htm","| ","title=|",AT1190,"| target=|_top|&gt;",AT1192,"&lt;/a&gt;")</f>
        <v>&lt;/li&gt;&lt;li&gt;&lt;a href=|http://biblebrowser.com/genesis/37-1.htm| title=|Split View| target=|_top|&gt;Split&lt;/a&gt;</v>
      </c>
      <c r="AU37" s="2" t="s">
        <v>1276</v>
      </c>
      <c r="AV37" t="s">
        <v>64</v>
      </c>
    </row>
    <row r="38" spans="1:48">
      <c r="A38" t="s">
        <v>622</v>
      </c>
      <c r="B38" t="s">
        <v>91</v>
      </c>
      <c r="C38" t="s">
        <v>624</v>
      </c>
      <c r="D38" t="s">
        <v>1268</v>
      </c>
      <c r="E38" t="s">
        <v>1277</v>
      </c>
      <c r="F38" t="s">
        <v>1304</v>
      </c>
      <c r="G38" t="s">
        <v>1266</v>
      </c>
      <c r="H38" t="s">
        <v>1305</v>
      </c>
      <c r="I38" t="s">
        <v>1303</v>
      </c>
      <c r="J38" t="s">
        <v>1267</v>
      </c>
      <c r="K38" t="s">
        <v>1275</v>
      </c>
      <c r="L38" s="2" t="s">
        <v>1274</v>
      </c>
      <c r="M38" t="str">
        <f t="shared" ref="M38:AB38" si="148">CONCATENATE("&lt;/li&gt;&lt;li&gt;&lt;a href=|http://",M1191,"/genesis/38.htm","| ","title=|",M1190,"| target=|_top|&gt;",M1192,"&lt;/a&gt;")</f>
        <v>&lt;/li&gt;&lt;li&gt;&lt;a href=|http://niv.scripturetext.com/genesis/38.htm| title=|New International Version| target=|_top|&gt;NIV&lt;/a&gt;</v>
      </c>
      <c r="N38" t="str">
        <f t="shared" si="148"/>
        <v>&lt;/li&gt;&lt;li&gt;&lt;a href=|http://nlt.scripturetext.com/genesis/38.htm| title=|New Living Translation| target=|_top|&gt;NLT&lt;/a&gt;</v>
      </c>
      <c r="O38" t="str">
        <f t="shared" si="148"/>
        <v>&lt;/li&gt;&lt;li&gt;&lt;a href=|http://nasb.scripturetext.com/genesis/38.htm| title=|New American Standard Bible| target=|_top|&gt;NAS&lt;/a&gt;</v>
      </c>
      <c r="P38" t="str">
        <f t="shared" si="148"/>
        <v>&lt;/li&gt;&lt;li&gt;&lt;a href=|http://gwt.scripturetext.com/genesis/38.htm| title=|God's Word Translation| target=|_top|&gt;GWT&lt;/a&gt;</v>
      </c>
      <c r="Q38" t="str">
        <f t="shared" si="148"/>
        <v>&lt;/li&gt;&lt;li&gt;&lt;a href=|http://kingjbible.com/genesis/38.htm| title=|King James Bible| target=|_top|&gt;KJV&lt;/a&gt;</v>
      </c>
      <c r="R38" t="str">
        <f t="shared" si="148"/>
        <v>&lt;/li&gt;&lt;li&gt;&lt;a href=|http://asvbible.com/genesis/38.htm| title=|American Standard Version| target=|_top|&gt;ASV&lt;/a&gt;</v>
      </c>
      <c r="S38" t="str">
        <f t="shared" si="148"/>
        <v>&lt;/li&gt;&lt;li&gt;&lt;a href=|http://drb.scripturetext.com/genesis/38.htm| title=|Douay-Rheims Bible| target=|_top|&gt;DRB&lt;/a&gt;</v>
      </c>
      <c r="T38" t="str">
        <f t="shared" si="148"/>
        <v>&lt;/li&gt;&lt;li&gt;&lt;a href=|http://erv.scripturetext.com/genesis/38.htm| title=|English Revised Version| target=|_top|&gt;ERV&lt;/a&gt;</v>
      </c>
      <c r="V38" t="str">
        <f>CONCATENATE("&lt;/li&gt;&lt;li&gt;&lt;a href=|http://",V1191,"/genesis/38.htm","| ","title=|",V1190,"| target=|_top|&gt;",V1192,"&lt;/a&gt;")</f>
        <v>&lt;/li&gt;&lt;li&gt;&lt;a href=|http://study.interlinearbible.org/genesis/38.htm| title=|Hebrew Study Bible| target=|_top|&gt;Heb Study&lt;/a&gt;</v>
      </c>
      <c r="W38" t="str">
        <f t="shared" si="148"/>
        <v>&lt;/li&gt;&lt;li&gt;&lt;a href=|http://apostolic.interlinearbible.org/genesis/38.htm| title=|Apostolic Bible Polyglot Interlinear| target=|_top|&gt;Polyglot&lt;/a&gt;</v>
      </c>
      <c r="X38" t="str">
        <f t="shared" si="148"/>
        <v>&lt;/li&gt;&lt;li&gt;&lt;a href=|http://interlinearbible.org/genesis/38.htm| title=|Interlinear Bible| target=|_top|&gt;Interlin&lt;/a&gt;</v>
      </c>
      <c r="Y38" t="str">
        <f t="shared" ref="Y38" si="149">CONCATENATE("&lt;/li&gt;&lt;li&gt;&lt;a href=|http://",Y1191,"/genesis/38.htm","| ","title=|",Y1190,"| target=|_top|&gt;",Y1192,"&lt;/a&gt;")</f>
        <v>&lt;/li&gt;&lt;li&gt;&lt;a href=|http://bibleoutline.org/genesis/38.htm| title=|Outline with People and Places List| target=|_top|&gt;Outline&lt;/a&gt;</v>
      </c>
      <c r="Z38" t="str">
        <f t="shared" si="148"/>
        <v>&lt;/li&gt;&lt;li&gt;&lt;a href=|http://kjvs.scripturetext.com/genesis/38.htm| title=|King James Bible with Strong's Numbers| target=|_top|&gt;Strong's&lt;/a&gt;</v>
      </c>
      <c r="AA38" t="str">
        <f t="shared" si="148"/>
        <v>&lt;/li&gt;&lt;li&gt;&lt;a href=|http://childrensbibleonline.com/genesis/38.htm| title=|The Children's Bible| target=|_top|&gt;Children's&lt;/a&gt;</v>
      </c>
      <c r="AB38" s="2" t="str">
        <f t="shared" si="148"/>
        <v>&lt;/li&gt;&lt;li&gt;&lt;a href=|http://tsk.scripturetext.com/genesis/38.htm| title=|Treasury of Scripture Knowledge| target=|_top|&gt;TSK&lt;/a&gt;</v>
      </c>
      <c r="AC38" t="str">
        <f>CONCATENATE("&lt;a href=|http://",AC1191,"/genesis/38.htm","| ","title=|",AC1190,"| target=|_top|&gt;",AC1192,"&lt;/a&gt;")</f>
        <v>&lt;a href=|http://parallelbible.com/genesis/38.htm| title=|Parallel Chapters| target=|_top|&gt;PAR&lt;/a&gt;</v>
      </c>
      <c r="AD38" s="2" t="str">
        <f t="shared" ref="AD38:AK38" si="150">CONCATENATE("&lt;/li&gt;&lt;li&gt;&lt;a href=|http://",AD1191,"/genesis/38.htm","| ","title=|",AD1190,"| target=|_top|&gt;",AD1192,"&lt;/a&gt;")</f>
        <v>&lt;/li&gt;&lt;li&gt;&lt;a href=|http://gsb.biblecommenter.com/genesis/38.htm| title=|Geneva Study Bible| target=|_top|&gt;GSB&lt;/a&gt;</v>
      </c>
      <c r="AE38" s="2" t="str">
        <f t="shared" si="150"/>
        <v>&lt;/li&gt;&lt;li&gt;&lt;a href=|http://jfb.biblecommenter.com/genesis/38.htm| title=|Jamieson-Fausset-Brown Bible Commentary| target=|_top|&gt;JFB&lt;/a&gt;</v>
      </c>
      <c r="AF38" s="2" t="str">
        <f t="shared" si="150"/>
        <v>&lt;/li&gt;&lt;li&gt;&lt;a href=|http://kjt.biblecommenter.com/genesis/38.htm| title=|King James Translators' Notes| target=|_top|&gt;KJT&lt;/a&gt;</v>
      </c>
      <c r="AG38" s="2" t="str">
        <f t="shared" si="150"/>
        <v>&lt;/li&gt;&lt;li&gt;&lt;a href=|http://mhc.biblecommenter.com/genesis/38.htm| title=|Matthew Henry's Concise Commentary| target=|_top|&gt;MHC&lt;/a&gt;</v>
      </c>
      <c r="AH38" s="2" t="str">
        <f t="shared" si="150"/>
        <v>&lt;/li&gt;&lt;li&gt;&lt;a href=|http://sco.biblecommenter.com/genesis/38.htm| title=|Scofield Reference Notes| target=|_top|&gt;SCO&lt;/a&gt;</v>
      </c>
      <c r="AI38" s="2" t="str">
        <f t="shared" si="150"/>
        <v>&lt;/li&gt;&lt;li&gt;&lt;a href=|http://wes.biblecommenter.com/genesis/38.htm| title=|Wesley's Notes on the Bible| target=|_top|&gt;WES&lt;/a&gt;</v>
      </c>
      <c r="AJ38" t="str">
        <f t="shared" si="150"/>
        <v>&lt;/li&gt;&lt;li&gt;&lt;a href=|http://worldebible.com/genesis/38.htm| title=|World English Bible| target=|_top|&gt;WEB&lt;/a&gt;</v>
      </c>
      <c r="AK38" t="str">
        <f t="shared" si="150"/>
        <v>&lt;/li&gt;&lt;li&gt;&lt;a href=|http://yltbible.com/genesis/38.htm| title=|Young's Literal Translation| target=|_top|&gt;YLT&lt;/a&gt;</v>
      </c>
      <c r="AL38" t="str">
        <f>CONCATENATE("&lt;a href=|http://",AL1191,"/genesis/38.htm","| ","title=|",AL1190,"| target=|_top|&gt;",AL1192,"&lt;/a&gt;")</f>
        <v>&lt;a href=|http://kjv.us/genesis/38.htm| title=|American King James Version| target=|_top|&gt;AKJ&lt;/a&gt;</v>
      </c>
      <c r="AM38" t="str">
        <f t="shared" ref="AM38:AN38" si="151">CONCATENATE("&lt;/li&gt;&lt;li&gt;&lt;a href=|http://",AM1191,"/genesis/38.htm","| ","title=|",AM1190,"| target=|_top|&gt;",AM1192,"&lt;/a&gt;")</f>
        <v>&lt;/li&gt;&lt;li&gt;&lt;a href=|http://basicenglishbible.com/genesis/38.htm| title=|Bible in Basic English| target=|_top|&gt;BBE&lt;/a&gt;</v>
      </c>
      <c r="AN38" t="str">
        <f t="shared" si="151"/>
        <v>&lt;/li&gt;&lt;li&gt;&lt;a href=|http://darbybible.com/genesis/38.htm| title=|Darby Bible Translation| target=|_top|&gt;DBY&lt;/a&gt;</v>
      </c>
      <c r="AO3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8" t="str">
        <f>CONCATENATE("&lt;/li&gt;&lt;li&gt;&lt;a href=|http://",AR1191,"/genesis/38.htm","| ","title=|",AR1190,"| target=|_top|&gt;",AR1192,"&lt;/a&gt;")</f>
        <v>&lt;/li&gt;&lt;li&gt;&lt;a href=|http://websterbible.com/genesis/38.htm| title=|Webster's Bible Translation| target=|_top|&gt;WBS&lt;/a&gt;</v>
      </c>
      <c r="AS3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8" t="str">
        <f>CONCATENATE("&lt;/li&gt;&lt;li&gt;&lt;a href=|http://",AT1191,"/genesis/38-1.htm","| ","title=|",AT1190,"| target=|_top|&gt;",AT1192,"&lt;/a&gt;")</f>
        <v>&lt;/li&gt;&lt;li&gt;&lt;a href=|http://biblebrowser.com/genesis/38-1.htm| title=|Split View| target=|_top|&gt;Split&lt;/a&gt;</v>
      </c>
      <c r="AU38" s="2" t="s">
        <v>1276</v>
      </c>
      <c r="AV38" t="s">
        <v>64</v>
      </c>
    </row>
    <row r="39" spans="1:48">
      <c r="A39" t="s">
        <v>622</v>
      </c>
      <c r="B39" t="s">
        <v>92</v>
      </c>
      <c r="C39" t="s">
        <v>624</v>
      </c>
      <c r="D39" t="s">
        <v>1268</v>
      </c>
      <c r="E39" t="s">
        <v>1277</v>
      </c>
      <c r="F39" t="s">
        <v>1304</v>
      </c>
      <c r="G39" t="s">
        <v>1266</v>
      </c>
      <c r="H39" t="s">
        <v>1305</v>
      </c>
      <c r="I39" t="s">
        <v>1303</v>
      </c>
      <c r="J39" t="s">
        <v>1267</v>
      </c>
      <c r="K39" t="s">
        <v>1275</v>
      </c>
      <c r="L39" s="2" t="s">
        <v>1274</v>
      </c>
      <c r="M39" t="str">
        <f t="shared" ref="M39:AB39" si="152">CONCATENATE("&lt;/li&gt;&lt;li&gt;&lt;a href=|http://",M1191,"/genesis/39.htm","| ","title=|",M1190,"| target=|_top|&gt;",M1192,"&lt;/a&gt;")</f>
        <v>&lt;/li&gt;&lt;li&gt;&lt;a href=|http://niv.scripturetext.com/genesis/39.htm| title=|New International Version| target=|_top|&gt;NIV&lt;/a&gt;</v>
      </c>
      <c r="N39" t="str">
        <f t="shared" si="152"/>
        <v>&lt;/li&gt;&lt;li&gt;&lt;a href=|http://nlt.scripturetext.com/genesis/39.htm| title=|New Living Translation| target=|_top|&gt;NLT&lt;/a&gt;</v>
      </c>
      <c r="O39" t="str">
        <f t="shared" si="152"/>
        <v>&lt;/li&gt;&lt;li&gt;&lt;a href=|http://nasb.scripturetext.com/genesis/39.htm| title=|New American Standard Bible| target=|_top|&gt;NAS&lt;/a&gt;</v>
      </c>
      <c r="P39" t="str">
        <f t="shared" si="152"/>
        <v>&lt;/li&gt;&lt;li&gt;&lt;a href=|http://gwt.scripturetext.com/genesis/39.htm| title=|God's Word Translation| target=|_top|&gt;GWT&lt;/a&gt;</v>
      </c>
      <c r="Q39" t="str">
        <f t="shared" si="152"/>
        <v>&lt;/li&gt;&lt;li&gt;&lt;a href=|http://kingjbible.com/genesis/39.htm| title=|King James Bible| target=|_top|&gt;KJV&lt;/a&gt;</v>
      </c>
      <c r="R39" t="str">
        <f t="shared" si="152"/>
        <v>&lt;/li&gt;&lt;li&gt;&lt;a href=|http://asvbible.com/genesis/39.htm| title=|American Standard Version| target=|_top|&gt;ASV&lt;/a&gt;</v>
      </c>
      <c r="S39" t="str">
        <f t="shared" si="152"/>
        <v>&lt;/li&gt;&lt;li&gt;&lt;a href=|http://drb.scripturetext.com/genesis/39.htm| title=|Douay-Rheims Bible| target=|_top|&gt;DRB&lt;/a&gt;</v>
      </c>
      <c r="T39" t="str">
        <f t="shared" si="152"/>
        <v>&lt;/li&gt;&lt;li&gt;&lt;a href=|http://erv.scripturetext.com/genesis/39.htm| title=|English Revised Version| target=|_top|&gt;ERV&lt;/a&gt;</v>
      </c>
      <c r="V39" t="str">
        <f>CONCATENATE("&lt;/li&gt;&lt;li&gt;&lt;a href=|http://",V1191,"/genesis/39.htm","| ","title=|",V1190,"| target=|_top|&gt;",V1192,"&lt;/a&gt;")</f>
        <v>&lt;/li&gt;&lt;li&gt;&lt;a href=|http://study.interlinearbible.org/genesis/39.htm| title=|Hebrew Study Bible| target=|_top|&gt;Heb Study&lt;/a&gt;</v>
      </c>
      <c r="W39" t="str">
        <f t="shared" si="152"/>
        <v>&lt;/li&gt;&lt;li&gt;&lt;a href=|http://apostolic.interlinearbible.org/genesis/39.htm| title=|Apostolic Bible Polyglot Interlinear| target=|_top|&gt;Polyglot&lt;/a&gt;</v>
      </c>
      <c r="X39" t="str">
        <f t="shared" si="152"/>
        <v>&lt;/li&gt;&lt;li&gt;&lt;a href=|http://interlinearbible.org/genesis/39.htm| title=|Interlinear Bible| target=|_top|&gt;Interlin&lt;/a&gt;</v>
      </c>
      <c r="Y39" t="str">
        <f t="shared" ref="Y39" si="153">CONCATENATE("&lt;/li&gt;&lt;li&gt;&lt;a href=|http://",Y1191,"/genesis/39.htm","| ","title=|",Y1190,"| target=|_top|&gt;",Y1192,"&lt;/a&gt;")</f>
        <v>&lt;/li&gt;&lt;li&gt;&lt;a href=|http://bibleoutline.org/genesis/39.htm| title=|Outline with People and Places List| target=|_top|&gt;Outline&lt;/a&gt;</v>
      </c>
      <c r="Z39" t="str">
        <f t="shared" si="152"/>
        <v>&lt;/li&gt;&lt;li&gt;&lt;a href=|http://kjvs.scripturetext.com/genesis/39.htm| title=|King James Bible with Strong's Numbers| target=|_top|&gt;Strong's&lt;/a&gt;</v>
      </c>
      <c r="AA39" t="str">
        <f t="shared" si="152"/>
        <v>&lt;/li&gt;&lt;li&gt;&lt;a href=|http://childrensbibleonline.com/genesis/39.htm| title=|The Children's Bible| target=|_top|&gt;Children's&lt;/a&gt;</v>
      </c>
      <c r="AB39" s="2" t="str">
        <f t="shared" si="152"/>
        <v>&lt;/li&gt;&lt;li&gt;&lt;a href=|http://tsk.scripturetext.com/genesis/39.htm| title=|Treasury of Scripture Knowledge| target=|_top|&gt;TSK&lt;/a&gt;</v>
      </c>
      <c r="AC39" t="str">
        <f>CONCATENATE("&lt;a href=|http://",AC1191,"/genesis/39.htm","| ","title=|",AC1190,"| target=|_top|&gt;",AC1192,"&lt;/a&gt;")</f>
        <v>&lt;a href=|http://parallelbible.com/genesis/39.htm| title=|Parallel Chapters| target=|_top|&gt;PAR&lt;/a&gt;</v>
      </c>
      <c r="AD39" s="2" t="str">
        <f t="shared" ref="AD39:AK39" si="154">CONCATENATE("&lt;/li&gt;&lt;li&gt;&lt;a href=|http://",AD1191,"/genesis/39.htm","| ","title=|",AD1190,"| target=|_top|&gt;",AD1192,"&lt;/a&gt;")</f>
        <v>&lt;/li&gt;&lt;li&gt;&lt;a href=|http://gsb.biblecommenter.com/genesis/39.htm| title=|Geneva Study Bible| target=|_top|&gt;GSB&lt;/a&gt;</v>
      </c>
      <c r="AE39" s="2" t="str">
        <f t="shared" si="154"/>
        <v>&lt;/li&gt;&lt;li&gt;&lt;a href=|http://jfb.biblecommenter.com/genesis/39.htm| title=|Jamieson-Fausset-Brown Bible Commentary| target=|_top|&gt;JFB&lt;/a&gt;</v>
      </c>
      <c r="AF39" s="2" t="str">
        <f t="shared" si="154"/>
        <v>&lt;/li&gt;&lt;li&gt;&lt;a href=|http://kjt.biblecommenter.com/genesis/39.htm| title=|King James Translators' Notes| target=|_top|&gt;KJT&lt;/a&gt;</v>
      </c>
      <c r="AG39" s="2" t="str">
        <f t="shared" si="154"/>
        <v>&lt;/li&gt;&lt;li&gt;&lt;a href=|http://mhc.biblecommenter.com/genesis/39.htm| title=|Matthew Henry's Concise Commentary| target=|_top|&gt;MHC&lt;/a&gt;</v>
      </c>
      <c r="AH39" s="2" t="str">
        <f t="shared" si="154"/>
        <v>&lt;/li&gt;&lt;li&gt;&lt;a href=|http://sco.biblecommenter.com/genesis/39.htm| title=|Scofield Reference Notes| target=|_top|&gt;SCO&lt;/a&gt;</v>
      </c>
      <c r="AI39" s="2" t="str">
        <f t="shared" si="154"/>
        <v>&lt;/li&gt;&lt;li&gt;&lt;a href=|http://wes.biblecommenter.com/genesis/39.htm| title=|Wesley's Notes on the Bible| target=|_top|&gt;WES&lt;/a&gt;</v>
      </c>
      <c r="AJ39" t="str">
        <f t="shared" si="154"/>
        <v>&lt;/li&gt;&lt;li&gt;&lt;a href=|http://worldebible.com/genesis/39.htm| title=|World English Bible| target=|_top|&gt;WEB&lt;/a&gt;</v>
      </c>
      <c r="AK39" t="str">
        <f t="shared" si="154"/>
        <v>&lt;/li&gt;&lt;li&gt;&lt;a href=|http://yltbible.com/genesis/39.htm| title=|Young's Literal Translation| target=|_top|&gt;YLT&lt;/a&gt;</v>
      </c>
      <c r="AL39" t="str">
        <f>CONCATENATE("&lt;a href=|http://",AL1191,"/genesis/39.htm","| ","title=|",AL1190,"| target=|_top|&gt;",AL1192,"&lt;/a&gt;")</f>
        <v>&lt;a href=|http://kjv.us/genesis/39.htm| title=|American King James Version| target=|_top|&gt;AKJ&lt;/a&gt;</v>
      </c>
      <c r="AM39" t="str">
        <f t="shared" ref="AM39:AN39" si="155">CONCATENATE("&lt;/li&gt;&lt;li&gt;&lt;a href=|http://",AM1191,"/genesis/39.htm","| ","title=|",AM1190,"| target=|_top|&gt;",AM1192,"&lt;/a&gt;")</f>
        <v>&lt;/li&gt;&lt;li&gt;&lt;a href=|http://basicenglishbible.com/genesis/39.htm| title=|Bible in Basic English| target=|_top|&gt;BBE&lt;/a&gt;</v>
      </c>
      <c r="AN39" t="str">
        <f t="shared" si="155"/>
        <v>&lt;/li&gt;&lt;li&gt;&lt;a href=|http://darbybible.com/genesis/39.htm| title=|Darby Bible Translation| target=|_top|&gt;DBY&lt;/a&gt;</v>
      </c>
      <c r="AO3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9" t="str">
        <f>CONCATENATE("&lt;/li&gt;&lt;li&gt;&lt;a href=|http://",AR1191,"/genesis/39.htm","| ","title=|",AR1190,"| target=|_top|&gt;",AR1192,"&lt;/a&gt;")</f>
        <v>&lt;/li&gt;&lt;li&gt;&lt;a href=|http://websterbible.com/genesis/39.htm| title=|Webster's Bible Translation| target=|_top|&gt;WBS&lt;/a&gt;</v>
      </c>
      <c r="AS3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9" t="str">
        <f>CONCATENATE("&lt;/li&gt;&lt;li&gt;&lt;a href=|http://",AT1191,"/genesis/39-1.htm","| ","title=|",AT1190,"| target=|_top|&gt;",AT1192,"&lt;/a&gt;")</f>
        <v>&lt;/li&gt;&lt;li&gt;&lt;a href=|http://biblebrowser.com/genesis/39-1.htm| title=|Split View| target=|_top|&gt;Split&lt;/a&gt;</v>
      </c>
      <c r="AU39" s="2" t="s">
        <v>1276</v>
      </c>
      <c r="AV39" t="s">
        <v>64</v>
      </c>
    </row>
    <row r="40" spans="1:48">
      <c r="A40" t="s">
        <v>622</v>
      </c>
      <c r="B40" t="s">
        <v>93</v>
      </c>
      <c r="C40" t="s">
        <v>624</v>
      </c>
      <c r="D40" t="s">
        <v>1268</v>
      </c>
      <c r="E40" t="s">
        <v>1277</v>
      </c>
      <c r="F40" t="s">
        <v>1304</v>
      </c>
      <c r="G40" t="s">
        <v>1266</v>
      </c>
      <c r="H40" t="s">
        <v>1305</v>
      </c>
      <c r="I40" t="s">
        <v>1303</v>
      </c>
      <c r="J40" t="s">
        <v>1267</v>
      </c>
      <c r="K40" t="s">
        <v>1275</v>
      </c>
      <c r="L40" s="2" t="s">
        <v>1274</v>
      </c>
      <c r="M40" t="str">
        <f t="shared" ref="M40:AB40" si="156">CONCATENATE("&lt;/li&gt;&lt;li&gt;&lt;a href=|http://",M1191,"/genesis/40.htm","| ","title=|",M1190,"| target=|_top|&gt;",M1192,"&lt;/a&gt;")</f>
        <v>&lt;/li&gt;&lt;li&gt;&lt;a href=|http://niv.scripturetext.com/genesis/40.htm| title=|New International Version| target=|_top|&gt;NIV&lt;/a&gt;</v>
      </c>
      <c r="N40" t="str">
        <f t="shared" si="156"/>
        <v>&lt;/li&gt;&lt;li&gt;&lt;a href=|http://nlt.scripturetext.com/genesis/40.htm| title=|New Living Translation| target=|_top|&gt;NLT&lt;/a&gt;</v>
      </c>
      <c r="O40" t="str">
        <f t="shared" si="156"/>
        <v>&lt;/li&gt;&lt;li&gt;&lt;a href=|http://nasb.scripturetext.com/genesis/40.htm| title=|New American Standard Bible| target=|_top|&gt;NAS&lt;/a&gt;</v>
      </c>
      <c r="P40" t="str">
        <f t="shared" si="156"/>
        <v>&lt;/li&gt;&lt;li&gt;&lt;a href=|http://gwt.scripturetext.com/genesis/40.htm| title=|God's Word Translation| target=|_top|&gt;GWT&lt;/a&gt;</v>
      </c>
      <c r="Q40" t="str">
        <f t="shared" si="156"/>
        <v>&lt;/li&gt;&lt;li&gt;&lt;a href=|http://kingjbible.com/genesis/40.htm| title=|King James Bible| target=|_top|&gt;KJV&lt;/a&gt;</v>
      </c>
      <c r="R40" t="str">
        <f t="shared" si="156"/>
        <v>&lt;/li&gt;&lt;li&gt;&lt;a href=|http://asvbible.com/genesis/40.htm| title=|American Standard Version| target=|_top|&gt;ASV&lt;/a&gt;</v>
      </c>
      <c r="S40" t="str">
        <f t="shared" si="156"/>
        <v>&lt;/li&gt;&lt;li&gt;&lt;a href=|http://drb.scripturetext.com/genesis/40.htm| title=|Douay-Rheims Bible| target=|_top|&gt;DRB&lt;/a&gt;</v>
      </c>
      <c r="T40" t="str">
        <f t="shared" si="156"/>
        <v>&lt;/li&gt;&lt;li&gt;&lt;a href=|http://erv.scripturetext.com/genesis/40.htm| title=|English Revised Version| target=|_top|&gt;ERV&lt;/a&gt;</v>
      </c>
      <c r="V40" t="str">
        <f>CONCATENATE("&lt;/li&gt;&lt;li&gt;&lt;a href=|http://",V1191,"/genesis/40.htm","| ","title=|",V1190,"| target=|_top|&gt;",V1192,"&lt;/a&gt;")</f>
        <v>&lt;/li&gt;&lt;li&gt;&lt;a href=|http://study.interlinearbible.org/genesis/40.htm| title=|Hebrew Study Bible| target=|_top|&gt;Heb Study&lt;/a&gt;</v>
      </c>
      <c r="W40" t="str">
        <f t="shared" si="156"/>
        <v>&lt;/li&gt;&lt;li&gt;&lt;a href=|http://apostolic.interlinearbible.org/genesis/40.htm| title=|Apostolic Bible Polyglot Interlinear| target=|_top|&gt;Polyglot&lt;/a&gt;</v>
      </c>
      <c r="X40" t="str">
        <f t="shared" si="156"/>
        <v>&lt;/li&gt;&lt;li&gt;&lt;a href=|http://interlinearbible.org/genesis/40.htm| title=|Interlinear Bible| target=|_top|&gt;Interlin&lt;/a&gt;</v>
      </c>
      <c r="Y40" t="str">
        <f t="shared" ref="Y40" si="157">CONCATENATE("&lt;/li&gt;&lt;li&gt;&lt;a href=|http://",Y1191,"/genesis/40.htm","| ","title=|",Y1190,"| target=|_top|&gt;",Y1192,"&lt;/a&gt;")</f>
        <v>&lt;/li&gt;&lt;li&gt;&lt;a href=|http://bibleoutline.org/genesis/40.htm| title=|Outline with People and Places List| target=|_top|&gt;Outline&lt;/a&gt;</v>
      </c>
      <c r="Z40" t="str">
        <f t="shared" si="156"/>
        <v>&lt;/li&gt;&lt;li&gt;&lt;a href=|http://kjvs.scripturetext.com/genesis/40.htm| title=|King James Bible with Strong's Numbers| target=|_top|&gt;Strong's&lt;/a&gt;</v>
      </c>
      <c r="AA40" t="str">
        <f t="shared" si="156"/>
        <v>&lt;/li&gt;&lt;li&gt;&lt;a href=|http://childrensbibleonline.com/genesis/40.htm| title=|The Children's Bible| target=|_top|&gt;Children's&lt;/a&gt;</v>
      </c>
      <c r="AB40" s="2" t="str">
        <f t="shared" si="156"/>
        <v>&lt;/li&gt;&lt;li&gt;&lt;a href=|http://tsk.scripturetext.com/genesis/40.htm| title=|Treasury of Scripture Knowledge| target=|_top|&gt;TSK&lt;/a&gt;</v>
      </c>
      <c r="AC40" t="str">
        <f>CONCATENATE("&lt;a href=|http://",AC1191,"/genesis/40.htm","| ","title=|",AC1190,"| target=|_top|&gt;",AC1192,"&lt;/a&gt;")</f>
        <v>&lt;a href=|http://parallelbible.com/genesis/40.htm| title=|Parallel Chapters| target=|_top|&gt;PAR&lt;/a&gt;</v>
      </c>
      <c r="AD40" s="2" t="str">
        <f t="shared" ref="AD40:AK40" si="158">CONCATENATE("&lt;/li&gt;&lt;li&gt;&lt;a href=|http://",AD1191,"/genesis/40.htm","| ","title=|",AD1190,"| target=|_top|&gt;",AD1192,"&lt;/a&gt;")</f>
        <v>&lt;/li&gt;&lt;li&gt;&lt;a href=|http://gsb.biblecommenter.com/genesis/40.htm| title=|Geneva Study Bible| target=|_top|&gt;GSB&lt;/a&gt;</v>
      </c>
      <c r="AE40" s="2" t="str">
        <f t="shared" si="158"/>
        <v>&lt;/li&gt;&lt;li&gt;&lt;a href=|http://jfb.biblecommenter.com/genesis/40.htm| title=|Jamieson-Fausset-Brown Bible Commentary| target=|_top|&gt;JFB&lt;/a&gt;</v>
      </c>
      <c r="AF40" s="2" t="str">
        <f t="shared" si="158"/>
        <v>&lt;/li&gt;&lt;li&gt;&lt;a href=|http://kjt.biblecommenter.com/genesis/40.htm| title=|King James Translators' Notes| target=|_top|&gt;KJT&lt;/a&gt;</v>
      </c>
      <c r="AG40" s="2" t="str">
        <f t="shared" si="158"/>
        <v>&lt;/li&gt;&lt;li&gt;&lt;a href=|http://mhc.biblecommenter.com/genesis/40.htm| title=|Matthew Henry's Concise Commentary| target=|_top|&gt;MHC&lt;/a&gt;</v>
      </c>
      <c r="AH40" s="2" t="str">
        <f t="shared" si="158"/>
        <v>&lt;/li&gt;&lt;li&gt;&lt;a href=|http://sco.biblecommenter.com/genesis/40.htm| title=|Scofield Reference Notes| target=|_top|&gt;SCO&lt;/a&gt;</v>
      </c>
      <c r="AI40" s="2" t="str">
        <f t="shared" si="158"/>
        <v>&lt;/li&gt;&lt;li&gt;&lt;a href=|http://wes.biblecommenter.com/genesis/40.htm| title=|Wesley's Notes on the Bible| target=|_top|&gt;WES&lt;/a&gt;</v>
      </c>
      <c r="AJ40" t="str">
        <f t="shared" si="158"/>
        <v>&lt;/li&gt;&lt;li&gt;&lt;a href=|http://worldebible.com/genesis/40.htm| title=|World English Bible| target=|_top|&gt;WEB&lt;/a&gt;</v>
      </c>
      <c r="AK40" t="str">
        <f t="shared" si="158"/>
        <v>&lt;/li&gt;&lt;li&gt;&lt;a href=|http://yltbible.com/genesis/40.htm| title=|Young's Literal Translation| target=|_top|&gt;YLT&lt;/a&gt;</v>
      </c>
      <c r="AL40" t="str">
        <f>CONCATENATE("&lt;a href=|http://",AL1191,"/genesis/40.htm","| ","title=|",AL1190,"| target=|_top|&gt;",AL1192,"&lt;/a&gt;")</f>
        <v>&lt;a href=|http://kjv.us/genesis/40.htm| title=|American King James Version| target=|_top|&gt;AKJ&lt;/a&gt;</v>
      </c>
      <c r="AM40" t="str">
        <f t="shared" ref="AM40:AN40" si="159">CONCATENATE("&lt;/li&gt;&lt;li&gt;&lt;a href=|http://",AM1191,"/genesis/40.htm","| ","title=|",AM1190,"| target=|_top|&gt;",AM1192,"&lt;/a&gt;")</f>
        <v>&lt;/li&gt;&lt;li&gt;&lt;a href=|http://basicenglishbible.com/genesis/40.htm| title=|Bible in Basic English| target=|_top|&gt;BBE&lt;/a&gt;</v>
      </c>
      <c r="AN40" t="str">
        <f t="shared" si="159"/>
        <v>&lt;/li&gt;&lt;li&gt;&lt;a href=|http://darbybible.com/genesis/40.htm| title=|Darby Bible Translation| target=|_top|&gt;DBY&lt;/a&gt;</v>
      </c>
      <c r="AO4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0" t="str">
        <f>CONCATENATE("&lt;/li&gt;&lt;li&gt;&lt;a href=|http://",AR1191,"/genesis/40.htm","| ","title=|",AR1190,"| target=|_top|&gt;",AR1192,"&lt;/a&gt;")</f>
        <v>&lt;/li&gt;&lt;li&gt;&lt;a href=|http://websterbible.com/genesis/40.htm| title=|Webster's Bible Translation| target=|_top|&gt;WBS&lt;/a&gt;</v>
      </c>
      <c r="AS4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0" t="str">
        <f>CONCATENATE("&lt;/li&gt;&lt;li&gt;&lt;a href=|http://",AT1191,"/genesis/40-1.htm","| ","title=|",AT1190,"| target=|_top|&gt;",AT1192,"&lt;/a&gt;")</f>
        <v>&lt;/li&gt;&lt;li&gt;&lt;a href=|http://biblebrowser.com/genesis/40-1.htm| title=|Split View| target=|_top|&gt;Split&lt;/a&gt;</v>
      </c>
      <c r="AU40" s="2" t="s">
        <v>1276</v>
      </c>
      <c r="AV40" t="s">
        <v>64</v>
      </c>
    </row>
    <row r="41" spans="1:48">
      <c r="A41" t="s">
        <v>622</v>
      </c>
      <c r="B41" t="s">
        <v>94</v>
      </c>
      <c r="C41" t="s">
        <v>624</v>
      </c>
      <c r="D41" t="s">
        <v>1268</v>
      </c>
      <c r="E41" t="s">
        <v>1277</v>
      </c>
      <c r="F41" t="s">
        <v>1304</v>
      </c>
      <c r="G41" t="s">
        <v>1266</v>
      </c>
      <c r="H41" t="s">
        <v>1305</v>
      </c>
      <c r="I41" t="s">
        <v>1303</v>
      </c>
      <c r="J41" t="s">
        <v>1267</v>
      </c>
      <c r="K41" t="s">
        <v>1275</v>
      </c>
      <c r="L41" s="2" t="s">
        <v>1274</v>
      </c>
      <c r="M41" t="str">
        <f t="shared" ref="M41:AB41" si="160">CONCATENATE("&lt;/li&gt;&lt;li&gt;&lt;a href=|http://",M1191,"/genesis/41.htm","| ","title=|",M1190,"| target=|_top|&gt;",M1192,"&lt;/a&gt;")</f>
        <v>&lt;/li&gt;&lt;li&gt;&lt;a href=|http://niv.scripturetext.com/genesis/41.htm| title=|New International Version| target=|_top|&gt;NIV&lt;/a&gt;</v>
      </c>
      <c r="N41" t="str">
        <f t="shared" si="160"/>
        <v>&lt;/li&gt;&lt;li&gt;&lt;a href=|http://nlt.scripturetext.com/genesis/41.htm| title=|New Living Translation| target=|_top|&gt;NLT&lt;/a&gt;</v>
      </c>
      <c r="O41" t="str">
        <f t="shared" si="160"/>
        <v>&lt;/li&gt;&lt;li&gt;&lt;a href=|http://nasb.scripturetext.com/genesis/41.htm| title=|New American Standard Bible| target=|_top|&gt;NAS&lt;/a&gt;</v>
      </c>
      <c r="P41" t="str">
        <f t="shared" si="160"/>
        <v>&lt;/li&gt;&lt;li&gt;&lt;a href=|http://gwt.scripturetext.com/genesis/41.htm| title=|God's Word Translation| target=|_top|&gt;GWT&lt;/a&gt;</v>
      </c>
      <c r="Q41" t="str">
        <f t="shared" si="160"/>
        <v>&lt;/li&gt;&lt;li&gt;&lt;a href=|http://kingjbible.com/genesis/41.htm| title=|King James Bible| target=|_top|&gt;KJV&lt;/a&gt;</v>
      </c>
      <c r="R41" t="str">
        <f t="shared" si="160"/>
        <v>&lt;/li&gt;&lt;li&gt;&lt;a href=|http://asvbible.com/genesis/41.htm| title=|American Standard Version| target=|_top|&gt;ASV&lt;/a&gt;</v>
      </c>
      <c r="S41" t="str">
        <f t="shared" si="160"/>
        <v>&lt;/li&gt;&lt;li&gt;&lt;a href=|http://drb.scripturetext.com/genesis/41.htm| title=|Douay-Rheims Bible| target=|_top|&gt;DRB&lt;/a&gt;</v>
      </c>
      <c r="T41" t="str">
        <f t="shared" si="160"/>
        <v>&lt;/li&gt;&lt;li&gt;&lt;a href=|http://erv.scripturetext.com/genesis/41.htm| title=|English Revised Version| target=|_top|&gt;ERV&lt;/a&gt;</v>
      </c>
      <c r="V41" t="str">
        <f>CONCATENATE("&lt;/li&gt;&lt;li&gt;&lt;a href=|http://",V1191,"/genesis/41.htm","| ","title=|",V1190,"| target=|_top|&gt;",V1192,"&lt;/a&gt;")</f>
        <v>&lt;/li&gt;&lt;li&gt;&lt;a href=|http://study.interlinearbible.org/genesis/41.htm| title=|Hebrew Study Bible| target=|_top|&gt;Heb Study&lt;/a&gt;</v>
      </c>
      <c r="W41" t="str">
        <f t="shared" si="160"/>
        <v>&lt;/li&gt;&lt;li&gt;&lt;a href=|http://apostolic.interlinearbible.org/genesis/41.htm| title=|Apostolic Bible Polyglot Interlinear| target=|_top|&gt;Polyglot&lt;/a&gt;</v>
      </c>
      <c r="X41" t="str">
        <f t="shared" si="160"/>
        <v>&lt;/li&gt;&lt;li&gt;&lt;a href=|http://interlinearbible.org/genesis/41.htm| title=|Interlinear Bible| target=|_top|&gt;Interlin&lt;/a&gt;</v>
      </c>
      <c r="Y41" t="str">
        <f t="shared" ref="Y41" si="161">CONCATENATE("&lt;/li&gt;&lt;li&gt;&lt;a href=|http://",Y1191,"/genesis/41.htm","| ","title=|",Y1190,"| target=|_top|&gt;",Y1192,"&lt;/a&gt;")</f>
        <v>&lt;/li&gt;&lt;li&gt;&lt;a href=|http://bibleoutline.org/genesis/41.htm| title=|Outline with People and Places List| target=|_top|&gt;Outline&lt;/a&gt;</v>
      </c>
      <c r="Z41" t="str">
        <f t="shared" si="160"/>
        <v>&lt;/li&gt;&lt;li&gt;&lt;a href=|http://kjvs.scripturetext.com/genesis/41.htm| title=|King James Bible with Strong's Numbers| target=|_top|&gt;Strong's&lt;/a&gt;</v>
      </c>
      <c r="AA41" t="str">
        <f t="shared" si="160"/>
        <v>&lt;/li&gt;&lt;li&gt;&lt;a href=|http://childrensbibleonline.com/genesis/41.htm| title=|The Children's Bible| target=|_top|&gt;Children's&lt;/a&gt;</v>
      </c>
      <c r="AB41" s="2" t="str">
        <f t="shared" si="160"/>
        <v>&lt;/li&gt;&lt;li&gt;&lt;a href=|http://tsk.scripturetext.com/genesis/41.htm| title=|Treasury of Scripture Knowledge| target=|_top|&gt;TSK&lt;/a&gt;</v>
      </c>
      <c r="AC41" t="str">
        <f>CONCATENATE("&lt;a href=|http://",AC1191,"/genesis/41.htm","| ","title=|",AC1190,"| target=|_top|&gt;",AC1192,"&lt;/a&gt;")</f>
        <v>&lt;a href=|http://parallelbible.com/genesis/41.htm| title=|Parallel Chapters| target=|_top|&gt;PAR&lt;/a&gt;</v>
      </c>
      <c r="AD41" s="2" t="str">
        <f t="shared" ref="AD41:AK41" si="162">CONCATENATE("&lt;/li&gt;&lt;li&gt;&lt;a href=|http://",AD1191,"/genesis/41.htm","| ","title=|",AD1190,"| target=|_top|&gt;",AD1192,"&lt;/a&gt;")</f>
        <v>&lt;/li&gt;&lt;li&gt;&lt;a href=|http://gsb.biblecommenter.com/genesis/41.htm| title=|Geneva Study Bible| target=|_top|&gt;GSB&lt;/a&gt;</v>
      </c>
      <c r="AE41" s="2" t="str">
        <f t="shared" si="162"/>
        <v>&lt;/li&gt;&lt;li&gt;&lt;a href=|http://jfb.biblecommenter.com/genesis/41.htm| title=|Jamieson-Fausset-Brown Bible Commentary| target=|_top|&gt;JFB&lt;/a&gt;</v>
      </c>
      <c r="AF41" s="2" t="str">
        <f t="shared" si="162"/>
        <v>&lt;/li&gt;&lt;li&gt;&lt;a href=|http://kjt.biblecommenter.com/genesis/41.htm| title=|King James Translators' Notes| target=|_top|&gt;KJT&lt;/a&gt;</v>
      </c>
      <c r="AG41" s="2" t="str">
        <f t="shared" si="162"/>
        <v>&lt;/li&gt;&lt;li&gt;&lt;a href=|http://mhc.biblecommenter.com/genesis/41.htm| title=|Matthew Henry's Concise Commentary| target=|_top|&gt;MHC&lt;/a&gt;</v>
      </c>
      <c r="AH41" s="2" t="str">
        <f t="shared" si="162"/>
        <v>&lt;/li&gt;&lt;li&gt;&lt;a href=|http://sco.biblecommenter.com/genesis/41.htm| title=|Scofield Reference Notes| target=|_top|&gt;SCO&lt;/a&gt;</v>
      </c>
      <c r="AI41" s="2" t="str">
        <f t="shared" si="162"/>
        <v>&lt;/li&gt;&lt;li&gt;&lt;a href=|http://wes.biblecommenter.com/genesis/41.htm| title=|Wesley's Notes on the Bible| target=|_top|&gt;WES&lt;/a&gt;</v>
      </c>
      <c r="AJ41" t="str">
        <f t="shared" si="162"/>
        <v>&lt;/li&gt;&lt;li&gt;&lt;a href=|http://worldebible.com/genesis/41.htm| title=|World English Bible| target=|_top|&gt;WEB&lt;/a&gt;</v>
      </c>
      <c r="AK41" t="str">
        <f t="shared" si="162"/>
        <v>&lt;/li&gt;&lt;li&gt;&lt;a href=|http://yltbible.com/genesis/41.htm| title=|Young's Literal Translation| target=|_top|&gt;YLT&lt;/a&gt;</v>
      </c>
      <c r="AL41" t="str">
        <f>CONCATENATE("&lt;a href=|http://",AL1191,"/genesis/41.htm","| ","title=|",AL1190,"| target=|_top|&gt;",AL1192,"&lt;/a&gt;")</f>
        <v>&lt;a href=|http://kjv.us/genesis/41.htm| title=|American King James Version| target=|_top|&gt;AKJ&lt;/a&gt;</v>
      </c>
      <c r="AM41" t="str">
        <f t="shared" ref="AM41:AN41" si="163">CONCATENATE("&lt;/li&gt;&lt;li&gt;&lt;a href=|http://",AM1191,"/genesis/41.htm","| ","title=|",AM1190,"| target=|_top|&gt;",AM1192,"&lt;/a&gt;")</f>
        <v>&lt;/li&gt;&lt;li&gt;&lt;a href=|http://basicenglishbible.com/genesis/41.htm| title=|Bible in Basic English| target=|_top|&gt;BBE&lt;/a&gt;</v>
      </c>
      <c r="AN41" t="str">
        <f t="shared" si="163"/>
        <v>&lt;/li&gt;&lt;li&gt;&lt;a href=|http://darbybible.com/genesis/41.htm| title=|Darby Bible Translation| target=|_top|&gt;DBY&lt;/a&gt;</v>
      </c>
      <c r="AO4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1" t="str">
        <f>CONCATENATE("&lt;/li&gt;&lt;li&gt;&lt;a href=|http://",AR1191,"/genesis/41.htm","| ","title=|",AR1190,"| target=|_top|&gt;",AR1192,"&lt;/a&gt;")</f>
        <v>&lt;/li&gt;&lt;li&gt;&lt;a href=|http://websterbible.com/genesis/41.htm| title=|Webster's Bible Translation| target=|_top|&gt;WBS&lt;/a&gt;</v>
      </c>
      <c r="AS4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1" t="str">
        <f>CONCATENATE("&lt;/li&gt;&lt;li&gt;&lt;a href=|http://",AT1191,"/genesis/41-1.htm","| ","title=|",AT1190,"| target=|_top|&gt;",AT1192,"&lt;/a&gt;")</f>
        <v>&lt;/li&gt;&lt;li&gt;&lt;a href=|http://biblebrowser.com/genesis/41-1.htm| title=|Split View| target=|_top|&gt;Split&lt;/a&gt;</v>
      </c>
      <c r="AU41" s="2" t="s">
        <v>1276</v>
      </c>
      <c r="AV41" t="s">
        <v>64</v>
      </c>
    </row>
    <row r="42" spans="1:48">
      <c r="A42" t="s">
        <v>622</v>
      </c>
      <c r="B42" t="s">
        <v>95</v>
      </c>
      <c r="C42" t="s">
        <v>624</v>
      </c>
      <c r="D42" t="s">
        <v>1268</v>
      </c>
      <c r="E42" t="s">
        <v>1277</v>
      </c>
      <c r="F42" t="s">
        <v>1304</v>
      </c>
      <c r="G42" t="s">
        <v>1266</v>
      </c>
      <c r="H42" t="s">
        <v>1305</v>
      </c>
      <c r="I42" t="s">
        <v>1303</v>
      </c>
      <c r="J42" t="s">
        <v>1267</v>
      </c>
      <c r="K42" t="s">
        <v>1275</v>
      </c>
      <c r="L42" s="2" t="s">
        <v>1274</v>
      </c>
      <c r="M42" t="str">
        <f t="shared" ref="M42:AB42" si="164">CONCATENATE("&lt;/li&gt;&lt;li&gt;&lt;a href=|http://",M1191,"/genesis/42.htm","| ","title=|",M1190,"| target=|_top|&gt;",M1192,"&lt;/a&gt;")</f>
        <v>&lt;/li&gt;&lt;li&gt;&lt;a href=|http://niv.scripturetext.com/genesis/42.htm| title=|New International Version| target=|_top|&gt;NIV&lt;/a&gt;</v>
      </c>
      <c r="N42" t="str">
        <f t="shared" si="164"/>
        <v>&lt;/li&gt;&lt;li&gt;&lt;a href=|http://nlt.scripturetext.com/genesis/42.htm| title=|New Living Translation| target=|_top|&gt;NLT&lt;/a&gt;</v>
      </c>
      <c r="O42" t="str">
        <f t="shared" si="164"/>
        <v>&lt;/li&gt;&lt;li&gt;&lt;a href=|http://nasb.scripturetext.com/genesis/42.htm| title=|New American Standard Bible| target=|_top|&gt;NAS&lt;/a&gt;</v>
      </c>
      <c r="P42" t="str">
        <f t="shared" si="164"/>
        <v>&lt;/li&gt;&lt;li&gt;&lt;a href=|http://gwt.scripturetext.com/genesis/42.htm| title=|God's Word Translation| target=|_top|&gt;GWT&lt;/a&gt;</v>
      </c>
      <c r="Q42" t="str">
        <f t="shared" si="164"/>
        <v>&lt;/li&gt;&lt;li&gt;&lt;a href=|http://kingjbible.com/genesis/42.htm| title=|King James Bible| target=|_top|&gt;KJV&lt;/a&gt;</v>
      </c>
      <c r="R42" t="str">
        <f t="shared" si="164"/>
        <v>&lt;/li&gt;&lt;li&gt;&lt;a href=|http://asvbible.com/genesis/42.htm| title=|American Standard Version| target=|_top|&gt;ASV&lt;/a&gt;</v>
      </c>
      <c r="S42" t="str">
        <f t="shared" si="164"/>
        <v>&lt;/li&gt;&lt;li&gt;&lt;a href=|http://drb.scripturetext.com/genesis/42.htm| title=|Douay-Rheims Bible| target=|_top|&gt;DRB&lt;/a&gt;</v>
      </c>
      <c r="T42" t="str">
        <f t="shared" si="164"/>
        <v>&lt;/li&gt;&lt;li&gt;&lt;a href=|http://erv.scripturetext.com/genesis/42.htm| title=|English Revised Version| target=|_top|&gt;ERV&lt;/a&gt;</v>
      </c>
      <c r="V42" t="str">
        <f>CONCATENATE("&lt;/li&gt;&lt;li&gt;&lt;a href=|http://",V1191,"/genesis/42.htm","| ","title=|",V1190,"| target=|_top|&gt;",V1192,"&lt;/a&gt;")</f>
        <v>&lt;/li&gt;&lt;li&gt;&lt;a href=|http://study.interlinearbible.org/genesis/42.htm| title=|Hebrew Study Bible| target=|_top|&gt;Heb Study&lt;/a&gt;</v>
      </c>
      <c r="W42" t="str">
        <f t="shared" si="164"/>
        <v>&lt;/li&gt;&lt;li&gt;&lt;a href=|http://apostolic.interlinearbible.org/genesis/42.htm| title=|Apostolic Bible Polyglot Interlinear| target=|_top|&gt;Polyglot&lt;/a&gt;</v>
      </c>
      <c r="X42" t="str">
        <f t="shared" si="164"/>
        <v>&lt;/li&gt;&lt;li&gt;&lt;a href=|http://interlinearbible.org/genesis/42.htm| title=|Interlinear Bible| target=|_top|&gt;Interlin&lt;/a&gt;</v>
      </c>
      <c r="Y42" t="str">
        <f t="shared" ref="Y42" si="165">CONCATENATE("&lt;/li&gt;&lt;li&gt;&lt;a href=|http://",Y1191,"/genesis/42.htm","| ","title=|",Y1190,"| target=|_top|&gt;",Y1192,"&lt;/a&gt;")</f>
        <v>&lt;/li&gt;&lt;li&gt;&lt;a href=|http://bibleoutline.org/genesis/42.htm| title=|Outline with People and Places List| target=|_top|&gt;Outline&lt;/a&gt;</v>
      </c>
      <c r="Z42" t="str">
        <f t="shared" si="164"/>
        <v>&lt;/li&gt;&lt;li&gt;&lt;a href=|http://kjvs.scripturetext.com/genesis/42.htm| title=|King James Bible with Strong's Numbers| target=|_top|&gt;Strong's&lt;/a&gt;</v>
      </c>
      <c r="AA42" t="str">
        <f t="shared" si="164"/>
        <v>&lt;/li&gt;&lt;li&gt;&lt;a href=|http://childrensbibleonline.com/genesis/42.htm| title=|The Children's Bible| target=|_top|&gt;Children's&lt;/a&gt;</v>
      </c>
      <c r="AB42" s="2" t="str">
        <f t="shared" si="164"/>
        <v>&lt;/li&gt;&lt;li&gt;&lt;a href=|http://tsk.scripturetext.com/genesis/42.htm| title=|Treasury of Scripture Knowledge| target=|_top|&gt;TSK&lt;/a&gt;</v>
      </c>
      <c r="AC42" t="str">
        <f>CONCATENATE("&lt;a href=|http://",AC1191,"/genesis/42.htm","| ","title=|",AC1190,"| target=|_top|&gt;",AC1192,"&lt;/a&gt;")</f>
        <v>&lt;a href=|http://parallelbible.com/genesis/42.htm| title=|Parallel Chapters| target=|_top|&gt;PAR&lt;/a&gt;</v>
      </c>
      <c r="AD42" s="2" t="str">
        <f t="shared" ref="AD42:AK42" si="166">CONCATENATE("&lt;/li&gt;&lt;li&gt;&lt;a href=|http://",AD1191,"/genesis/42.htm","| ","title=|",AD1190,"| target=|_top|&gt;",AD1192,"&lt;/a&gt;")</f>
        <v>&lt;/li&gt;&lt;li&gt;&lt;a href=|http://gsb.biblecommenter.com/genesis/42.htm| title=|Geneva Study Bible| target=|_top|&gt;GSB&lt;/a&gt;</v>
      </c>
      <c r="AE42" s="2" t="str">
        <f t="shared" si="166"/>
        <v>&lt;/li&gt;&lt;li&gt;&lt;a href=|http://jfb.biblecommenter.com/genesis/42.htm| title=|Jamieson-Fausset-Brown Bible Commentary| target=|_top|&gt;JFB&lt;/a&gt;</v>
      </c>
      <c r="AF42" s="2" t="str">
        <f t="shared" si="166"/>
        <v>&lt;/li&gt;&lt;li&gt;&lt;a href=|http://kjt.biblecommenter.com/genesis/42.htm| title=|King James Translators' Notes| target=|_top|&gt;KJT&lt;/a&gt;</v>
      </c>
      <c r="AG42" s="2" t="str">
        <f t="shared" si="166"/>
        <v>&lt;/li&gt;&lt;li&gt;&lt;a href=|http://mhc.biblecommenter.com/genesis/42.htm| title=|Matthew Henry's Concise Commentary| target=|_top|&gt;MHC&lt;/a&gt;</v>
      </c>
      <c r="AH42" s="2" t="str">
        <f t="shared" si="166"/>
        <v>&lt;/li&gt;&lt;li&gt;&lt;a href=|http://sco.biblecommenter.com/genesis/42.htm| title=|Scofield Reference Notes| target=|_top|&gt;SCO&lt;/a&gt;</v>
      </c>
      <c r="AI42" s="2" t="str">
        <f t="shared" si="166"/>
        <v>&lt;/li&gt;&lt;li&gt;&lt;a href=|http://wes.biblecommenter.com/genesis/42.htm| title=|Wesley's Notes on the Bible| target=|_top|&gt;WES&lt;/a&gt;</v>
      </c>
      <c r="AJ42" t="str">
        <f t="shared" si="166"/>
        <v>&lt;/li&gt;&lt;li&gt;&lt;a href=|http://worldebible.com/genesis/42.htm| title=|World English Bible| target=|_top|&gt;WEB&lt;/a&gt;</v>
      </c>
      <c r="AK42" t="str">
        <f t="shared" si="166"/>
        <v>&lt;/li&gt;&lt;li&gt;&lt;a href=|http://yltbible.com/genesis/42.htm| title=|Young's Literal Translation| target=|_top|&gt;YLT&lt;/a&gt;</v>
      </c>
      <c r="AL42" t="str">
        <f>CONCATENATE("&lt;a href=|http://",AL1191,"/genesis/42.htm","| ","title=|",AL1190,"| target=|_top|&gt;",AL1192,"&lt;/a&gt;")</f>
        <v>&lt;a href=|http://kjv.us/genesis/42.htm| title=|American King James Version| target=|_top|&gt;AKJ&lt;/a&gt;</v>
      </c>
      <c r="AM42" t="str">
        <f t="shared" ref="AM42:AN42" si="167">CONCATENATE("&lt;/li&gt;&lt;li&gt;&lt;a href=|http://",AM1191,"/genesis/42.htm","| ","title=|",AM1190,"| target=|_top|&gt;",AM1192,"&lt;/a&gt;")</f>
        <v>&lt;/li&gt;&lt;li&gt;&lt;a href=|http://basicenglishbible.com/genesis/42.htm| title=|Bible in Basic English| target=|_top|&gt;BBE&lt;/a&gt;</v>
      </c>
      <c r="AN42" t="str">
        <f t="shared" si="167"/>
        <v>&lt;/li&gt;&lt;li&gt;&lt;a href=|http://darbybible.com/genesis/42.htm| title=|Darby Bible Translation| target=|_top|&gt;DBY&lt;/a&gt;</v>
      </c>
      <c r="AO4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2" t="str">
        <f>CONCATENATE("&lt;/li&gt;&lt;li&gt;&lt;a href=|http://",AR1191,"/genesis/42.htm","| ","title=|",AR1190,"| target=|_top|&gt;",AR1192,"&lt;/a&gt;")</f>
        <v>&lt;/li&gt;&lt;li&gt;&lt;a href=|http://websterbible.com/genesis/42.htm| title=|Webster's Bible Translation| target=|_top|&gt;WBS&lt;/a&gt;</v>
      </c>
      <c r="AS4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2" t="str">
        <f>CONCATENATE("&lt;/li&gt;&lt;li&gt;&lt;a href=|http://",AT1191,"/genesis/42-1.htm","| ","title=|",AT1190,"| target=|_top|&gt;",AT1192,"&lt;/a&gt;")</f>
        <v>&lt;/li&gt;&lt;li&gt;&lt;a href=|http://biblebrowser.com/genesis/42-1.htm| title=|Split View| target=|_top|&gt;Split&lt;/a&gt;</v>
      </c>
      <c r="AU42" s="2" t="s">
        <v>1276</v>
      </c>
      <c r="AV42" t="s">
        <v>64</v>
      </c>
    </row>
    <row r="43" spans="1:48">
      <c r="A43" t="s">
        <v>622</v>
      </c>
      <c r="B43" t="s">
        <v>96</v>
      </c>
      <c r="C43" t="s">
        <v>624</v>
      </c>
      <c r="D43" t="s">
        <v>1268</v>
      </c>
      <c r="E43" t="s">
        <v>1277</v>
      </c>
      <c r="F43" t="s">
        <v>1304</v>
      </c>
      <c r="G43" t="s">
        <v>1266</v>
      </c>
      <c r="H43" t="s">
        <v>1305</v>
      </c>
      <c r="I43" t="s">
        <v>1303</v>
      </c>
      <c r="J43" t="s">
        <v>1267</v>
      </c>
      <c r="K43" t="s">
        <v>1275</v>
      </c>
      <c r="L43" s="2" t="s">
        <v>1274</v>
      </c>
      <c r="M43" t="str">
        <f t="shared" ref="M43:AB43" si="168">CONCATENATE("&lt;/li&gt;&lt;li&gt;&lt;a href=|http://",M1191,"/genesis/43.htm","| ","title=|",M1190,"| target=|_top|&gt;",M1192,"&lt;/a&gt;")</f>
        <v>&lt;/li&gt;&lt;li&gt;&lt;a href=|http://niv.scripturetext.com/genesis/43.htm| title=|New International Version| target=|_top|&gt;NIV&lt;/a&gt;</v>
      </c>
      <c r="N43" t="str">
        <f t="shared" si="168"/>
        <v>&lt;/li&gt;&lt;li&gt;&lt;a href=|http://nlt.scripturetext.com/genesis/43.htm| title=|New Living Translation| target=|_top|&gt;NLT&lt;/a&gt;</v>
      </c>
      <c r="O43" t="str">
        <f t="shared" si="168"/>
        <v>&lt;/li&gt;&lt;li&gt;&lt;a href=|http://nasb.scripturetext.com/genesis/43.htm| title=|New American Standard Bible| target=|_top|&gt;NAS&lt;/a&gt;</v>
      </c>
      <c r="P43" t="str">
        <f t="shared" si="168"/>
        <v>&lt;/li&gt;&lt;li&gt;&lt;a href=|http://gwt.scripturetext.com/genesis/43.htm| title=|God's Word Translation| target=|_top|&gt;GWT&lt;/a&gt;</v>
      </c>
      <c r="Q43" t="str">
        <f t="shared" si="168"/>
        <v>&lt;/li&gt;&lt;li&gt;&lt;a href=|http://kingjbible.com/genesis/43.htm| title=|King James Bible| target=|_top|&gt;KJV&lt;/a&gt;</v>
      </c>
      <c r="R43" t="str">
        <f t="shared" si="168"/>
        <v>&lt;/li&gt;&lt;li&gt;&lt;a href=|http://asvbible.com/genesis/43.htm| title=|American Standard Version| target=|_top|&gt;ASV&lt;/a&gt;</v>
      </c>
      <c r="S43" t="str">
        <f t="shared" si="168"/>
        <v>&lt;/li&gt;&lt;li&gt;&lt;a href=|http://drb.scripturetext.com/genesis/43.htm| title=|Douay-Rheims Bible| target=|_top|&gt;DRB&lt;/a&gt;</v>
      </c>
      <c r="T43" t="str">
        <f t="shared" si="168"/>
        <v>&lt;/li&gt;&lt;li&gt;&lt;a href=|http://erv.scripturetext.com/genesis/43.htm| title=|English Revised Version| target=|_top|&gt;ERV&lt;/a&gt;</v>
      </c>
      <c r="V43" t="str">
        <f>CONCATENATE("&lt;/li&gt;&lt;li&gt;&lt;a href=|http://",V1191,"/genesis/43.htm","| ","title=|",V1190,"| target=|_top|&gt;",V1192,"&lt;/a&gt;")</f>
        <v>&lt;/li&gt;&lt;li&gt;&lt;a href=|http://study.interlinearbible.org/genesis/43.htm| title=|Hebrew Study Bible| target=|_top|&gt;Heb Study&lt;/a&gt;</v>
      </c>
      <c r="W43" t="str">
        <f t="shared" si="168"/>
        <v>&lt;/li&gt;&lt;li&gt;&lt;a href=|http://apostolic.interlinearbible.org/genesis/43.htm| title=|Apostolic Bible Polyglot Interlinear| target=|_top|&gt;Polyglot&lt;/a&gt;</v>
      </c>
      <c r="X43" t="str">
        <f t="shared" si="168"/>
        <v>&lt;/li&gt;&lt;li&gt;&lt;a href=|http://interlinearbible.org/genesis/43.htm| title=|Interlinear Bible| target=|_top|&gt;Interlin&lt;/a&gt;</v>
      </c>
      <c r="Y43" t="str">
        <f t="shared" ref="Y43" si="169">CONCATENATE("&lt;/li&gt;&lt;li&gt;&lt;a href=|http://",Y1191,"/genesis/43.htm","| ","title=|",Y1190,"| target=|_top|&gt;",Y1192,"&lt;/a&gt;")</f>
        <v>&lt;/li&gt;&lt;li&gt;&lt;a href=|http://bibleoutline.org/genesis/43.htm| title=|Outline with People and Places List| target=|_top|&gt;Outline&lt;/a&gt;</v>
      </c>
      <c r="Z43" t="str">
        <f t="shared" si="168"/>
        <v>&lt;/li&gt;&lt;li&gt;&lt;a href=|http://kjvs.scripturetext.com/genesis/43.htm| title=|King James Bible with Strong's Numbers| target=|_top|&gt;Strong's&lt;/a&gt;</v>
      </c>
      <c r="AA43" t="str">
        <f t="shared" si="168"/>
        <v>&lt;/li&gt;&lt;li&gt;&lt;a href=|http://childrensbibleonline.com/genesis/43.htm| title=|The Children's Bible| target=|_top|&gt;Children's&lt;/a&gt;</v>
      </c>
      <c r="AB43" s="2" t="str">
        <f t="shared" si="168"/>
        <v>&lt;/li&gt;&lt;li&gt;&lt;a href=|http://tsk.scripturetext.com/genesis/43.htm| title=|Treasury of Scripture Knowledge| target=|_top|&gt;TSK&lt;/a&gt;</v>
      </c>
      <c r="AC43" t="str">
        <f>CONCATENATE("&lt;a href=|http://",AC1191,"/genesis/43.htm","| ","title=|",AC1190,"| target=|_top|&gt;",AC1192,"&lt;/a&gt;")</f>
        <v>&lt;a href=|http://parallelbible.com/genesis/43.htm| title=|Parallel Chapters| target=|_top|&gt;PAR&lt;/a&gt;</v>
      </c>
      <c r="AD43" s="2" t="str">
        <f t="shared" ref="AD43:AK43" si="170">CONCATENATE("&lt;/li&gt;&lt;li&gt;&lt;a href=|http://",AD1191,"/genesis/43.htm","| ","title=|",AD1190,"| target=|_top|&gt;",AD1192,"&lt;/a&gt;")</f>
        <v>&lt;/li&gt;&lt;li&gt;&lt;a href=|http://gsb.biblecommenter.com/genesis/43.htm| title=|Geneva Study Bible| target=|_top|&gt;GSB&lt;/a&gt;</v>
      </c>
      <c r="AE43" s="2" t="str">
        <f t="shared" si="170"/>
        <v>&lt;/li&gt;&lt;li&gt;&lt;a href=|http://jfb.biblecommenter.com/genesis/43.htm| title=|Jamieson-Fausset-Brown Bible Commentary| target=|_top|&gt;JFB&lt;/a&gt;</v>
      </c>
      <c r="AF43" s="2" t="str">
        <f t="shared" si="170"/>
        <v>&lt;/li&gt;&lt;li&gt;&lt;a href=|http://kjt.biblecommenter.com/genesis/43.htm| title=|King James Translators' Notes| target=|_top|&gt;KJT&lt;/a&gt;</v>
      </c>
      <c r="AG43" s="2" t="str">
        <f t="shared" si="170"/>
        <v>&lt;/li&gt;&lt;li&gt;&lt;a href=|http://mhc.biblecommenter.com/genesis/43.htm| title=|Matthew Henry's Concise Commentary| target=|_top|&gt;MHC&lt;/a&gt;</v>
      </c>
      <c r="AH43" s="2" t="str">
        <f t="shared" si="170"/>
        <v>&lt;/li&gt;&lt;li&gt;&lt;a href=|http://sco.biblecommenter.com/genesis/43.htm| title=|Scofield Reference Notes| target=|_top|&gt;SCO&lt;/a&gt;</v>
      </c>
      <c r="AI43" s="2" t="str">
        <f t="shared" si="170"/>
        <v>&lt;/li&gt;&lt;li&gt;&lt;a href=|http://wes.biblecommenter.com/genesis/43.htm| title=|Wesley's Notes on the Bible| target=|_top|&gt;WES&lt;/a&gt;</v>
      </c>
      <c r="AJ43" t="str">
        <f t="shared" si="170"/>
        <v>&lt;/li&gt;&lt;li&gt;&lt;a href=|http://worldebible.com/genesis/43.htm| title=|World English Bible| target=|_top|&gt;WEB&lt;/a&gt;</v>
      </c>
      <c r="AK43" t="str">
        <f t="shared" si="170"/>
        <v>&lt;/li&gt;&lt;li&gt;&lt;a href=|http://yltbible.com/genesis/43.htm| title=|Young's Literal Translation| target=|_top|&gt;YLT&lt;/a&gt;</v>
      </c>
      <c r="AL43" t="str">
        <f>CONCATENATE("&lt;a href=|http://",AL1191,"/genesis/43.htm","| ","title=|",AL1190,"| target=|_top|&gt;",AL1192,"&lt;/a&gt;")</f>
        <v>&lt;a href=|http://kjv.us/genesis/43.htm| title=|American King James Version| target=|_top|&gt;AKJ&lt;/a&gt;</v>
      </c>
      <c r="AM43" t="str">
        <f t="shared" ref="AM43:AN43" si="171">CONCATENATE("&lt;/li&gt;&lt;li&gt;&lt;a href=|http://",AM1191,"/genesis/43.htm","| ","title=|",AM1190,"| target=|_top|&gt;",AM1192,"&lt;/a&gt;")</f>
        <v>&lt;/li&gt;&lt;li&gt;&lt;a href=|http://basicenglishbible.com/genesis/43.htm| title=|Bible in Basic English| target=|_top|&gt;BBE&lt;/a&gt;</v>
      </c>
      <c r="AN43" t="str">
        <f t="shared" si="171"/>
        <v>&lt;/li&gt;&lt;li&gt;&lt;a href=|http://darbybible.com/genesis/43.htm| title=|Darby Bible Translation| target=|_top|&gt;DBY&lt;/a&gt;</v>
      </c>
      <c r="AO4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3" t="str">
        <f>CONCATENATE("&lt;/li&gt;&lt;li&gt;&lt;a href=|http://",AR1191,"/genesis/43.htm","| ","title=|",AR1190,"| target=|_top|&gt;",AR1192,"&lt;/a&gt;")</f>
        <v>&lt;/li&gt;&lt;li&gt;&lt;a href=|http://websterbible.com/genesis/43.htm| title=|Webster's Bible Translation| target=|_top|&gt;WBS&lt;/a&gt;</v>
      </c>
      <c r="AS4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3" t="str">
        <f>CONCATENATE("&lt;/li&gt;&lt;li&gt;&lt;a href=|http://",AT1191,"/genesis/43-1.htm","| ","title=|",AT1190,"| target=|_top|&gt;",AT1192,"&lt;/a&gt;")</f>
        <v>&lt;/li&gt;&lt;li&gt;&lt;a href=|http://biblebrowser.com/genesis/43-1.htm| title=|Split View| target=|_top|&gt;Split&lt;/a&gt;</v>
      </c>
      <c r="AU43" s="2" t="s">
        <v>1276</v>
      </c>
      <c r="AV43" t="s">
        <v>64</v>
      </c>
    </row>
    <row r="44" spans="1:48">
      <c r="A44" t="s">
        <v>622</v>
      </c>
      <c r="B44" t="s">
        <v>97</v>
      </c>
      <c r="C44" t="s">
        <v>624</v>
      </c>
      <c r="D44" t="s">
        <v>1268</v>
      </c>
      <c r="E44" t="s">
        <v>1277</v>
      </c>
      <c r="F44" t="s">
        <v>1304</v>
      </c>
      <c r="G44" t="s">
        <v>1266</v>
      </c>
      <c r="H44" t="s">
        <v>1305</v>
      </c>
      <c r="I44" t="s">
        <v>1303</v>
      </c>
      <c r="J44" t="s">
        <v>1267</v>
      </c>
      <c r="K44" t="s">
        <v>1275</v>
      </c>
      <c r="L44" s="2" t="s">
        <v>1274</v>
      </c>
      <c r="M44" t="str">
        <f t="shared" ref="M44:AB44" si="172">CONCATENATE("&lt;/li&gt;&lt;li&gt;&lt;a href=|http://",M1191,"/genesis/44.htm","| ","title=|",M1190,"| target=|_top|&gt;",M1192,"&lt;/a&gt;")</f>
        <v>&lt;/li&gt;&lt;li&gt;&lt;a href=|http://niv.scripturetext.com/genesis/44.htm| title=|New International Version| target=|_top|&gt;NIV&lt;/a&gt;</v>
      </c>
      <c r="N44" t="str">
        <f t="shared" si="172"/>
        <v>&lt;/li&gt;&lt;li&gt;&lt;a href=|http://nlt.scripturetext.com/genesis/44.htm| title=|New Living Translation| target=|_top|&gt;NLT&lt;/a&gt;</v>
      </c>
      <c r="O44" t="str">
        <f t="shared" si="172"/>
        <v>&lt;/li&gt;&lt;li&gt;&lt;a href=|http://nasb.scripturetext.com/genesis/44.htm| title=|New American Standard Bible| target=|_top|&gt;NAS&lt;/a&gt;</v>
      </c>
      <c r="P44" t="str">
        <f t="shared" si="172"/>
        <v>&lt;/li&gt;&lt;li&gt;&lt;a href=|http://gwt.scripturetext.com/genesis/44.htm| title=|God's Word Translation| target=|_top|&gt;GWT&lt;/a&gt;</v>
      </c>
      <c r="Q44" t="str">
        <f t="shared" si="172"/>
        <v>&lt;/li&gt;&lt;li&gt;&lt;a href=|http://kingjbible.com/genesis/44.htm| title=|King James Bible| target=|_top|&gt;KJV&lt;/a&gt;</v>
      </c>
      <c r="R44" t="str">
        <f t="shared" si="172"/>
        <v>&lt;/li&gt;&lt;li&gt;&lt;a href=|http://asvbible.com/genesis/44.htm| title=|American Standard Version| target=|_top|&gt;ASV&lt;/a&gt;</v>
      </c>
      <c r="S44" t="str">
        <f t="shared" si="172"/>
        <v>&lt;/li&gt;&lt;li&gt;&lt;a href=|http://drb.scripturetext.com/genesis/44.htm| title=|Douay-Rheims Bible| target=|_top|&gt;DRB&lt;/a&gt;</v>
      </c>
      <c r="T44" t="str">
        <f t="shared" si="172"/>
        <v>&lt;/li&gt;&lt;li&gt;&lt;a href=|http://erv.scripturetext.com/genesis/44.htm| title=|English Revised Version| target=|_top|&gt;ERV&lt;/a&gt;</v>
      </c>
      <c r="V44" t="str">
        <f>CONCATENATE("&lt;/li&gt;&lt;li&gt;&lt;a href=|http://",V1191,"/genesis/44.htm","| ","title=|",V1190,"| target=|_top|&gt;",V1192,"&lt;/a&gt;")</f>
        <v>&lt;/li&gt;&lt;li&gt;&lt;a href=|http://study.interlinearbible.org/genesis/44.htm| title=|Hebrew Study Bible| target=|_top|&gt;Heb Study&lt;/a&gt;</v>
      </c>
      <c r="W44" t="str">
        <f t="shared" si="172"/>
        <v>&lt;/li&gt;&lt;li&gt;&lt;a href=|http://apostolic.interlinearbible.org/genesis/44.htm| title=|Apostolic Bible Polyglot Interlinear| target=|_top|&gt;Polyglot&lt;/a&gt;</v>
      </c>
      <c r="X44" t="str">
        <f t="shared" si="172"/>
        <v>&lt;/li&gt;&lt;li&gt;&lt;a href=|http://interlinearbible.org/genesis/44.htm| title=|Interlinear Bible| target=|_top|&gt;Interlin&lt;/a&gt;</v>
      </c>
      <c r="Y44" t="str">
        <f t="shared" ref="Y44" si="173">CONCATENATE("&lt;/li&gt;&lt;li&gt;&lt;a href=|http://",Y1191,"/genesis/44.htm","| ","title=|",Y1190,"| target=|_top|&gt;",Y1192,"&lt;/a&gt;")</f>
        <v>&lt;/li&gt;&lt;li&gt;&lt;a href=|http://bibleoutline.org/genesis/44.htm| title=|Outline with People and Places List| target=|_top|&gt;Outline&lt;/a&gt;</v>
      </c>
      <c r="Z44" t="str">
        <f t="shared" si="172"/>
        <v>&lt;/li&gt;&lt;li&gt;&lt;a href=|http://kjvs.scripturetext.com/genesis/44.htm| title=|King James Bible with Strong's Numbers| target=|_top|&gt;Strong's&lt;/a&gt;</v>
      </c>
      <c r="AA44" t="str">
        <f t="shared" si="172"/>
        <v>&lt;/li&gt;&lt;li&gt;&lt;a href=|http://childrensbibleonline.com/genesis/44.htm| title=|The Children's Bible| target=|_top|&gt;Children's&lt;/a&gt;</v>
      </c>
      <c r="AB44" s="2" t="str">
        <f t="shared" si="172"/>
        <v>&lt;/li&gt;&lt;li&gt;&lt;a href=|http://tsk.scripturetext.com/genesis/44.htm| title=|Treasury of Scripture Knowledge| target=|_top|&gt;TSK&lt;/a&gt;</v>
      </c>
      <c r="AC44" t="str">
        <f>CONCATENATE("&lt;a href=|http://",AC1191,"/genesis/44.htm","| ","title=|",AC1190,"| target=|_top|&gt;",AC1192,"&lt;/a&gt;")</f>
        <v>&lt;a href=|http://parallelbible.com/genesis/44.htm| title=|Parallel Chapters| target=|_top|&gt;PAR&lt;/a&gt;</v>
      </c>
      <c r="AD44" s="2" t="str">
        <f t="shared" ref="AD44:AK44" si="174">CONCATENATE("&lt;/li&gt;&lt;li&gt;&lt;a href=|http://",AD1191,"/genesis/44.htm","| ","title=|",AD1190,"| target=|_top|&gt;",AD1192,"&lt;/a&gt;")</f>
        <v>&lt;/li&gt;&lt;li&gt;&lt;a href=|http://gsb.biblecommenter.com/genesis/44.htm| title=|Geneva Study Bible| target=|_top|&gt;GSB&lt;/a&gt;</v>
      </c>
      <c r="AE44" s="2" t="str">
        <f t="shared" si="174"/>
        <v>&lt;/li&gt;&lt;li&gt;&lt;a href=|http://jfb.biblecommenter.com/genesis/44.htm| title=|Jamieson-Fausset-Brown Bible Commentary| target=|_top|&gt;JFB&lt;/a&gt;</v>
      </c>
      <c r="AF44" s="2" t="str">
        <f t="shared" si="174"/>
        <v>&lt;/li&gt;&lt;li&gt;&lt;a href=|http://kjt.biblecommenter.com/genesis/44.htm| title=|King James Translators' Notes| target=|_top|&gt;KJT&lt;/a&gt;</v>
      </c>
      <c r="AG44" s="2" t="str">
        <f t="shared" si="174"/>
        <v>&lt;/li&gt;&lt;li&gt;&lt;a href=|http://mhc.biblecommenter.com/genesis/44.htm| title=|Matthew Henry's Concise Commentary| target=|_top|&gt;MHC&lt;/a&gt;</v>
      </c>
      <c r="AH44" s="2" t="str">
        <f t="shared" si="174"/>
        <v>&lt;/li&gt;&lt;li&gt;&lt;a href=|http://sco.biblecommenter.com/genesis/44.htm| title=|Scofield Reference Notes| target=|_top|&gt;SCO&lt;/a&gt;</v>
      </c>
      <c r="AI44" s="2" t="str">
        <f t="shared" si="174"/>
        <v>&lt;/li&gt;&lt;li&gt;&lt;a href=|http://wes.biblecommenter.com/genesis/44.htm| title=|Wesley's Notes on the Bible| target=|_top|&gt;WES&lt;/a&gt;</v>
      </c>
      <c r="AJ44" t="str">
        <f t="shared" si="174"/>
        <v>&lt;/li&gt;&lt;li&gt;&lt;a href=|http://worldebible.com/genesis/44.htm| title=|World English Bible| target=|_top|&gt;WEB&lt;/a&gt;</v>
      </c>
      <c r="AK44" t="str">
        <f t="shared" si="174"/>
        <v>&lt;/li&gt;&lt;li&gt;&lt;a href=|http://yltbible.com/genesis/44.htm| title=|Young's Literal Translation| target=|_top|&gt;YLT&lt;/a&gt;</v>
      </c>
      <c r="AL44" t="str">
        <f>CONCATENATE("&lt;a href=|http://",AL1191,"/genesis/44.htm","| ","title=|",AL1190,"| target=|_top|&gt;",AL1192,"&lt;/a&gt;")</f>
        <v>&lt;a href=|http://kjv.us/genesis/44.htm| title=|American King James Version| target=|_top|&gt;AKJ&lt;/a&gt;</v>
      </c>
      <c r="AM44" t="str">
        <f t="shared" ref="AM44:AN44" si="175">CONCATENATE("&lt;/li&gt;&lt;li&gt;&lt;a href=|http://",AM1191,"/genesis/44.htm","| ","title=|",AM1190,"| target=|_top|&gt;",AM1192,"&lt;/a&gt;")</f>
        <v>&lt;/li&gt;&lt;li&gt;&lt;a href=|http://basicenglishbible.com/genesis/44.htm| title=|Bible in Basic English| target=|_top|&gt;BBE&lt;/a&gt;</v>
      </c>
      <c r="AN44" t="str">
        <f t="shared" si="175"/>
        <v>&lt;/li&gt;&lt;li&gt;&lt;a href=|http://darbybible.com/genesis/44.htm| title=|Darby Bible Translation| target=|_top|&gt;DBY&lt;/a&gt;</v>
      </c>
      <c r="AO4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4" t="str">
        <f>CONCATENATE("&lt;/li&gt;&lt;li&gt;&lt;a href=|http://",AR1191,"/genesis/44.htm","| ","title=|",AR1190,"| target=|_top|&gt;",AR1192,"&lt;/a&gt;")</f>
        <v>&lt;/li&gt;&lt;li&gt;&lt;a href=|http://websterbible.com/genesis/44.htm| title=|Webster's Bible Translation| target=|_top|&gt;WBS&lt;/a&gt;</v>
      </c>
      <c r="AS4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4" t="str">
        <f>CONCATENATE("&lt;/li&gt;&lt;li&gt;&lt;a href=|http://",AT1191,"/genesis/44-1.htm","| ","title=|",AT1190,"| target=|_top|&gt;",AT1192,"&lt;/a&gt;")</f>
        <v>&lt;/li&gt;&lt;li&gt;&lt;a href=|http://biblebrowser.com/genesis/44-1.htm| title=|Split View| target=|_top|&gt;Split&lt;/a&gt;</v>
      </c>
      <c r="AU44" s="2" t="s">
        <v>1276</v>
      </c>
      <c r="AV44" t="s">
        <v>64</v>
      </c>
    </row>
    <row r="45" spans="1:48">
      <c r="A45" t="s">
        <v>622</v>
      </c>
      <c r="B45" t="s">
        <v>98</v>
      </c>
      <c r="C45" t="s">
        <v>624</v>
      </c>
      <c r="D45" t="s">
        <v>1268</v>
      </c>
      <c r="E45" t="s">
        <v>1277</v>
      </c>
      <c r="F45" t="s">
        <v>1304</v>
      </c>
      <c r="G45" t="s">
        <v>1266</v>
      </c>
      <c r="H45" t="s">
        <v>1305</v>
      </c>
      <c r="I45" t="s">
        <v>1303</v>
      </c>
      <c r="J45" t="s">
        <v>1267</v>
      </c>
      <c r="K45" t="s">
        <v>1275</v>
      </c>
      <c r="L45" s="2" t="s">
        <v>1274</v>
      </c>
      <c r="M45" t="str">
        <f t="shared" ref="M45:AB45" si="176">CONCATENATE("&lt;/li&gt;&lt;li&gt;&lt;a href=|http://",M1191,"/genesis/45.htm","| ","title=|",M1190,"| target=|_top|&gt;",M1192,"&lt;/a&gt;")</f>
        <v>&lt;/li&gt;&lt;li&gt;&lt;a href=|http://niv.scripturetext.com/genesis/45.htm| title=|New International Version| target=|_top|&gt;NIV&lt;/a&gt;</v>
      </c>
      <c r="N45" t="str">
        <f t="shared" si="176"/>
        <v>&lt;/li&gt;&lt;li&gt;&lt;a href=|http://nlt.scripturetext.com/genesis/45.htm| title=|New Living Translation| target=|_top|&gt;NLT&lt;/a&gt;</v>
      </c>
      <c r="O45" t="str">
        <f t="shared" si="176"/>
        <v>&lt;/li&gt;&lt;li&gt;&lt;a href=|http://nasb.scripturetext.com/genesis/45.htm| title=|New American Standard Bible| target=|_top|&gt;NAS&lt;/a&gt;</v>
      </c>
      <c r="P45" t="str">
        <f t="shared" si="176"/>
        <v>&lt;/li&gt;&lt;li&gt;&lt;a href=|http://gwt.scripturetext.com/genesis/45.htm| title=|God's Word Translation| target=|_top|&gt;GWT&lt;/a&gt;</v>
      </c>
      <c r="Q45" t="str">
        <f t="shared" si="176"/>
        <v>&lt;/li&gt;&lt;li&gt;&lt;a href=|http://kingjbible.com/genesis/45.htm| title=|King James Bible| target=|_top|&gt;KJV&lt;/a&gt;</v>
      </c>
      <c r="R45" t="str">
        <f t="shared" si="176"/>
        <v>&lt;/li&gt;&lt;li&gt;&lt;a href=|http://asvbible.com/genesis/45.htm| title=|American Standard Version| target=|_top|&gt;ASV&lt;/a&gt;</v>
      </c>
      <c r="S45" t="str">
        <f t="shared" si="176"/>
        <v>&lt;/li&gt;&lt;li&gt;&lt;a href=|http://drb.scripturetext.com/genesis/45.htm| title=|Douay-Rheims Bible| target=|_top|&gt;DRB&lt;/a&gt;</v>
      </c>
      <c r="T45" t="str">
        <f t="shared" si="176"/>
        <v>&lt;/li&gt;&lt;li&gt;&lt;a href=|http://erv.scripturetext.com/genesis/45.htm| title=|English Revised Version| target=|_top|&gt;ERV&lt;/a&gt;</v>
      </c>
      <c r="V45" t="str">
        <f>CONCATENATE("&lt;/li&gt;&lt;li&gt;&lt;a href=|http://",V1191,"/genesis/45.htm","| ","title=|",V1190,"| target=|_top|&gt;",V1192,"&lt;/a&gt;")</f>
        <v>&lt;/li&gt;&lt;li&gt;&lt;a href=|http://study.interlinearbible.org/genesis/45.htm| title=|Hebrew Study Bible| target=|_top|&gt;Heb Study&lt;/a&gt;</v>
      </c>
      <c r="W45" t="str">
        <f t="shared" si="176"/>
        <v>&lt;/li&gt;&lt;li&gt;&lt;a href=|http://apostolic.interlinearbible.org/genesis/45.htm| title=|Apostolic Bible Polyglot Interlinear| target=|_top|&gt;Polyglot&lt;/a&gt;</v>
      </c>
      <c r="X45" t="str">
        <f t="shared" si="176"/>
        <v>&lt;/li&gt;&lt;li&gt;&lt;a href=|http://interlinearbible.org/genesis/45.htm| title=|Interlinear Bible| target=|_top|&gt;Interlin&lt;/a&gt;</v>
      </c>
      <c r="Y45" t="str">
        <f t="shared" ref="Y45" si="177">CONCATENATE("&lt;/li&gt;&lt;li&gt;&lt;a href=|http://",Y1191,"/genesis/45.htm","| ","title=|",Y1190,"| target=|_top|&gt;",Y1192,"&lt;/a&gt;")</f>
        <v>&lt;/li&gt;&lt;li&gt;&lt;a href=|http://bibleoutline.org/genesis/45.htm| title=|Outline with People and Places List| target=|_top|&gt;Outline&lt;/a&gt;</v>
      </c>
      <c r="Z45" t="str">
        <f t="shared" si="176"/>
        <v>&lt;/li&gt;&lt;li&gt;&lt;a href=|http://kjvs.scripturetext.com/genesis/45.htm| title=|King James Bible with Strong's Numbers| target=|_top|&gt;Strong's&lt;/a&gt;</v>
      </c>
      <c r="AA45" t="str">
        <f t="shared" si="176"/>
        <v>&lt;/li&gt;&lt;li&gt;&lt;a href=|http://childrensbibleonline.com/genesis/45.htm| title=|The Children's Bible| target=|_top|&gt;Children's&lt;/a&gt;</v>
      </c>
      <c r="AB45" s="2" t="str">
        <f t="shared" si="176"/>
        <v>&lt;/li&gt;&lt;li&gt;&lt;a href=|http://tsk.scripturetext.com/genesis/45.htm| title=|Treasury of Scripture Knowledge| target=|_top|&gt;TSK&lt;/a&gt;</v>
      </c>
      <c r="AC45" t="str">
        <f>CONCATENATE("&lt;a href=|http://",AC1191,"/genesis/45.htm","| ","title=|",AC1190,"| target=|_top|&gt;",AC1192,"&lt;/a&gt;")</f>
        <v>&lt;a href=|http://parallelbible.com/genesis/45.htm| title=|Parallel Chapters| target=|_top|&gt;PAR&lt;/a&gt;</v>
      </c>
      <c r="AD45" s="2" t="str">
        <f t="shared" ref="AD45:AK45" si="178">CONCATENATE("&lt;/li&gt;&lt;li&gt;&lt;a href=|http://",AD1191,"/genesis/45.htm","| ","title=|",AD1190,"| target=|_top|&gt;",AD1192,"&lt;/a&gt;")</f>
        <v>&lt;/li&gt;&lt;li&gt;&lt;a href=|http://gsb.biblecommenter.com/genesis/45.htm| title=|Geneva Study Bible| target=|_top|&gt;GSB&lt;/a&gt;</v>
      </c>
      <c r="AE45" s="2" t="str">
        <f t="shared" si="178"/>
        <v>&lt;/li&gt;&lt;li&gt;&lt;a href=|http://jfb.biblecommenter.com/genesis/45.htm| title=|Jamieson-Fausset-Brown Bible Commentary| target=|_top|&gt;JFB&lt;/a&gt;</v>
      </c>
      <c r="AF45" s="2" t="str">
        <f t="shared" si="178"/>
        <v>&lt;/li&gt;&lt;li&gt;&lt;a href=|http://kjt.biblecommenter.com/genesis/45.htm| title=|King James Translators' Notes| target=|_top|&gt;KJT&lt;/a&gt;</v>
      </c>
      <c r="AG45" s="2" t="str">
        <f t="shared" si="178"/>
        <v>&lt;/li&gt;&lt;li&gt;&lt;a href=|http://mhc.biblecommenter.com/genesis/45.htm| title=|Matthew Henry's Concise Commentary| target=|_top|&gt;MHC&lt;/a&gt;</v>
      </c>
      <c r="AH45" s="2" t="str">
        <f t="shared" si="178"/>
        <v>&lt;/li&gt;&lt;li&gt;&lt;a href=|http://sco.biblecommenter.com/genesis/45.htm| title=|Scofield Reference Notes| target=|_top|&gt;SCO&lt;/a&gt;</v>
      </c>
      <c r="AI45" s="2" t="str">
        <f t="shared" si="178"/>
        <v>&lt;/li&gt;&lt;li&gt;&lt;a href=|http://wes.biblecommenter.com/genesis/45.htm| title=|Wesley's Notes on the Bible| target=|_top|&gt;WES&lt;/a&gt;</v>
      </c>
      <c r="AJ45" t="str">
        <f t="shared" si="178"/>
        <v>&lt;/li&gt;&lt;li&gt;&lt;a href=|http://worldebible.com/genesis/45.htm| title=|World English Bible| target=|_top|&gt;WEB&lt;/a&gt;</v>
      </c>
      <c r="AK45" t="str">
        <f t="shared" si="178"/>
        <v>&lt;/li&gt;&lt;li&gt;&lt;a href=|http://yltbible.com/genesis/45.htm| title=|Young's Literal Translation| target=|_top|&gt;YLT&lt;/a&gt;</v>
      </c>
      <c r="AL45" t="str">
        <f>CONCATENATE("&lt;a href=|http://",AL1191,"/genesis/45.htm","| ","title=|",AL1190,"| target=|_top|&gt;",AL1192,"&lt;/a&gt;")</f>
        <v>&lt;a href=|http://kjv.us/genesis/45.htm| title=|American King James Version| target=|_top|&gt;AKJ&lt;/a&gt;</v>
      </c>
      <c r="AM45" t="str">
        <f t="shared" ref="AM45:AN45" si="179">CONCATENATE("&lt;/li&gt;&lt;li&gt;&lt;a href=|http://",AM1191,"/genesis/45.htm","| ","title=|",AM1190,"| target=|_top|&gt;",AM1192,"&lt;/a&gt;")</f>
        <v>&lt;/li&gt;&lt;li&gt;&lt;a href=|http://basicenglishbible.com/genesis/45.htm| title=|Bible in Basic English| target=|_top|&gt;BBE&lt;/a&gt;</v>
      </c>
      <c r="AN45" t="str">
        <f t="shared" si="179"/>
        <v>&lt;/li&gt;&lt;li&gt;&lt;a href=|http://darbybible.com/genesis/45.htm| title=|Darby Bible Translation| target=|_top|&gt;DBY&lt;/a&gt;</v>
      </c>
      <c r="AO4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5" t="str">
        <f>CONCATENATE("&lt;/li&gt;&lt;li&gt;&lt;a href=|http://",AR1191,"/genesis/45.htm","| ","title=|",AR1190,"| target=|_top|&gt;",AR1192,"&lt;/a&gt;")</f>
        <v>&lt;/li&gt;&lt;li&gt;&lt;a href=|http://websterbible.com/genesis/45.htm| title=|Webster's Bible Translation| target=|_top|&gt;WBS&lt;/a&gt;</v>
      </c>
      <c r="AS4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5" t="str">
        <f>CONCATENATE("&lt;/li&gt;&lt;li&gt;&lt;a href=|http://",AT1191,"/genesis/45-1.htm","| ","title=|",AT1190,"| target=|_top|&gt;",AT1192,"&lt;/a&gt;")</f>
        <v>&lt;/li&gt;&lt;li&gt;&lt;a href=|http://biblebrowser.com/genesis/45-1.htm| title=|Split View| target=|_top|&gt;Split&lt;/a&gt;</v>
      </c>
      <c r="AU45" s="2" t="s">
        <v>1276</v>
      </c>
      <c r="AV45" t="s">
        <v>64</v>
      </c>
    </row>
    <row r="46" spans="1:48">
      <c r="A46" t="s">
        <v>622</v>
      </c>
      <c r="B46" t="s">
        <v>99</v>
      </c>
      <c r="C46" t="s">
        <v>624</v>
      </c>
      <c r="D46" t="s">
        <v>1268</v>
      </c>
      <c r="E46" t="s">
        <v>1277</v>
      </c>
      <c r="F46" t="s">
        <v>1304</v>
      </c>
      <c r="G46" t="s">
        <v>1266</v>
      </c>
      <c r="H46" t="s">
        <v>1305</v>
      </c>
      <c r="I46" t="s">
        <v>1303</v>
      </c>
      <c r="J46" t="s">
        <v>1267</v>
      </c>
      <c r="K46" t="s">
        <v>1275</v>
      </c>
      <c r="L46" s="2" t="s">
        <v>1274</v>
      </c>
      <c r="M46" t="str">
        <f t="shared" ref="M46:AB46" si="180">CONCATENATE("&lt;/li&gt;&lt;li&gt;&lt;a href=|http://",M1191,"/genesis/46.htm","| ","title=|",M1190,"| target=|_top|&gt;",M1192,"&lt;/a&gt;")</f>
        <v>&lt;/li&gt;&lt;li&gt;&lt;a href=|http://niv.scripturetext.com/genesis/46.htm| title=|New International Version| target=|_top|&gt;NIV&lt;/a&gt;</v>
      </c>
      <c r="N46" t="str">
        <f t="shared" si="180"/>
        <v>&lt;/li&gt;&lt;li&gt;&lt;a href=|http://nlt.scripturetext.com/genesis/46.htm| title=|New Living Translation| target=|_top|&gt;NLT&lt;/a&gt;</v>
      </c>
      <c r="O46" t="str">
        <f t="shared" si="180"/>
        <v>&lt;/li&gt;&lt;li&gt;&lt;a href=|http://nasb.scripturetext.com/genesis/46.htm| title=|New American Standard Bible| target=|_top|&gt;NAS&lt;/a&gt;</v>
      </c>
      <c r="P46" t="str">
        <f t="shared" si="180"/>
        <v>&lt;/li&gt;&lt;li&gt;&lt;a href=|http://gwt.scripturetext.com/genesis/46.htm| title=|God's Word Translation| target=|_top|&gt;GWT&lt;/a&gt;</v>
      </c>
      <c r="Q46" t="str">
        <f t="shared" si="180"/>
        <v>&lt;/li&gt;&lt;li&gt;&lt;a href=|http://kingjbible.com/genesis/46.htm| title=|King James Bible| target=|_top|&gt;KJV&lt;/a&gt;</v>
      </c>
      <c r="R46" t="str">
        <f t="shared" si="180"/>
        <v>&lt;/li&gt;&lt;li&gt;&lt;a href=|http://asvbible.com/genesis/46.htm| title=|American Standard Version| target=|_top|&gt;ASV&lt;/a&gt;</v>
      </c>
      <c r="S46" t="str">
        <f t="shared" si="180"/>
        <v>&lt;/li&gt;&lt;li&gt;&lt;a href=|http://drb.scripturetext.com/genesis/46.htm| title=|Douay-Rheims Bible| target=|_top|&gt;DRB&lt;/a&gt;</v>
      </c>
      <c r="T46" t="str">
        <f t="shared" si="180"/>
        <v>&lt;/li&gt;&lt;li&gt;&lt;a href=|http://erv.scripturetext.com/genesis/46.htm| title=|English Revised Version| target=|_top|&gt;ERV&lt;/a&gt;</v>
      </c>
      <c r="V46" t="str">
        <f>CONCATENATE("&lt;/li&gt;&lt;li&gt;&lt;a href=|http://",V1191,"/genesis/46.htm","| ","title=|",V1190,"| target=|_top|&gt;",V1192,"&lt;/a&gt;")</f>
        <v>&lt;/li&gt;&lt;li&gt;&lt;a href=|http://study.interlinearbible.org/genesis/46.htm| title=|Hebrew Study Bible| target=|_top|&gt;Heb Study&lt;/a&gt;</v>
      </c>
      <c r="W46" t="str">
        <f t="shared" si="180"/>
        <v>&lt;/li&gt;&lt;li&gt;&lt;a href=|http://apostolic.interlinearbible.org/genesis/46.htm| title=|Apostolic Bible Polyglot Interlinear| target=|_top|&gt;Polyglot&lt;/a&gt;</v>
      </c>
      <c r="X46" t="str">
        <f t="shared" si="180"/>
        <v>&lt;/li&gt;&lt;li&gt;&lt;a href=|http://interlinearbible.org/genesis/46.htm| title=|Interlinear Bible| target=|_top|&gt;Interlin&lt;/a&gt;</v>
      </c>
      <c r="Y46" t="str">
        <f t="shared" ref="Y46" si="181">CONCATENATE("&lt;/li&gt;&lt;li&gt;&lt;a href=|http://",Y1191,"/genesis/46.htm","| ","title=|",Y1190,"| target=|_top|&gt;",Y1192,"&lt;/a&gt;")</f>
        <v>&lt;/li&gt;&lt;li&gt;&lt;a href=|http://bibleoutline.org/genesis/46.htm| title=|Outline with People and Places List| target=|_top|&gt;Outline&lt;/a&gt;</v>
      </c>
      <c r="Z46" t="str">
        <f t="shared" si="180"/>
        <v>&lt;/li&gt;&lt;li&gt;&lt;a href=|http://kjvs.scripturetext.com/genesis/46.htm| title=|King James Bible with Strong's Numbers| target=|_top|&gt;Strong's&lt;/a&gt;</v>
      </c>
      <c r="AA46" t="str">
        <f t="shared" si="180"/>
        <v>&lt;/li&gt;&lt;li&gt;&lt;a href=|http://childrensbibleonline.com/genesis/46.htm| title=|The Children's Bible| target=|_top|&gt;Children's&lt;/a&gt;</v>
      </c>
      <c r="AB46" s="2" t="str">
        <f t="shared" si="180"/>
        <v>&lt;/li&gt;&lt;li&gt;&lt;a href=|http://tsk.scripturetext.com/genesis/46.htm| title=|Treasury of Scripture Knowledge| target=|_top|&gt;TSK&lt;/a&gt;</v>
      </c>
      <c r="AC46" t="str">
        <f>CONCATENATE("&lt;a href=|http://",AC1191,"/genesis/46.htm","| ","title=|",AC1190,"| target=|_top|&gt;",AC1192,"&lt;/a&gt;")</f>
        <v>&lt;a href=|http://parallelbible.com/genesis/46.htm| title=|Parallel Chapters| target=|_top|&gt;PAR&lt;/a&gt;</v>
      </c>
      <c r="AD46" s="2" t="str">
        <f t="shared" ref="AD46:AK46" si="182">CONCATENATE("&lt;/li&gt;&lt;li&gt;&lt;a href=|http://",AD1191,"/genesis/46.htm","| ","title=|",AD1190,"| target=|_top|&gt;",AD1192,"&lt;/a&gt;")</f>
        <v>&lt;/li&gt;&lt;li&gt;&lt;a href=|http://gsb.biblecommenter.com/genesis/46.htm| title=|Geneva Study Bible| target=|_top|&gt;GSB&lt;/a&gt;</v>
      </c>
      <c r="AE46" s="2" t="str">
        <f t="shared" si="182"/>
        <v>&lt;/li&gt;&lt;li&gt;&lt;a href=|http://jfb.biblecommenter.com/genesis/46.htm| title=|Jamieson-Fausset-Brown Bible Commentary| target=|_top|&gt;JFB&lt;/a&gt;</v>
      </c>
      <c r="AF46" s="2" t="str">
        <f t="shared" si="182"/>
        <v>&lt;/li&gt;&lt;li&gt;&lt;a href=|http://kjt.biblecommenter.com/genesis/46.htm| title=|King James Translators' Notes| target=|_top|&gt;KJT&lt;/a&gt;</v>
      </c>
      <c r="AG46" s="2" t="str">
        <f t="shared" si="182"/>
        <v>&lt;/li&gt;&lt;li&gt;&lt;a href=|http://mhc.biblecommenter.com/genesis/46.htm| title=|Matthew Henry's Concise Commentary| target=|_top|&gt;MHC&lt;/a&gt;</v>
      </c>
      <c r="AH46" s="2" t="str">
        <f t="shared" si="182"/>
        <v>&lt;/li&gt;&lt;li&gt;&lt;a href=|http://sco.biblecommenter.com/genesis/46.htm| title=|Scofield Reference Notes| target=|_top|&gt;SCO&lt;/a&gt;</v>
      </c>
      <c r="AI46" s="2" t="str">
        <f t="shared" si="182"/>
        <v>&lt;/li&gt;&lt;li&gt;&lt;a href=|http://wes.biblecommenter.com/genesis/46.htm| title=|Wesley's Notes on the Bible| target=|_top|&gt;WES&lt;/a&gt;</v>
      </c>
      <c r="AJ46" t="str">
        <f t="shared" si="182"/>
        <v>&lt;/li&gt;&lt;li&gt;&lt;a href=|http://worldebible.com/genesis/46.htm| title=|World English Bible| target=|_top|&gt;WEB&lt;/a&gt;</v>
      </c>
      <c r="AK46" t="str">
        <f t="shared" si="182"/>
        <v>&lt;/li&gt;&lt;li&gt;&lt;a href=|http://yltbible.com/genesis/46.htm| title=|Young's Literal Translation| target=|_top|&gt;YLT&lt;/a&gt;</v>
      </c>
      <c r="AL46" t="str">
        <f>CONCATENATE("&lt;a href=|http://",AL1191,"/genesis/46.htm","| ","title=|",AL1190,"| target=|_top|&gt;",AL1192,"&lt;/a&gt;")</f>
        <v>&lt;a href=|http://kjv.us/genesis/46.htm| title=|American King James Version| target=|_top|&gt;AKJ&lt;/a&gt;</v>
      </c>
      <c r="AM46" t="str">
        <f t="shared" ref="AM46:AN46" si="183">CONCATENATE("&lt;/li&gt;&lt;li&gt;&lt;a href=|http://",AM1191,"/genesis/46.htm","| ","title=|",AM1190,"| target=|_top|&gt;",AM1192,"&lt;/a&gt;")</f>
        <v>&lt;/li&gt;&lt;li&gt;&lt;a href=|http://basicenglishbible.com/genesis/46.htm| title=|Bible in Basic English| target=|_top|&gt;BBE&lt;/a&gt;</v>
      </c>
      <c r="AN46" t="str">
        <f t="shared" si="183"/>
        <v>&lt;/li&gt;&lt;li&gt;&lt;a href=|http://darbybible.com/genesis/46.htm| title=|Darby Bible Translation| target=|_top|&gt;DBY&lt;/a&gt;</v>
      </c>
      <c r="AO4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6" t="str">
        <f>CONCATENATE("&lt;/li&gt;&lt;li&gt;&lt;a href=|http://",AR1191,"/genesis/46.htm","| ","title=|",AR1190,"| target=|_top|&gt;",AR1192,"&lt;/a&gt;")</f>
        <v>&lt;/li&gt;&lt;li&gt;&lt;a href=|http://websterbible.com/genesis/46.htm| title=|Webster's Bible Translation| target=|_top|&gt;WBS&lt;/a&gt;</v>
      </c>
      <c r="AS4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6" t="str">
        <f>CONCATENATE("&lt;/li&gt;&lt;li&gt;&lt;a href=|http://",AT1191,"/genesis/46-1.htm","| ","title=|",AT1190,"| target=|_top|&gt;",AT1192,"&lt;/a&gt;")</f>
        <v>&lt;/li&gt;&lt;li&gt;&lt;a href=|http://biblebrowser.com/genesis/46-1.htm| title=|Split View| target=|_top|&gt;Split&lt;/a&gt;</v>
      </c>
      <c r="AU46" s="2" t="s">
        <v>1276</v>
      </c>
      <c r="AV46" t="s">
        <v>64</v>
      </c>
    </row>
    <row r="47" spans="1:48">
      <c r="A47" t="s">
        <v>622</v>
      </c>
      <c r="B47" t="s">
        <v>100</v>
      </c>
      <c r="C47" t="s">
        <v>624</v>
      </c>
      <c r="D47" t="s">
        <v>1268</v>
      </c>
      <c r="E47" t="s">
        <v>1277</v>
      </c>
      <c r="F47" t="s">
        <v>1304</v>
      </c>
      <c r="G47" t="s">
        <v>1266</v>
      </c>
      <c r="H47" t="s">
        <v>1305</v>
      </c>
      <c r="I47" t="s">
        <v>1303</v>
      </c>
      <c r="J47" t="s">
        <v>1267</v>
      </c>
      <c r="K47" t="s">
        <v>1275</v>
      </c>
      <c r="L47" s="2" t="s">
        <v>1274</v>
      </c>
      <c r="M47" t="str">
        <f t="shared" ref="M47:AB47" si="184">CONCATENATE("&lt;/li&gt;&lt;li&gt;&lt;a href=|http://",M1191,"/genesis/47.htm","| ","title=|",M1190,"| target=|_top|&gt;",M1192,"&lt;/a&gt;")</f>
        <v>&lt;/li&gt;&lt;li&gt;&lt;a href=|http://niv.scripturetext.com/genesis/47.htm| title=|New International Version| target=|_top|&gt;NIV&lt;/a&gt;</v>
      </c>
      <c r="N47" t="str">
        <f t="shared" si="184"/>
        <v>&lt;/li&gt;&lt;li&gt;&lt;a href=|http://nlt.scripturetext.com/genesis/47.htm| title=|New Living Translation| target=|_top|&gt;NLT&lt;/a&gt;</v>
      </c>
      <c r="O47" t="str">
        <f t="shared" si="184"/>
        <v>&lt;/li&gt;&lt;li&gt;&lt;a href=|http://nasb.scripturetext.com/genesis/47.htm| title=|New American Standard Bible| target=|_top|&gt;NAS&lt;/a&gt;</v>
      </c>
      <c r="P47" t="str">
        <f t="shared" si="184"/>
        <v>&lt;/li&gt;&lt;li&gt;&lt;a href=|http://gwt.scripturetext.com/genesis/47.htm| title=|God's Word Translation| target=|_top|&gt;GWT&lt;/a&gt;</v>
      </c>
      <c r="Q47" t="str">
        <f t="shared" si="184"/>
        <v>&lt;/li&gt;&lt;li&gt;&lt;a href=|http://kingjbible.com/genesis/47.htm| title=|King James Bible| target=|_top|&gt;KJV&lt;/a&gt;</v>
      </c>
      <c r="R47" t="str">
        <f t="shared" si="184"/>
        <v>&lt;/li&gt;&lt;li&gt;&lt;a href=|http://asvbible.com/genesis/47.htm| title=|American Standard Version| target=|_top|&gt;ASV&lt;/a&gt;</v>
      </c>
      <c r="S47" t="str">
        <f t="shared" si="184"/>
        <v>&lt;/li&gt;&lt;li&gt;&lt;a href=|http://drb.scripturetext.com/genesis/47.htm| title=|Douay-Rheims Bible| target=|_top|&gt;DRB&lt;/a&gt;</v>
      </c>
      <c r="T47" t="str">
        <f t="shared" si="184"/>
        <v>&lt;/li&gt;&lt;li&gt;&lt;a href=|http://erv.scripturetext.com/genesis/47.htm| title=|English Revised Version| target=|_top|&gt;ERV&lt;/a&gt;</v>
      </c>
      <c r="V47" t="str">
        <f>CONCATENATE("&lt;/li&gt;&lt;li&gt;&lt;a href=|http://",V1191,"/genesis/47.htm","| ","title=|",V1190,"| target=|_top|&gt;",V1192,"&lt;/a&gt;")</f>
        <v>&lt;/li&gt;&lt;li&gt;&lt;a href=|http://study.interlinearbible.org/genesis/47.htm| title=|Hebrew Study Bible| target=|_top|&gt;Heb Study&lt;/a&gt;</v>
      </c>
      <c r="W47" t="str">
        <f t="shared" si="184"/>
        <v>&lt;/li&gt;&lt;li&gt;&lt;a href=|http://apostolic.interlinearbible.org/genesis/47.htm| title=|Apostolic Bible Polyglot Interlinear| target=|_top|&gt;Polyglot&lt;/a&gt;</v>
      </c>
      <c r="X47" t="str">
        <f t="shared" si="184"/>
        <v>&lt;/li&gt;&lt;li&gt;&lt;a href=|http://interlinearbible.org/genesis/47.htm| title=|Interlinear Bible| target=|_top|&gt;Interlin&lt;/a&gt;</v>
      </c>
      <c r="Y47" t="str">
        <f t="shared" ref="Y47" si="185">CONCATENATE("&lt;/li&gt;&lt;li&gt;&lt;a href=|http://",Y1191,"/genesis/47.htm","| ","title=|",Y1190,"| target=|_top|&gt;",Y1192,"&lt;/a&gt;")</f>
        <v>&lt;/li&gt;&lt;li&gt;&lt;a href=|http://bibleoutline.org/genesis/47.htm| title=|Outline with People and Places List| target=|_top|&gt;Outline&lt;/a&gt;</v>
      </c>
      <c r="Z47" t="str">
        <f t="shared" si="184"/>
        <v>&lt;/li&gt;&lt;li&gt;&lt;a href=|http://kjvs.scripturetext.com/genesis/47.htm| title=|King James Bible with Strong's Numbers| target=|_top|&gt;Strong's&lt;/a&gt;</v>
      </c>
      <c r="AA47" t="str">
        <f t="shared" si="184"/>
        <v>&lt;/li&gt;&lt;li&gt;&lt;a href=|http://childrensbibleonline.com/genesis/47.htm| title=|The Children's Bible| target=|_top|&gt;Children's&lt;/a&gt;</v>
      </c>
      <c r="AB47" s="2" t="str">
        <f t="shared" si="184"/>
        <v>&lt;/li&gt;&lt;li&gt;&lt;a href=|http://tsk.scripturetext.com/genesis/47.htm| title=|Treasury of Scripture Knowledge| target=|_top|&gt;TSK&lt;/a&gt;</v>
      </c>
      <c r="AC47" t="str">
        <f>CONCATENATE("&lt;a href=|http://",AC1191,"/genesis/47.htm","| ","title=|",AC1190,"| target=|_top|&gt;",AC1192,"&lt;/a&gt;")</f>
        <v>&lt;a href=|http://parallelbible.com/genesis/47.htm| title=|Parallel Chapters| target=|_top|&gt;PAR&lt;/a&gt;</v>
      </c>
      <c r="AD47" s="2" t="str">
        <f t="shared" ref="AD47:AK47" si="186">CONCATENATE("&lt;/li&gt;&lt;li&gt;&lt;a href=|http://",AD1191,"/genesis/47.htm","| ","title=|",AD1190,"| target=|_top|&gt;",AD1192,"&lt;/a&gt;")</f>
        <v>&lt;/li&gt;&lt;li&gt;&lt;a href=|http://gsb.biblecommenter.com/genesis/47.htm| title=|Geneva Study Bible| target=|_top|&gt;GSB&lt;/a&gt;</v>
      </c>
      <c r="AE47" s="2" t="str">
        <f t="shared" si="186"/>
        <v>&lt;/li&gt;&lt;li&gt;&lt;a href=|http://jfb.biblecommenter.com/genesis/47.htm| title=|Jamieson-Fausset-Brown Bible Commentary| target=|_top|&gt;JFB&lt;/a&gt;</v>
      </c>
      <c r="AF47" s="2" t="str">
        <f t="shared" si="186"/>
        <v>&lt;/li&gt;&lt;li&gt;&lt;a href=|http://kjt.biblecommenter.com/genesis/47.htm| title=|King James Translators' Notes| target=|_top|&gt;KJT&lt;/a&gt;</v>
      </c>
      <c r="AG47" s="2" t="str">
        <f t="shared" si="186"/>
        <v>&lt;/li&gt;&lt;li&gt;&lt;a href=|http://mhc.biblecommenter.com/genesis/47.htm| title=|Matthew Henry's Concise Commentary| target=|_top|&gt;MHC&lt;/a&gt;</v>
      </c>
      <c r="AH47" s="2" t="str">
        <f t="shared" si="186"/>
        <v>&lt;/li&gt;&lt;li&gt;&lt;a href=|http://sco.biblecommenter.com/genesis/47.htm| title=|Scofield Reference Notes| target=|_top|&gt;SCO&lt;/a&gt;</v>
      </c>
      <c r="AI47" s="2" t="str">
        <f t="shared" si="186"/>
        <v>&lt;/li&gt;&lt;li&gt;&lt;a href=|http://wes.biblecommenter.com/genesis/47.htm| title=|Wesley's Notes on the Bible| target=|_top|&gt;WES&lt;/a&gt;</v>
      </c>
      <c r="AJ47" t="str">
        <f t="shared" si="186"/>
        <v>&lt;/li&gt;&lt;li&gt;&lt;a href=|http://worldebible.com/genesis/47.htm| title=|World English Bible| target=|_top|&gt;WEB&lt;/a&gt;</v>
      </c>
      <c r="AK47" t="str">
        <f t="shared" si="186"/>
        <v>&lt;/li&gt;&lt;li&gt;&lt;a href=|http://yltbible.com/genesis/47.htm| title=|Young's Literal Translation| target=|_top|&gt;YLT&lt;/a&gt;</v>
      </c>
      <c r="AL47" t="str">
        <f>CONCATENATE("&lt;a href=|http://",AL1191,"/genesis/47.htm","| ","title=|",AL1190,"| target=|_top|&gt;",AL1192,"&lt;/a&gt;")</f>
        <v>&lt;a href=|http://kjv.us/genesis/47.htm| title=|American King James Version| target=|_top|&gt;AKJ&lt;/a&gt;</v>
      </c>
      <c r="AM47" t="str">
        <f t="shared" ref="AM47:AN47" si="187">CONCATENATE("&lt;/li&gt;&lt;li&gt;&lt;a href=|http://",AM1191,"/genesis/47.htm","| ","title=|",AM1190,"| target=|_top|&gt;",AM1192,"&lt;/a&gt;")</f>
        <v>&lt;/li&gt;&lt;li&gt;&lt;a href=|http://basicenglishbible.com/genesis/47.htm| title=|Bible in Basic English| target=|_top|&gt;BBE&lt;/a&gt;</v>
      </c>
      <c r="AN47" t="str">
        <f t="shared" si="187"/>
        <v>&lt;/li&gt;&lt;li&gt;&lt;a href=|http://darbybible.com/genesis/47.htm| title=|Darby Bible Translation| target=|_top|&gt;DBY&lt;/a&gt;</v>
      </c>
      <c r="AO4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7" t="str">
        <f>CONCATENATE("&lt;/li&gt;&lt;li&gt;&lt;a href=|http://",AR1191,"/genesis/47.htm","| ","title=|",AR1190,"| target=|_top|&gt;",AR1192,"&lt;/a&gt;")</f>
        <v>&lt;/li&gt;&lt;li&gt;&lt;a href=|http://websterbible.com/genesis/47.htm| title=|Webster's Bible Translation| target=|_top|&gt;WBS&lt;/a&gt;</v>
      </c>
      <c r="AS4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7" t="str">
        <f>CONCATENATE("&lt;/li&gt;&lt;li&gt;&lt;a href=|http://",AT1191,"/genesis/47-1.htm","| ","title=|",AT1190,"| target=|_top|&gt;",AT1192,"&lt;/a&gt;")</f>
        <v>&lt;/li&gt;&lt;li&gt;&lt;a href=|http://biblebrowser.com/genesis/47-1.htm| title=|Split View| target=|_top|&gt;Split&lt;/a&gt;</v>
      </c>
      <c r="AU47" s="2" t="s">
        <v>1276</v>
      </c>
      <c r="AV47" t="s">
        <v>64</v>
      </c>
    </row>
    <row r="48" spans="1:48">
      <c r="A48" t="s">
        <v>622</v>
      </c>
      <c r="B48" t="s">
        <v>101</v>
      </c>
      <c r="C48" t="s">
        <v>624</v>
      </c>
      <c r="D48" t="s">
        <v>1268</v>
      </c>
      <c r="E48" t="s">
        <v>1277</v>
      </c>
      <c r="F48" t="s">
        <v>1304</v>
      </c>
      <c r="G48" t="s">
        <v>1266</v>
      </c>
      <c r="H48" t="s">
        <v>1305</v>
      </c>
      <c r="I48" t="s">
        <v>1303</v>
      </c>
      <c r="J48" t="s">
        <v>1267</v>
      </c>
      <c r="K48" t="s">
        <v>1275</v>
      </c>
      <c r="L48" s="2" t="s">
        <v>1274</v>
      </c>
      <c r="M48" t="str">
        <f t="shared" ref="M48:AB48" si="188">CONCATENATE("&lt;/li&gt;&lt;li&gt;&lt;a href=|http://",M1191,"/genesis/48.htm","| ","title=|",M1190,"| target=|_top|&gt;",M1192,"&lt;/a&gt;")</f>
        <v>&lt;/li&gt;&lt;li&gt;&lt;a href=|http://niv.scripturetext.com/genesis/48.htm| title=|New International Version| target=|_top|&gt;NIV&lt;/a&gt;</v>
      </c>
      <c r="N48" t="str">
        <f t="shared" si="188"/>
        <v>&lt;/li&gt;&lt;li&gt;&lt;a href=|http://nlt.scripturetext.com/genesis/48.htm| title=|New Living Translation| target=|_top|&gt;NLT&lt;/a&gt;</v>
      </c>
      <c r="O48" t="str">
        <f t="shared" si="188"/>
        <v>&lt;/li&gt;&lt;li&gt;&lt;a href=|http://nasb.scripturetext.com/genesis/48.htm| title=|New American Standard Bible| target=|_top|&gt;NAS&lt;/a&gt;</v>
      </c>
      <c r="P48" t="str">
        <f t="shared" si="188"/>
        <v>&lt;/li&gt;&lt;li&gt;&lt;a href=|http://gwt.scripturetext.com/genesis/48.htm| title=|God's Word Translation| target=|_top|&gt;GWT&lt;/a&gt;</v>
      </c>
      <c r="Q48" t="str">
        <f t="shared" si="188"/>
        <v>&lt;/li&gt;&lt;li&gt;&lt;a href=|http://kingjbible.com/genesis/48.htm| title=|King James Bible| target=|_top|&gt;KJV&lt;/a&gt;</v>
      </c>
      <c r="R48" t="str">
        <f t="shared" si="188"/>
        <v>&lt;/li&gt;&lt;li&gt;&lt;a href=|http://asvbible.com/genesis/48.htm| title=|American Standard Version| target=|_top|&gt;ASV&lt;/a&gt;</v>
      </c>
      <c r="S48" t="str">
        <f t="shared" si="188"/>
        <v>&lt;/li&gt;&lt;li&gt;&lt;a href=|http://drb.scripturetext.com/genesis/48.htm| title=|Douay-Rheims Bible| target=|_top|&gt;DRB&lt;/a&gt;</v>
      </c>
      <c r="T48" t="str">
        <f t="shared" si="188"/>
        <v>&lt;/li&gt;&lt;li&gt;&lt;a href=|http://erv.scripturetext.com/genesis/48.htm| title=|English Revised Version| target=|_top|&gt;ERV&lt;/a&gt;</v>
      </c>
      <c r="V48" t="str">
        <f>CONCATENATE("&lt;/li&gt;&lt;li&gt;&lt;a href=|http://",V1191,"/genesis/48.htm","| ","title=|",V1190,"| target=|_top|&gt;",V1192,"&lt;/a&gt;")</f>
        <v>&lt;/li&gt;&lt;li&gt;&lt;a href=|http://study.interlinearbible.org/genesis/48.htm| title=|Hebrew Study Bible| target=|_top|&gt;Heb Study&lt;/a&gt;</v>
      </c>
      <c r="W48" t="str">
        <f t="shared" si="188"/>
        <v>&lt;/li&gt;&lt;li&gt;&lt;a href=|http://apostolic.interlinearbible.org/genesis/48.htm| title=|Apostolic Bible Polyglot Interlinear| target=|_top|&gt;Polyglot&lt;/a&gt;</v>
      </c>
      <c r="X48" t="str">
        <f t="shared" si="188"/>
        <v>&lt;/li&gt;&lt;li&gt;&lt;a href=|http://interlinearbible.org/genesis/48.htm| title=|Interlinear Bible| target=|_top|&gt;Interlin&lt;/a&gt;</v>
      </c>
      <c r="Y48" t="str">
        <f t="shared" ref="Y48" si="189">CONCATENATE("&lt;/li&gt;&lt;li&gt;&lt;a href=|http://",Y1191,"/genesis/48.htm","| ","title=|",Y1190,"| target=|_top|&gt;",Y1192,"&lt;/a&gt;")</f>
        <v>&lt;/li&gt;&lt;li&gt;&lt;a href=|http://bibleoutline.org/genesis/48.htm| title=|Outline with People and Places List| target=|_top|&gt;Outline&lt;/a&gt;</v>
      </c>
      <c r="Z48" t="str">
        <f t="shared" si="188"/>
        <v>&lt;/li&gt;&lt;li&gt;&lt;a href=|http://kjvs.scripturetext.com/genesis/48.htm| title=|King James Bible with Strong's Numbers| target=|_top|&gt;Strong's&lt;/a&gt;</v>
      </c>
      <c r="AA48" t="str">
        <f t="shared" si="188"/>
        <v>&lt;/li&gt;&lt;li&gt;&lt;a href=|http://childrensbibleonline.com/genesis/48.htm| title=|The Children's Bible| target=|_top|&gt;Children's&lt;/a&gt;</v>
      </c>
      <c r="AB48" s="2" t="str">
        <f t="shared" si="188"/>
        <v>&lt;/li&gt;&lt;li&gt;&lt;a href=|http://tsk.scripturetext.com/genesis/48.htm| title=|Treasury of Scripture Knowledge| target=|_top|&gt;TSK&lt;/a&gt;</v>
      </c>
      <c r="AC48" t="str">
        <f>CONCATENATE("&lt;a href=|http://",AC1191,"/genesis/48.htm","| ","title=|",AC1190,"| target=|_top|&gt;",AC1192,"&lt;/a&gt;")</f>
        <v>&lt;a href=|http://parallelbible.com/genesis/48.htm| title=|Parallel Chapters| target=|_top|&gt;PAR&lt;/a&gt;</v>
      </c>
      <c r="AD48" s="2" t="str">
        <f t="shared" ref="AD48:AK48" si="190">CONCATENATE("&lt;/li&gt;&lt;li&gt;&lt;a href=|http://",AD1191,"/genesis/48.htm","| ","title=|",AD1190,"| target=|_top|&gt;",AD1192,"&lt;/a&gt;")</f>
        <v>&lt;/li&gt;&lt;li&gt;&lt;a href=|http://gsb.biblecommenter.com/genesis/48.htm| title=|Geneva Study Bible| target=|_top|&gt;GSB&lt;/a&gt;</v>
      </c>
      <c r="AE48" s="2" t="str">
        <f t="shared" si="190"/>
        <v>&lt;/li&gt;&lt;li&gt;&lt;a href=|http://jfb.biblecommenter.com/genesis/48.htm| title=|Jamieson-Fausset-Brown Bible Commentary| target=|_top|&gt;JFB&lt;/a&gt;</v>
      </c>
      <c r="AF48" s="2" t="str">
        <f t="shared" si="190"/>
        <v>&lt;/li&gt;&lt;li&gt;&lt;a href=|http://kjt.biblecommenter.com/genesis/48.htm| title=|King James Translators' Notes| target=|_top|&gt;KJT&lt;/a&gt;</v>
      </c>
      <c r="AG48" s="2" t="str">
        <f t="shared" si="190"/>
        <v>&lt;/li&gt;&lt;li&gt;&lt;a href=|http://mhc.biblecommenter.com/genesis/48.htm| title=|Matthew Henry's Concise Commentary| target=|_top|&gt;MHC&lt;/a&gt;</v>
      </c>
      <c r="AH48" s="2" t="str">
        <f t="shared" si="190"/>
        <v>&lt;/li&gt;&lt;li&gt;&lt;a href=|http://sco.biblecommenter.com/genesis/48.htm| title=|Scofield Reference Notes| target=|_top|&gt;SCO&lt;/a&gt;</v>
      </c>
      <c r="AI48" s="2" t="str">
        <f t="shared" si="190"/>
        <v>&lt;/li&gt;&lt;li&gt;&lt;a href=|http://wes.biblecommenter.com/genesis/48.htm| title=|Wesley's Notes on the Bible| target=|_top|&gt;WES&lt;/a&gt;</v>
      </c>
      <c r="AJ48" t="str">
        <f t="shared" si="190"/>
        <v>&lt;/li&gt;&lt;li&gt;&lt;a href=|http://worldebible.com/genesis/48.htm| title=|World English Bible| target=|_top|&gt;WEB&lt;/a&gt;</v>
      </c>
      <c r="AK48" t="str">
        <f t="shared" si="190"/>
        <v>&lt;/li&gt;&lt;li&gt;&lt;a href=|http://yltbible.com/genesis/48.htm| title=|Young's Literal Translation| target=|_top|&gt;YLT&lt;/a&gt;</v>
      </c>
      <c r="AL48" t="str">
        <f>CONCATENATE("&lt;a href=|http://",AL1191,"/genesis/48.htm","| ","title=|",AL1190,"| target=|_top|&gt;",AL1192,"&lt;/a&gt;")</f>
        <v>&lt;a href=|http://kjv.us/genesis/48.htm| title=|American King James Version| target=|_top|&gt;AKJ&lt;/a&gt;</v>
      </c>
      <c r="AM48" t="str">
        <f t="shared" ref="AM48:AN48" si="191">CONCATENATE("&lt;/li&gt;&lt;li&gt;&lt;a href=|http://",AM1191,"/genesis/48.htm","| ","title=|",AM1190,"| target=|_top|&gt;",AM1192,"&lt;/a&gt;")</f>
        <v>&lt;/li&gt;&lt;li&gt;&lt;a href=|http://basicenglishbible.com/genesis/48.htm| title=|Bible in Basic English| target=|_top|&gt;BBE&lt;/a&gt;</v>
      </c>
      <c r="AN48" t="str">
        <f t="shared" si="191"/>
        <v>&lt;/li&gt;&lt;li&gt;&lt;a href=|http://darbybible.com/genesis/48.htm| title=|Darby Bible Translation| target=|_top|&gt;DBY&lt;/a&gt;</v>
      </c>
      <c r="AO4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8" t="str">
        <f>CONCATENATE("&lt;/li&gt;&lt;li&gt;&lt;a href=|http://",AR1191,"/genesis/48.htm","| ","title=|",AR1190,"| target=|_top|&gt;",AR1192,"&lt;/a&gt;")</f>
        <v>&lt;/li&gt;&lt;li&gt;&lt;a href=|http://websterbible.com/genesis/48.htm| title=|Webster's Bible Translation| target=|_top|&gt;WBS&lt;/a&gt;</v>
      </c>
      <c r="AS4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8" t="str">
        <f>CONCATENATE("&lt;/li&gt;&lt;li&gt;&lt;a href=|http://",AT1191,"/genesis/48-1.htm","| ","title=|",AT1190,"| target=|_top|&gt;",AT1192,"&lt;/a&gt;")</f>
        <v>&lt;/li&gt;&lt;li&gt;&lt;a href=|http://biblebrowser.com/genesis/48-1.htm| title=|Split View| target=|_top|&gt;Split&lt;/a&gt;</v>
      </c>
      <c r="AU48" s="2" t="s">
        <v>1276</v>
      </c>
      <c r="AV48" t="s">
        <v>64</v>
      </c>
    </row>
    <row r="49" spans="1:48">
      <c r="A49" t="s">
        <v>622</v>
      </c>
      <c r="B49" t="s">
        <v>102</v>
      </c>
      <c r="C49" t="s">
        <v>624</v>
      </c>
      <c r="D49" t="s">
        <v>1268</v>
      </c>
      <c r="E49" t="s">
        <v>1277</v>
      </c>
      <c r="F49" t="s">
        <v>1304</v>
      </c>
      <c r="G49" t="s">
        <v>1266</v>
      </c>
      <c r="H49" t="s">
        <v>1305</v>
      </c>
      <c r="I49" t="s">
        <v>1303</v>
      </c>
      <c r="J49" t="s">
        <v>1267</v>
      </c>
      <c r="K49" t="s">
        <v>1275</v>
      </c>
      <c r="L49" s="2" t="s">
        <v>1274</v>
      </c>
      <c r="M49" t="str">
        <f t="shared" ref="M49:AB49" si="192">CONCATENATE("&lt;/li&gt;&lt;li&gt;&lt;a href=|http://",M1191,"/genesis/49.htm","| ","title=|",M1190,"| target=|_top|&gt;",M1192,"&lt;/a&gt;")</f>
        <v>&lt;/li&gt;&lt;li&gt;&lt;a href=|http://niv.scripturetext.com/genesis/49.htm| title=|New International Version| target=|_top|&gt;NIV&lt;/a&gt;</v>
      </c>
      <c r="N49" t="str">
        <f t="shared" si="192"/>
        <v>&lt;/li&gt;&lt;li&gt;&lt;a href=|http://nlt.scripturetext.com/genesis/49.htm| title=|New Living Translation| target=|_top|&gt;NLT&lt;/a&gt;</v>
      </c>
      <c r="O49" t="str">
        <f t="shared" si="192"/>
        <v>&lt;/li&gt;&lt;li&gt;&lt;a href=|http://nasb.scripturetext.com/genesis/49.htm| title=|New American Standard Bible| target=|_top|&gt;NAS&lt;/a&gt;</v>
      </c>
      <c r="P49" t="str">
        <f t="shared" si="192"/>
        <v>&lt;/li&gt;&lt;li&gt;&lt;a href=|http://gwt.scripturetext.com/genesis/49.htm| title=|God's Word Translation| target=|_top|&gt;GWT&lt;/a&gt;</v>
      </c>
      <c r="Q49" t="str">
        <f t="shared" si="192"/>
        <v>&lt;/li&gt;&lt;li&gt;&lt;a href=|http://kingjbible.com/genesis/49.htm| title=|King James Bible| target=|_top|&gt;KJV&lt;/a&gt;</v>
      </c>
      <c r="R49" t="str">
        <f t="shared" si="192"/>
        <v>&lt;/li&gt;&lt;li&gt;&lt;a href=|http://asvbible.com/genesis/49.htm| title=|American Standard Version| target=|_top|&gt;ASV&lt;/a&gt;</v>
      </c>
      <c r="S49" t="str">
        <f t="shared" si="192"/>
        <v>&lt;/li&gt;&lt;li&gt;&lt;a href=|http://drb.scripturetext.com/genesis/49.htm| title=|Douay-Rheims Bible| target=|_top|&gt;DRB&lt;/a&gt;</v>
      </c>
      <c r="T49" t="str">
        <f t="shared" si="192"/>
        <v>&lt;/li&gt;&lt;li&gt;&lt;a href=|http://erv.scripturetext.com/genesis/49.htm| title=|English Revised Version| target=|_top|&gt;ERV&lt;/a&gt;</v>
      </c>
      <c r="V49" t="str">
        <f>CONCATENATE("&lt;/li&gt;&lt;li&gt;&lt;a href=|http://",V1191,"/genesis/49.htm","| ","title=|",V1190,"| target=|_top|&gt;",V1192,"&lt;/a&gt;")</f>
        <v>&lt;/li&gt;&lt;li&gt;&lt;a href=|http://study.interlinearbible.org/genesis/49.htm| title=|Hebrew Study Bible| target=|_top|&gt;Heb Study&lt;/a&gt;</v>
      </c>
      <c r="W49" t="str">
        <f t="shared" si="192"/>
        <v>&lt;/li&gt;&lt;li&gt;&lt;a href=|http://apostolic.interlinearbible.org/genesis/49.htm| title=|Apostolic Bible Polyglot Interlinear| target=|_top|&gt;Polyglot&lt;/a&gt;</v>
      </c>
      <c r="X49" t="str">
        <f t="shared" si="192"/>
        <v>&lt;/li&gt;&lt;li&gt;&lt;a href=|http://interlinearbible.org/genesis/49.htm| title=|Interlinear Bible| target=|_top|&gt;Interlin&lt;/a&gt;</v>
      </c>
      <c r="Y49" t="str">
        <f t="shared" ref="Y49" si="193">CONCATENATE("&lt;/li&gt;&lt;li&gt;&lt;a href=|http://",Y1191,"/genesis/49.htm","| ","title=|",Y1190,"| target=|_top|&gt;",Y1192,"&lt;/a&gt;")</f>
        <v>&lt;/li&gt;&lt;li&gt;&lt;a href=|http://bibleoutline.org/genesis/49.htm| title=|Outline with People and Places List| target=|_top|&gt;Outline&lt;/a&gt;</v>
      </c>
      <c r="Z49" t="str">
        <f t="shared" si="192"/>
        <v>&lt;/li&gt;&lt;li&gt;&lt;a href=|http://kjvs.scripturetext.com/genesis/49.htm| title=|King James Bible with Strong's Numbers| target=|_top|&gt;Strong's&lt;/a&gt;</v>
      </c>
      <c r="AA49" t="str">
        <f t="shared" si="192"/>
        <v>&lt;/li&gt;&lt;li&gt;&lt;a href=|http://childrensbibleonline.com/genesis/49.htm| title=|The Children's Bible| target=|_top|&gt;Children's&lt;/a&gt;</v>
      </c>
      <c r="AB49" s="2" t="str">
        <f t="shared" si="192"/>
        <v>&lt;/li&gt;&lt;li&gt;&lt;a href=|http://tsk.scripturetext.com/genesis/49.htm| title=|Treasury of Scripture Knowledge| target=|_top|&gt;TSK&lt;/a&gt;</v>
      </c>
      <c r="AC49" t="str">
        <f>CONCATENATE("&lt;a href=|http://",AC1191,"/genesis/49.htm","| ","title=|",AC1190,"| target=|_top|&gt;",AC1192,"&lt;/a&gt;")</f>
        <v>&lt;a href=|http://parallelbible.com/genesis/49.htm| title=|Parallel Chapters| target=|_top|&gt;PAR&lt;/a&gt;</v>
      </c>
      <c r="AD49" s="2" t="str">
        <f t="shared" ref="AD49:AK49" si="194">CONCATENATE("&lt;/li&gt;&lt;li&gt;&lt;a href=|http://",AD1191,"/genesis/49.htm","| ","title=|",AD1190,"| target=|_top|&gt;",AD1192,"&lt;/a&gt;")</f>
        <v>&lt;/li&gt;&lt;li&gt;&lt;a href=|http://gsb.biblecommenter.com/genesis/49.htm| title=|Geneva Study Bible| target=|_top|&gt;GSB&lt;/a&gt;</v>
      </c>
      <c r="AE49" s="2" t="str">
        <f t="shared" si="194"/>
        <v>&lt;/li&gt;&lt;li&gt;&lt;a href=|http://jfb.biblecommenter.com/genesis/49.htm| title=|Jamieson-Fausset-Brown Bible Commentary| target=|_top|&gt;JFB&lt;/a&gt;</v>
      </c>
      <c r="AF49" s="2" t="str">
        <f t="shared" si="194"/>
        <v>&lt;/li&gt;&lt;li&gt;&lt;a href=|http://kjt.biblecommenter.com/genesis/49.htm| title=|King James Translators' Notes| target=|_top|&gt;KJT&lt;/a&gt;</v>
      </c>
      <c r="AG49" s="2" t="str">
        <f t="shared" si="194"/>
        <v>&lt;/li&gt;&lt;li&gt;&lt;a href=|http://mhc.biblecommenter.com/genesis/49.htm| title=|Matthew Henry's Concise Commentary| target=|_top|&gt;MHC&lt;/a&gt;</v>
      </c>
      <c r="AH49" s="2" t="str">
        <f t="shared" si="194"/>
        <v>&lt;/li&gt;&lt;li&gt;&lt;a href=|http://sco.biblecommenter.com/genesis/49.htm| title=|Scofield Reference Notes| target=|_top|&gt;SCO&lt;/a&gt;</v>
      </c>
      <c r="AI49" s="2" t="str">
        <f t="shared" si="194"/>
        <v>&lt;/li&gt;&lt;li&gt;&lt;a href=|http://wes.biblecommenter.com/genesis/49.htm| title=|Wesley's Notes on the Bible| target=|_top|&gt;WES&lt;/a&gt;</v>
      </c>
      <c r="AJ49" t="str">
        <f t="shared" si="194"/>
        <v>&lt;/li&gt;&lt;li&gt;&lt;a href=|http://worldebible.com/genesis/49.htm| title=|World English Bible| target=|_top|&gt;WEB&lt;/a&gt;</v>
      </c>
      <c r="AK49" t="str">
        <f t="shared" si="194"/>
        <v>&lt;/li&gt;&lt;li&gt;&lt;a href=|http://yltbible.com/genesis/49.htm| title=|Young's Literal Translation| target=|_top|&gt;YLT&lt;/a&gt;</v>
      </c>
      <c r="AL49" t="str">
        <f>CONCATENATE("&lt;a href=|http://",AL1191,"/genesis/49.htm","| ","title=|",AL1190,"| target=|_top|&gt;",AL1192,"&lt;/a&gt;")</f>
        <v>&lt;a href=|http://kjv.us/genesis/49.htm| title=|American King James Version| target=|_top|&gt;AKJ&lt;/a&gt;</v>
      </c>
      <c r="AM49" t="str">
        <f t="shared" ref="AM49:AN49" si="195">CONCATENATE("&lt;/li&gt;&lt;li&gt;&lt;a href=|http://",AM1191,"/genesis/49.htm","| ","title=|",AM1190,"| target=|_top|&gt;",AM1192,"&lt;/a&gt;")</f>
        <v>&lt;/li&gt;&lt;li&gt;&lt;a href=|http://basicenglishbible.com/genesis/49.htm| title=|Bible in Basic English| target=|_top|&gt;BBE&lt;/a&gt;</v>
      </c>
      <c r="AN49" t="str">
        <f t="shared" si="195"/>
        <v>&lt;/li&gt;&lt;li&gt;&lt;a href=|http://darbybible.com/genesis/49.htm| title=|Darby Bible Translation| target=|_top|&gt;DBY&lt;/a&gt;</v>
      </c>
      <c r="AO4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9" t="str">
        <f>CONCATENATE("&lt;/li&gt;&lt;li&gt;&lt;a href=|http://",AR1191,"/genesis/49.htm","| ","title=|",AR1190,"| target=|_top|&gt;",AR1192,"&lt;/a&gt;")</f>
        <v>&lt;/li&gt;&lt;li&gt;&lt;a href=|http://websterbible.com/genesis/49.htm| title=|Webster's Bible Translation| target=|_top|&gt;WBS&lt;/a&gt;</v>
      </c>
      <c r="AS4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9" t="str">
        <f>CONCATENATE("&lt;/li&gt;&lt;li&gt;&lt;a href=|http://",AT1191,"/genesis/49-1.htm","| ","title=|",AT1190,"| target=|_top|&gt;",AT1192,"&lt;/a&gt;")</f>
        <v>&lt;/li&gt;&lt;li&gt;&lt;a href=|http://biblebrowser.com/genesis/49-1.htm| title=|Split View| target=|_top|&gt;Split&lt;/a&gt;</v>
      </c>
      <c r="AU49" s="2" t="s">
        <v>1276</v>
      </c>
      <c r="AV49" t="s">
        <v>64</v>
      </c>
    </row>
    <row r="50" spans="1:48">
      <c r="A50" t="s">
        <v>622</v>
      </c>
      <c r="B50" t="s">
        <v>103</v>
      </c>
      <c r="C50" t="s">
        <v>624</v>
      </c>
      <c r="D50" t="s">
        <v>1268</v>
      </c>
      <c r="E50" t="s">
        <v>1277</v>
      </c>
      <c r="F50" t="s">
        <v>1304</v>
      </c>
      <c r="G50" t="s">
        <v>1266</v>
      </c>
      <c r="H50" t="s">
        <v>1305</v>
      </c>
      <c r="I50" t="s">
        <v>1303</v>
      </c>
      <c r="J50" t="s">
        <v>1267</v>
      </c>
      <c r="K50" t="s">
        <v>1275</v>
      </c>
      <c r="L50" s="2" t="s">
        <v>1274</v>
      </c>
      <c r="M50" t="str">
        <f t="shared" ref="M50:AB50" si="196">CONCATENATE("&lt;/li&gt;&lt;li&gt;&lt;a href=|http://",M1191,"/genesis/50.htm","| ","title=|",M1190,"| target=|_top|&gt;",M1192,"&lt;/a&gt;")</f>
        <v>&lt;/li&gt;&lt;li&gt;&lt;a href=|http://niv.scripturetext.com/genesis/50.htm| title=|New International Version| target=|_top|&gt;NIV&lt;/a&gt;</v>
      </c>
      <c r="N50" t="str">
        <f t="shared" si="196"/>
        <v>&lt;/li&gt;&lt;li&gt;&lt;a href=|http://nlt.scripturetext.com/genesis/50.htm| title=|New Living Translation| target=|_top|&gt;NLT&lt;/a&gt;</v>
      </c>
      <c r="O50" t="str">
        <f t="shared" si="196"/>
        <v>&lt;/li&gt;&lt;li&gt;&lt;a href=|http://nasb.scripturetext.com/genesis/50.htm| title=|New American Standard Bible| target=|_top|&gt;NAS&lt;/a&gt;</v>
      </c>
      <c r="P50" t="str">
        <f t="shared" si="196"/>
        <v>&lt;/li&gt;&lt;li&gt;&lt;a href=|http://gwt.scripturetext.com/genesis/50.htm| title=|God's Word Translation| target=|_top|&gt;GWT&lt;/a&gt;</v>
      </c>
      <c r="Q50" t="str">
        <f t="shared" si="196"/>
        <v>&lt;/li&gt;&lt;li&gt;&lt;a href=|http://kingjbible.com/genesis/50.htm| title=|King James Bible| target=|_top|&gt;KJV&lt;/a&gt;</v>
      </c>
      <c r="R50" t="str">
        <f t="shared" si="196"/>
        <v>&lt;/li&gt;&lt;li&gt;&lt;a href=|http://asvbible.com/genesis/50.htm| title=|American Standard Version| target=|_top|&gt;ASV&lt;/a&gt;</v>
      </c>
      <c r="S50" t="str">
        <f t="shared" si="196"/>
        <v>&lt;/li&gt;&lt;li&gt;&lt;a href=|http://drb.scripturetext.com/genesis/50.htm| title=|Douay-Rheims Bible| target=|_top|&gt;DRB&lt;/a&gt;</v>
      </c>
      <c r="T50" t="str">
        <f t="shared" si="196"/>
        <v>&lt;/li&gt;&lt;li&gt;&lt;a href=|http://erv.scripturetext.com/genesis/50.htm| title=|English Revised Version| target=|_top|&gt;ERV&lt;/a&gt;</v>
      </c>
      <c r="V50" t="str">
        <f>CONCATENATE("&lt;/li&gt;&lt;li&gt;&lt;a href=|http://",V1191,"/genesis/50.htm","| ","title=|",V1190,"| target=|_top|&gt;",V1192,"&lt;/a&gt;")</f>
        <v>&lt;/li&gt;&lt;li&gt;&lt;a href=|http://study.interlinearbible.org/genesis/50.htm| title=|Hebrew Study Bible| target=|_top|&gt;Heb Study&lt;/a&gt;</v>
      </c>
      <c r="W50" t="str">
        <f t="shared" si="196"/>
        <v>&lt;/li&gt;&lt;li&gt;&lt;a href=|http://apostolic.interlinearbible.org/genesis/50.htm| title=|Apostolic Bible Polyglot Interlinear| target=|_top|&gt;Polyglot&lt;/a&gt;</v>
      </c>
      <c r="X50" t="str">
        <f t="shared" si="196"/>
        <v>&lt;/li&gt;&lt;li&gt;&lt;a href=|http://interlinearbible.org/genesis/50.htm| title=|Interlinear Bible| target=|_top|&gt;Interlin&lt;/a&gt;</v>
      </c>
      <c r="Y50" t="str">
        <f t="shared" ref="Y50" si="197">CONCATENATE("&lt;/li&gt;&lt;li&gt;&lt;a href=|http://",Y1191,"/genesis/50.htm","| ","title=|",Y1190,"| target=|_top|&gt;",Y1192,"&lt;/a&gt;")</f>
        <v>&lt;/li&gt;&lt;li&gt;&lt;a href=|http://bibleoutline.org/genesis/50.htm| title=|Outline with People and Places List| target=|_top|&gt;Outline&lt;/a&gt;</v>
      </c>
      <c r="Z50" t="str">
        <f t="shared" si="196"/>
        <v>&lt;/li&gt;&lt;li&gt;&lt;a href=|http://kjvs.scripturetext.com/genesis/50.htm| title=|King James Bible with Strong's Numbers| target=|_top|&gt;Strong's&lt;/a&gt;</v>
      </c>
      <c r="AA50" t="str">
        <f t="shared" si="196"/>
        <v>&lt;/li&gt;&lt;li&gt;&lt;a href=|http://childrensbibleonline.com/genesis/50.htm| title=|The Children's Bible| target=|_top|&gt;Children's&lt;/a&gt;</v>
      </c>
      <c r="AB50" s="2" t="str">
        <f t="shared" si="196"/>
        <v>&lt;/li&gt;&lt;li&gt;&lt;a href=|http://tsk.scripturetext.com/genesis/50.htm| title=|Treasury of Scripture Knowledge| target=|_top|&gt;TSK&lt;/a&gt;</v>
      </c>
      <c r="AC50" t="str">
        <f>CONCATENATE("&lt;a href=|http://",AC1191,"/genesis/50.htm","| ","title=|",AC1190,"| target=|_top|&gt;",AC1192,"&lt;/a&gt;")</f>
        <v>&lt;a href=|http://parallelbible.com/genesis/50.htm| title=|Parallel Chapters| target=|_top|&gt;PAR&lt;/a&gt;</v>
      </c>
      <c r="AD50" s="2" t="str">
        <f t="shared" ref="AD50:AK50" si="198">CONCATENATE("&lt;/li&gt;&lt;li&gt;&lt;a href=|http://",AD1191,"/genesis/50.htm","| ","title=|",AD1190,"| target=|_top|&gt;",AD1192,"&lt;/a&gt;")</f>
        <v>&lt;/li&gt;&lt;li&gt;&lt;a href=|http://gsb.biblecommenter.com/genesis/50.htm| title=|Geneva Study Bible| target=|_top|&gt;GSB&lt;/a&gt;</v>
      </c>
      <c r="AE50" s="2" t="str">
        <f t="shared" si="198"/>
        <v>&lt;/li&gt;&lt;li&gt;&lt;a href=|http://jfb.biblecommenter.com/genesis/50.htm| title=|Jamieson-Fausset-Brown Bible Commentary| target=|_top|&gt;JFB&lt;/a&gt;</v>
      </c>
      <c r="AF50" s="2" t="str">
        <f t="shared" si="198"/>
        <v>&lt;/li&gt;&lt;li&gt;&lt;a href=|http://kjt.biblecommenter.com/genesis/50.htm| title=|King James Translators' Notes| target=|_top|&gt;KJT&lt;/a&gt;</v>
      </c>
      <c r="AG50" s="2" t="str">
        <f t="shared" si="198"/>
        <v>&lt;/li&gt;&lt;li&gt;&lt;a href=|http://mhc.biblecommenter.com/genesis/50.htm| title=|Matthew Henry's Concise Commentary| target=|_top|&gt;MHC&lt;/a&gt;</v>
      </c>
      <c r="AH50" s="2" t="str">
        <f t="shared" si="198"/>
        <v>&lt;/li&gt;&lt;li&gt;&lt;a href=|http://sco.biblecommenter.com/genesis/50.htm| title=|Scofield Reference Notes| target=|_top|&gt;SCO&lt;/a&gt;</v>
      </c>
      <c r="AI50" s="2" t="str">
        <f t="shared" si="198"/>
        <v>&lt;/li&gt;&lt;li&gt;&lt;a href=|http://wes.biblecommenter.com/genesis/50.htm| title=|Wesley's Notes on the Bible| target=|_top|&gt;WES&lt;/a&gt;</v>
      </c>
      <c r="AJ50" t="str">
        <f t="shared" si="198"/>
        <v>&lt;/li&gt;&lt;li&gt;&lt;a href=|http://worldebible.com/genesis/50.htm| title=|World English Bible| target=|_top|&gt;WEB&lt;/a&gt;</v>
      </c>
      <c r="AK50" t="str">
        <f t="shared" si="198"/>
        <v>&lt;/li&gt;&lt;li&gt;&lt;a href=|http://yltbible.com/genesis/50.htm| title=|Young's Literal Translation| target=|_top|&gt;YLT&lt;/a&gt;</v>
      </c>
      <c r="AL50" t="str">
        <f>CONCATENATE("&lt;a href=|http://",AL1191,"/genesis/50.htm","| ","title=|",AL1190,"| target=|_top|&gt;",AL1192,"&lt;/a&gt;")</f>
        <v>&lt;a href=|http://kjv.us/genesis/50.htm| title=|American King James Version| target=|_top|&gt;AKJ&lt;/a&gt;</v>
      </c>
      <c r="AM50" t="str">
        <f t="shared" ref="AM50:AN50" si="199">CONCATENATE("&lt;/li&gt;&lt;li&gt;&lt;a href=|http://",AM1191,"/genesis/50.htm","| ","title=|",AM1190,"| target=|_top|&gt;",AM1192,"&lt;/a&gt;")</f>
        <v>&lt;/li&gt;&lt;li&gt;&lt;a href=|http://basicenglishbible.com/genesis/50.htm| title=|Bible in Basic English| target=|_top|&gt;BBE&lt;/a&gt;</v>
      </c>
      <c r="AN50" t="str">
        <f t="shared" si="199"/>
        <v>&lt;/li&gt;&lt;li&gt;&lt;a href=|http://darbybible.com/genesis/50.htm| title=|Darby Bible Translation| target=|_top|&gt;DBY&lt;/a&gt;</v>
      </c>
      <c r="AO5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0" t="str">
        <f>CONCATENATE("&lt;/li&gt;&lt;li&gt;&lt;a href=|http://",AR1191,"/genesis/50.htm","| ","title=|",AR1190,"| target=|_top|&gt;",AR1192,"&lt;/a&gt;")</f>
        <v>&lt;/li&gt;&lt;li&gt;&lt;a href=|http://websterbible.com/genesis/50.htm| title=|Webster's Bible Translation| target=|_top|&gt;WBS&lt;/a&gt;</v>
      </c>
      <c r="AS5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0" t="str">
        <f>CONCATENATE("&lt;/li&gt;&lt;li&gt;&lt;a href=|http://",AT1191,"/genesis/50-1.htm","| ","title=|",AT1190,"| target=|_top|&gt;",AT1192,"&lt;/a&gt;")</f>
        <v>&lt;/li&gt;&lt;li&gt;&lt;a href=|http://biblebrowser.com/genesis/50-1.htm| title=|Split View| target=|_top|&gt;Split&lt;/a&gt;</v>
      </c>
      <c r="AU50" s="2" t="s">
        <v>1276</v>
      </c>
      <c r="AV50" t="s">
        <v>64</v>
      </c>
    </row>
    <row r="51" spans="1:48">
      <c r="A51" t="s">
        <v>622</v>
      </c>
      <c r="B51" t="s">
        <v>104</v>
      </c>
      <c r="C51" t="s">
        <v>624</v>
      </c>
      <c r="D51" t="s">
        <v>1268</v>
      </c>
      <c r="E51" t="s">
        <v>1277</v>
      </c>
      <c r="F51" t="s">
        <v>1304</v>
      </c>
      <c r="G51" t="s">
        <v>1266</v>
      </c>
      <c r="H51" t="s">
        <v>1305</v>
      </c>
      <c r="I51" t="s">
        <v>1303</v>
      </c>
      <c r="J51" t="s">
        <v>1267</v>
      </c>
      <c r="K51" t="s">
        <v>1275</v>
      </c>
      <c r="L51" s="2" t="s">
        <v>1274</v>
      </c>
      <c r="M51" t="str">
        <f t="shared" ref="M51:AB51" si="200">CONCATENATE("&lt;/li&gt;&lt;li&gt;&lt;a href=|http://",M1191,"/exodus/1.htm","| ","title=|",M1190,"| target=|_top|&gt;",M1192,"&lt;/a&gt;")</f>
        <v>&lt;/li&gt;&lt;li&gt;&lt;a href=|http://niv.scripturetext.com/exodus/1.htm| title=|New International Version| target=|_top|&gt;NIV&lt;/a&gt;</v>
      </c>
      <c r="N51" t="str">
        <f t="shared" si="200"/>
        <v>&lt;/li&gt;&lt;li&gt;&lt;a href=|http://nlt.scripturetext.com/exodus/1.htm| title=|New Living Translation| target=|_top|&gt;NLT&lt;/a&gt;</v>
      </c>
      <c r="O51" t="str">
        <f t="shared" si="200"/>
        <v>&lt;/li&gt;&lt;li&gt;&lt;a href=|http://nasb.scripturetext.com/exodus/1.htm| title=|New American Standard Bible| target=|_top|&gt;NAS&lt;/a&gt;</v>
      </c>
      <c r="P51" t="str">
        <f t="shared" si="200"/>
        <v>&lt;/li&gt;&lt;li&gt;&lt;a href=|http://gwt.scripturetext.com/exodus/1.htm| title=|God's Word Translation| target=|_top|&gt;GWT&lt;/a&gt;</v>
      </c>
      <c r="Q51" t="str">
        <f t="shared" si="200"/>
        <v>&lt;/li&gt;&lt;li&gt;&lt;a href=|http://kingjbible.com/exodus/1.htm| title=|King James Bible| target=|_top|&gt;KJV&lt;/a&gt;</v>
      </c>
      <c r="R51" t="str">
        <f t="shared" si="200"/>
        <v>&lt;/li&gt;&lt;li&gt;&lt;a href=|http://asvbible.com/exodus/1.htm| title=|American Standard Version| target=|_top|&gt;ASV&lt;/a&gt;</v>
      </c>
      <c r="S51" t="str">
        <f t="shared" si="200"/>
        <v>&lt;/li&gt;&lt;li&gt;&lt;a href=|http://drb.scripturetext.com/exodus/1.htm| title=|Douay-Rheims Bible| target=|_top|&gt;DRB&lt;/a&gt;</v>
      </c>
      <c r="T51" t="str">
        <f t="shared" si="200"/>
        <v>&lt;/li&gt;&lt;li&gt;&lt;a href=|http://erv.scripturetext.com/exodus/1.htm| title=|English Revised Version| target=|_top|&gt;ERV&lt;/a&gt;</v>
      </c>
      <c r="V51" t="str">
        <f>CONCATENATE("&lt;/li&gt;&lt;li&gt;&lt;a href=|http://",V1191,"/exodus/1.htm","| ","title=|",V1190,"| target=|_top|&gt;",V1192,"&lt;/a&gt;")</f>
        <v>&lt;/li&gt;&lt;li&gt;&lt;a href=|http://study.interlinearbible.org/exodus/1.htm| title=|Hebrew Study Bible| target=|_top|&gt;Heb Study&lt;/a&gt;</v>
      </c>
      <c r="W51" t="str">
        <f t="shared" si="200"/>
        <v>&lt;/li&gt;&lt;li&gt;&lt;a href=|http://apostolic.interlinearbible.org/exodus/1.htm| title=|Apostolic Bible Polyglot Interlinear| target=|_top|&gt;Polyglot&lt;/a&gt;</v>
      </c>
      <c r="X51" t="str">
        <f t="shared" si="200"/>
        <v>&lt;/li&gt;&lt;li&gt;&lt;a href=|http://interlinearbible.org/exodus/1.htm| title=|Interlinear Bible| target=|_top|&gt;Interlin&lt;/a&gt;</v>
      </c>
      <c r="Y51" t="str">
        <f t="shared" ref="Y51" si="201">CONCATENATE("&lt;/li&gt;&lt;li&gt;&lt;a href=|http://",Y1191,"/exodus/1.htm","| ","title=|",Y1190,"| target=|_top|&gt;",Y1192,"&lt;/a&gt;")</f>
        <v>&lt;/li&gt;&lt;li&gt;&lt;a href=|http://bibleoutline.org/exodus/1.htm| title=|Outline with People and Places List| target=|_top|&gt;Outline&lt;/a&gt;</v>
      </c>
      <c r="Z51" t="str">
        <f t="shared" si="200"/>
        <v>&lt;/li&gt;&lt;li&gt;&lt;a href=|http://kjvs.scripturetext.com/exodus/1.htm| title=|King James Bible with Strong's Numbers| target=|_top|&gt;Strong's&lt;/a&gt;</v>
      </c>
      <c r="AA51" t="str">
        <f t="shared" si="200"/>
        <v>&lt;/li&gt;&lt;li&gt;&lt;a href=|http://childrensbibleonline.com/exodus/1.htm| title=|The Children's Bible| target=|_top|&gt;Children's&lt;/a&gt;</v>
      </c>
      <c r="AB51" s="2" t="str">
        <f t="shared" si="200"/>
        <v>&lt;/li&gt;&lt;li&gt;&lt;a href=|http://tsk.scripturetext.com/exodus/1.htm| title=|Treasury of Scripture Knowledge| target=|_top|&gt;TSK&lt;/a&gt;</v>
      </c>
      <c r="AC51" t="str">
        <f>CONCATENATE("&lt;a href=|http://",AC1191,"/exodus/1.htm","| ","title=|",AC1190,"| target=|_top|&gt;",AC1192,"&lt;/a&gt;")</f>
        <v>&lt;a href=|http://parallelbible.com/exodus/1.htm| title=|Parallel Chapters| target=|_top|&gt;PAR&lt;/a&gt;</v>
      </c>
      <c r="AD51" s="2" t="str">
        <f t="shared" ref="AD51:AK51" si="202">CONCATENATE("&lt;/li&gt;&lt;li&gt;&lt;a href=|http://",AD1191,"/exodus/1.htm","| ","title=|",AD1190,"| target=|_top|&gt;",AD1192,"&lt;/a&gt;")</f>
        <v>&lt;/li&gt;&lt;li&gt;&lt;a href=|http://gsb.biblecommenter.com/exodus/1.htm| title=|Geneva Study Bible| target=|_top|&gt;GSB&lt;/a&gt;</v>
      </c>
      <c r="AE51" s="2" t="str">
        <f t="shared" si="202"/>
        <v>&lt;/li&gt;&lt;li&gt;&lt;a href=|http://jfb.biblecommenter.com/exodus/1.htm| title=|Jamieson-Fausset-Brown Bible Commentary| target=|_top|&gt;JFB&lt;/a&gt;</v>
      </c>
      <c r="AF51" s="2" t="str">
        <f t="shared" si="202"/>
        <v>&lt;/li&gt;&lt;li&gt;&lt;a href=|http://kjt.biblecommenter.com/exodus/1.htm| title=|King James Translators' Notes| target=|_top|&gt;KJT&lt;/a&gt;</v>
      </c>
      <c r="AG51" s="2" t="str">
        <f t="shared" si="202"/>
        <v>&lt;/li&gt;&lt;li&gt;&lt;a href=|http://mhc.biblecommenter.com/exodus/1.htm| title=|Matthew Henry's Concise Commentary| target=|_top|&gt;MHC&lt;/a&gt;</v>
      </c>
      <c r="AH51" s="2" t="str">
        <f t="shared" si="202"/>
        <v>&lt;/li&gt;&lt;li&gt;&lt;a href=|http://sco.biblecommenter.com/exodus/1.htm| title=|Scofield Reference Notes| target=|_top|&gt;SCO&lt;/a&gt;</v>
      </c>
      <c r="AI51" s="2" t="str">
        <f t="shared" si="202"/>
        <v>&lt;/li&gt;&lt;li&gt;&lt;a href=|http://wes.biblecommenter.com/exodus/1.htm| title=|Wesley's Notes on the Bible| target=|_top|&gt;WES&lt;/a&gt;</v>
      </c>
      <c r="AJ51" t="str">
        <f t="shared" si="202"/>
        <v>&lt;/li&gt;&lt;li&gt;&lt;a href=|http://worldebible.com/exodus/1.htm| title=|World English Bible| target=|_top|&gt;WEB&lt;/a&gt;</v>
      </c>
      <c r="AK51" t="str">
        <f t="shared" si="202"/>
        <v>&lt;/li&gt;&lt;li&gt;&lt;a href=|http://yltbible.com/exodus/1.htm| title=|Young's Literal Translation| target=|_top|&gt;YLT&lt;/a&gt;</v>
      </c>
      <c r="AL51" t="str">
        <f>CONCATENATE("&lt;a href=|http://",AL1191,"/exodus/1.htm","| ","title=|",AL1190,"| target=|_top|&gt;",AL1192,"&lt;/a&gt;")</f>
        <v>&lt;a href=|http://kjv.us/exodus/1.htm| title=|American King James Version| target=|_top|&gt;AKJ&lt;/a&gt;</v>
      </c>
      <c r="AM51" t="str">
        <f t="shared" ref="AM51:AN51" si="203">CONCATENATE("&lt;/li&gt;&lt;li&gt;&lt;a href=|http://",AM1191,"/exodus/1.htm","| ","title=|",AM1190,"| target=|_top|&gt;",AM1192,"&lt;/a&gt;")</f>
        <v>&lt;/li&gt;&lt;li&gt;&lt;a href=|http://basicenglishbible.com/exodus/1.htm| title=|Bible in Basic English| target=|_top|&gt;BBE&lt;/a&gt;</v>
      </c>
      <c r="AN51" t="str">
        <f t="shared" si="203"/>
        <v>&lt;/li&gt;&lt;li&gt;&lt;a href=|http://darbybible.com/exodus/1.htm| title=|Darby Bible Translation| target=|_top|&gt;DBY&lt;/a&gt;</v>
      </c>
      <c r="AO5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1" t="str">
        <f>CONCATENATE("&lt;/li&gt;&lt;li&gt;&lt;a href=|http://",AR1191,"/exodus/1.htm","| ","title=|",AR1190,"| target=|_top|&gt;",AR1192,"&lt;/a&gt;")</f>
        <v>&lt;/li&gt;&lt;li&gt;&lt;a href=|http://websterbible.com/exodus/1.htm| title=|Webster's Bible Translation| target=|_top|&gt;WBS&lt;/a&gt;</v>
      </c>
      <c r="AS5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1" t="str">
        <f>CONCATENATE("&lt;/li&gt;&lt;li&gt;&lt;a href=|http://",AT1191,"/exodus/1-1.htm","| ","title=|",AT1190,"| target=|_top|&gt;",AT1192,"&lt;/a&gt;")</f>
        <v>&lt;/li&gt;&lt;li&gt;&lt;a href=|http://biblebrowser.com/exodus/1-1.htm| title=|Split View| target=|_top|&gt;Split&lt;/a&gt;</v>
      </c>
      <c r="AU51" s="2" t="s">
        <v>1276</v>
      </c>
      <c r="AV51" t="s">
        <v>64</v>
      </c>
    </row>
    <row r="52" spans="1:48">
      <c r="A52" t="s">
        <v>622</v>
      </c>
      <c r="B52" t="s">
        <v>105</v>
      </c>
      <c r="C52" t="s">
        <v>624</v>
      </c>
      <c r="D52" t="s">
        <v>1268</v>
      </c>
      <c r="E52" t="s">
        <v>1277</v>
      </c>
      <c r="F52" t="s">
        <v>1304</v>
      </c>
      <c r="G52" t="s">
        <v>1266</v>
      </c>
      <c r="H52" t="s">
        <v>1305</v>
      </c>
      <c r="I52" t="s">
        <v>1303</v>
      </c>
      <c r="J52" t="s">
        <v>1267</v>
      </c>
      <c r="K52" t="s">
        <v>1275</v>
      </c>
      <c r="L52" s="2" t="s">
        <v>1274</v>
      </c>
      <c r="M52" t="str">
        <f t="shared" ref="M52:AB52" si="204">CONCATENATE("&lt;/li&gt;&lt;li&gt;&lt;a href=|http://",M1191,"/exodus/2.htm","| ","title=|",M1190,"| target=|_top|&gt;",M1192,"&lt;/a&gt;")</f>
        <v>&lt;/li&gt;&lt;li&gt;&lt;a href=|http://niv.scripturetext.com/exodus/2.htm| title=|New International Version| target=|_top|&gt;NIV&lt;/a&gt;</v>
      </c>
      <c r="N52" t="str">
        <f t="shared" si="204"/>
        <v>&lt;/li&gt;&lt;li&gt;&lt;a href=|http://nlt.scripturetext.com/exodus/2.htm| title=|New Living Translation| target=|_top|&gt;NLT&lt;/a&gt;</v>
      </c>
      <c r="O52" t="str">
        <f t="shared" si="204"/>
        <v>&lt;/li&gt;&lt;li&gt;&lt;a href=|http://nasb.scripturetext.com/exodus/2.htm| title=|New American Standard Bible| target=|_top|&gt;NAS&lt;/a&gt;</v>
      </c>
      <c r="P52" t="str">
        <f t="shared" si="204"/>
        <v>&lt;/li&gt;&lt;li&gt;&lt;a href=|http://gwt.scripturetext.com/exodus/2.htm| title=|God's Word Translation| target=|_top|&gt;GWT&lt;/a&gt;</v>
      </c>
      <c r="Q52" t="str">
        <f t="shared" si="204"/>
        <v>&lt;/li&gt;&lt;li&gt;&lt;a href=|http://kingjbible.com/exodus/2.htm| title=|King James Bible| target=|_top|&gt;KJV&lt;/a&gt;</v>
      </c>
      <c r="R52" t="str">
        <f t="shared" si="204"/>
        <v>&lt;/li&gt;&lt;li&gt;&lt;a href=|http://asvbible.com/exodus/2.htm| title=|American Standard Version| target=|_top|&gt;ASV&lt;/a&gt;</v>
      </c>
      <c r="S52" t="str">
        <f t="shared" si="204"/>
        <v>&lt;/li&gt;&lt;li&gt;&lt;a href=|http://drb.scripturetext.com/exodus/2.htm| title=|Douay-Rheims Bible| target=|_top|&gt;DRB&lt;/a&gt;</v>
      </c>
      <c r="T52" t="str">
        <f t="shared" si="204"/>
        <v>&lt;/li&gt;&lt;li&gt;&lt;a href=|http://erv.scripturetext.com/exodus/2.htm| title=|English Revised Version| target=|_top|&gt;ERV&lt;/a&gt;</v>
      </c>
      <c r="V52" t="str">
        <f>CONCATENATE("&lt;/li&gt;&lt;li&gt;&lt;a href=|http://",V1191,"/exodus/2.htm","| ","title=|",V1190,"| target=|_top|&gt;",V1192,"&lt;/a&gt;")</f>
        <v>&lt;/li&gt;&lt;li&gt;&lt;a href=|http://study.interlinearbible.org/exodus/2.htm| title=|Hebrew Study Bible| target=|_top|&gt;Heb Study&lt;/a&gt;</v>
      </c>
      <c r="W52" t="str">
        <f t="shared" si="204"/>
        <v>&lt;/li&gt;&lt;li&gt;&lt;a href=|http://apostolic.interlinearbible.org/exodus/2.htm| title=|Apostolic Bible Polyglot Interlinear| target=|_top|&gt;Polyglot&lt;/a&gt;</v>
      </c>
      <c r="X52" t="str">
        <f t="shared" si="204"/>
        <v>&lt;/li&gt;&lt;li&gt;&lt;a href=|http://interlinearbible.org/exodus/2.htm| title=|Interlinear Bible| target=|_top|&gt;Interlin&lt;/a&gt;</v>
      </c>
      <c r="Y52" t="str">
        <f t="shared" ref="Y52" si="205">CONCATENATE("&lt;/li&gt;&lt;li&gt;&lt;a href=|http://",Y1191,"/exodus/2.htm","| ","title=|",Y1190,"| target=|_top|&gt;",Y1192,"&lt;/a&gt;")</f>
        <v>&lt;/li&gt;&lt;li&gt;&lt;a href=|http://bibleoutline.org/exodus/2.htm| title=|Outline with People and Places List| target=|_top|&gt;Outline&lt;/a&gt;</v>
      </c>
      <c r="Z52" t="str">
        <f t="shared" si="204"/>
        <v>&lt;/li&gt;&lt;li&gt;&lt;a href=|http://kjvs.scripturetext.com/exodus/2.htm| title=|King James Bible with Strong's Numbers| target=|_top|&gt;Strong's&lt;/a&gt;</v>
      </c>
      <c r="AA52" t="str">
        <f t="shared" si="204"/>
        <v>&lt;/li&gt;&lt;li&gt;&lt;a href=|http://childrensbibleonline.com/exodus/2.htm| title=|The Children's Bible| target=|_top|&gt;Children's&lt;/a&gt;</v>
      </c>
      <c r="AB52" s="2" t="str">
        <f t="shared" si="204"/>
        <v>&lt;/li&gt;&lt;li&gt;&lt;a href=|http://tsk.scripturetext.com/exodus/2.htm| title=|Treasury of Scripture Knowledge| target=|_top|&gt;TSK&lt;/a&gt;</v>
      </c>
      <c r="AC52" t="str">
        <f>CONCATENATE("&lt;a href=|http://",AC1191,"/exodus/2.htm","| ","title=|",AC1190,"| target=|_top|&gt;",AC1192,"&lt;/a&gt;")</f>
        <v>&lt;a href=|http://parallelbible.com/exodus/2.htm| title=|Parallel Chapters| target=|_top|&gt;PAR&lt;/a&gt;</v>
      </c>
      <c r="AD52" s="2" t="str">
        <f t="shared" ref="AD52:AK52" si="206">CONCATENATE("&lt;/li&gt;&lt;li&gt;&lt;a href=|http://",AD1191,"/exodus/2.htm","| ","title=|",AD1190,"| target=|_top|&gt;",AD1192,"&lt;/a&gt;")</f>
        <v>&lt;/li&gt;&lt;li&gt;&lt;a href=|http://gsb.biblecommenter.com/exodus/2.htm| title=|Geneva Study Bible| target=|_top|&gt;GSB&lt;/a&gt;</v>
      </c>
      <c r="AE52" s="2" t="str">
        <f t="shared" si="206"/>
        <v>&lt;/li&gt;&lt;li&gt;&lt;a href=|http://jfb.biblecommenter.com/exodus/2.htm| title=|Jamieson-Fausset-Brown Bible Commentary| target=|_top|&gt;JFB&lt;/a&gt;</v>
      </c>
      <c r="AF52" s="2" t="str">
        <f t="shared" si="206"/>
        <v>&lt;/li&gt;&lt;li&gt;&lt;a href=|http://kjt.biblecommenter.com/exodus/2.htm| title=|King James Translators' Notes| target=|_top|&gt;KJT&lt;/a&gt;</v>
      </c>
      <c r="AG52" s="2" t="str">
        <f t="shared" si="206"/>
        <v>&lt;/li&gt;&lt;li&gt;&lt;a href=|http://mhc.biblecommenter.com/exodus/2.htm| title=|Matthew Henry's Concise Commentary| target=|_top|&gt;MHC&lt;/a&gt;</v>
      </c>
      <c r="AH52" s="2" t="str">
        <f t="shared" si="206"/>
        <v>&lt;/li&gt;&lt;li&gt;&lt;a href=|http://sco.biblecommenter.com/exodus/2.htm| title=|Scofield Reference Notes| target=|_top|&gt;SCO&lt;/a&gt;</v>
      </c>
      <c r="AI52" s="2" t="str">
        <f t="shared" si="206"/>
        <v>&lt;/li&gt;&lt;li&gt;&lt;a href=|http://wes.biblecommenter.com/exodus/2.htm| title=|Wesley's Notes on the Bible| target=|_top|&gt;WES&lt;/a&gt;</v>
      </c>
      <c r="AJ52" t="str">
        <f t="shared" si="206"/>
        <v>&lt;/li&gt;&lt;li&gt;&lt;a href=|http://worldebible.com/exodus/2.htm| title=|World English Bible| target=|_top|&gt;WEB&lt;/a&gt;</v>
      </c>
      <c r="AK52" t="str">
        <f t="shared" si="206"/>
        <v>&lt;/li&gt;&lt;li&gt;&lt;a href=|http://yltbible.com/exodus/2.htm| title=|Young's Literal Translation| target=|_top|&gt;YLT&lt;/a&gt;</v>
      </c>
      <c r="AL52" t="str">
        <f>CONCATENATE("&lt;a href=|http://",AL1191,"/exodus/2.htm","| ","title=|",AL1190,"| target=|_top|&gt;",AL1192,"&lt;/a&gt;")</f>
        <v>&lt;a href=|http://kjv.us/exodus/2.htm| title=|American King James Version| target=|_top|&gt;AKJ&lt;/a&gt;</v>
      </c>
      <c r="AM52" t="str">
        <f t="shared" ref="AM52:AN52" si="207">CONCATENATE("&lt;/li&gt;&lt;li&gt;&lt;a href=|http://",AM1191,"/exodus/2.htm","| ","title=|",AM1190,"| target=|_top|&gt;",AM1192,"&lt;/a&gt;")</f>
        <v>&lt;/li&gt;&lt;li&gt;&lt;a href=|http://basicenglishbible.com/exodus/2.htm| title=|Bible in Basic English| target=|_top|&gt;BBE&lt;/a&gt;</v>
      </c>
      <c r="AN52" t="str">
        <f t="shared" si="207"/>
        <v>&lt;/li&gt;&lt;li&gt;&lt;a href=|http://darbybible.com/exodus/2.htm| title=|Darby Bible Translation| target=|_top|&gt;DBY&lt;/a&gt;</v>
      </c>
      <c r="AO5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2" t="str">
        <f>CONCATENATE("&lt;/li&gt;&lt;li&gt;&lt;a href=|http://",AR1191,"/exodus/2.htm","| ","title=|",AR1190,"| target=|_top|&gt;",AR1192,"&lt;/a&gt;")</f>
        <v>&lt;/li&gt;&lt;li&gt;&lt;a href=|http://websterbible.com/exodus/2.htm| title=|Webster's Bible Translation| target=|_top|&gt;WBS&lt;/a&gt;</v>
      </c>
      <c r="AS5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2" t="str">
        <f>CONCATENATE("&lt;/li&gt;&lt;li&gt;&lt;a href=|http://",AT1191,"/exodus/2-1.htm","| ","title=|",AT1190,"| target=|_top|&gt;",AT1192,"&lt;/a&gt;")</f>
        <v>&lt;/li&gt;&lt;li&gt;&lt;a href=|http://biblebrowser.com/exodus/2-1.htm| title=|Split View| target=|_top|&gt;Split&lt;/a&gt;</v>
      </c>
      <c r="AU52" s="2" t="s">
        <v>1276</v>
      </c>
      <c r="AV52" t="s">
        <v>64</v>
      </c>
    </row>
    <row r="53" spans="1:48">
      <c r="A53" t="s">
        <v>622</v>
      </c>
      <c r="B53" t="s">
        <v>106</v>
      </c>
      <c r="C53" t="s">
        <v>624</v>
      </c>
      <c r="D53" t="s">
        <v>1268</v>
      </c>
      <c r="E53" t="s">
        <v>1277</v>
      </c>
      <c r="F53" t="s">
        <v>1304</v>
      </c>
      <c r="G53" t="s">
        <v>1266</v>
      </c>
      <c r="H53" t="s">
        <v>1305</v>
      </c>
      <c r="I53" t="s">
        <v>1303</v>
      </c>
      <c r="J53" t="s">
        <v>1267</v>
      </c>
      <c r="K53" t="s">
        <v>1275</v>
      </c>
      <c r="L53" s="2" t="s">
        <v>1274</v>
      </c>
      <c r="M53" t="str">
        <f t="shared" ref="M53:AB53" si="208">CONCATENATE("&lt;/li&gt;&lt;li&gt;&lt;a href=|http://",M1191,"/exodus/3.htm","| ","title=|",M1190,"| target=|_top|&gt;",M1192,"&lt;/a&gt;")</f>
        <v>&lt;/li&gt;&lt;li&gt;&lt;a href=|http://niv.scripturetext.com/exodus/3.htm| title=|New International Version| target=|_top|&gt;NIV&lt;/a&gt;</v>
      </c>
      <c r="N53" t="str">
        <f t="shared" si="208"/>
        <v>&lt;/li&gt;&lt;li&gt;&lt;a href=|http://nlt.scripturetext.com/exodus/3.htm| title=|New Living Translation| target=|_top|&gt;NLT&lt;/a&gt;</v>
      </c>
      <c r="O53" t="str">
        <f t="shared" si="208"/>
        <v>&lt;/li&gt;&lt;li&gt;&lt;a href=|http://nasb.scripturetext.com/exodus/3.htm| title=|New American Standard Bible| target=|_top|&gt;NAS&lt;/a&gt;</v>
      </c>
      <c r="P53" t="str">
        <f t="shared" si="208"/>
        <v>&lt;/li&gt;&lt;li&gt;&lt;a href=|http://gwt.scripturetext.com/exodus/3.htm| title=|God's Word Translation| target=|_top|&gt;GWT&lt;/a&gt;</v>
      </c>
      <c r="Q53" t="str">
        <f t="shared" si="208"/>
        <v>&lt;/li&gt;&lt;li&gt;&lt;a href=|http://kingjbible.com/exodus/3.htm| title=|King James Bible| target=|_top|&gt;KJV&lt;/a&gt;</v>
      </c>
      <c r="R53" t="str">
        <f t="shared" si="208"/>
        <v>&lt;/li&gt;&lt;li&gt;&lt;a href=|http://asvbible.com/exodus/3.htm| title=|American Standard Version| target=|_top|&gt;ASV&lt;/a&gt;</v>
      </c>
      <c r="S53" t="str">
        <f t="shared" si="208"/>
        <v>&lt;/li&gt;&lt;li&gt;&lt;a href=|http://drb.scripturetext.com/exodus/3.htm| title=|Douay-Rheims Bible| target=|_top|&gt;DRB&lt;/a&gt;</v>
      </c>
      <c r="T53" t="str">
        <f t="shared" si="208"/>
        <v>&lt;/li&gt;&lt;li&gt;&lt;a href=|http://erv.scripturetext.com/exodus/3.htm| title=|English Revised Version| target=|_top|&gt;ERV&lt;/a&gt;</v>
      </c>
      <c r="V53" t="str">
        <f>CONCATENATE("&lt;/li&gt;&lt;li&gt;&lt;a href=|http://",V1191,"/exodus/3.htm","| ","title=|",V1190,"| target=|_top|&gt;",V1192,"&lt;/a&gt;")</f>
        <v>&lt;/li&gt;&lt;li&gt;&lt;a href=|http://study.interlinearbible.org/exodus/3.htm| title=|Hebrew Study Bible| target=|_top|&gt;Heb Study&lt;/a&gt;</v>
      </c>
      <c r="W53" t="str">
        <f t="shared" si="208"/>
        <v>&lt;/li&gt;&lt;li&gt;&lt;a href=|http://apostolic.interlinearbible.org/exodus/3.htm| title=|Apostolic Bible Polyglot Interlinear| target=|_top|&gt;Polyglot&lt;/a&gt;</v>
      </c>
      <c r="X53" t="str">
        <f t="shared" si="208"/>
        <v>&lt;/li&gt;&lt;li&gt;&lt;a href=|http://interlinearbible.org/exodus/3.htm| title=|Interlinear Bible| target=|_top|&gt;Interlin&lt;/a&gt;</v>
      </c>
      <c r="Y53" t="str">
        <f t="shared" ref="Y53" si="209">CONCATENATE("&lt;/li&gt;&lt;li&gt;&lt;a href=|http://",Y1191,"/exodus/3.htm","| ","title=|",Y1190,"| target=|_top|&gt;",Y1192,"&lt;/a&gt;")</f>
        <v>&lt;/li&gt;&lt;li&gt;&lt;a href=|http://bibleoutline.org/exodus/3.htm| title=|Outline with People and Places List| target=|_top|&gt;Outline&lt;/a&gt;</v>
      </c>
      <c r="Z53" t="str">
        <f t="shared" si="208"/>
        <v>&lt;/li&gt;&lt;li&gt;&lt;a href=|http://kjvs.scripturetext.com/exodus/3.htm| title=|King James Bible with Strong's Numbers| target=|_top|&gt;Strong's&lt;/a&gt;</v>
      </c>
      <c r="AA53" t="str">
        <f t="shared" si="208"/>
        <v>&lt;/li&gt;&lt;li&gt;&lt;a href=|http://childrensbibleonline.com/exodus/3.htm| title=|The Children's Bible| target=|_top|&gt;Children's&lt;/a&gt;</v>
      </c>
      <c r="AB53" s="2" t="str">
        <f t="shared" si="208"/>
        <v>&lt;/li&gt;&lt;li&gt;&lt;a href=|http://tsk.scripturetext.com/exodus/3.htm| title=|Treasury of Scripture Knowledge| target=|_top|&gt;TSK&lt;/a&gt;</v>
      </c>
      <c r="AC53" t="str">
        <f>CONCATENATE("&lt;a href=|http://",AC1191,"/exodus/3.htm","| ","title=|",AC1190,"| target=|_top|&gt;",AC1192,"&lt;/a&gt;")</f>
        <v>&lt;a href=|http://parallelbible.com/exodus/3.htm| title=|Parallel Chapters| target=|_top|&gt;PAR&lt;/a&gt;</v>
      </c>
      <c r="AD53" s="2" t="str">
        <f t="shared" ref="AD53:AK53" si="210">CONCATENATE("&lt;/li&gt;&lt;li&gt;&lt;a href=|http://",AD1191,"/exodus/3.htm","| ","title=|",AD1190,"| target=|_top|&gt;",AD1192,"&lt;/a&gt;")</f>
        <v>&lt;/li&gt;&lt;li&gt;&lt;a href=|http://gsb.biblecommenter.com/exodus/3.htm| title=|Geneva Study Bible| target=|_top|&gt;GSB&lt;/a&gt;</v>
      </c>
      <c r="AE53" s="2" t="str">
        <f t="shared" si="210"/>
        <v>&lt;/li&gt;&lt;li&gt;&lt;a href=|http://jfb.biblecommenter.com/exodus/3.htm| title=|Jamieson-Fausset-Brown Bible Commentary| target=|_top|&gt;JFB&lt;/a&gt;</v>
      </c>
      <c r="AF53" s="2" t="str">
        <f t="shared" si="210"/>
        <v>&lt;/li&gt;&lt;li&gt;&lt;a href=|http://kjt.biblecommenter.com/exodus/3.htm| title=|King James Translators' Notes| target=|_top|&gt;KJT&lt;/a&gt;</v>
      </c>
      <c r="AG53" s="2" t="str">
        <f t="shared" si="210"/>
        <v>&lt;/li&gt;&lt;li&gt;&lt;a href=|http://mhc.biblecommenter.com/exodus/3.htm| title=|Matthew Henry's Concise Commentary| target=|_top|&gt;MHC&lt;/a&gt;</v>
      </c>
      <c r="AH53" s="2" t="str">
        <f t="shared" si="210"/>
        <v>&lt;/li&gt;&lt;li&gt;&lt;a href=|http://sco.biblecommenter.com/exodus/3.htm| title=|Scofield Reference Notes| target=|_top|&gt;SCO&lt;/a&gt;</v>
      </c>
      <c r="AI53" s="2" t="str">
        <f t="shared" si="210"/>
        <v>&lt;/li&gt;&lt;li&gt;&lt;a href=|http://wes.biblecommenter.com/exodus/3.htm| title=|Wesley's Notes on the Bible| target=|_top|&gt;WES&lt;/a&gt;</v>
      </c>
      <c r="AJ53" t="str">
        <f t="shared" si="210"/>
        <v>&lt;/li&gt;&lt;li&gt;&lt;a href=|http://worldebible.com/exodus/3.htm| title=|World English Bible| target=|_top|&gt;WEB&lt;/a&gt;</v>
      </c>
      <c r="AK53" t="str">
        <f t="shared" si="210"/>
        <v>&lt;/li&gt;&lt;li&gt;&lt;a href=|http://yltbible.com/exodus/3.htm| title=|Young's Literal Translation| target=|_top|&gt;YLT&lt;/a&gt;</v>
      </c>
      <c r="AL53" t="str">
        <f>CONCATENATE("&lt;a href=|http://",AL1191,"/exodus/3.htm","| ","title=|",AL1190,"| target=|_top|&gt;",AL1192,"&lt;/a&gt;")</f>
        <v>&lt;a href=|http://kjv.us/exodus/3.htm| title=|American King James Version| target=|_top|&gt;AKJ&lt;/a&gt;</v>
      </c>
      <c r="AM53" t="str">
        <f t="shared" ref="AM53:AN53" si="211">CONCATENATE("&lt;/li&gt;&lt;li&gt;&lt;a href=|http://",AM1191,"/exodus/3.htm","| ","title=|",AM1190,"| target=|_top|&gt;",AM1192,"&lt;/a&gt;")</f>
        <v>&lt;/li&gt;&lt;li&gt;&lt;a href=|http://basicenglishbible.com/exodus/3.htm| title=|Bible in Basic English| target=|_top|&gt;BBE&lt;/a&gt;</v>
      </c>
      <c r="AN53" t="str">
        <f t="shared" si="211"/>
        <v>&lt;/li&gt;&lt;li&gt;&lt;a href=|http://darbybible.com/exodus/3.htm| title=|Darby Bible Translation| target=|_top|&gt;DBY&lt;/a&gt;</v>
      </c>
      <c r="AO5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3" t="str">
        <f>CONCATENATE("&lt;/li&gt;&lt;li&gt;&lt;a href=|http://",AR1191,"/exodus/3.htm","| ","title=|",AR1190,"| target=|_top|&gt;",AR1192,"&lt;/a&gt;")</f>
        <v>&lt;/li&gt;&lt;li&gt;&lt;a href=|http://websterbible.com/exodus/3.htm| title=|Webster's Bible Translation| target=|_top|&gt;WBS&lt;/a&gt;</v>
      </c>
      <c r="AS5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3" t="str">
        <f>CONCATENATE("&lt;/li&gt;&lt;li&gt;&lt;a href=|http://",AT1191,"/exodus/3-1.htm","| ","title=|",AT1190,"| target=|_top|&gt;",AT1192,"&lt;/a&gt;")</f>
        <v>&lt;/li&gt;&lt;li&gt;&lt;a href=|http://biblebrowser.com/exodus/3-1.htm| title=|Split View| target=|_top|&gt;Split&lt;/a&gt;</v>
      </c>
      <c r="AU53" s="2" t="s">
        <v>1276</v>
      </c>
      <c r="AV53" t="s">
        <v>64</v>
      </c>
    </row>
    <row r="54" spans="1:48">
      <c r="A54" t="s">
        <v>622</v>
      </c>
      <c r="B54" t="s">
        <v>107</v>
      </c>
      <c r="C54" t="s">
        <v>624</v>
      </c>
      <c r="D54" t="s">
        <v>1268</v>
      </c>
      <c r="E54" t="s">
        <v>1277</v>
      </c>
      <c r="F54" t="s">
        <v>1304</v>
      </c>
      <c r="G54" t="s">
        <v>1266</v>
      </c>
      <c r="H54" t="s">
        <v>1305</v>
      </c>
      <c r="I54" t="s">
        <v>1303</v>
      </c>
      <c r="J54" t="s">
        <v>1267</v>
      </c>
      <c r="K54" t="s">
        <v>1275</v>
      </c>
      <c r="L54" s="2" t="s">
        <v>1274</v>
      </c>
      <c r="M54" t="str">
        <f t="shared" ref="M54:AB54" si="212">CONCATENATE("&lt;/li&gt;&lt;li&gt;&lt;a href=|http://",M1191,"/exodus/4.htm","| ","title=|",M1190,"| target=|_top|&gt;",M1192,"&lt;/a&gt;")</f>
        <v>&lt;/li&gt;&lt;li&gt;&lt;a href=|http://niv.scripturetext.com/exodus/4.htm| title=|New International Version| target=|_top|&gt;NIV&lt;/a&gt;</v>
      </c>
      <c r="N54" t="str">
        <f t="shared" si="212"/>
        <v>&lt;/li&gt;&lt;li&gt;&lt;a href=|http://nlt.scripturetext.com/exodus/4.htm| title=|New Living Translation| target=|_top|&gt;NLT&lt;/a&gt;</v>
      </c>
      <c r="O54" t="str">
        <f t="shared" si="212"/>
        <v>&lt;/li&gt;&lt;li&gt;&lt;a href=|http://nasb.scripturetext.com/exodus/4.htm| title=|New American Standard Bible| target=|_top|&gt;NAS&lt;/a&gt;</v>
      </c>
      <c r="P54" t="str">
        <f t="shared" si="212"/>
        <v>&lt;/li&gt;&lt;li&gt;&lt;a href=|http://gwt.scripturetext.com/exodus/4.htm| title=|God's Word Translation| target=|_top|&gt;GWT&lt;/a&gt;</v>
      </c>
      <c r="Q54" t="str">
        <f t="shared" si="212"/>
        <v>&lt;/li&gt;&lt;li&gt;&lt;a href=|http://kingjbible.com/exodus/4.htm| title=|King James Bible| target=|_top|&gt;KJV&lt;/a&gt;</v>
      </c>
      <c r="R54" t="str">
        <f t="shared" si="212"/>
        <v>&lt;/li&gt;&lt;li&gt;&lt;a href=|http://asvbible.com/exodus/4.htm| title=|American Standard Version| target=|_top|&gt;ASV&lt;/a&gt;</v>
      </c>
      <c r="S54" t="str">
        <f t="shared" si="212"/>
        <v>&lt;/li&gt;&lt;li&gt;&lt;a href=|http://drb.scripturetext.com/exodus/4.htm| title=|Douay-Rheims Bible| target=|_top|&gt;DRB&lt;/a&gt;</v>
      </c>
      <c r="T54" t="str">
        <f t="shared" si="212"/>
        <v>&lt;/li&gt;&lt;li&gt;&lt;a href=|http://erv.scripturetext.com/exodus/4.htm| title=|English Revised Version| target=|_top|&gt;ERV&lt;/a&gt;</v>
      </c>
      <c r="V54" t="str">
        <f>CONCATENATE("&lt;/li&gt;&lt;li&gt;&lt;a href=|http://",V1191,"/exodus/4.htm","| ","title=|",V1190,"| target=|_top|&gt;",V1192,"&lt;/a&gt;")</f>
        <v>&lt;/li&gt;&lt;li&gt;&lt;a href=|http://study.interlinearbible.org/exodus/4.htm| title=|Hebrew Study Bible| target=|_top|&gt;Heb Study&lt;/a&gt;</v>
      </c>
      <c r="W54" t="str">
        <f t="shared" si="212"/>
        <v>&lt;/li&gt;&lt;li&gt;&lt;a href=|http://apostolic.interlinearbible.org/exodus/4.htm| title=|Apostolic Bible Polyglot Interlinear| target=|_top|&gt;Polyglot&lt;/a&gt;</v>
      </c>
      <c r="X54" t="str">
        <f t="shared" si="212"/>
        <v>&lt;/li&gt;&lt;li&gt;&lt;a href=|http://interlinearbible.org/exodus/4.htm| title=|Interlinear Bible| target=|_top|&gt;Interlin&lt;/a&gt;</v>
      </c>
      <c r="Y54" t="str">
        <f t="shared" ref="Y54" si="213">CONCATENATE("&lt;/li&gt;&lt;li&gt;&lt;a href=|http://",Y1191,"/exodus/4.htm","| ","title=|",Y1190,"| target=|_top|&gt;",Y1192,"&lt;/a&gt;")</f>
        <v>&lt;/li&gt;&lt;li&gt;&lt;a href=|http://bibleoutline.org/exodus/4.htm| title=|Outline with People and Places List| target=|_top|&gt;Outline&lt;/a&gt;</v>
      </c>
      <c r="Z54" t="str">
        <f t="shared" si="212"/>
        <v>&lt;/li&gt;&lt;li&gt;&lt;a href=|http://kjvs.scripturetext.com/exodus/4.htm| title=|King James Bible with Strong's Numbers| target=|_top|&gt;Strong's&lt;/a&gt;</v>
      </c>
      <c r="AA54" t="str">
        <f t="shared" si="212"/>
        <v>&lt;/li&gt;&lt;li&gt;&lt;a href=|http://childrensbibleonline.com/exodus/4.htm| title=|The Children's Bible| target=|_top|&gt;Children's&lt;/a&gt;</v>
      </c>
      <c r="AB54" s="2" t="str">
        <f t="shared" si="212"/>
        <v>&lt;/li&gt;&lt;li&gt;&lt;a href=|http://tsk.scripturetext.com/exodus/4.htm| title=|Treasury of Scripture Knowledge| target=|_top|&gt;TSK&lt;/a&gt;</v>
      </c>
      <c r="AC54" t="str">
        <f>CONCATENATE("&lt;a href=|http://",AC1191,"/exodus/4.htm","| ","title=|",AC1190,"| target=|_top|&gt;",AC1192,"&lt;/a&gt;")</f>
        <v>&lt;a href=|http://parallelbible.com/exodus/4.htm| title=|Parallel Chapters| target=|_top|&gt;PAR&lt;/a&gt;</v>
      </c>
      <c r="AD54" s="2" t="str">
        <f t="shared" ref="AD54:AK54" si="214">CONCATENATE("&lt;/li&gt;&lt;li&gt;&lt;a href=|http://",AD1191,"/exodus/4.htm","| ","title=|",AD1190,"| target=|_top|&gt;",AD1192,"&lt;/a&gt;")</f>
        <v>&lt;/li&gt;&lt;li&gt;&lt;a href=|http://gsb.biblecommenter.com/exodus/4.htm| title=|Geneva Study Bible| target=|_top|&gt;GSB&lt;/a&gt;</v>
      </c>
      <c r="AE54" s="2" t="str">
        <f t="shared" si="214"/>
        <v>&lt;/li&gt;&lt;li&gt;&lt;a href=|http://jfb.biblecommenter.com/exodus/4.htm| title=|Jamieson-Fausset-Brown Bible Commentary| target=|_top|&gt;JFB&lt;/a&gt;</v>
      </c>
      <c r="AF54" s="2" t="str">
        <f t="shared" si="214"/>
        <v>&lt;/li&gt;&lt;li&gt;&lt;a href=|http://kjt.biblecommenter.com/exodus/4.htm| title=|King James Translators' Notes| target=|_top|&gt;KJT&lt;/a&gt;</v>
      </c>
      <c r="AG54" s="2" t="str">
        <f t="shared" si="214"/>
        <v>&lt;/li&gt;&lt;li&gt;&lt;a href=|http://mhc.biblecommenter.com/exodus/4.htm| title=|Matthew Henry's Concise Commentary| target=|_top|&gt;MHC&lt;/a&gt;</v>
      </c>
      <c r="AH54" s="2" t="str">
        <f t="shared" si="214"/>
        <v>&lt;/li&gt;&lt;li&gt;&lt;a href=|http://sco.biblecommenter.com/exodus/4.htm| title=|Scofield Reference Notes| target=|_top|&gt;SCO&lt;/a&gt;</v>
      </c>
      <c r="AI54" s="2" t="str">
        <f t="shared" si="214"/>
        <v>&lt;/li&gt;&lt;li&gt;&lt;a href=|http://wes.biblecommenter.com/exodus/4.htm| title=|Wesley's Notes on the Bible| target=|_top|&gt;WES&lt;/a&gt;</v>
      </c>
      <c r="AJ54" t="str">
        <f t="shared" si="214"/>
        <v>&lt;/li&gt;&lt;li&gt;&lt;a href=|http://worldebible.com/exodus/4.htm| title=|World English Bible| target=|_top|&gt;WEB&lt;/a&gt;</v>
      </c>
      <c r="AK54" t="str">
        <f t="shared" si="214"/>
        <v>&lt;/li&gt;&lt;li&gt;&lt;a href=|http://yltbible.com/exodus/4.htm| title=|Young's Literal Translation| target=|_top|&gt;YLT&lt;/a&gt;</v>
      </c>
      <c r="AL54" t="str">
        <f>CONCATENATE("&lt;a href=|http://",AL1191,"/exodus/4.htm","| ","title=|",AL1190,"| target=|_top|&gt;",AL1192,"&lt;/a&gt;")</f>
        <v>&lt;a href=|http://kjv.us/exodus/4.htm| title=|American King James Version| target=|_top|&gt;AKJ&lt;/a&gt;</v>
      </c>
      <c r="AM54" t="str">
        <f t="shared" ref="AM54:AN54" si="215">CONCATENATE("&lt;/li&gt;&lt;li&gt;&lt;a href=|http://",AM1191,"/exodus/4.htm","| ","title=|",AM1190,"| target=|_top|&gt;",AM1192,"&lt;/a&gt;")</f>
        <v>&lt;/li&gt;&lt;li&gt;&lt;a href=|http://basicenglishbible.com/exodus/4.htm| title=|Bible in Basic English| target=|_top|&gt;BBE&lt;/a&gt;</v>
      </c>
      <c r="AN54" t="str">
        <f t="shared" si="215"/>
        <v>&lt;/li&gt;&lt;li&gt;&lt;a href=|http://darbybible.com/exodus/4.htm| title=|Darby Bible Translation| target=|_top|&gt;DBY&lt;/a&gt;</v>
      </c>
      <c r="AO5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4" t="str">
        <f>CONCATENATE("&lt;/li&gt;&lt;li&gt;&lt;a href=|http://",AR1191,"/exodus/4.htm","| ","title=|",AR1190,"| target=|_top|&gt;",AR1192,"&lt;/a&gt;")</f>
        <v>&lt;/li&gt;&lt;li&gt;&lt;a href=|http://websterbible.com/exodus/4.htm| title=|Webster's Bible Translation| target=|_top|&gt;WBS&lt;/a&gt;</v>
      </c>
      <c r="AS5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4" t="str">
        <f>CONCATENATE("&lt;/li&gt;&lt;li&gt;&lt;a href=|http://",AT1191,"/exodus/4-1.htm","| ","title=|",AT1190,"| target=|_top|&gt;",AT1192,"&lt;/a&gt;")</f>
        <v>&lt;/li&gt;&lt;li&gt;&lt;a href=|http://biblebrowser.com/exodus/4-1.htm| title=|Split View| target=|_top|&gt;Split&lt;/a&gt;</v>
      </c>
      <c r="AU54" s="2" t="s">
        <v>1276</v>
      </c>
      <c r="AV54" t="s">
        <v>64</v>
      </c>
    </row>
    <row r="55" spans="1:48">
      <c r="A55" t="s">
        <v>622</v>
      </c>
      <c r="B55" t="s">
        <v>108</v>
      </c>
      <c r="C55" t="s">
        <v>624</v>
      </c>
      <c r="D55" t="s">
        <v>1268</v>
      </c>
      <c r="E55" t="s">
        <v>1277</v>
      </c>
      <c r="F55" t="s">
        <v>1304</v>
      </c>
      <c r="G55" t="s">
        <v>1266</v>
      </c>
      <c r="H55" t="s">
        <v>1305</v>
      </c>
      <c r="I55" t="s">
        <v>1303</v>
      </c>
      <c r="J55" t="s">
        <v>1267</v>
      </c>
      <c r="K55" t="s">
        <v>1275</v>
      </c>
      <c r="L55" s="2" t="s">
        <v>1274</v>
      </c>
      <c r="M55" t="str">
        <f t="shared" ref="M55:AB55" si="216">CONCATENATE("&lt;/li&gt;&lt;li&gt;&lt;a href=|http://",M1191,"/exodus/5.htm","| ","title=|",M1190,"| target=|_top|&gt;",M1192,"&lt;/a&gt;")</f>
        <v>&lt;/li&gt;&lt;li&gt;&lt;a href=|http://niv.scripturetext.com/exodus/5.htm| title=|New International Version| target=|_top|&gt;NIV&lt;/a&gt;</v>
      </c>
      <c r="N55" t="str">
        <f t="shared" si="216"/>
        <v>&lt;/li&gt;&lt;li&gt;&lt;a href=|http://nlt.scripturetext.com/exodus/5.htm| title=|New Living Translation| target=|_top|&gt;NLT&lt;/a&gt;</v>
      </c>
      <c r="O55" t="str">
        <f t="shared" si="216"/>
        <v>&lt;/li&gt;&lt;li&gt;&lt;a href=|http://nasb.scripturetext.com/exodus/5.htm| title=|New American Standard Bible| target=|_top|&gt;NAS&lt;/a&gt;</v>
      </c>
      <c r="P55" t="str">
        <f t="shared" si="216"/>
        <v>&lt;/li&gt;&lt;li&gt;&lt;a href=|http://gwt.scripturetext.com/exodus/5.htm| title=|God's Word Translation| target=|_top|&gt;GWT&lt;/a&gt;</v>
      </c>
      <c r="Q55" t="str">
        <f t="shared" si="216"/>
        <v>&lt;/li&gt;&lt;li&gt;&lt;a href=|http://kingjbible.com/exodus/5.htm| title=|King James Bible| target=|_top|&gt;KJV&lt;/a&gt;</v>
      </c>
      <c r="R55" t="str">
        <f t="shared" si="216"/>
        <v>&lt;/li&gt;&lt;li&gt;&lt;a href=|http://asvbible.com/exodus/5.htm| title=|American Standard Version| target=|_top|&gt;ASV&lt;/a&gt;</v>
      </c>
      <c r="S55" t="str">
        <f t="shared" si="216"/>
        <v>&lt;/li&gt;&lt;li&gt;&lt;a href=|http://drb.scripturetext.com/exodus/5.htm| title=|Douay-Rheims Bible| target=|_top|&gt;DRB&lt;/a&gt;</v>
      </c>
      <c r="T55" t="str">
        <f t="shared" si="216"/>
        <v>&lt;/li&gt;&lt;li&gt;&lt;a href=|http://erv.scripturetext.com/exodus/5.htm| title=|English Revised Version| target=|_top|&gt;ERV&lt;/a&gt;</v>
      </c>
      <c r="V55" t="str">
        <f>CONCATENATE("&lt;/li&gt;&lt;li&gt;&lt;a href=|http://",V1191,"/exodus/5.htm","| ","title=|",V1190,"| target=|_top|&gt;",V1192,"&lt;/a&gt;")</f>
        <v>&lt;/li&gt;&lt;li&gt;&lt;a href=|http://study.interlinearbible.org/exodus/5.htm| title=|Hebrew Study Bible| target=|_top|&gt;Heb Study&lt;/a&gt;</v>
      </c>
      <c r="W55" t="str">
        <f t="shared" si="216"/>
        <v>&lt;/li&gt;&lt;li&gt;&lt;a href=|http://apostolic.interlinearbible.org/exodus/5.htm| title=|Apostolic Bible Polyglot Interlinear| target=|_top|&gt;Polyglot&lt;/a&gt;</v>
      </c>
      <c r="X55" t="str">
        <f t="shared" si="216"/>
        <v>&lt;/li&gt;&lt;li&gt;&lt;a href=|http://interlinearbible.org/exodus/5.htm| title=|Interlinear Bible| target=|_top|&gt;Interlin&lt;/a&gt;</v>
      </c>
      <c r="Y55" t="str">
        <f t="shared" ref="Y55" si="217">CONCATENATE("&lt;/li&gt;&lt;li&gt;&lt;a href=|http://",Y1191,"/exodus/5.htm","| ","title=|",Y1190,"| target=|_top|&gt;",Y1192,"&lt;/a&gt;")</f>
        <v>&lt;/li&gt;&lt;li&gt;&lt;a href=|http://bibleoutline.org/exodus/5.htm| title=|Outline with People and Places List| target=|_top|&gt;Outline&lt;/a&gt;</v>
      </c>
      <c r="Z55" t="str">
        <f t="shared" si="216"/>
        <v>&lt;/li&gt;&lt;li&gt;&lt;a href=|http://kjvs.scripturetext.com/exodus/5.htm| title=|King James Bible with Strong's Numbers| target=|_top|&gt;Strong's&lt;/a&gt;</v>
      </c>
      <c r="AA55" t="str">
        <f t="shared" si="216"/>
        <v>&lt;/li&gt;&lt;li&gt;&lt;a href=|http://childrensbibleonline.com/exodus/5.htm| title=|The Children's Bible| target=|_top|&gt;Children's&lt;/a&gt;</v>
      </c>
      <c r="AB55" s="2" t="str">
        <f t="shared" si="216"/>
        <v>&lt;/li&gt;&lt;li&gt;&lt;a href=|http://tsk.scripturetext.com/exodus/5.htm| title=|Treasury of Scripture Knowledge| target=|_top|&gt;TSK&lt;/a&gt;</v>
      </c>
      <c r="AC55" t="str">
        <f>CONCATENATE("&lt;a href=|http://",AC1191,"/exodus/5.htm","| ","title=|",AC1190,"| target=|_top|&gt;",AC1192,"&lt;/a&gt;")</f>
        <v>&lt;a href=|http://parallelbible.com/exodus/5.htm| title=|Parallel Chapters| target=|_top|&gt;PAR&lt;/a&gt;</v>
      </c>
      <c r="AD55" s="2" t="str">
        <f t="shared" ref="AD55:AK55" si="218">CONCATENATE("&lt;/li&gt;&lt;li&gt;&lt;a href=|http://",AD1191,"/exodus/5.htm","| ","title=|",AD1190,"| target=|_top|&gt;",AD1192,"&lt;/a&gt;")</f>
        <v>&lt;/li&gt;&lt;li&gt;&lt;a href=|http://gsb.biblecommenter.com/exodus/5.htm| title=|Geneva Study Bible| target=|_top|&gt;GSB&lt;/a&gt;</v>
      </c>
      <c r="AE55" s="2" t="str">
        <f t="shared" si="218"/>
        <v>&lt;/li&gt;&lt;li&gt;&lt;a href=|http://jfb.biblecommenter.com/exodus/5.htm| title=|Jamieson-Fausset-Brown Bible Commentary| target=|_top|&gt;JFB&lt;/a&gt;</v>
      </c>
      <c r="AF55" s="2" t="str">
        <f t="shared" si="218"/>
        <v>&lt;/li&gt;&lt;li&gt;&lt;a href=|http://kjt.biblecommenter.com/exodus/5.htm| title=|King James Translators' Notes| target=|_top|&gt;KJT&lt;/a&gt;</v>
      </c>
      <c r="AG55" s="2" t="str">
        <f t="shared" si="218"/>
        <v>&lt;/li&gt;&lt;li&gt;&lt;a href=|http://mhc.biblecommenter.com/exodus/5.htm| title=|Matthew Henry's Concise Commentary| target=|_top|&gt;MHC&lt;/a&gt;</v>
      </c>
      <c r="AH55" s="2" t="str">
        <f t="shared" si="218"/>
        <v>&lt;/li&gt;&lt;li&gt;&lt;a href=|http://sco.biblecommenter.com/exodus/5.htm| title=|Scofield Reference Notes| target=|_top|&gt;SCO&lt;/a&gt;</v>
      </c>
      <c r="AI55" s="2" t="str">
        <f t="shared" si="218"/>
        <v>&lt;/li&gt;&lt;li&gt;&lt;a href=|http://wes.biblecommenter.com/exodus/5.htm| title=|Wesley's Notes on the Bible| target=|_top|&gt;WES&lt;/a&gt;</v>
      </c>
      <c r="AJ55" t="str">
        <f t="shared" si="218"/>
        <v>&lt;/li&gt;&lt;li&gt;&lt;a href=|http://worldebible.com/exodus/5.htm| title=|World English Bible| target=|_top|&gt;WEB&lt;/a&gt;</v>
      </c>
      <c r="AK55" t="str">
        <f t="shared" si="218"/>
        <v>&lt;/li&gt;&lt;li&gt;&lt;a href=|http://yltbible.com/exodus/5.htm| title=|Young's Literal Translation| target=|_top|&gt;YLT&lt;/a&gt;</v>
      </c>
      <c r="AL55" t="str">
        <f>CONCATENATE("&lt;a href=|http://",AL1191,"/exodus/5.htm","| ","title=|",AL1190,"| target=|_top|&gt;",AL1192,"&lt;/a&gt;")</f>
        <v>&lt;a href=|http://kjv.us/exodus/5.htm| title=|American King James Version| target=|_top|&gt;AKJ&lt;/a&gt;</v>
      </c>
      <c r="AM55" t="str">
        <f t="shared" ref="AM55:AN55" si="219">CONCATENATE("&lt;/li&gt;&lt;li&gt;&lt;a href=|http://",AM1191,"/exodus/5.htm","| ","title=|",AM1190,"| target=|_top|&gt;",AM1192,"&lt;/a&gt;")</f>
        <v>&lt;/li&gt;&lt;li&gt;&lt;a href=|http://basicenglishbible.com/exodus/5.htm| title=|Bible in Basic English| target=|_top|&gt;BBE&lt;/a&gt;</v>
      </c>
      <c r="AN55" t="str">
        <f t="shared" si="219"/>
        <v>&lt;/li&gt;&lt;li&gt;&lt;a href=|http://darbybible.com/exodus/5.htm| title=|Darby Bible Translation| target=|_top|&gt;DBY&lt;/a&gt;</v>
      </c>
      <c r="AO5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5" t="str">
        <f>CONCATENATE("&lt;/li&gt;&lt;li&gt;&lt;a href=|http://",AR1191,"/exodus/5.htm","| ","title=|",AR1190,"| target=|_top|&gt;",AR1192,"&lt;/a&gt;")</f>
        <v>&lt;/li&gt;&lt;li&gt;&lt;a href=|http://websterbible.com/exodus/5.htm| title=|Webster's Bible Translation| target=|_top|&gt;WBS&lt;/a&gt;</v>
      </c>
      <c r="AS5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5" t="str">
        <f>CONCATENATE("&lt;/li&gt;&lt;li&gt;&lt;a href=|http://",AT1191,"/exodus/5-1.htm","| ","title=|",AT1190,"| target=|_top|&gt;",AT1192,"&lt;/a&gt;")</f>
        <v>&lt;/li&gt;&lt;li&gt;&lt;a href=|http://biblebrowser.com/exodus/5-1.htm| title=|Split View| target=|_top|&gt;Split&lt;/a&gt;</v>
      </c>
      <c r="AU55" s="2" t="s">
        <v>1276</v>
      </c>
      <c r="AV55" t="s">
        <v>64</v>
      </c>
    </row>
    <row r="56" spans="1:48">
      <c r="A56" t="s">
        <v>622</v>
      </c>
      <c r="B56" t="s">
        <v>109</v>
      </c>
      <c r="C56" t="s">
        <v>624</v>
      </c>
      <c r="D56" t="s">
        <v>1268</v>
      </c>
      <c r="E56" t="s">
        <v>1277</v>
      </c>
      <c r="F56" t="s">
        <v>1304</v>
      </c>
      <c r="G56" t="s">
        <v>1266</v>
      </c>
      <c r="H56" t="s">
        <v>1305</v>
      </c>
      <c r="I56" t="s">
        <v>1303</v>
      </c>
      <c r="J56" t="s">
        <v>1267</v>
      </c>
      <c r="K56" t="s">
        <v>1275</v>
      </c>
      <c r="L56" s="2" t="s">
        <v>1274</v>
      </c>
      <c r="M56" t="str">
        <f t="shared" ref="M56:AB56" si="220">CONCATENATE("&lt;/li&gt;&lt;li&gt;&lt;a href=|http://",M1191,"/exodus/6.htm","| ","title=|",M1190,"| target=|_top|&gt;",M1192,"&lt;/a&gt;")</f>
        <v>&lt;/li&gt;&lt;li&gt;&lt;a href=|http://niv.scripturetext.com/exodus/6.htm| title=|New International Version| target=|_top|&gt;NIV&lt;/a&gt;</v>
      </c>
      <c r="N56" t="str">
        <f t="shared" si="220"/>
        <v>&lt;/li&gt;&lt;li&gt;&lt;a href=|http://nlt.scripturetext.com/exodus/6.htm| title=|New Living Translation| target=|_top|&gt;NLT&lt;/a&gt;</v>
      </c>
      <c r="O56" t="str">
        <f t="shared" si="220"/>
        <v>&lt;/li&gt;&lt;li&gt;&lt;a href=|http://nasb.scripturetext.com/exodus/6.htm| title=|New American Standard Bible| target=|_top|&gt;NAS&lt;/a&gt;</v>
      </c>
      <c r="P56" t="str">
        <f t="shared" si="220"/>
        <v>&lt;/li&gt;&lt;li&gt;&lt;a href=|http://gwt.scripturetext.com/exodus/6.htm| title=|God's Word Translation| target=|_top|&gt;GWT&lt;/a&gt;</v>
      </c>
      <c r="Q56" t="str">
        <f t="shared" si="220"/>
        <v>&lt;/li&gt;&lt;li&gt;&lt;a href=|http://kingjbible.com/exodus/6.htm| title=|King James Bible| target=|_top|&gt;KJV&lt;/a&gt;</v>
      </c>
      <c r="R56" t="str">
        <f t="shared" si="220"/>
        <v>&lt;/li&gt;&lt;li&gt;&lt;a href=|http://asvbible.com/exodus/6.htm| title=|American Standard Version| target=|_top|&gt;ASV&lt;/a&gt;</v>
      </c>
      <c r="S56" t="str">
        <f t="shared" si="220"/>
        <v>&lt;/li&gt;&lt;li&gt;&lt;a href=|http://drb.scripturetext.com/exodus/6.htm| title=|Douay-Rheims Bible| target=|_top|&gt;DRB&lt;/a&gt;</v>
      </c>
      <c r="T56" t="str">
        <f t="shared" si="220"/>
        <v>&lt;/li&gt;&lt;li&gt;&lt;a href=|http://erv.scripturetext.com/exodus/6.htm| title=|English Revised Version| target=|_top|&gt;ERV&lt;/a&gt;</v>
      </c>
      <c r="V56" t="str">
        <f>CONCATENATE("&lt;/li&gt;&lt;li&gt;&lt;a href=|http://",V1191,"/exodus/6.htm","| ","title=|",V1190,"| target=|_top|&gt;",V1192,"&lt;/a&gt;")</f>
        <v>&lt;/li&gt;&lt;li&gt;&lt;a href=|http://study.interlinearbible.org/exodus/6.htm| title=|Hebrew Study Bible| target=|_top|&gt;Heb Study&lt;/a&gt;</v>
      </c>
      <c r="W56" t="str">
        <f t="shared" si="220"/>
        <v>&lt;/li&gt;&lt;li&gt;&lt;a href=|http://apostolic.interlinearbible.org/exodus/6.htm| title=|Apostolic Bible Polyglot Interlinear| target=|_top|&gt;Polyglot&lt;/a&gt;</v>
      </c>
      <c r="X56" t="str">
        <f t="shared" si="220"/>
        <v>&lt;/li&gt;&lt;li&gt;&lt;a href=|http://interlinearbible.org/exodus/6.htm| title=|Interlinear Bible| target=|_top|&gt;Interlin&lt;/a&gt;</v>
      </c>
      <c r="Y56" t="str">
        <f t="shared" ref="Y56" si="221">CONCATENATE("&lt;/li&gt;&lt;li&gt;&lt;a href=|http://",Y1191,"/exodus/6.htm","| ","title=|",Y1190,"| target=|_top|&gt;",Y1192,"&lt;/a&gt;")</f>
        <v>&lt;/li&gt;&lt;li&gt;&lt;a href=|http://bibleoutline.org/exodus/6.htm| title=|Outline with People and Places List| target=|_top|&gt;Outline&lt;/a&gt;</v>
      </c>
      <c r="Z56" t="str">
        <f t="shared" si="220"/>
        <v>&lt;/li&gt;&lt;li&gt;&lt;a href=|http://kjvs.scripturetext.com/exodus/6.htm| title=|King James Bible with Strong's Numbers| target=|_top|&gt;Strong's&lt;/a&gt;</v>
      </c>
      <c r="AA56" t="str">
        <f t="shared" si="220"/>
        <v>&lt;/li&gt;&lt;li&gt;&lt;a href=|http://childrensbibleonline.com/exodus/6.htm| title=|The Children's Bible| target=|_top|&gt;Children's&lt;/a&gt;</v>
      </c>
      <c r="AB56" s="2" t="str">
        <f t="shared" si="220"/>
        <v>&lt;/li&gt;&lt;li&gt;&lt;a href=|http://tsk.scripturetext.com/exodus/6.htm| title=|Treasury of Scripture Knowledge| target=|_top|&gt;TSK&lt;/a&gt;</v>
      </c>
      <c r="AC56" t="str">
        <f>CONCATENATE("&lt;a href=|http://",AC1191,"/exodus/6.htm","| ","title=|",AC1190,"| target=|_top|&gt;",AC1192,"&lt;/a&gt;")</f>
        <v>&lt;a href=|http://parallelbible.com/exodus/6.htm| title=|Parallel Chapters| target=|_top|&gt;PAR&lt;/a&gt;</v>
      </c>
      <c r="AD56" s="2" t="str">
        <f t="shared" ref="AD56:AK56" si="222">CONCATENATE("&lt;/li&gt;&lt;li&gt;&lt;a href=|http://",AD1191,"/exodus/6.htm","| ","title=|",AD1190,"| target=|_top|&gt;",AD1192,"&lt;/a&gt;")</f>
        <v>&lt;/li&gt;&lt;li&gt;&lt;a href=|http://gsb.biblecommenter.com/exodus/6.htm| title=|Geneva Study Bible| target=|_top|&gt;GSB&lt;/a&gt;</v>
      </c>
      <c r="AE56" s="2" t="str">
        <f t="shared" si="222"/>
        <v>&lt;/li&gt;&lt;li&gt;&lt;a href=|http://jfb.biblecommenter.com/exodus/6.htm| title=|Jamieson-Fausset-Brown Bible Commentary| target=|_top|&gt;JFB&lt;/a&gt;</v>
      </c>
      <c r="AF56" s="2" t="str">
        <f t="shared" si="222"/>
        <v>&lt;/li&gt;&lt;li&gt;&lt;a href=|http://kjt.biblecommenter.com/exodus/6.htm| title=|King James Translators' Notes| target=|_top|&gt;KJT&lt;/a&gt;</v>
      </c>
      <c r="AG56" s="2" t="str">
        <f t="shared" si="222"/>
        <v>&lt;/li&gt;&lt;li&gt;&lt;a href=|http://mhc.biblecommenter.com/exodus/6.htm| title=|Matthew Henry's Concise Commentary| target=|_top|&gt;MHC&lt;/a&gt;</v>
      </c>
      <c r="AH56" s="2" t="str">
        <f t="shared" si="222"/>
        <v>&lt;/li&gt;&lt;li&gt;&lt;a href=|http://sco.biblecommenter.com/exodus/6.htm| title=|Scofield Reference Notes| target=|_top|&gt;SCO&lt;/a&gt;</v>
      </c>
      <c r="AI56" s="2" t="str">
        <f t="shared" si="222"/>
        <v>&lt;/li&gt;&lt;li&gt;&lt;a href=|http://wes.biblecommenter.com/exodus/6.htm| title=|Wesley's Notes on the Bible| target=|_top|&gt;WES&lt;/a&gt;</v>
      </c>
      <c r="AJ56" t="str">
        <f t="shared" si="222"/>
        <v>&lt;/li&gt;&lt;li&gt;&lt;a href=|http://worldebible.com/exodus/6.htm| title=|World English Bible| target=|_top|&gt;WEB&lt;/a&gt;</v>
      </c>
      <c r="AK56" t="str">
        <f t="shared" si="222"/>
        <v>&lt;/li&gt;&lt;li&gt;&lt;a href=|http://yltbible.com/exodus/6.htm| title=|Young's Literal Translation| target=|_top|&gt;YLT&lt;/a&gt;</v>
      </c>
      <c r="AL56" t="str">
        <f>CONCATENATE("&lt;a href=|http://",AL1191,"/exodus/6.htm","| ","title=|",AL1190,"| target=|_top|&gt;",AL1192,"&lt;/a&gt;")</f>
        <v>&lt;a href=|http://kjv.us/exodus/6.htm| title=|American King James Version| target=|_top|&gt;AKJ&lt;/a&gt;</v>
      </c>
      <c r="AM56" t="str">
        <f t="shared" ref="AM56:AN56" si="223">CONCATENATE("&lt;/li&gt;&lt;li&gt;&lt;a href=|http://",AM1191,"/exodus/6.htm","| ","title=|",AM1190,"| target=|_top|&gt;",AM1192,"&lt;/a&gt;")</f>
        <v>&lt;/li&gt;&lt;li&gt;&lt;a href=|http://basicenglishbible.com/exodus/6.htm| title=|Bible in Basic English| target=|_top|&gt;BBE&lt;/a&gt;</v>
      </c>
      <c r="AN56" t="str">
        <f t="shared" si="223"/>
        <v>&lt;/li&gt;&lt;li&gt;&lt;a href=|http://darbybible.com/exodus/6.htm| title=|Darby Bible Translation| target=|_top|&gt;DBY&lt;/a&gt;</v>
      </c>
      <c r="AO5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6" t="str">
        <f>CONCATENATE("&lt;/li&gt;&lt;li&gt;&lt;a href=|http://",AR1191,"/exodus/6.htm","| ","title=|",AR1190,"| target=|_top|&gt;",AR1192,"&lt;/a&gt;")</f>
        <v>&lt;/li&gt;&lt;li&gt;&lt;a href=|http://websterbible.com/exodus/6.htm| title=|Webster's Bible Translation| target=|_top|&gt;WBS&lt;/a&gt;</v>
      </c>
      <c r="AS5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6" t="str">
        <f>CONCATENATE("&lt;/li&gt;&lt;li&gt;&lt;a href=|http://",AT1191,"/exodus/6-1.htm","| ","title=|",AT1190,"| target=|_top|&gt;",AT1192,"&lt;/a&gt;")</f>
        <v>&lt;/li&gt;&lt;li&gt;&lt;a href=|http://biblebrowser.com/exodus/6-1.htm| title=|Split View| target=|_top|&gt;Split&lt;/a&gt;</v>
      </c>
      <c r="AU56" s="2" t="s">
        <v>1276</v>
      </c>
      <c r="AV56" t="s">
        <v>64</v>
      </c>
    </row>
    <row r="57" spans="1:48">
      <c r="A57" t="s">
        <v>622</v>
      </c>
      <c r="B57" t="s">
        <v>110</v>
      </c>
      <c r="C57" t="s">
        <v>624</v>
      </c>
      <c r="D57" t="s">
        <v>1268</v>
      </c>
      <c r="E57" t="s">
        <v>1277</v>
      </c>
      <c r="F57" t="s">
        <v>1304</v>
      </c>
      <c r="G57" t="s">
        <v>1266</v>
      </c>
      <c r="H57" t="s">
        <v>1305</v>
      </c>
      <c r="I57" t="s">
        <v>1303</v>
      </c>
      <c r="J57" t="s">
        <v>1267</v>
      </c>
      <c r="K57" t="s">
        <v>1275</v>
      </c>
      <c r="L57" s="2" t="s">
        <v>1274</v>
      </c>
      <c r="M57" t="str">
        <f t="shared" ref="M57:AB57" si="224">CONCATENATE("&lt;/li&gt;&lt;li&gt;&lt;a href=|http://",M1191,"/exodus/7.htm","| ","title=|",M1190,"| target=|_top|&gt;",M1192,"&lt;/a&gt;")</f>
        <v>&lt;/li&gt;&lt;li&gt;&lt;a href=|http://niv.scripturetext.com/exodus/7.htm| title=|New International Version| target=|_top|&gt;NIV&lt;/a&gt;</v>
      </c>
      <c r="N57" t="str">
        <f t="shared" si="224"/>
        <v>&lt;/li&gt;&lt;li&gt;&lt;a href=|http://nlt.scripturetext.com/exodus/7.htm| title=|New Living Translation| target=|_top|&gt;NLT&lt;/a&gt;</v>
      </c>
      <c r="O57" t="str">
        <f t="shared" si="224"/>
        <v>&lt;/li&gt;&lt;li&gt;&lt;a href=|http://nasb.scripturetext.com/exodus/7.htm| title=|New American Standard Bible| target=|_top|&gt;NAS&lt;/a&gt;</v>
      </c>
      <c r="P57" t="str">
        <f t="shared" si="224"/>
        <v>&lt;/li&gt;&lt;li&gt;&lt;a href=|http://gwt.scripturetext.com/exodus/7.htm| title=|God's Word Translation| target=|_top|&gt;GWT&lt;/a&gt;</v>
      </c>
      <c r="Q57" t="str">
        <f t="shared" si="224"/>
        <v>&lt;/li&gt;&lt;li&gt;&lt;a href=|http://kingjbible.com/exodus/7.htm| title=|King James Bible| target=|_top|&gt;KJV&lt;/a&gt;</v>
      </c>
      <c r="R57" t="str">
        <f t="shared" si="224"/>
        <v>&lt;/li&gt;&lt;li&gt;&lt;a href=|http://asvbible.com/exodus/7.htm| title=|American Standard Version| target=|_top|&gt;ASV&lt;/a&gt;</v>
      </c>
      <c r="S57" t="str">
        <f t="shared" si="224"/>
        <v>&lt;/li&gt;&lt;li&gt;&lt;a href=|http://drb.scripturetext.com/exodus/7.htm| title=|Douay-Rheims Bible| target=|_top|&gt;DRB&lt;/a&gt;</v>
      </c>
      <c r="T57" t="str">
        <f t="shared" si="224"/>
        <v>&lt;/li&gt;&lt;li&gt;&lt;a href=|http://erv.scripturetext.com/exodus/7.htm| title=|English Revised Version| target=|_top|&gt;ERV&lt;/a&gt;</v>
      </c>
      <c r="V57" t="str">
        <f>CONCATENATE("&lt;/li&gt;&lt;li&gt;&lt;a href=|http://",V1191,"/exodus/7.htm","| ","title=|",V1190,"| target=|_top|&gt;",V1192,"&lt;/a&gt;")</f>
        <v>&lt;/li&gt;&lt;li&gt;&lt;a href=|http://study.interlinearbible.org/exodus/7.htm| title=|Hebrew Study Bible| target=|_top|&gt;Heb Study&lt;/a&gt;</v>
      </c>
      <c r="W57" t="str">
        <f t="shared" si="224"/>
        <v>&lt;/li&gt;&lt;li&gt;&lt;a href=|http://apostolic.interlinearbible.org/exodus/7.htm| title=|Apostolic Bible Polyglot Interlinear| target=|_top|&gt;Polyglot&lt;/a&gt;</v>
      </c>
      <c r="X57" t="str">
        <f t="shared" si="224"/>
        <v>&lt;/li&gt;&lt;li&gt;&lt;a href=|http://interlinearbible.org/exodus/7.htm| title=|Interlinear Bible| target=|_top|&gt;Interlin&lt;/a&gt;</v>
      </c>
      <c r="Y57" t="str">
        <f t="shared" ref="Y57" si="225">CONCATENATE("&lt;/li&gt;&lt;li&gt;&lt;a href=|http://",Y1191,"/exodus/7.htm","| ","title=|",Y1190,"| target=|_top|&gt;",Y1192,"&lt;/a&gt;")</f>
        <v>&lt;/li&gt;&lt;li&gt;&lt;a href=|http://bibleoutline.org/exodus/7.htm| title=|Outline with People and Places List| target=|_top|&gt;Outline&lt;/a&gt;</v>
      </c>
      <c r="Z57" t="str">
        <f t="shared" si="224"/>
        <v>&lt;/li&gt;&lt;li&gt;&lt;a href=|http://kjvs.scripturetext.com/exodus/7.htm| title=|King James Bible with Strong's Numbers| target=|_top|&gt;Strong's&lt;/a&gt;</v>
      </c>
      <c r="AA57" t="str">
        <f t="shared" si="224"/>
        <v>&lt;/li&gt;&lt;li&gt;&lt;a href=|http://childrensbibleonline.com/exodus/7.htm| title=|The Children's Bible| target=|_top|&gt;Children's&lt;/a&gt;</v>
      </c>
      <c r="AB57" s="2" t="str">
        <f t="shared" si="224"/>
        <v>&lt;/li&gt;&lt;li&gt;&lt;a href=|http://tsk.scripturetext.com/exodus/7.htm| title=|Treasury of Scripture Knowledge| target=|_top|&gt;TSK&lt;/a&gt;</v>
      </c>
      <c r="AC57" t="str">
        <f>CONCATENATE("&lt;a href=|http://",AC1191,"/exodus/7.htm","| ","title=|",AC1190,"| target=|_top|&gt;",AC1192,"&lt;/a&gt;")</f>
        <v>&lt;a href=|http://parallelbible.com/exodus/7.htm| title=|Parallel Chapters| target=|_top|&gt;PAR&lt;/a&gt;</v>
      </c>
      <c r="AD57" s="2" t="str">
        <f t="shared" ref="AD57:AK57" si="226">CONCATENATE("&lt;/li&gt;&lt;li&gt;&lt;a href=|http://",AD1191,"/exodus/7.htm","| ","title=|",AD1190,"| target=|_top|&gt;",AD1192,"&lt;/a&gt;")</f>
        <v>&lt;/li&gt;&lt;li&gt;&lt;a href=|http://gsb.biblecommenter.com/exodus/7.htm| title=|Geneva Study Bible| target=|_top|&gt;GSB&lt;/a&gt;</v>
      </c>
      <c r="AE57" s="2" t="str">
        <f t="shared" si="226"/>
        <v>&lt;/li&gt;&lt;li&gt;&lt;a href=|http://jfb.biblecommenter.com/exodus/7.htm| title=|Jamieson-Fausset-Brown Bible Commentary| target=|_top|&gt;JFB&lt;/a&gt;</v>
      </c>
      <c r="AF57" s="2" t="str">
        <f t="shared" si="226"/>
        <v>&lt;/li&gt;&lt;li&gt;&lt;a href=|http://kjt.biblecommenter.com/exodus/7.htm| title=|King James Translators' Notes| target=|_top|&gt;KJT&lt;/a&gt;</v>
      </c>
      <c r="AG57" s="2" t="str">
        <f t="shared" si="226"/>
        <v>&lt;/li&gt;&lt;li&gt;&lt;a href=|http://mhc.biblecommenter.com/exodus/7.htm| title=|Matthew Henry's Concise Commentary| target=|_top|&gt;MHC&lt;/a&gt;</v>
      </c>
      <c r="AH57" s="2" t="str">
        <f t="shared" si="226"/>
        <v>&lt;/li&gt;&lt;li&gt;&lt;a href=|http://sco.biblecommenter.com/exodus/7.htm| title=|Scofield Reference Notes| target=|_top|&gt;SCO&lt;/a&gt;</v>
      </c>
      <c r="AI57" s="2" t="str">
        <f t="shared" si="226"/>
        <v>&lt;/li&gt;&lt;li&gt;&lt;a href=|http://wes.biblecommenter.com/exodus/7.htm| title=|Wesley's Notes on the Bible| target=|_top|&gt;WES&lt;/a&gt;</v>
      </c>
      <c r="AJ57" t="str">
        <f t="shared" si="226"/>
        <v>&lt;/li&gt;&lt;li&gt;&lt;a href=|http://worldebible.com/exodus/7.htm| title=|World English Bible| target=|_top|&gt;WEB&lt;/a&gt;</v>
      </c>
      <c r="AK57" t="str">
        <f t="shared" si="226"/>
        <v>&lt;/li&gt;&lt;li&gt;&lt;a href=|http://yltbible.com/exodus/7.htm| title=|Young's Literal Translation| target=|_top|&gt;YLT&lt;/a&gt;</v>
      </c>
      <c r="AL57" t="str">
        <f>CONCATENATE("&lt;a href=|http://",AL1191,"/exodus/7.htm","| ","title=|",AL1190,"| target=|_top|&gt;",AL1192,"&lt;/a&gt;")</f>
        <v>&lt;a href=|http://kjv.us/exodus/7.htm| title=|American King James Version| target=|_top|&gt;AKJ&lt;/a&gt;</v>
      </c>
      <c r="AM57" t="str">
        <f t="shared" ref="AM57:AN57" si="227">CONCATENATE("&lt;/li&gt;&lt;li&gt;&lt;a href=|http://",AM1191,"/exodus/7.htm","| ","title=|",AM1190,"| target=|_top|&gt;",AM1192,"&lt;/a&gt;")</f>
        <v>&lt;/li&gt;&lt;li&gt;&lt;a href=|http://basicenglishbible.com/exodus/7.htm| title=|Bible in Basic English| target=|_top|&gt;BBE&lt;/a&gt;</v>
      </c>
      <c r="AN57" t="str">
        <f t="shared" si="227"/>
        <v>&lt;/li&gt;&lt;li&gt;&lt;a href=|http://darbybible.com/exodus/7.htm| title=|Darby Bible Translation| target=|_top|&gt;DBY&lt;/a&gt;</v>
      </c>
      <c r="AO5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7" t="str">
        <f>CONCATENATE("&lt;/li&gt;&lt;li&gt;&lt;a href=|http://",AR1191,"/exodus/7.htm","| ","title=|",AR1190,"| target=|_top|&gt;",AR1192,"&lt;/a&gt;")</f>
        <v>&lt;/li&gt;&lt;li&gt;&lt;a href=|http://websterbible.com/exodus/7.htm| title=|Webster's Bible Translation| target=|_top|&gt;WBS&lt;/a&gt;</v>
      </c>
      <c r="AS5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7" t="str">
        <f>CONCATENATE("&lt;/li&gt;&lt;li&gt;&lt;a href=|http://",AT1191,"/exodus/7-1.htm","| ","title=|",AT1190,"| target=|_top|&gt;",AT1192,"&lt;/a&gt;")</f>
        <v>&lt;/li&gt;&lt;li&gt;&lt;a href=|http://biblebrowser.com/exodus/7-1.htm| title=|Split View| target=|_top|&gt;Split&lt;/a&gt;</v>
      </c>
      <c r="AU57" s="2" t="s">
        <v>1276</v>
      </c>
      <c r="AV57" t="s">
        <v>64</v>
      </c>
    </row>
    <row r="58" spans="1:48">
      <c r="A58" t="s">
        <v>622</v>
      </c>
      <c r="B58" t="s">
        <v>111</v>
      </c>
      <c r="C58" t="s">
        <v>624</v>
      </c>
      <c r="D58" t="s">
        <v>1268</v>
      </c>
      <c r="E58" t="s">
        <v>1277</v>
      </c>
      <c r="F58" t="s">
        <v>1304</v>
      </c>
      <c r="G58" t="s">
        <v>1266</v>
      </c>
      <c r="H58" t="s">
        <v>1305</v>
      </c>
      <c r="I58" t="s">
        <v>1303</v>
      </c>
      <c r="J58" t="s">
        <v>1267</v>
      </c>
      <c r="K58" t="s">
        <v>1275</v>
      </c>
      <c r="L58" s="2" t="s">
        <v>1274</v>
      </c>
      <c r="M58" t="str">
        <f t="shared" ref="M58:AB58" si="228">CONCATENATE("&lt;/li&gt;&lt;li&gt;&lt;a href=|http://",M1191,"/exodus/8.htm","| ","title=|",M1190,"| target=|_top|&gt;",M1192,"&lt;/a&gt;")</f>
        <v>&lt;/li&gt;&lt;li&gt;&lt;a href=|http://niv.scripturetext.com/exodus/8.htm| title=|New International Version| target=|_top|&gt;NIV&lt;/a&gt;</v>
      </c>
      <c r="N58" t="str">
        <f t="shared" si="228"/>
        <v>&lt;/li&gt;&lt;li&gt;&lt;a href=|http://nlt.scripturetext.com/exodus/8.htm| title=|New Living Translation| target=|_top|&gt;NLT&lt;/a&gt;</v>
      </c>
      <c r="O58" t="str">
        <f t="shared" si="228"/>
        <v>&lt;/li&gt;&lt;li&gt;&lt;a href=|http://nasb.scripturetext.com/exodus/8.htm| title=|New American Standard Bible| target=|_top|&gt;NAS&lt;/a&gt;</v>
      </c>
      <c r="P58" t="str">
        <f t="shared" si="228"/>
        <v>&lt;/li&gt;&lt;li&gt;&lt;a href=|http://gwt.scripturetext.com/exodus/8.htm| title=|God's Word Translation| target=|_top|&gt;GWT&lt;/a&gt;</v>
      </c>
      <c r="Q58" t="str">
        <f t="shared" si="228"/>
        <v>&lt;/li&gt;&lt;li&gt;&lt;a href=|http://kingjbible.com/exodus/8.htm| title=|King James Bible| target=|_top|&gt;KJV&lt;/a&gt;</v>
      </c>
      <c r="R58" t="str">
        <f t="shared" si="228"/>
        <v>&lt;/li&gt;&lt;li&gt;&lt;a href=|http://asvbible.com/exodus/8.htm| title=|American Standard Version| target=|_top|&gt;ASV&lt;/a&gt;</v>
      </c>
      <c r="S58" t="str">
        <f t="shared" si="228"/>
        <v>&lt;/li&gt;&lt;li&gt;&lt;a href=|http://drb.scripturetext.com/exodus/8.htm| title=|Douay-Rheims Bible| target=|_top|&gt;DRB&lt;/a&gt;</v>
      </c>
      <c r="T58" t="str">
        <f t="shared" si="228"/>
        <v>&lt;/li&gt;&lt;li&gt;&lt;a href=|http://erv.scripturetext.com/exodus/8.htm| title=|English Revised Version| target=|_top|&gt;ERV&lt;/a&gt;</v>
      </c>
      <c r="V58" t="str">
        <f>CONCATENATE("&lt;/li&gt;&lt;li&gt;&lt;a href=|http://",V1191,"/exodus/8.htm","| ","title=|",V1190,"| target=|_top|&gt;",V1192,"&lt;/a&gt;")</f>
        <v>&lt;/li&gt;&lt;li&gt;&lt;a href=|http://study.interlinearbible.org/exodus/8.htm| title=|Hebrew Study Bible| target=|_top|&gt;Heb Study&lt;/a&gt;</v>
      </c>
      <c r="W58" t="str">
        <f t="shared" si="228"/>
        <v>&lt;/li&gt;&lt;li&gt;&lt;a href=|http://apostolic.interlinearbible.org/exodus/8.htm| title=|Apostolic Bible Polyglot Interlinear| target=|_top|&gt;Polyglot&lt;/a&gt;</v>
      </c>
      <c r="X58" t="str">
        <f t="shared" si="228"/>
        <v>&lt;/li&gt;&lt;li&gt;&lt;a href=|http://interlinearbible.org/exodus/8.htm| title=|Interlinear Bible| target=|_top|&gt;Interlin&lt;/a&gt;</v>
      </c>
      <c r="Y58" t="str">
        <f t="shared" ref="Y58" si="229">CONCATENATE("&lt;/li&gt;&lt;li&gt;&lt;a href=|http://",Y1191,"/exodus/8.htm","| ","title=|",Y1190,"| target=|_top|&gt;",Y1192,"&lt;/a&gt;")</f>
        <v>&lt;/li&gt;&lt;li&gt;&lt;a href=|http://bibleoutline.org/exodus/8.htm| title=|Outline with People and Places List| target=|_top|&gt;Outline&lt;/a&gt;</v>
      </c>
      <c r="Z58" t="str">
        <f t="shared" si="228"/>
        <v>&lt;/li&gt;&lt;li&gt;&lt;a href=|http://kjvs.scripturetext.com/exodus/8.htm| title=|King James Bible with Strong's Numbers| target=|_top|&gt;Strong's&lt;/a&gt;</v>
      </c>
      <c r="AA58" t="str">
        <f t="shared" si="228"/>
        <v>&lt;/li&gt;&lt;li&gt;&lt;a href=|http://childrensbibleonline.com/exodus/8.htm| title=|The Children's Bible| target=|_top|&gt;Children's&lt;/a&gt;</v>
      </c>
      <c r="AB58" s="2" t="str">
        <f t="shared" si="228"/>
        <v>&lt;/li&gt;&lt;li&gt;&lt;a href=|http://tsk.scripturetext.com/exodus/8.htm| title=|Treasury of Scripture Knowledge| target=|_top|&gt;TSK&lt;/a&gt;</v>
      </c>
      <c r="AC58" t="str">
        <f>CONCATENATE("&lt;a href=|http://",AC1191,"/exodus/8.htm","| ","title=|",AC1190,"| target=|_top|&gt;",AC1192,"&lt;/a&gt;")</f>
        <v>&lt;a href=|http://parallelbible.com/exodus/8.htm| title=|Parallel Chapters| target=|_top|&gt;PAR&lt;/a&gt;</v>
      </c>
      <c r="AD58" s="2" t="str">
        <f t="shared" ref="AD58:AK58" si="230">CONCATENATE("&lt;/li&gt;&lt;li&gt;&lt;a href=|http://",AD1191,"/exodus/8.htm","| ","title=|",AD1190,"| target=|_top|&gt;",AD1192,"&lt;/a&gt;")</f>
        <v>&lt;/li&gt;&lt;li&gt;&lt;a href=|http://gsb.biblecommenter.com/exodus/8.htm| title=|Geneva Study Bible| target=|_top|&gt;GSB&lt;/a&gt;</v>
      </c>
      <c r="AE58" s="2" t="str">
        <f t="shared" si="230"/>
        <v>&lt;/li&gt;&lt;li&gt;&lt;a href=|http://jfb.biblecommenter.com/exodus/8.htm| title=|Jamieson-Fausset-Brown Bible Commentary| target=|_top|&gt;JFB&lt;/a&gt;</v>
      </c>
      <c r="AF58" s="2" t="str">
        <f t="shared" si="230"/>
        <v>&lt;/li&gt;&lt;li&gt;&lt;a href=|http://kjt.biblecommenter.com/exodus/8.htm| title=|King James Translators' Notes| target=|_top|&gt;KJT&lt;/a&gt;</v>
      </c>
      <c r="AG58" s="2" t="str">
        <f t="shared" si="230"/>
        <v>&lt;/li&gt;&lt;li&gt;&lt;a href=|http://mhc.biblecommenter.com/exodus/8.htm| title=|Matthew Henry's Concise Commentary| target=|_top|&gt;MHC&lt;/a&gt;</v>
      </c>
      <c r="AH58" s="2" t="str">
        <f t="shared" si="230"/>
        <v>&lt;/li&gt;&lt;li&gt;&lt;a href=|http://sco.biblecommenter.com/exodus/8.htm| title=|Scofield Reference Notes| target=|_top|&gt;SCO&lt;/a&gt;</v>
      </c>
      <c r="AI58" s="2" t="str">
        <f t="shared" si="230"/>
        <v>&lt;/li&gt;&lt;li&gt;&lt;a href=|http://wes.biblecommenter.com/exodus/8.htm| title=|Wesley's Notes on the Bible| target=|_top|&gt;WES&lt;/a&gt;</v>
      </c>
      <c r="AJ58" t="str">
        <f t="shared" si="230"/>
        <v>&lt;/li&gt;&lt;li&gt;&lt;a href=|http://worldebible.com/exodus/8.htm| title=|World English Bible| target=|_top|&gt;WEB&lt;/a&gt;</v>
      </c>
      <c r="AK58" t="str">
        <f t="shared" si="230"/>
        <v>&lt;/li&gt;&lt;li&gt;&lt;a href=|http://yltbible.com/exodus/8.htm| title=|Young's Literal Translation| target=|_top|&gt;YLT&lt;/a&gt;</v>
      </c>
      <c r="AL58" t="str">
        <f>CONCATENATE("&lt;a href=|http://",AL1191,"/exodus/8.htm","| ","title=|",AL1190,"| target=|_top|&gt;",AL1192,"&lt;/a&gt;")</f>
        <v>&lt;a href=|http://kjv.us/exodus/8.htm| title=|American King James Version| target=|_top|&gt;AKJ&lt;/a&gt;</v>
      </c>
      <c r="AM58" t="str">
        <f t="shared" ref="AM58:AN58" si="231">CONCATENATE("&lt;/li&gt;&lt;li&gt;&lt;a href=|http://",AM1191,"/exodus/8.htm","| ","title=|",AM1190,"| target=|_top|&gt;",AM1192,"&lt;/a&gt;")</f>
        <v>&lt;/li&gt;&lt;li&gt;&lt;a href=|http://basicenglishbible.com/exodus/8.htm| title=|Bible in Basic English| target=|_top|&gt;BBE&lt;/a&gt;</v>
      </c>
      <c r="AN58" t="str">
        <f t="shared" si="231"/>
        <v>&lt;/li&gt;&lt;li&gt;&lt;a href=|http://darbybible.com/exodus/8.htm| title=|Darby Bible Translation| target=|_top|&gt;DBY&lt;/a&gt;</v>
      </c>
      <c r="AO5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8" t="str">
        <f>CONCATENATE("&lt;/li&gt;&lt;li&gt;&lt;a href=|http://",AR1191,"/exodus/8.htm","| ","title=|",AR1190,"| target=|_top|&gt;",AR1192,"&lt;/a&gt;")</f>
        <v>&lt;/li&gt;&lt;li&gt;&lt;a href=|http://websterbible.com/exodus/8.htm| title=|Webster's Bible Translation| target=|_top|&gt;WBS&lt;/a&gt;</v>
      </c>
      <c r="AS5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8" t="str">
        <f>CONCATENATE("&lt;/li&gt;&lt;li&gt;&lt;a href=|http://",AT1191,"/exodus/8-1.htm","| ","title=|",AT1190,"| target=|_top|&gt;",AT1192,"&lt;/a&gt;")</f>
        <v>&lt;/li&gt;&lt;li&gt;&lt;a href=|http://biblebrowser.com/exodus/8-1.htm| title=|Split View| target=|_top|&gt;Split&lt;/a&gt;</v>
      </c>
      <c r="AU58" s="2" t="s">
        <v>1276</v>
      </c>
      <c r="AV58" t="s">
        <v>64</v>
      </c>
    </row>
    <row r="59" spans="1:48">
      <c r="A59" t="s">
        <v>622</v>
      </c>
      <c r="B59" t="s">
        <v>112</v>
      </c>
      <c r="C59" t="s">
        <v>624</v>
      </c>
      <c r="D59" t="s">
        <v>1268</v>
      </c>
      <c r="E59" t="s">
        <v>1277</v>
      </c>
      <c r="F59" t="s">
        <v>1304</v>
      </c>
      <c r="G59" t="s">
        <v>1266</v>
      </c>
      <c r="H59" t="s">
        <v>1305</v>
      </c>
      <c r="I59" t="s">
        <v>1303</v>
      </c>
      <c r="J59" t="s">
        <v>1267</v>
      </c>
      <c r="K59" t="s">
        <v>1275</v>
      </c>
      <c r="L59" s="2" t="s">
        <v>1274</v>
      </c>
      <c r="M59" t="str">
        <f t="shared" ref="M59:AB59" si="232">CONCATENATE("&lt;/li&gt;&lt;li&gt;&lt;a href=|http://",M1191,"/exodus/9.htm","| ","title=|",M1190,"| target=|_top|&gt;",M1192,"&lt;/a&gt;")</f>
        <v>&lt;/li&gt;&lt;li&gt;&lt;a href=|http://niv.scripturetext.com/exodus/9.htm| title=|New International Version| target=|_top|&gt;NIV&lt;/a&gt;</v>
      </c>
      <c r="N59" t="str">
        <f t="shared" si="232"/>
        <v>&lt;/li&gt;&lt;li&gt;&lt;a href=|http://nlt.scripturetext.com/exodus/9.htm| title=|New Living Translation| target=|_top|&gt;NLT&lt;/a&gt;</v>
      </c>
      <c r="O59" t="str">
        <f t="shared" si="232"/>
        <v>&lt;/li&gt;&lt;li&gt;&lt;a href=|http://nasb.scripturetext.com/exodus/9.htm| title=|New American Standard Bible| target=|_top|&gt;NAS&lt;/a&gt;</v>
      </c>
      <c r="P59" t="str">
        <f t="shared" si="232"/>
        <v>&lt;/li&gt;&lt;li&gt;&lt;a href=|http://gwt.scripturetext.com/exodus/9.htm| title=|God's Word Translation| target=|_top|&gt;GWT&lt;/a&gt;</v>
      </c>
      <c r="Q59" t="str">
        <f t="shared" si="232"/>
        <v>&lt;/li&gt;&lt;li&gt;&lt;a href=|http://kingjbible.com/exodus/9.htm| title=|King James Bible| target=|_top|&gt;KJV&lt;/a&gt;</v>
      </c>
      <c r="R59" t="str">
        <f t="shared" si="232"/>
        <v>&lt;/li&gt;&lt;li&gt;&lt;a href=|http://asvbible.com/exodus/9.htm| title=|American Standard Version| target=|_top|&gt;ASV&lt;/a&gt;</v>
      </c>
      <c r="S59" t="str">
        <f t="shared" si="232"/>
        <v>&lt;/li&gt;&lt;li&gt;&lt;a href=|http://drb.scripturetext.com/exodus/9.htm| title=|Douay-Rheims Bible| target=|_top|&gt;DRB&lt;/a&gt;</v>
      </c>
      <c r="T59" t="str">
        <f t="shared" si="232"/>
        <v>&lt;/li&gt;&lt;li&gt;&lt;a href=|http://erv.scripturetext.com/exodus/9.htm| title=|English Revised Version| target=|_top|&gt;ERV&lt;/a&gt;</v>
      </c>
      <c r="V59" t="str">
        <f>CONCATENATE("&lt;/li&gt;&lt;li&gt;&lt;a href=|http://",V1191,"/exodus/9.htm","| ","title=|",V1190,"| target=|_top|&gt;",V1192,"&lt;/a&gt;")</f>
        <v>&lt;/li&gt;&lt;li&gt;&lt;a href=|http://study.interlinearbible.org/exodus/9.htm| title=|Hebrew Study Bible| target=|_top|&gt;Heb Study&lt;/a&gt;</v>
      </c>
      <c r="W59" t="str">
        <f t="shared" si="232"/>
        <v>&lt;/li&gt;&lt;li&gt;&lt;a href=|http://apostolic.interlinearbible.org/exodus/9.htm| title=|Apostolic Bible Polyglot Interlinear| target=|_top|&gt;Polyglot&lt;/a&gt;</v>
      </c>
      <c r="X59" t="str">
        <f t="shared" si="232"/>
        <v>&lt;/li&gt;&lt;li&gt;&lt;a href=|http://interlinearbible.org/exodus/9.htm| title=|Interlinear Bible| target=|_top|&gt;Interlin&lt;/a&gt;</v>
      </c>
      <c r="Y59" t="str">
        <f t="shared" ref="Y59" si="233">CONCATENATE("&lt;/li&gt;&lt;li&gt;&lt;a href=|http://",Y1191,"/exodus/9.htm","| ","title=|",Y1190,"| target=|_top|&gt;",Y1192,"&lt;/a&gt;")</f>
        <v>&lt;/li&gt;&lt;li&gt;&lt;a href=|http://bibleoutline.org/exodus/9.htm| title=|Outline with People and Places List| target=|_top|&gt;Outline&lt;/a&gt;</v>
      </c>
      <c r="Z59" t="str">
        <f t="shared" si="232"/>
        <v>&lt;/li&gt;&lt;li&gt;&lt;a href=|http://kjvs.scripturetext.com/exodus/9.htm| title=|King James Bible with Strong's Numbers| target=|_top|&gt;Strong's&lt;/a&gt;</v>
      </c>
      <c r="AA59" t="str">
        <f t="shared" si="232"/>
        <v>&lt;/li&gt;&lt;li&gt;&lt;a href=|http://childrensbibleonline.com/exodus/9.htm| title=|The Children's Bible| target=|_top|&gt;Children's&lt;/a&gt;</v>
      </c>
      <c r="AB59" s="2" t="str">
        <f t="shared" si="232"/>
        <v>&lt;/li&gt;&lt;li&gt;&lt;a href=|http://tsk.scripturetext.com/exodus/9.htm| title=|Treasury of Scripture Knowledge| target=|_top|&gt;TSK&lt;/a&gt;</v>
      </c>
      <c r="AC59" t="str">
        <f>CONCATENATE("&lt;a href=|http://",AC1191,"/exodus/9.htm","| ","title=|",AC1190,"| target=|_top|&gt;",AC1192,"&lt;/a&gt;")</f>
        <v>&lt;a href=|http://parallelbible.com/exodus/9.htm| title=|Parallel Chapters| target=|_top|&gt;PAR&lt;/a&gt;</v>
      </c>
      <c r="AD59" s="2" t="str">
        <f t="shared" ref="AD59:AK59" si="234">CONCATENATE("&lt;/li&gt;&lt;li&gt;&lt;a href=|http://",AD1191,"/exodus/9.htm","| ","title=|",AD1190,"| target=|_top|&gt;",AD1192,"&lt;/a&gt;")</f>
        <v>&lt;/li&gt;&lt;li&gt;&lt;a href=|http://gsb.biblecommenter.com/exodus/9.htm| title=|Geneva Study Bible| target=|_top|&gt;GSB&lt;/a&gt;</v>
      </c>
      <c r="AE59" s="2" t="str">
        <f t="shared" si="234"/>
        <v>&lt;/li&gt;&lt;li&gt;&lt;a href=|http://jfb.biblecommenter.com/exodus/9.htm| title=|Jamieson-Fausset-Brown Bible Commentary| target=|_top|&gt;JFB&lt;/a&gt;</v>
      </c>
      <c r="AF59" s="2" t="str">
        <f t="shared" si="234"/>
        <v>&lt;/li&gt;&lt;li&gt;&lt;a href=|http://kjt.biblecommenter.com/exodus/9.htm| title=|King James Translators' Notes| target=|_top|&gt;KJT&lt;/a&gt;</v>
      </c>
      <c r="AG59" s="2" t="str">
        <f t="shared" si="234"/>
        <v>&lt;/li&gt;&lt;li&gt;&lt;a href=|http://mhc.biblecommenter.com/exodus/9.htm| title=|Matthew Henry's Concise Commentary| target=|_top|&gt;MHC&lt;/a&gt;</v>
      </c>
      <c r="AH59" s="2" t="str">
        <f t="shared" si="234"/>
        <v>&lt;/li&gt;&lt;li&gt;&lt;a href=|http://sco.biblecommenter.com/exodus/9.htm| title=|Scofield Reference Notes| target=|_top|&gt;SCO&lt;/a&gt;</v>
      </c>
      <c r="AI59" s="2" t="str">
        <f t="shared" si="234"/>
        <v>&lt;/li&gt;&lt;li&gt;&lt;a href=|http://wes.biblecommenter.com/exodus/9.htm| title=|Wesley's Notes on the Bible| target=|_top|&gt;WES&lt;/a&gt;</v>
      </c>
      <c r="AJ59" t="str">
        <f t="shared" si="234"/>
        <v>&lt;/li&gt;&lt;li&gt;&lt;a href=|http://worldebible.com/exodus/9.htm| title=|World English Bible| target=|_top|&gt;WEB&lt;/a&gt;</v>
      </c>
      <c r="AK59" t="str">
        <f t="shared" si="234"/>
        <v>&lt;/li&gt;&lt;li&gt;&lt;a href=|http://yltbible.com/exodus/9.htm| title=|Young's Literal Translation| target=|_top|&gt;YLT&lt;/a&gt;</v>
      </c>
      <c r="AL59" t="str">
        <f>CONCATENATE("&lt;a href=|http://",AL1191,"/exodus/9.htm","| ","title=|",AL1190,"| target=|_top|&gt;",AL1192,"&lt;/a&gt;")</f>
        <v>&lt;a href=|http://kjv.us/exodus/9.htm| title=|American King James Version| target=|_top|&gt;AKJ&lt;/a&gt;</v>
      </c>
      <c r="AM59" t="str">
        <f t="shared" ref="AM59:AN59" si="235">CONCATENATE("&lt;/li&gt;&lt;li&gt;&lt;a href=|http://",AM1191,"/exodus/9.htm","| ","title=|",AM1190,"| target=|_top|&gt;",AM1192,"&lt;/a&gt;")</f>
        <v>&lt;/li&gt;&lt;li&gt;&lt;a href=|http://basicenglishbible.com/exodus/9.htm| title=|Bible in Basic English| target=|_top|&gt;BBE&lt;/a&gt;</v>
      </c>
      <c r="AN59" t="str">
        <f t="shared" si="235"/>
        <v>&lt;/li&gt;&lt;li&gt;&lt;a href=|http://darbybible.com/exodus/9.htm| title=|Darby Bible Translation| target=|_top|&gt;DBY&lt;/a&gt;</v>
      </c>
      <c r="AO5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9" t="str">
        <f>CONCATENATE("&lt;/li&gt;&lt;li&gt;&lt;a href=|http://",AR1191,"/exodus/9.htm","| ","title=|",AR1190,"| target=|_top|&gt;",AR1192,"&lt;/a&gt;")</f>
        <v>&lt;/li&gt;&lt;li&gt;&lt;a href=|http://websterbible.com/exodus/9.htm| title=|Webster's Bible Translation| target=|_top|&gt;WBS&lt;/a&gt;</v>
      </c>
      <c r="AS5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9" t="str">
        <f>CONCATENATE("&lt;/li&gt;&lt;li&gt;&lt;a href=|http://",AT1191,"/exodus/9-1.htm","| ","title=|",AT1190,"| target=|_top|&gt;",AT1192,"&lt;/a&gt;")</f>
        <v>&lt;/li&gt;&lt;li&gt;&lt;a href=|http://biblebrowser.com/exodus/9-1.htm| title=|Split View| target=|_top|&gt;Split&lt;/a&gt;</v>
      </c>
      <c r="AU59" s="2" t="s">
        <v>1276</v>
      </c>
      <c r="AV59" t="s">
        <v>64</v>
      </c>
    </row>
    <row r="60" spans="1:48">
      <c r="A60" t="s">
        <v>622</v>
      </c>
      <c r="B60" t="s">
        <v>113</v>
      </c>
      <c r="C60" t="s">
        <v>624</v>
      </c>
      <c r="D60" t="s">
        <v>1268</v>
      </c>
      <c r="E60" t="s">
        <v>1277</v>
      </c>
      <c r="F60" t="s">
        <v>1304</v>
      </c>
      <c r="G60" t="s">
        <v>1266</v>
      </c>
      <c r="H60" t="s">
        <v>1305</v>
      </c>
      <c r="I60" t="s">
        <v>1303</v>
      </c>
      <c r="J60" t="s">
        <v>1267</v>
      </c>
      <c r="K60" t="s">
        <v>1275</v>
      </c>
      <c r="L60" s="2" t="s">
        <v>1274</v>
      </c>
      <c r="M60" t="str">
        <f t="shared" ref="M60:AB60" si="236">CONCATENATE("&lt;/li&gt;&lt;li&gt;&lt;a href=|http://",M1191,"/exodus/10.htm","| ","title=|",M1190,"| target=|_top|&gt;",M1192,"&lt;/a&gt;")</f>
        <v>&lt;/li&gt;&lt;li&gt;&lt;a href=|http://niv.scripturetext.com/exodus/10.htm| title=|New International Version| target=|_top|&gt;NIV&lt;/a&gt;</v>
      </c>
      <c r="N60" t="str">
        <f t="shared" si="236"/>
        <v>&lt;/li&gt;&lt;li&gt;&lt;a href=|http://nlt.scripturetext.com/exodus/10.htm| title=|New Living Translation| target=|_top|&gt;NLT&lt;/a&gt;</v>
      </c>
      <c r="O60" t="str">
        <f t="shared" si="236"/>
        <v>&lt;/li&gt;&lt;li&gt;&lt;a href=|http://nasb.scripturetext.com/exodus/10.htm| title=|New American Standard Bible| target=|_top|&gt;NAS&lt;/a&gt;</v>
      </c>
      <c r="P60" t="str">
        <f t="shared" si="236"/>
        <v>&lt;/li&gt;&lt;li&gt;&lt;a href=|http://gwt.scripturetext.com/exodus/10.htm| title=|God's Word Translation| target=|_top|&gt;GWT&lt;/a&gt;</v>
      </c>
      <c r="Q60" t="str">
        <f t="shared" si="236"/>
        <v>&lt;/li&gt;&lt;li&gt;&lt;a href=|http://kingjbible.com/exodus/10.htm| title=|King James Bible| target=|_top|&gt;KJV&lt;/a&gt;</v>
      </c>
      <c r="R60" t="str">
        <f t="shared" si="236"/>
        <v>&lt;/li&gt;&lt;li&gt;&lt;a href=|http://asvbible.com/exodus/10.htm| title=|American Standard Version| target=|_top|&gt;ASV&lt;/a&gt;</v>
      </c>
      <c r="S60" t="str">
        <f t="shared" si="236"/>
        <v>&lt;/li&gt;&lt;li&gt;&lt;a href=|http://drb.scripturetext.com/exodus/10.htm| title=|Douay-Rheims Bible| target=|_top|&gt;DRB&lt;/a&gt;</v>
      </c>
      <c r="T60" t="str">
        <f t="shared" si="236"/>
        <v>&lt;/li&gt;&lt;li&gt;&lt;a href=|http://erv.scripturetext.com/exodus/10.htm| title=|English Revised Version| target=|_top|&gt;ERV&lt;/a&gt;</v>
      </c>
      <c r="V60" t="str">
        <f>CONCATENATE("&lt;/li&gt;&lt;li&gt;&lt;a href=|http://",V1191,"/exodus/10.htm","| ","title=|",V1190,"| target=|_top|&gt;",V1192,"&lt;/a&gt;")</f>
        <v>&lt;/li&gt;&lt;li&gt;&lt;a href=|http://study.interlinearbible.org/exodus/10.htm| title=|Hebrew Study Bible| target=|_top|&gt;Heb Study&lt;/a&gt;</v>
      </c>
      <c r="W60" t="str">
        <f t="shared" si="236"/>
        <v>&lt;/li&gt;&lt;li&gt;&lt;a href=|http://apostolic.interlinearbible.org/exodus/10.htm| title=|Apostolic Bible Polyglot Interlinear| target=|_top|&gt;Polyglot&lt;/a&gt;</v>
      </c>
      <c r="X60" t="str">
        <f t="shared" si="236"/>
        <v>&lt;/li&gt;&lt;li&gt;&lt;a href=|http://interlinearbible.org/exodus/10.htm| title=|Interlinear Bible| target=|_top|&gt;Interlin&lt;/a&gt;</v>
      </c>
      <c r="Y60" t="str">
        <f t="shared" ref="Y60" si="237">CONCATENATE("&lt;/li&gt;&lt;li&gt;&lt;a href=|http://",Y1191,"/exodus/10.htm","| ","title=|",Y1190,"| target=|_top|&gt;",Y1192,"&lt;/a&gt;")</f>
        <v>&lt;/li&gt;&lt;li&gt;&lt;a href=|http://bibleoutline.org/exodus/10.htm| title=|Outline with People and Places List| target=|_top|&gt;Outline&lt;/a&gt;</v>
      </c>
      <c r="Z60" t="str">
        <f t="shared" si="236"/>
        <v>&lt;/li&gt;&lt;li&gt;&lt;a href=|http://kjvs.scripturetext.com/exodus/10.htm| title=|King James Bible with Strong's Numbers| target=|_top|&gt;Strong's&lt;/a&gt;</v>
      </c>
      <c r="AA60" t="str">
        <f t="shared" si="236"/>
        <v>&lt;/li&gt;&lt;li&gt;&lt;a href=|http://childrensbibleonline.com/exodus/10.htm| title=|The Children's Bible| target=|_top|&gt;Children's&lt;/a&gt;</v>
      </c>
      <c r="AB60" s="2" t="str">
        <f t="shared" si="236"/>
        <v>&lt;/li&gt;&lt;li&gt;&lt;a href=|http://tsk.scripturetext.com/exodus/10.htm| title=|Treasury of Scripture Knowledge| target=|_top|&gt;TSK&lt;/a&gt;</v>
      </c>
      <c r="AC60" t="str">
        <f>CONCATENATE("&lt;a href=|http://",AC1191,"/exodus/10.htm","| ","title=|",AC1190,"| target=|_top|&gt;",AC1192,"&lt;/a&gt;")</f>
        <v>&lt;a href=|http://parallelbible.com/exodus/10.htm| title=|Parallel Chapters| target=|_top|&gt;PAR&lt;/a&gt;</v>
      </c>
      <c r="AD60" s="2" t="str">
        <f t="shared" ref="AD60:AK60" si="238">CONCATENATE("&lt;/li&gt;&lt;li&gt;&lt;a href=|http://",AD1191,"/exodus/10.htm","| ","title=|",AD1190,"| target=|_top|&gt;",AD1192,"&lt;/a&gt;")</f>
        <v>&lt;/li&gt;&lt;li&gt;&lt;a href=|http://gsb.biblecommenter.com/exodus/10.htm| title=|Geneva Study Bible| target=|_top|&gt;GSB&lt;/a&gt;</v>
      </c>
      <c r="AE60" s="2" t="str">
        <f t="shared" si="238"/>
        <v>&lt;/li&gt;&lt;li&gt;&lt;a href=|http://jfb.biblecommenter.com/exodus/10.htm| title=|Jamieson-Fausset-Brown Bible Commentary| target=|_top|&gt;JFB&lt;/a&gt;</v>
      </c>
      <c r="AF60" s="2" t="str">
        <f t="shared" si="238"/>
        <v>&lt;/li&gt;&lt;li&gt;&lt;a href=|http://kjt.biblecommenter.com/exodus/10.htm| title=|King James Translators' Notes| target=|_top|&gt;KJT&lt;/a&gt;</v>
      </c>
      <c r="AG60" s="2" t="str">
        <f t="shared" si="238"/>
        <v>&lt;/li&gt;&lt;li&gt;&lt;a href=|http://mhc.biblecommenter.com/exodus/10.htm| title=|Matthew Henry's Concise Commentary| target=|_top|&gt;MHC&lt;/a&gt;</v>
      </c>
      <c r="AH60" s="2" t="str">
        <f t="shared" si="238"/>
        <v>&lt;/li&gt;&lt;li&gt;&lt;a href=|http://sco.biblecommenter.com/exodus/10.htm| title=|Scofield Reference Notes| target=|_top|&gt;SCO&lt;/a&gt;</v>
      </c>
      <c r="AI60" s="2" t="str">
        <f t="shared" si="238"/>
        <v>&lt;/li&gt;&lt;li&gt;&lt;a href=|http://wes.biblecommenter.com/exodus/10.htm| title=|Wesley's Notes on the Bible| target=|_top|&gt;WES&lt;/a&gt;</v>
      </c>
      <c r="AJ60" t="str">
        <f t="shared" si="238"/>
        <v>&lt;/li&gt;&lt;li&gt;&lt;a href=|http://worldebible.com/exodus/10.htm| title=|World English Bible| target=|_top|&gt;WEB&lt;/a&gt;</v>
      </c>
      <c r="AK60" t="str">
        <f t="shared" si="238"/>
        <v>&lt;/li&gt;&lt;li&gt;&lt;a href=|http://yltbible.com/exodus/10.htm| title=|Young's Literal Translation| target=|_top|&gt;YLT&lt;/a&gt;</v>
      </c>
      <c r="AL60" t="str">
        <f>CONCATENATE("&lt;a href=|http://",AL1191,"/exodus/10.htm","| ","title=|",AL1190,"| target=|_top|&gt;",AL1192,"&lt;/a&gt;")</f>
        <v>&lt;a href=|http://kjv.us/exodus/10.htm| title=|American King James Version| target=|_top|&gt;AKJ&lt;/a&gt;</v>
      </c>
      <c r="AM60" t="str">
        <f t="shared" ref="AM60:AN60" si="239">CONCATENATE("&lt;/li&gt;&lt;li&gt;&lt;a href=|http://",AM1191,"/exodus/10.htm","| ","title=|",AM1190,"| target=|_top|&gt;",AM1192,"&lt;/a&gt;")</f>
        <v>&lt;/li&gt;&lt;li&gt;&lt;a href=|http://basicenglishbible.com/exodus/10.htm| title=|Bible in Basic English| target=|_top|&gt;BBE&lt;/a&gt;</v>
      </c>
      <c r="AN60" t="str">
        <f t="shared" si="239"/>
        <v>&lt;/li&gt;&lt;li&gt;&lt;a href=|http://darbybible.com/exodus/10.htm| title=|Darby Bible Translation| target=|_top|&gt;DBY&lt;/a&gt;</v>
      </c>
      <c r="AO6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0" t="str">
        <f>CONCATENATE("&lt;/li&gt;&lt;li&gt;&lt;a href=|http://",AR1191,"/exodus/10.htm","| ","title=|",AR1190,"| target=|_top|&gt;",AR1192,"&lt;/a&gt;")</f>
        <v>&lt;/li&gt;&lt;li&gt;&lt;a href=|http://websterbible.com/exodus/10.htm| title=|Webster's Bible Translation| target=|_top|&gt;WBS&lt;/a&gt;</v>
      </c>
      <c r="AS6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0" t="str">
        <f>CONCATENATE("&lt;/li&gt;&lt;li&gt;&lt;a href=|http://",AT1191,"/exodus/10-1.htm","| ","title=|",AT1190,"| target=|_top|&gt;",AT1192,"&lt;/a&gt;")</f>
        <v>&lt;/li&gt;&lt;li&gt;&lt;a href=|http://biblebrowser.com/exodus/10-1.htm| title=|Split View| target=|_top|&gt;Split&lt;/a&gt;</v>
      </c>
      <c r="AU60" s="2" t="s">
        <v>1276</v>
      </c>
      <c r="AV60" t="s">
        <v>64</v>
      </c>
    </row>
    <row r="61" spans="1:48">
      <c r="A61" t="s">
        <v>622</v>
      </c>
      <c r="B61" t="s">
        <v>114</v>
      </c>
      <c r="C61" t="s">
        <v>624</v>
      </c>
      <c r="D61" t="s">
        <v>1268</v>
      </c>
      <c r="E61" t="s">
        <v>1277</v>
      </c>
      <c r="F61" t="s">
        <v>1304</v>
      </c>
      <c r="G61" t="s">
        <v>1266</v>
      </c>
      <c r="H61" t="s">
        <v>1305</v>
      </c>
      <c r="I61" t="s">
        <v>1303</v>
      </c>
      <c r="J61" t="s">
        <v>1267</v>
      </c>
      <c r="K61" t="s">
        <v>1275</v>
      </c>
      <c r="L61" s="2" t="s">
        <v>1274</v>
      </c>
      <c r="M61" t="str">
        <f t="shared" ref="M61:AB61" si="240">CONCATENATE("&lt;/li&gt;&lt;li&gt;&lt;a href=|http://",M1191,"/exodus/11.htm","| ","title=|",M1190,"| target=|_top|&gt;",M1192,"&lt;/a&gt;")</f>
        <v>&lt;/li&gt;&lt;li&gt;&lt;a href=|http://niv.scripturetext.com/exodus/11.htm| title=|New International Version| target=|_top|&gt;NIV&lt;/a&gt;</v>
      </c>
      <c r="N61" t="str">
        <f t="shared" si="240"/>
        <v>&lt;/li&gt;&lt;li&gt;&lt;a href=|http://nlt.scripturetext.com/exodus/11.htm| title=|New Living Translation| target=|_top|&gt;NLT&lt;/a&gt;</v>
      </c>
      <c r="O61" t="str">
        <f t="shared" si="240"/>
        <v>&lt;/li&gt;&lt;li&gt;&lt;a href=|http://nasb.scripturetext.com/exodus/11.htm| title=|New American Standard Bible| target=|_top|&gt;NAS&lt;/a&gt;</v>
      </c>
      <c r="P61" t="str">
        <f t="shared" si="240"/>
        <v>&lt;/li&gt;&lt;li&gt;&lt;a href=|http://gwt.scripturetext.com/exodus/11.htm| title=|God's Word Translation| target=|_top|&gt;GWT&lt;/a&gt;</v>
      </c>
      <c r="Q61" t="str">
        <f t="shared" si="240"/>
        <v>&lt;/li&gt;&lt;li&gt;&lt;a href=|http://kingjbible.com/exodus/11.htm| title=|King James Bible| target=|_top|&gt;KJV&lt;/a&gt;</v>
      </c>
      <c r="R61" t="str">
        <f t="shared" si="240"/>
        <v>&lt;/li&gt;&lt;li&gt;&lt;a href=|http://asvbible.com/exodus/11.htm| title=|American Standard Version| target=|_top|&gt;ASV&lt;/a&gt;</v>
      </c>
      <c r="S61" t="str">
        <f t="shared" si="240"/>
        <v>&lt;/li&gt;&lt;li&gt;&lt;a href=|http://drb.scripturetext.com/exodus/11.htm| title=|Douay-Rheims Bible| target=|_top|&gt;DRB&lt;/a&gt;</v>
      </c>
      <c r="T61" t="str">
        <f t="shared" si="240"/>
        <v>&lt;/li&gt;&lt;li&gt;&lt;a href=|http://erv.scripturetext.com/exodus/11.htm| title=|English Revised Version| target=|_top|&gt;ERV&lt;/a&gt;</v>
      </c>
      <c r="V61" t="str">
        <f>CONCATENATE("&lt;/li&gt;&lt;li&gt;&lt;a href=|http://",V1191,"/exodus/11.htm","| ","title=|",V1190,"| target=|_top|&gt;",V1192,"&lt;/a&gt;")</f>
        <v>&lt;/li&gt;&lt;li&gt;&lt;a href=|http://study.interlinearbible.org/exodus/11.htm| title=|Hebrew Study Bible| target=|_top|&gt;Heb Study&lt;/a&gt;</v>
      </c>
      <c r="W61" t="str">
        <f t="shared" si="240"/>
        <v>&lt;/li&gt;&lt;li&gt;&lt;a href=|http://apostolic.interlinearbible.org/exodus/11.htm| title=|Apostolic Bible Polyglot Interlinear| target=|_top|&gt;Polyglot&lt;/a&gt;</v>
      </c>
      <c r="X61" t="str">
        <f t="shared" si="240"/>
        <v>&lt;/li&gt;&lt;li&gt;&lt;a href=|http://interlinearbible.org/exodus/11.htm| title=|Interlinear Bible| target=|_top|&gt;Interlin&lt;/a&gt;</v>
      </c>
      <c r="Y61" t="str">
        <f t="shared" ref="Y61" si="241">CONCATENATE("&lt;/li&gt;&lt;li&gt;&lt;a href=|http://",Y1191,"/exodus/11.htm","| ","title=|",Y1190,"| target=|_top|&gt;",Y1192,"&lt;/a&gt;")</f>
        <v>&lt;/li&gt;&lt;li&gt;&lt;a href=|http://bibleoutline.org/exodus/11.htm| title=|Outline with People and Places List| target=|_top|&gt;Outline&lt;/a&gt;</v>
      </c>
      <c r="Z61" t="str">
        <f t="shared" si="240"/>
        <v>&lt;/li&gt;&lt;li&gt;&lt;a href=|http://kjvs.scripturetext.com/exodus/11.htm| title=|King James Bible with Strong's Numbers| target=|_top|&gt;Strong's&lt;/a&gt;</v>
      </c>
      <c r="AA61" t="str">
        <f t="shared" si="240"/>
        <v>&lt;/li&gt;&lt;li&gt;&lt;a href=|http://childrensbibleonline.com/exodus/11.htm| title=|The Children's Bible| target=|_top|&gt;Children's&lt;/a&gt;</v>
      </c>
      <c r="AB61" s="2" t="str">
        <f t="shared" si="240"/>
        <v>&lt;/li&gt;&lt;li&gt;&lt;a href=|http://tsk.scripturetext.com/exodus/11.htm| title=|Treasury of Scripture Knowledge| target=|_top|&gt;TSK&lt;/a&gt;</v>
      </c>
      <c r="AC61" t="str">
        <f>CONCATENATE("&lt;a href=|http://",AC1191,"/exodus/11.htm","| ","title=|",AC1190,"| target=|_top|&gt;",AC1192,"&lt;/a&gt;")</f>
        <v>&lt;a href=|http://parallelbible.com/exodus/11.htm| title=|Parallel Chapters| target=|_top|&gt;PAR&lt;/a&gt;</v>
      </c>
      <c r="AD61" s="2" t="str">
        <f t="shared" ref="AD61:AK61" si="242">CONCATENATE("&lt;/li&gt;&lt;li&gt;&lt;a href=|http://",AD1191,"/exodus/11.htm","| ","title=|",AD1190,"| target=|_top|&gt;",AD1192,"&lt;/a&gt;")</f>
        <v>&lt;/li&gt;&lt;li&gt;&lt;a href=|http://gsb.biblecommenter.com/exodus/11.htm| title=|Geneva Study Bible| target=|_top|&gt;GSB&lt;/a&gt;</v>
      </c>
      <c r="AE61" s="2" t="str">
        <f t="shared" si="242"/>
        <v>&lt;/li&gt;&lt;li&gt;&lt;a href=|http://jfb.biblecommenter.com/exodus/11.htm| title=|Jamieson-Fausset-Brown Bible Commentary| target=|_top|&gt;JFB&lt;/a&gt;</v>
      </c>
      <c r="AF61" s="2" t="str">
        <f t="shared" si="242"/>
        <v>&lt;/li&gt;&lt;li&gt;&lt;a href=|http://kjt.biblecommenter.com/exodus/11.htm| title=|King James Translators' Notes| target=|_top|&gt;KJT&lt;/a&gt;</v>
      </c>
      <c r="AG61" s="2" t="str">
        <f t="shared" si="242"/>
        <v>&lt;/li&gt;&lt;li&gt;&lt;a href=|http://mhc.biblecommenter.com/exodus/11.htm| title=|Matthew Henry's Concise Commentary| target=|_top|&gt;MHC&lt;/a&gt;</v>
      </c>
      <c r="AH61" s="2" t="str">
        <f t="shared" si="242"/>
        <v>&lt;/li&gt;&lt;li&gt;&lt;a href=|http://sco.biblecommenter.com/exodus/11.htm| title=|Scofield Reference Notes| target=|_top|&gt;SCO&lt;/a&gt;</v>
      </c>
      <c r="AI61" s="2" t="str">
        <f t="shared" si="242"/>
        <v>&lt;/li&gt;&lt;li&gt;&lt;a href=|http://wes.biblecommenter.com/exodus/11.htm| title=|Wesley's Notes on the Bible| target=|_top|&gt;WES&lt;/a&gt;</v>
      </c>
      <c r="AJ61" t="str">
        <f t="shared" si="242"/>
        <v>&lt;/li&gt;&lt;li&gt;&lt;a href=|http://worldebible.com/exodus/11.htm| title=|World English Bible| target=|_top|&gt;WEB&lt;/a&gt;</v>
      </c>
      <c r="AK61" t="str">
        <f t="shared" si="242"/>
        <v>&lt;/li&gt;&lt;li&gt;&lt;a href=|http://yltbible.com/exodus/11.htm| title=|Young's Literal Translation| target=|_top|&gt;YLT&lt;/a&gt;</v>
      </c>
      <c r="AL61" t="str">
        <f>CONCATENATE("&lt;a href=|http://",AL1191,"/exodus/11.htm","| ","title=|",AL1190,"| target=|_top|&gt;",AL1192,"&lt;/a&gt;")</f>
        <v>&lt;a href=|http://kjv.us/exodus/11.htm| title=|American King James Version| target=|_top|&gt;AKJ&lt;/a&gt;</v>
      </c>
      <c r="AM61" t="str">
        <f t="shared" ref="AM61:AN61" si="243">CONCATENATE("&lt;/li&gt;&lt;li&gt;&lt;a href=|http://",AM1191,"/exodus/11.htm","| ","title=|",AM1190,"| target=|_top|&gt;",AM1192,"&lt;/a&gt;")</f>
        <v>&lt;/li&gt;&lt;li&gt;&lt;a href=|http://basicenglishbible.com/exodus/11.htm| title=|Bible in Basic English| target=|_top|&gt;BBE&lt;/a&gt;</v>
      </c>
      <c r="AN61" t="str">
        <f t="shared" si="243"/>
        <v>&lt;/li&gt;&lt;li&gt;&lt;a href=|http://darbybible.com/exodus/11.htm| title=|Darby Bible Translation| target=|_top|&gt;DBY&lt;/a&gt;</v>
      </c>
      <c r="AO6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1" t="str">
        <f>CONCATENATE("&lt;/li&gt;&lt;li&gt;&lt;a href=|http://",AR1191,"/exodus/11.htm","| ","title=|",AR1190,"| target=|_top|&gt;",AR1192,"&lt;/a&gt;")</f>
        <v>&lt;/li&gt;&lt;li&gt;&lt;a href=|http://websterbible.com/exodus/11.htm| title=|Webster's Bible Translation| target=|_top|&gt;WBS&lt;/a&gt;</v>
      </c>
      <c r="AS6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1" t="str">
        <f>CONCATENATE("&lt;/li&gt;&lt;li&gt;&lt;a href=|http://",AT1191,"/exodus/11-1.htm","| ","title=|",AT1190,"| target=|_top|&gt;",AT1192,"&lt;/a&gt;")</f>
        <v>&lt;/li&gt;&lt;li&gt;&lt;a href=|http://biblebrowser.com/exodus/11-1.htm| title=|Split View| target=|_top|&gt;Split&lt;/a&gt;</v>
      </c>
      <c r="AU61" s="2" t="s">
        <v>1276</v>
      </c>
      <c r="AV61" t="s">
        <v>64</v>
      </c>
    </row>
    <row r="62" spans="1:48">
      <c r="A62" t="s">
        <v>622</v>
      </c>
      <c r="B62" t="s">
        <v>115</v>
      </c>
      <c r="C62" t="s">
        <v>624</v>
      </c>
      <c r="D62" t="s">
        <v>1268</v>
      </c>
      <c r="E62" t="s">
        <v>1277</v>
      </c>
      <c r="F62" t="s">
        <v>1304</v>
      </c>
      <c r="G62" t="s">
        <v>1266</v>
      </c>
      <c r="H62" t="s">
        <v>1305</v>
      </c>
      <c r="I62" t="s">
        <v>1303</v>
      </c>
      <c r="J62" t="s">
        <v>1267</v>
      </c>
      <c r="K62" t="s">
        <v>1275</v>
      </c>
      <c r="L62" s="2" t="s">
        <v>1274</v>
      </c>
      <c r="M62" t="str">
        <f t="shared" ref="M62:AB62" si="244">CONCATENATE("&lt;/li&gt;&lt;li&gt;&lt;a href=|http://",M1191,"/exodus/12.htm","| ","title=|",M1190,"| target=|_top|&gt;",M1192,"&lt;/a&gt;")</f>
        <v>&lt;/li&gt;&lt;li&gt;&lt;a href=|http://niv.scripturetext.com/exodus/12.htm| title=|New International Version| target=|_top|&gt;NIV&lt;/a&gt;</v>
      </c>
      <c r="N62" t="str">
        <f t="shared" si="244"/>
        <v>&lt;/li&gt;&lt;li&gt;&lt;a href=|http://nlt.scripturetext.com/exodus/12.htm| title=|New Living Translation| target=|_top|&gt;NLT&lt;/a&gt;</v>
      </c>
      <c r="O62" t="str">
        <f t="shared" si="244"/>
        <v>&lt;/li&gt;&lt;li&gt;&lt;a href=|http://nasb.scripturetext.com/exodus/12.htm| title=|New American Standard Bible| target=|_top|&gt;NAS&lt;/a&gt;</v>
      </c>
      <c r="P62" t="str">
        <f t="shared" si="244"/>
        <v>&lt;/li&gt;&lt;li&gt;&lt;a href=|http://gwt.scripturetext.com/exodus/12.htm| title=|God's Word Translation| target=|_top|&gt;GWT&lt;/a&gt;</v>
      </c>
      <c r="Q62" t="str">
        <f t="shared" si="244"/>
        <v>&lt;/li&gt;&lt;li&gt;&lt;a href=|http://kingjbible.com/exodus/12.htm| title=|King James Bible| target=|_top|&gt;KJV&lt;/a&gt;</v>
      </c>
      <c r="R62" t="str">
        <f t="shared" si="244"/>
        <v>&lt;/li&gt;&lt;li&gt;&lt;a href=|http://asvbible.com/exodus/12.htm| title=|American Standard Version| target=|_top|&gt;ASV&lt;/a&gt;</v>
      </c>
      <c r="S62" t="str">
        <f t="shared" si="244"/>
        <v>&lt;/li&gt;&lt;li&gt;&lt;a href=|http://drb.scripturetext.com/exodus/12.htm| title=|Douay-Rheims Bible| target=|_top|&gt;DRB&lt;/a&gt;</v>
      </c>
      <c r="T62" t="str">
        <f t="shared" si="244"/>
        <v>&lt;/li&gt;&lt;li&gt;&lt;a href=|http://erv.scripturetext.com/exodus/12.htm| title=|English Revised Version| target=|_top|&gt;ERV&lt;/a&gt;</v>
      </c>
      <c r="V62" t="str">
        <f>CONCATENATE("&lt;/li&gt;&lt;li&gt;&lt;a href=|http://",V1191,"/exodus/12.htm","| ","title=|",V1190,"| target=|_top|&gt;",V1192,"&lt;/a&gt;")</f>
        <v>&lt;/li&gt;&lt;li&gt;&lt;a href=|http://study.interlinearbible.org/exodus/12.htm| title=|Hebrew Study Bible| target=|_top|&gt;Heb Study&lt;/a&gt;</v>
      </c>
      <c r="W62" t="str">
        <f t="shared" si="244"/>
        <v>&lt;/li&gt;&lt;li&gt;&lt;a href=|http://apostolic.interlinearbible.org/exodus/12.htm| title=|Apostolic Bible Polyglot Interlinear| target=|_top|&gt;Polyglot&lt;/a&gt;</v>
      </c>
      <c r="X62" t="str">
        <f t="shared" si="244"/>
        <v>&lt;/li&gt;&lt;li&gt;&lt;a href=|http://interlinearbible.org/exodus/12.htm| title=|Interlinear Bible| target=|_top|&gt;Interlin&lt;/a&gt;</v>
      </c>
      <c r="Y62" t="str">
        <f t="shared" ref="Y62" si="245">CONCATENATE("&lt;/li&gt;&lt;li&gt;&lt;a href=|http://",Y1191,"/exodus/12.htm","| ","title=|",Y1190,"| target=|_top|&gt;",Y1192,"&lt;/a&gt;")</f>
        <v>&lt;/li&gt;&lt;li&gt;&lt;a href=|http://bibleoutline.org/exodus/12.htm| title=|Outline with People and Places List| target=|_top|&gt;Outline&lt;/a&gt;</v>
      </c>
      <c r="Z62" t="str">
        <f t="shared" si="244"/>
        <v>&lt;/li&gt;&lt;li&gt;&lt;a href=|http://kjvs.scripturetext.com/exodus/12.htm| title=|King James Bible with Strong's Numbers| target=|_top|&gt;Strong's&lt;/a&gt;</v>
      </c>
      <c r="AA62" t="str">
        <f t="shared" si="244"/>
        <v>&lt;/li&gt;&lt;li&gt;&lt;a href=|http://childrensbibleonline.com/exodus/12.htm| title=|The Children's Bible| target=|_top|&gt;Children's&lt;/a&gt;</v>
      </c>
      <c r="AB62" s="2" t="str">
        <f t="shared" si="244"/>
        <v>&lt;/li&gt;&lt;li&gt;&lt;a href=|http://tsk.scripturetext.com/exodus/12.htm| title=|Treasury of Scripture Knowledge| target=|_top|&gt;TSK&lt;/a&gt;</v>
      </c>
      <c r="AC62" t="str">
        <f>CONCATENATE("&lt;a href=|http://",AC1191,"/exodus/12.htm","| ","title=|",AC1190,"| target=|_top|&gt;",AC1192,"&lt;/a&gt;")</f>
        <v>&lt;a href=|http://parallelbible.com/exodus/12.htm| title=|Parallel Chapters| target=|_top|&gt;PAR&lt;/a&gt;</v>
      </c>
      <c r="AD62" s="2" t="str">
        <f t="shared" ref="AD62:AK62" si="246">CONCATENATE("&lt;/li&gt;&lt;li&gt;&lt;a href=|http://",AD1191,"/exodus/12.htm","| ","title=|",AD1190,"| target=|_top|&gt;",AD1192,"&lt;/a&gt;")</f>
        <v>&lt;/li&gt;&lt;li&gt;&lt;a href=|http://gsb.biblecommenter.com/exodus/12.htm| title=|Geneva Study Bible| target=|_top|&gt;GSB&lt;/a&gt;</v>
      </c>
      <c r="AE62" s="2" t="str">
        <f t="shared" si="246"/>
        <v>&lt;/li&gt;&lt;li&gt;&lt;a href=|http://jfb.biblecommenter.com/exodus/12.htm| title=|Jamieson-Fausset-Brown Bible Commentary| target=|_top|&gt;JFB&lt;/a&gt;</v>
      </c>
      <c r="AF62" s="2" t="str">
        <f t="shared" si="246"/>
        <v>&lt;/li&gt;&lt;li&gt;&lt;a href=|http://kjt.biblecommenter.com/exodus/12.htm| title=|King James Translators' Notes| target=|_top|&gt;KJT&lt;/a&gt;</v>
      </c>
      <c r="AG62" s="2" t="str">
        <f t="shared" si="246"/>
        <v>&lt;/li&gt;&lt;li&gt;&lt;a href=|http://mhc.biblecommenter.com/exodus/12.htm| title=|Matthew Henry's Concise Commentary| target=|_top|&gt;MHC&lt;/a&gt;</v>
      </c>
      <c r="AH62" s="2" t="str">
        <f t="shared" si="246"/>
        <v>&lt;/li&gt;&lt;li&gt;&lt;a href=|http://sco.biblecommenter.com/exodus/12.htm| title=|Scofield Reference Notes| target=|_top|&gt;SCO&lt;/a&gt;</v>
      </c>
      <c r="AI62" s="2" t="str">
        <f t="shared" si="246"/>
        <v>&lt;/li&gt;&lt;li&gt;&lt;a href=|http://wes.biblecommenter.com/exodus/12.htm| title=|Wesley's Notes on the Bible| target=|_top|&gt;WES&lt;/a&gt;</v>
      </c>
      <c r="AJ62" t="str">
        <f t="shared" si="246"/>
        <v>&lt;/li&gt;&lt;li&gt;&lt;a href=|http://worldebible.com/exodus/12.htm| title=|World English Bible| target=|_top|&gt;WEB&lt;/a&gt;</v>
      </c>
      <c r="AK62" t="str">
        <f t="shared" si="246"/>
        <v>&lt;/li&gt;&lt;li&gt;&lt;a href=|http://yltbible.com/exodus/12.htm| title=|Young's Literal Translation| target=|_top|&gt;YLT&lt;/a&gt;</v>
      </c>
      <c r="AL62" t="str">
        <f>CONCATENATE("&lt;a href=|http://",AL1191,"/exodus/12.htm","| ","title=|",AL1190,"| target=|_top|&gt;",AL1192,"&lt;/a&gt;")</f>
        <v>&lt;a href=|http://kjv.us/exodus/12.htm| title=|American King James Version| target=|_top|&gt;AKJ&lt;/a&gt;</v>
      </c>
      <c r="AM62" t="str">
        <f t="shared" ref="AM62:AN62" si="247">CONCATENATE("&lt;/li&gt;&lt;li&gt;&lt;a href=|http://",AM1191,"/exodus/12.htm","| ","title=|",AM1190,"| target=|_top|&gt;",AM1192,"&lt;/a&gt;")</f>
        <v>&lt;/li&gt;&lt;li&gt;&lt;a href=|http://basicenglishbible.com/exodus/12.htm| title=|Bible in Basic English| target=|_top|&gt;BBE&lt;/a&gt;</v>
      </c>
      <c r="AN62" t="str">
        <f t="shared" si="247"/>
        <v>&lt;/li&gt;&lt;li&gt;&lt;a href=|http://darbybible.com/exodus/12.htm| title=|Darby Bible Translation| target=|_top|&gt;DBY&lt;/a&gt;</v>
      </c>
      <c r="AO6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2" t="str">
        <f>CONCATENATE("&lt;/li&gt;&lt;li&gt;&lt;a href=|http://",AR1191,"/exodus/12.htm","| ","title=|",AR1190,"| target=|_top|&gt;",AR1192,"&lt;/a&gt;")</f>
        <v>&lt;/li&gt;&lt;li&gt;&lt;a href=|http://websterbible.com/exodus/12.htm| title=|Webster's Bible Translation| target=|_top|&gt;WBS&lt;/a&gt;</v>
      </c>
      <c r="AS6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2" t="str">
        <f>CONCATENATE("&lt;/li&gt;&lt;li&gt;&lt;a href=|http://",AT1191,"/exodus/12-1.htm","| ","title=|",AT1190,"| target=|_top|&gt;",AT1192,"&lt;/a&gt;")</f>
        <v>&lt;/li&gt;&lt;li&gt;&lt;a href=|http://biblebrowser.com/exodus/12-1.htm| title=|Split View| target=|_top|&gt;Split&lt;/a&gt;</v>
      </c>
      <c r="AU62" s="2" t="s">
        <v>1276</v>
      </c>
      <c r="AV62" t="s">
        <v>64</v>
      </c>
    </row>
    <row r="63" spans="1:48">
      <c r="A63" t="s">
        <v>622</v>
      </c>
      <c r="B63" t="s">
        <v>116</v>
      </c>
      <c r="C63" t="s">
        <v>624</v>
      </c>
      <c r="D63" t="s">
        <v>1268</v>
      </c>
      <c r="E63" t="s">
        <v>1277</v>
      </c>
      <c r="F63" t="s">
        <v>1304</v>
      </c>
      <c r="G63" t="s">
        <v>1266</v>
      </c>
      <c r="H63" t="s">
        <v>1305</v>
      </c>
      <c r="I63" t="s">
        <v>1303</v>
      </c>
      <c r="J63" t="s">
        <v>1267</v>
      </c>
      <c r="K63" t="s">
        <v>1275</v>
      </c>
      <c r="L63" s="2" t="s">
        <v>1274</v>
      </c>
      <c r="M63" t="str">
        <f t="shared" ref="M63:AB63" si="248">CONCATENATE("&lt;/li&gt;&lt;li&gt;&lt;a href=|http://",M1191,"/exodus/13.htm","| ","title=|",M1190,"| target=|_top|&gt;",M1192,"&lt;/a&gt;")</f>
        <v>&lt;/li&gt;&lt;li&gt;&lt;a href=|http://niv.scripturetext.com/exodus/13.htm| title=|New International Version| target=|_top|&gt;NIV&lt;/a&gt;</v>
      </c>
      <c r="N63" t="str">
        <f t="shared" si="248"/>
        <v>&lt;/li&gt;&lt;li&gt;&lt;a href=|http://nlt.scripturetext.com/exodus/13.htm| title=|New Living Translation| target=|_top|&gt;NLT&lt;/a&gt;</v>
      </c>
      <c r="O63" t="str">
        <f t="shared" si="248"/>
        <v>&lt;/li&gt;&lt;li&gt;&lt;a href=|http://nasb.scripturetext.com/exodus/13.htm| title=|New American Standard Bible| target=|_top|&gt;NAS&lt;/a&gt;</v>
      </c>
      <c r="P63" t="str">
        <f t="shared" si="248"/>
        <v>&lt;/li&gt;&lt;li&gt;&lt;a href=|http://gwt.scripturetext.com/exodus/13.htm| title=|God's Word Translation| target=|_top|&gt;GWT&lt;/a&gt;</v>
      </c>
      <c r="Q63" t="str">
        <f t="shared" si="248"/>
        <v>&lt;/li&gt;&lt;li&gt;&lt;a href=|http://kingjbible.com/exodus/13.htm| title=|King James Bible| target=|_top|&gt;KJV&lt;/a&gt;</v>
      </c>
      <c r="R63" t="str">
        <f t="shared" si="248"/>
        <v>&lt;/li&gt;&lt;li&gt;&lt;a href=|http://asvbible.com/exodus/13.htm| title=|American Standard Version| target=|_top|&gt;ASV&lt;/a&gt;</v>
      </c>
      <c r="S63" t="str">
        <f t="shared" si="248"/>
        <v>&lt;/li&gt;&lt;li&gt;&lt;a href=|http://drb.scripturetext.com/exodus/13.htm| title=|Douay-Rheims Bible| target=|_top|&gt;DRB&lt;/a&gt;</v>
      </c>
      <c r="T63" t="str">
        <f t="shared" si="248"/>
        <v>&lt;/li&gt;&lt;li&gt;&lt;a href=|http://erv.scripturetext.com/exodus/13.htm| title=|English Revised Version| target=|_top|&gt;ERV&lt;/a&gt;</v>
      </c>
      <c r="V63" t="str">
        <f>CONCATENATE("&lt;/li&gt;&lt;li&gt;&lt;a href=|http://",V1191,"/exodus/13.htm","| ","title=|",V1190,"| target=|_top|&gt;",V1192,"&lt;/a&gt;")</f>
        <v>&lt;/li&gt;&lt;li&gt;&lt;a href=|http://study.interlinearbible.org/exodus/13.htm| title=|Hebrew Study Bible| target=|_top|&gt;Heb Study&lt;/a&gt;</v>
      </c>
      <c r="W63" t="str">
        <f t="shared" si="248"/>
        <v>&lt;/li&gt;&lt;li&gt;&lt;a href=|http://apostolic.interlinearbible.org/exodus/13.htm| title=|Apostolic Bible Polyglot Interlinear| target=|_top|&gt;Polyglot&lt;/a&gt;</v>
      </c>
      <c r="X63" t="str">
        <f t="shared" si="248"/>
        <v>&lt;/li&gt;&lt;li&gt;&lt;a href=|http://interlinearbible.org/exodus/13.htm| title=|Interlinear Bible| target=|_top|&gt;Interlin&lt;/a&gt;</v>
      </c>
      <c r="Y63" t="str">
        <f t="shared" ref="Y63" si="249">CONCATENATE("&lt;/li&gt;&lt;li&gt;&lt;a href=|http://",Y1191,"/exodus/13.htm","| ","title=|",Y1190,"| target=|_top|&gt;",Y1192,"&lt;/a&gt;")</f>
        <v>&lt;/li&gt;&lt;li&gt;&lt;a href=|http://bibleoutline.org/exodus/13.htm| title=|Outline with People and Places List| target=|_top|&gt;Outline&lt;/a&gt;</v>
      </c>
      <c r="Z63" t="str">
        <f t="shared" si="248"/>
        <v>&lt;/li&gt;&lt;li&gt;&lt;a href=|http://kjvs.scripturetext.com/exodus/13.htm| title=|King James Bible with Strong's Numbers| target=|_top|&gt;Strong's&lt;/a&gt;</v>
      </c>
      <c r="AA63" t="str">
        <f t="shared" si="248"/>
        <v>&lt;/li&gt;&lt;li&gt;&lt;a href=|http://childrensbibleonline.com/exodus/13.htm| title=|The Children's Bible| target=|_top|&gt;Children's&lt;/a&gt;</v>
      </c>
      <c r="AB63" s="2" t="str">
        <f t="shared" si="248"/>
        <v>&lt;/li&gt;&lt;li&gt;&lt;a href=|http://tsk.scripturetext.com/exodus/13.htm| title=|Treasury of Scripture Knowledge| target=|_top|&gt;TSK&lt;/a&gt;</v>
      </c>
      <c r="AC63" t="str">
        <f>CONCATENATE("&lt;a href=|http://",AC1191,"/exodus/13.htm","| ","title=|",AC1190,"| target=|_top|&gt;",AC1192,"&lt;/a&gt;")</f>
        <v>&lt;a href=|http://parallelbible.com/exodus/13.htm| title=|Parallel Chapters| target=|_top|&gt;PAR&lt;/a&gt;</v>
      </c>
      <c r="AD63" s="2" t="str">
        <f t="shared" ref="AD63:AK63" si="250">CONCATENATE("&lt;/li&gt;&lt;li&gt;&lt;a href=|http://",AD1191,"/exodus/13.htm","| ","title=|",AD1190,"| target=|_top|&gt;",AD1192,"&lt;/a&gt;")</f>
        <v>&lt;/li&gt;&lt;li&gt;&lt;a href=|http://gsb.biblecommenter.com/exodus/13.htm| title=|Geneva Study Bible| target=|_top|&gt;GSB&lt;/a&gt;</v>
      </c>
      <c r="AE63" s="2" t="str">
        <f t="shared" si="250"/>
        <v>&lt;/li&gt;&lt;li&gt;&lt;a href=|http://jfb.biblecommenter.com/exodus/13.htm| title=|Jamieson-Fausset-Brown Bible Commentary| target=|_top|&gt;JFB&lt;/a&gt;</v>
      </c>
      <c r="AF63" s="2" t="str">
        <f t="shared" si="250"/>
        <v>&lt;/li&gt;&lt;li&gt;&lt;a href=|http://kjt.biblecommenter.com/exodus/13.htm| title=|King James Translators' Notes| target=|_top|&gt;KJT&lt;/a&gt;</v>
      </c>
      <c r="AG63" s="2" t="str">
        <f t="shared" si="250"/>
        <v>&lt;/li&gt;&lt;li&gt;&lt;a href=|http://mhc.biblecommenter.com/exodus/13.htm| title=|Matthew Henry's Concise Commentary| target=|_top|&gt;MHC&lt;/a&gt;</v>
      </c>
      <c r="AH63" s="2" t="str">
        <f t="shared" si="250"/>
        <v>&lt;/li&gt;&lt;li&gt;&lt;a href=|http://sco.biblecommenter.com/exodus/13.htm| title=|Scofield Reference Notes| target=|_top|&gt;SCO&lt;/a&gt;</v>
      </c>
      <c r="AI63" s="2" t="str">
        <f t="shared" si="250"/>
        <v>&lt;/li&gt;&lt;li&gt;&lt;a href=|http://wes.biblecommenter.com/exodus/13.htm| title=|Wesley's Notes on the Bible| target=|_top|&gt;WES&lt;/a&gt;</v>
      </c>
      <c r="AJ63" t="str">
        <f t="shared" si="250"/>
        <v>&lt;/li&gt;&lt;li&gt;&lt;a href=|http://worldebible.com/exodus/13.htm| title=|World English Bible| target=|_top|&gt;WEB&lt;/a&gt;</v>
      </c>
      <c r="AK63" t="str">
        <f t="shared" si="250"/>
        <v>&lt;/li&gt;&lt;li&gt;&lt;a href=|http://yltbible.com/exodus/13.htm| title=|Young's Literal Translation| target=|_top|&gt;YLT&lt;/a&gt;</v>
      </c>
      <c r="AL63" t="str">
        <f>CONCATENATE("&lt;a href=|http://",AL1191,"/exodus/13.htm","| ","title=|",AL1190,"| target=|_top|&gt;",AL1192,"&lt;/a&gt;")</f>
        <v>&lt;a href=|http://kjv.us/exodus/13.htm| title=|American King James Version| target=|_top|&gt;AKJ&lt;/a&gt;</v>
      </c>
      <c r="AM63" t="str">
        <f t="shared" ref="AM63:AN63" si="251">CONCATENATE("&lt;/li&gt;&lt;li&gt;&lt;a href=|http://",AM1191,"/exodus/13.htm","| ","title=|",AM1190,"| target=|_top|&gt;",AM1192,"&lt;/a&gt;")</f>
        <v>&lt;/li&gt;&lt;li&gt;&lt;a href=|http://basicenglishbible.com/exodus/13.htm| title=|Bible in Basic English| target=|_top|&gt;BBE&lt;/a&gt;</v>
      </c>
      <c r="AN63" t="str">
        <f t="shared" si="251"/>
        <v>&lt;/li&gt;&lt;li&gt;&lt;a href=|http://darbybible.com/exodus/13.htm| title=|Darby Bible Translation| target=|_top|&gt;DBY&lt;/a&gt;</v>
      </c>
      <c r="AO6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3" t="str">
        <f>CONCATENATE("&lt;/li&gt;&lt;li&gt;&lt;a href=|http://",AR1191,"/exodus/13.htm","| ","title=|",AR1190,"| target=|_top|&gt;",AR1192,"&lt;/a&gt;")</f>
        <v>&lt;/li&gt;&lt;li&gt;&lt;a href=|http://websterbible.com/exodus/13.htm| title=|Webster's Bible Translation| target=|_top|&gt;WBS&lt;/a&gt;</v>
      </c>
      <c r="AS6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3" t="str">
        <f>CONCATENATE("&lt;/li&gt;&lt;li&gt;&lt;a href=|http://",AT1191,"/exodus/13-1.htm","| ","title=|",AT1190,"| target=|_top|&gt;",AT1192,"&lt;/a&gt;")</f>
        <v>&lt;/li&gt;&lt;li&gt;&lt;a href=|http://biblebrowser.com/exodus/13-1.htm| title=|Split View| target=|_top|&gt;Split&lt;/a&gt;</v>
      </c>
      <c r="AU63" s="2" t="s">
        <v>1276</v>
      </c>
      <c r="AV63" t="s">
        <v>64</v>
      </c>
    </row>
    <row r="64" spans="1:48">
      <c r="A64" t="s">
        <v>622</v>
      </c>
      <c r="B64" t="s">
        <v>117</v>
      </c>
      <c r="C64" t="s">
        <v>624</v>
      </c>
      <c r="D64" t="s">
        <v>1268</v>
      </c>
      <c r="E64" t="s">
        <v>1277</v>
      </c>
      <c r="F64" t="s">
        <v>1304</v>
      </c>
      <c r="G64" t="s">
        <v>1266</v>
      </c>
      <c r="H64" t="s">
        <v>1305</v>
      </c>
      <c r="I64" t="s">
        <v>1303</v>
      </c>
      <c r="J64" t="s">
        <v>1267</v>
      </c>
      <c r="K64" t="s">
        <v>1275</v>
      </c>
      <c r="L64" s="2" t="s">
        <v>1274</v>
      </c>
      <c r="M64" t="str">
        <f t="shared" ref="M64:AB64" si="252">CONCATENATE("&lt;/li&gt;&lt;li&gt;&lt;a href=|http://",M1191,"/exodus/14.htm","| ","title=|",M1190,"| target=|_top|&gt;",M1192,"&lt;/a&gt;")</f>
        <v>&lt;/li&gt;&lt;li&gt;&lt;a href=|http://niv.scripturetext.com/exodus/14.htm| title=|New International Version| target=|_top|&gt;NIV&lt;/a&gt;</v>
      </c>
      <c r="N64" t="str">
        <f t="shared" si="252"/>
        <v>&lt;/li&gt;&lt;li&gt;&lt;a href=|http://nlt.scripturetext.com/exodus/14.htm| title=|New Living Translation| target=|_top|&gt;NLT&lt;/a&gt;</v>
      </c>
      <c r="O64" t="str">
        <f t="shared" si="252"/>
        <v>&lt;/li&gt;&lt;li&gt;&lt;a href=|http://nasb.scripturetext.com/exodus/14.htm| title=|New American Standard Bible| target=|_top|&gt;NAS&lt;/a&gt;</v>
      </c>
      <c r="P64" t="str">
        <f t="shared" si="252"/>
        <v>&lt;/li&gt;&lt;li&gt;&lt;a href=|http://gwt.scripturetext.com/exodus/14.htm| title=|God's Word Translation| target=|_top|&gt;GWT&lt;/a&gt;</v>
      </c>
      <c r="Q64" t="str">
        <f t="shared" si="252"/>
        <v>&lt;/li&gt;&lt;li&gt;&lt;a href=|http://kingjbible.com/exodus/14.htm| title=|King James Bible| target=|_top|&gt;KJV&lt;/a&gt;</v>
      </c>
      <c r="R64" t="str">
        <f t="shared" si="252"/>
        <v>&lt;/li&gt;&lt;li&gt;&lt;a href=|http://asvbible.com/exodus/14.htm| title=|American Standard Version| target=|_top|&gt;ASV&lt;/a&gt;</v>
      </c>
      <c r="S64" t="str">
        <f t="shared" si="252"/>
        <v>&lt;/li&gt;&lt;li&gt;&lt;a href=|http://drb.scripturetext.com/exodus/14.htm| title=|Douay-Rheims Bible| target=|_top|&gt;DRB&lt;/a&gt;</v>
      </c>
      <c r="T64" t="str">
        <f t="shared" si="252"/>
        <v>&lt;/li&gt;&lt;li&gt;&lt;a href=|http://erv.scripturetext.com/exodus/14.htm| title=|English Revised Version| target=|_top|&gt;ERV&lt;/a&gt;</v>
      </c>
      <c r="V64" t="str">
        <f>CONCATENATE("&lt;/li&gt;&lt;li&gt;&lt;a href=|http://",V1191,"/exodus/14.htm","| ","title=|",V1190,"| target=|_top|&gt;",V1192,"&lt;/a&gt;")</f>
        <v>&lt;/li&gt;&lt;li&gt;&lt;a href=|http://study.interlinearbible.org/exodus/14.htm| title=|Hebrew Study Bible| target=|_top|&gt;Heb Study&lt;/a&gt;</v>
      </c>
      <c r="W64" t="str">
        <f t="shared" si="252"/>
        <v>&lt;/li&gt;&lt;li&gt;&lt;a href=|http://apostolic.interlinearbible.org/exodus/14.htm| title=|Apostolic Bible Polyglot Interlinear| target=|_top|&gt;Polyglot&lt;/a&gt;</v>
      </c>
      <c r="X64" t="str">
        <f t="shared" si="252"/>
        <v>&lt;/li&gt;&lt;li&gt;&lt;a href=|http://interlinearbible.org/exodus/14.htm| title=|Interlinear Bible| target=|_top|&gt;Interlin&lt;/a&gt;</v>
      </c>
      <c r="Y64" t="str">
        <f t="shared" ref="Y64" si="253">CONCATENATE("&lt;/li&gt;&lt;li&gt;&lt;a href=|http://",Y1191,"/exodus/14.htm","| ","title=|",Y1190,"| target=|_top|&gt;",Y1192,"&lt;/a&gt;")</f>
        <v>&lt;/li&gt;&lt;li&gt;&lt;a href=|http://bibleoutline.org/exodus/14.htm| title=|Outline with People and Places List| target=|_top|&gt;Outline&lt;/a&gt;</v>
      </c>
      <c r="Z64" t="str">
        <f t="shared" si="252"/>
        <v>&lt;/li&gt;&lt;li&gt;&lt;a href=|http://kjvs.scripturetext.com/exodus/14.htm| title=|King James Bible with Strong's Numbers| target=|_top|&gt;Strong's&lt;/a&gt;</v>
      </c>
      <c r="AA64" t="str">
        <f t="shared" si="252"/>
        <v>&lt;/li&gt;&lt;li&gt;&lt;a href=|http://childrensbibleonline.com/exodus/14.htm| title=|The Children's Bible| target=|_top|&gt;Children's&lt;/a&gt;</v>
      </c>
      <c r="AB64" s="2" t="str">
        <f t="shared" si="252"/>
        <v>&lt;/li&gt;&lt;li&gt;&lt;a href=|http://tsk.scripturetext.com/exodus/14.htm| title=|Treasury of Scripture Knowledge| target=|_top|&gt;TSK&lt;/a&gt;</v>
      </c>
      <c r="AC64" t="str">
        <f>CONCATENATE("&lt;a href=|http://",AC1191,"/exodus/14.htm","| ","title=|",AC1190,"| target=|_top|&gt;",AC1192,"&lt;/a&gt;")</f>
        <v>&lt;a href=|http://parallelbible.com/exodus/14.htm| title=|Parallel Chapters| target=|_top|&gt;PAR&lt;/a&gt;</v>
      </c>
      <c r="AD64" s="2" t="str">
        <f t="shared" ref="AD64:AK64" si="254">CONCATENATE("&lt;/li&gt;&lt;li&gt;&lt;a href=|http://",AD1191,"/exodus/14.htm","| ","title=|",AD1190,"| target=|_top|&gt;",AD1192,"&lt;/a&gt;")</f>
        <v>&lt;/li&gt;&lt;li&gt;&lt;a href=|http://gsb.biblecommenter.com/exodus/14.htm| title=|Geneva Study Bible| target=|_top|&gt;GSB&lt;/a&gt;</v>
      </c>
      <c r="AE64" s="2" t="str">
        <f t="shared" si="254"/>
        <v>&lt;/li&gt;&lt;li&gt;&lt;a href=|http://jfb.biblecommenter.com/exodus/14.htm| title=|Jamieson-Fausset-Brown Bible Commentary| target=|_top|&gt;JFB&lt;/a&gt;</v>
      </c>
      <c r="AF64" s="2" t="str">
        <f t="shared" si="254"/>
        <v>&lt;/li&gt;&lt;li&gt;&lt;a href=|http://kjt.biblecommenter.com/exodus/14.htm| title=|King James Translators' Notes| target=|_top|&gt;KJT&lt;/a&gt;</v>
      </c>
      <c r="AG64" s="2" t="str">
        <f t="shared" si="254"/>
        <v>&lt;/li&gt;&lt;li&gt;&lt;a href=|http://mhc.biblecommenter.com/exodus/14.htm| title=|Matthew Henry's Concise Commentary| target=|_top|&gt;MHC&lt;/a&gt;</v>
      </c>
      <c r="AH64" s="2" t="str">
        <f t="shared" si="254"/>
        <v>&lt;/li&gt;&lt;li&gt;&lt;a href=|http://sco.biblecommenter.com/exodus/14.htm| title=|Scofield Reference Notes| target=|_top|&gt;SCO&lt;/a&gt;</v>
      </c>
      <c r="AI64" s="2" t="str">
        <f t="shared" si="254"/>
        <v>&lt;/li&gt;&lt;li&gt;&lt;a href=|http://wes.biblecommenter.com/exodus/14.htm| title=|Wesley's Notes on the Bible| target=|_top|&gt;WES&lt;/a&gt;</v>
      </c>
      <c r="AJ64" t="str">
        <f t="shared" si="254"/>
        <v>&lt;/li&gt;&lt;li&gt;&lt;a href=|http://worldebible.com/exodus/14.htm| title=|World English Bible| target=|_top|&gt;WEB&lt;/a&gt;</v>
      </c>
      <c r="AK64" t="str">
        <f t="shared" si="254"/>
        <v>&lt;/li&gt;&lt;li&gt;&lt;a href=|http://yltbible.com/exodus/14.htm| title=|Young's Literal Translation| target=|_top|&gt;YLT&lt;/a&gt;</v>
      </c>
      <c r="AL64" t="str">
        <f>CONCATENATE("&lt;a href=|http://",AL1191,"/exodus/14.htm","| ","title=|",AL1190,"| target=|_top|&gt;",AL1192,"&lt;/a&gt;")</f>
        <v>&lt;a href=|http://kjv.us/exodus/14.htm| title=|American King James Version| target=|_top|&gt;AKJ&lt;/a&gt;</v>
      </c>
      <c r="AM64" t="str">
        <f t="shared" ref="AM64:AN64" si="255">CONCATENATE("&lt;/li&gt;&lt;li&gt;&lt;a href=|http://",AM1191,"/exodus/14.htm","| ","title=|",AM1190,"| target=|_top|&gt;",AM1192,"&lt;/a&gt;")</f>
        <v>&lt;/li&gt;&lt;li&gt;&lt;a href=|http://basicenglishbible.com/exodus/14.htm| title=|Bible in Basic English| target=|_top|&gt;BBE&lt;/a&gt;</v>
      </c>
      <c r="AN64" t="str">
        <f t="shared" si="255"/>
        <v>&lt;/li&gt;&lt;li&gt;&lt;a href=|http://darbybible.com/exodus/14.htm| title=|Darby Bible Translation| target=|_top|&gt;DBY&lt;/a&gt;</v>
      </c>
      <c r="AO6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4" t="str">
        <f>CONCATENATE("&lt;/li&gt;&lt;li&gt;&lt;a href=|http://",AR1191,"/exodus/14.htm","| ","title=|",AR1190,"| target=|_top|&gt;",AR1192,"&lt;/a&gt;")</f>
        <v>&lt;/li&gt;&lt;li&gt;&lt;a href=|http://websterbible.com/exodus/14.htm| title=|Webster's Bible Translation| target=|_top|&gt;WBS&lt;/a&gt;</v>
      </c>
      <c r="AS6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4" t="str">
        <f>CONCATENATE("&lt;/li&gt;&lt;li&gt;&lt;a href=|http://",AT1191,"/exodus/14-1.htm","| ","title=|",AT1190,"| target=|_top|&gt;",AT1192,"&lt;/a&gt;")</f>
        <v>&lt;/li&gt;&lt;li&gt;&lt;a href=|http://biblebrowser.com/exodus/14-1.htm| title=|Split View| target=|_top|&gt;Split&lt;/a&gt;</v>
      </c>
      <c r="AU64" s="2" t="s">
        <v>1276</v>
      </c>
      <c r="AV64" t="s">
        <v>64</v>
      </c>
    </row>
    <row r="65" spans="1:48">
      <c r="A65" t="s">
        <v>622</v>
      </c>
      <c r="B65" t="s">
        <v>118</v>
      </c>
      <c r="C65" t="s">
        <v>624</v>
      </c>
      <c r="D65" t="s">
        <v>1268</v>
      </c>
      <c r="E65" t="s">
        <v>1277</v>
      </c>
      <c r="F65" t="s">
        <v>1304</v>
      </c>
      <c r="G65" t="s">
        <v>1266</v>
      </c>
      <c r="H65" t="s">
        <v>1305</v>
      </c>
      <c r="I65" t="s">
        <v>1303</v>
      </c>
      <c r="J65" t="s">
        <v>1267</v>
      </c>
      <c r="K65" t="s">
        <v>1275</v>
      </c>
      <c r="L65" s="2" t="s">
        <v>1274</v>
      </c>
      <c r="M65" t="str">
        <f t="shared" ref="M65:AB65" si="256">CONCATENATE("&lt;/li&gt;&lt;li&gt;&lt;a href=|http://",M1191,"/exodus/15.htm","| ","title=|",M1190,"| target=|_top|&gt;",M1192,"&lt;/a&gt;")</f>
        <v>&lt;/li&gt;&lt;li&gt;&lt;a href=|http://niv.scripturetext.com/exodus/15.htm| title=|New International Version| target=|_top|&gt;NIV&lt;/a&gt;</v>
      </c>
      <c r="N65" t="str">
        <f t="shared" si="256"/>
        <v>&lt;/li&gt;&lt;li&gt;&lt;a href=|http://nlt.scripturetext.com/exodus/15.htm| title=|New Living Translation| target=|_top|&gt;NLT&lt;/a&gt;</v>
      </c>
      <c r="O65" t="str">
        <f t="shared" si="256"/>
        <v>&lt;/li&gt;&lt;li&gt;&lt;a href=|http://nasb.scripturetext.com/exodus/15.htm| title=|New American Standard Bible| target=|_top|&gt;NAS&lt;/a&gt;</v>
      </c>
      <c r="P65" t="str">
        <f t="shared" si="256"/>
        <v>&lt;/li&gt;&lt;li&gt;&lt;a href=|http://gwt.scripturetext.com/exodus/15.htm| title=|God's Word Translation| target=|_top|&gt;GWT&lt;/a&gt;</v>
      </c>
      <c r="Q65" t="str">
        <f t="shared" si="256"/>
        <v>&lt;/li&gt;&lt;li&gt;&lt;a href=|http://kingjbible.com/exodus/15.htm| title=|King James Bible| target=|_top|&gt;KJV&lt;/a&gt;</v>
      </c>
      <c r="R65" t="str">
        <f t="shared" si="256"/>
        <v>&lt;/li&gt;&lt;li&gt;&lt;a href=|http://asvbible.com/exodus/15.htm| title=|American Standard Version| target=|_top|&gt;ASV&lt;/a&gt;</v>
      </c>
      <c r="S65" t="str">
        <f t="shared" si="256"/>
        <v>&lt;/li&gt;&lt;li&gt;&lt;a href=|http://drb.scripturetext.com/exodus/15.htm| title=|Douay-Rheims Bible| target=|_top|&gt;DRB&lt;/a&gt;</v>
      </c>
      <c r="T65" t="str">
        <f t="shared" si="256"/>
        <v>&lt;/li&gt;&lt;li&gt;&lt;a href=|http://erv.scripturetext.com/exodus/15.htm| title=|English Revised Version| target=|_top|&gt;ERV&lt;/a&gt;</v>
      </c>
      <c r="V65" t="str">
        <f>CONCATENATE("&lt;/li&gt;&lt;li&gt;&lt;a href=|http://",V1191,"/exodus/15.htm","| ","title=|",V1190,"| target=|_top|&gt;",V1192,"&lt;/a&gt;")</f>
        <v>&lt;/li&gt;&lt;li&gt;&lt;a href=|http://study.interlinearbible.org/exodus/15.htm| title=|Hebrew Study Bible| target=|_top|&gt;Heb Study&lt;/a&gt;</v>
      </c>
      <c r="W65" t="str">
        <f t="shared" si="256"/>
        <v>&lt;/li&gt;&lt;li&gt;&lt;a href=|http://apostolic.interlinearbible.org/exodus/15.htm| title=|Apostolic Bible Polyglot Interlinear| target=|_top|&gt;Polyglot&lt;/a&gt;</v>
      </c>
      <c r="X65" t="str">
        <f t="shared" si="256"/>
        <v>&lt;/li&gt;&lt;li&gt;&lt;a href=|http://interlinearbible.org/exodus/15.htm| title=|Interlinear Bible| target=|_top|&gt;Interlin&lt;/a&gt;</v>
      </c>
      <c r="Y65" t="str">
        <f t="shared" ref="Y65" si="257">CONCATENATE("&lt;/li&gt;&lt;li&gt;&lt;a href=|http://",Y1191,"/exodus/15.htm","| ","title=|",Y1190,"| target=|_top|&gt;",Y1192,"&lt;/a&gt;")</f>
        <v>&lt;/li&gt;&lt;li&gt;&lt;a href=|http://bibleoutline.org/exodus/15.htm| title=|Outline with People and Places List| target=|_top|&gt;Outline&lt;/a&gt;</v>
      </c>
      <c r="Z65" t="str">
        <f t="shared" si="256"/>
        <v>&lt;/li&gt;&lt;li&gt;&lt;a href=|http://kjvs.scripturetext.com/exodus/15.htm| title=|King James Bible with Strong's Numbers| target=|_top|&gt;Strong's&lt;/a&gt;</v>
      </c>
      <c r="AA65" t="str">
        <f t="shared" si="256"/>
        <v>&lt;/li&gt;&lt;li&gt;&lt;a href=|http://childrensbibleonline.com/exodus/15.htm| title=|The Children's Bible| target=|_top|&gt;Children's&lt;/a&gt;</v>
      </c>
      <c r="AB65" s="2" t="str">
        <f t="shared" si="256"/>
        <v>&lt;/li&gt;&lt;li&gt;&lt;a href=|http://tsk.scripturetext.com/exodus/15.htm| title=|Treasury of Scripture Knowledge| target=|_top|&gt;TSK&lt;/a&gt;</v>
      </c>
      <c r="AC65" t="str">
        <f>CONCATENATE("&lt;a href=|http://",AC1191,"/exodus/15.htm","| ","title=|",AC1190,"| target=|_top|&gt;",AC1192,"&lt;/a&gt;")</f>
        <v>&lt;a href=|http://parallelbible.com/exodus/15.htm| title=|Parallel Chapters| target=|_top|&gt;PAR&lt;/a&gt;</v>
      </c>
      <c r="AD65" s="2" t="str">
        <f t="shared" ref="AD65:AK65" si="258">CONCATENATE("&lt;/li&gt;&lt;li&gt;&lt;a href=|http://",AD1191,"/exodus/15.htm","| ","title=|",AD1190,"| target=|_top|&gt;",AD1192,"&lt;/a&gt;")</f>
        <v>&lt;/li&gt;&lt;li&gt;&lt;a href=|http://gsb.biblecommenter.com/exodus/15.htm| title=|Geneva Study Bible| target=|_top|&gt;GSB&lt;/a&gt;</v>
      </c>
      <c r="AE65" s="2" t="str">
        <f t="shared" si="258"/>
        <v>&lt;/li&gt;&lt;li&gt;&lt;a href=|http://jfb.biblecommenter.com/exodus/15.htm| title=|Jamieson-Fausset-Brown Bible Commentary| target=|_top|&gt;JFB&lt;/a&gt;</v>
      </c>
      <c r="AF65" s="2" t="str">
        <f t="shared" si="258"/>
        <v>&lt;/li&gt;&lt;li&gt;&lt;a href=|http://kjt.biblecommenter.com/exodus/15.htm| title=|King James Translators' Notes| target=|_top|&gt;KJT&lt;/a&gt;</v>
      </c>
      <c r="AG65" s="2" t="str">
        <f t="shared" si="258"/>
        <v>&lt;/li&gt;&lt;li&gt;&lt;a href=|http://mhc.biblecommenter.com/exodus/15.htm| title=|Matthew Henry's Concise Commentary| target=|_top|&gt;MHC&lt;/a&gt;</v>
      </c>
      <c r="AH65" s="2" t="str">
        <f t="shared" si="258"/>
        <v>&lt;/li&gt;&lt;li&gt;&lt;a href=|http://sco.biblecommenter.com/exodus/15.htm| title=|Scofield Reference Notes| target=|_top|&gt;SCO&lt;/a&gt;</v>
      </c>
      <c r="AI65" s="2" t="str">
        <f t="shared" si="258"/>
        <v>&lt;/li&gt;&lt;li&gt;&lt;a href=|http://wes.biblecommenter.com/exodus/15.htm| title=|Wesley's Notes on the Bible| target=|_top|&gt;WES&lt;/a&gt;</v>
      </c>
      <c r="AJ65" t="str">
        <f t="shared" si="258"/>
        <v>&lt;/li&gt;&lt;li&gt;&lt;a href=|http://worldebible.com/exodus/15.htm| title=|World English Bible| target=|_top|&gt;WEB&lt;/a&gt;</v>
      </c>
      <c r="AK65" t="str">
        <f t="shared" si="258"/>
        <v>&lt;/li&gt;&lt;li&gt;&lt;a href=|http://yltbible.com/exodus/15.htm| title=|Young's Literal Translation| target=|_top|&gt;YLT&lt;/a&gt;</v>
      </c>
      <c r="AL65" t="str">
        <f>CONCATENATE("&lt;a href=|http://",AL1191,"/exodus/15.htm","| ","title=|",AL1190,"| target=|_top|&gt;",AL1192,"&lt;/a&gt;")</f>
        <v>&lt;a href=|http://kjv.us/exodus/15.htm| title=|American King James Version| target=|_top|&gt;AKJ&lt;/a&gt;</v>
      </c>
      <c r="AM65" t="str">
        <f t="shared" ref="AM65:AN65" si="259">CONCATENATE("&lt;/li&gt;&lt;li&gt;&lt;a href=|http://",AM1191,"/exodus/15.htm","| ","title=|",AM1190,"| target=|_top|&gt;",AM1192,"&lt;/a&gt;")</f>
        <v>&lt;/li&gt;&lt;li&gt;&lt;a href=|http://basicenglishbible.com/exodus/15.htm| title=|Bible in Basic English| target=|_top|&gt;BBE&lt;/a&gt;</v>
      </c>
      <c r="AN65" t="str">
        <f t="shared" si="259"/>
        <v>&lt;/li&gt;&lt;li&gt;&lt;a href=|http://darbybible.com/exodus/15.htm| title=|Darby Bible Translation| target=|_top|&gt;DBY&lt;/a&gt;</v>
      </c>
      <c r="AO6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5" t="str">
        <f>CONCATENATE("&lt;/li&gt;&lt;li&gt;&lt;a href=|http://",AR1191,"/exodus/15.htm","| ","title=|",AR1190,"| target=|_top|&gt;",AR1192,"&lt;/a&gt;")</f>
        <v>&lt;/li&gt;&lt;li&gt;&lt;a href=|http://websterbible.com/exodus/15.htm| title=|Webster's Bible Translation| target=|_top|&gt;WBS&lt;/a&gt;</v>
      </c>
      <c r="AS6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5" t="str">
        <f>CONCATENATE("&lt;/li&gt;&lt;li&gt;&lt;a href=|http://",AT1191,"/exodus/15-1.htm","| ","title=|",AT1190,"| target=|_top|&gt;",AT1192,"&lt;/a&gt;")</f>
        <v>&lt;/li&gt;&lt;li&gt;&lt;a href=|http://biblebrowser.com/exodus/15-1.htm| title=|Split View| target=|_top|&gt;Split&lt;/a&gt;</v>
      </c>
      <c r="AU65" s="2" t="s">
        <v>1276</v>
      </c>
      <c r="AV65" t="s">
        <v>64</v>
      </c>
    </row>
    <row r="66" spans="1:48">
      <c r="A66" t="s">
        <v>622</v>
      </c>
      <c r="B66" t="s">
        <v>119</v>
      </c>
      <c r="C66" t="s">
        <v>624</v>
      </c>
      <c r="D66" t="s">
        <v>1268</v>
      </c>
      <c r="E66" t="s">
        <v>1277</v>
      </c>
      <c r="F66" t="s">
        <v>1304</v>
      </c>
      <c r="G66" t="s">
        <v>1266</v>
      </c>
      <c r="H66" t="s">
        <v>1305</v>
      </c>
      <c r="I66" t="s">
        <v>1303</v>
      </c>
      <c r="J66" t="s">
        <v>1267</v>
      </c>
      <c r="K66" t="s">
        <v>1275</v>
      </c>
      <c r="L66" s="2" t="s">
        <v>1274</v>
      </c>
      <c r="M66" t="str">
        <f t="shared" ref="M66:AB66" si="260">CONCATENATE("&lt;/li&gt;&lt;li&gt;&lt;a href=|http://",M1191,"/exodus/16.htm","| ","title=|",M1190,"| target=|_top|&gt;",M1192,"&lt;/a&gt;")</f>
        <v>&lt;/li&gt;&lt;li&gt;&lt;a href=|http://niv.scripturetext.com/exodus/16.htm| title=|New International Version| target=|_top|&gt;NIV&lt;/a&gt;</v>
      </c>
      <c r="N66" t="str">
        <f t="shared" si="260"/>
        <v>&lt;/li&gt;&lt;li&gt;&lt;a href=|http://nlt.scripturetext.com/exodus/16.htm| title=|New Living Translation| target=|_top|&gt;NLT&lt;/a&gt;</v>
      </c>
      <c r="O66" t="str">
        <f t="shared" si="260"/>
        <v>&lt;/li&gt;&lt;li&gt;&lt;a href=|http://nasb.scripturetext.com/exodus/16.htm| title=|New American Standard Bible| target=|_top|&gt;NAS&lt;/a&gt;</v>
      </c>
      <c r="P66" t="str">
        <f t="shared" si="260"/>
        <v>&lt;/li&gt;&lt;li&gt;&lt;a href=|http://gwt.scripturetext.com/exodus/16.htm| title=|God's Word Translation| target=|_top|&gt;GWT&lt;/a&gt;</v>
      </c>
      <c r="Q66" t="str">
        <f t="shared" si="260"/>
        <v>&lt;/li&gt;&lt;li&gt;&lt;a href=|http://kingjbible.com/exodus/16.htm| title=|King James Bible| target=|_top|&gt;KJV&lt;/a&gt;</v>
      </c>
      <c r="R66" t="str">
        <f t="shared" si="260"/>
        <v>&lt;/li&gt;&lt;li&gt;&lt;a href=|http://asvbible.com/exodus/16.htm| title=|American Standard Version| target=|_top|&gt;ASV&lt;/a&gt;</v>
      </c>
      <c r="S66" t="str">
        <f t="shared" si="260"/>
        <v>&lt;/li&gt;&lt;li&gt;&lt;a href=|http://drb.scripturetext.com/exodus/16.htm| title=|Douay-Rheims Bible| target=|_top|&gt;DRB&lt;/a&gt;</v>
      </c>
      <c r="T66" t="str">
        <f t="shared" si="260"/>
        <v>&lt;/li&gt;&lt;li&gt;&lt;a href=|http://erv.scripturetext.com/exodus/16.htm| title=|English Revised Version| target=|_top|&gt;ERV&lt;/a&gt;</v>
      </c>
      <c r="V66" t="str">
        <f>CONCATENATE("&lt;/li&gt;&lt;li&gt;&lt;a href=|http://",V1191,"/exodus/16.htm","| ","title=|",V1190,"| target=|_top|&gt;",V1192,"&lt;/a&gt;")</f>
        <v>&lt;/li&gt;&lt;li&gt;&lt;a href=|http://study.interlinearbible.org/exodus/16.htm| title=|Hebrew Study Bible| target=|_top|&gt;Heb Study&lt;/a&gt;</v>
      </c>
      <c r="W66" t="str">
        <f t="shared" si="260"/>
        <v>&lt;/li&gt;&lt;li&gt;&lt;a href=|http://apostolic.interlinearbible.org/exodus/16.htm| title=|Apostolic Bible Polyglot Interlinear| target=|_top|&gt;Polyglot&lt;/a&gt;</v>
      </c>
      <c r="X66" t="str">
        <f t="shared" si="260"/>
        <v>&lt;/li&gt;&lt;li&gt;&lt;a href=|http://interlinearbible.org/exodus/16.htm| title=|Interlinear Bible| target=|_top|&gt;Interlin&lt;/a&gt;</v>
      </c>
      <c r="Y66" t="str">
        <f t="shared" ref="Y66" si="261">CONCATENATE("&lt;/li&gt;&lt;li&gt;&lt;a href=|http://",Y1191,"/exodus/16.htm","| ","title=|",Y1190,"| target=|_top|&gt;",Y1192,"&lt;/a&gt;")</f>
        <v>&lt;/li&gt;&lt;li&gt;&lt;a href=|http://bibleoutline.org/exodus/16.htm| title=|Outline with People and Places List| target=|_top|&gt;Outline&lt;/a&gt;</v>
      </c>
      <c r="Z66" t="str">
        <f t="shared" si="260"/>
        <v>&lt;/li&gt;&lt;li&gt;&lt;a href=|http://kjvs.scripturetext.com/exodus/16.htm| title=|King James Bible with Strong's Numbers| target=|_top|&gt;Strong's&lt;/a&gt;</v>
      </c>
      <c r="AA66" t="str">
        <f t="shared" si="260"/>
        <v>&lt;/li&gt;&lt;li&gt;&lt;a href=|http://childrensbibleonline.com/exodus/16.htm| title=|The Children's Bible| target=|_top|&gt;Children's&lt;/a&gt;</v>
      </c>
      <c r="AB66" s="2" t="str">
        <f t="shared" si="260"/>
        <v>&lt;/li&gt;&lt;li&gt;&lt;a href=|http://tsk.scripturetext.com/exodus/16.htm| title=|Treasury of Scripture Knowledge| target=|_top|&gt;TSK&lt;/a&gt;</v>
      </c>
      <c r="AC66" t="str">
        <f>CONCATENATE("&lt;a href=|http://",AC1191,"/exodus/16.htm","| ","title=|",AC1190,"| target=|_top|&gt;",AC1192,"&lt;/a&gt;")</f>
        <v>&lt;a href=|http://parallelbible.com/exodus/16.htm| title=|Parallel Chapters| target=|_top|&gt;PAR&lt;/a&gt;</v>
      </c>
      <c r="AD66" s="2" t="str">
        <f t="shared" ref="AD66:AK66" si="262">CONCATENATE("&lt;/li&gt;&lt;li&gt;&lt;a href=|http://",AD1191,"/exodus/16.htm","| ","title=|",AD1190,"| target=|_top|&gt;",AD1192,"&lt;/a&gt;")</f>
        <v>&lt;/li&gt;&lt;li&gt;&lt;a href=|http://gsb.biblecommenter.com/exodus/16.htm| title=|Geneva Study Bible| target=|_top|&gt;GSB&lt;/a&gt;</v>
      </c>
      <c r="AE66" s="2" t="str">
        <f t="shared" si="262"/>
        <v>&lt;/li&gt;&lt;li&gt;&lt;a href=|http://jfb.biblecommenter.com/exodus/16.htm| title=|Jamieson-Fausset-Brown Bible Commentary| target=|_top|&gt;JFB&lt;/a&gt;</v>
      </c>
      <c r="AF66" s="2" t="str">
        <f t="shared" si="262"/>
        <v>&lt;/li&gt;&lt;li&gt;&lt;a href=|http://kjt.biblecommenter.com/exodus/16.htm| title=|King James Translators' Notes| target=|_top|&gt;KJT&lt;/a&gt;</v>
      </c>
      <c r="AG66" s="2" t="str">
        <f t="shared" si="262"/>
        <v>&lt;/li&gt;&lt;li&gt;&lt;a href=|http://mhc.biblecommenter.com/exodus/16.htm| title=|Matthew Henry's Concise Commentary| target=|_top|&gt;MHC&lt;/a&gt;</v>
      </c>
      <c r="AH66" s="2" t="str">
        <f t="shared" si="262"/>
        <v>&lt;/li&gt;&lt;li&gt;&lt;a href=|http://sco.biblecommenter.com/exodus/16.htm| title=|Scofield Reference Notes| target=|_top|&gt;SCO&lt;/a&gt;</v>
      </c>
      <c r="AI66" s="2" t="str">
        <f t="shared" si="262"/>
        <v>&lt;/li&gt;&lt;li&gt;&lt;a href=|http://wes.biblecommenter.com/exodus/16.htm| title=|Wesley's Notes on the Bible| target=|_top|&gt;WES&lt;/a&gt;</v>
      </c>
      <c r="AJ66" t="str">
        <f t="shared" si="262"/>
        <v>&lt;/li&gt;&lt;li&gt;&lt;a href=|http://worldebible.com/exodus/16.htm| title=|World English Bible| target=|_top|&gt;WEB&lt;/a&gt;</v>
      </c>
      <c r="AK66" t="str">
        <f t="shared" si="262"/>
        <v>&lt;/li&gt;&lt;li&gt;&lt;a href=|http://yltbible.com/exodus/16.htm| title=|Young's Literal Translation| target=|_top|&gt;YLT&lt;/a&gt;</v>
      </c>
      <c r="AL66" t="str">
        <f>CONCATENATE("&lt;a href=|http://",AL1191,"/exodus/16.htm","| ","title=|",AL1190,"| target=|_top|&gt;",AL1192,"&lt;/a&gt;")</f>
        <v>&lt;a href=|http://kjv.us/exodus/16.htm| title=|American King James Version| target=|_top|&gt;AKJ&lt;/a&gt;</v>
      </c>
      <c r="AM66" t="str">
        <f t="shared" ref="AM66:AN66" si="263">CONCATENATE("&lt;/li&gt;&lt;li&gt;&lt;a href=|http://",AM1191,"/exodus/16.htm","| ","title=|",AM1190,"| target=|_top|&gt;",AM1192,"&lt;/a&gt;")</f>
        <v>&lt;/li&gt;&lt;li&gt;&lt;a href=|http://basicenglishbible.com/exodus/16.htm| title=|Bible in Basic English| target=|_top|&gt;BBE&lt;/a&gt;</v>
      </c>
      <c r="AN66" t="str">
        <f t="shared" si="263"/>
        <v>&lt;/li&gt;&lt;li&gt;&lt;a href=|http://darbybible.com/exodus/16.htm| title=|Darby Bible Translation| target=|_top|&gt;DBY&lt;/a&gt;</v>
      </c>
      <c r="AO6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6" t="str">
        <f>CONCATENATE("&lt;/li&gt;&lt;li&gt;&lt;a href=|http://",AR1191,"/exodus/16.htm","| ","title=|",AR1190,"| target=|_top|&gt;",AR1192,"&lt;/a&gt;")</f>
        <v>&lt;/li&gt;&lt;li&gt;&lt;a href=|http://websterbible.com/exodus/16.htm| title=|Webster's Bible Translation| target=|_top|&gt;WBS&lt;/a&gt;</v>
      </c>
      <c r="AS6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6" t="str">
        <f>CONCATENATE("&lt;/li&gt;&lt;li&gt;&lt;a href=|http://",AT1191,"/exodus/16-1.htm","| ","title=|",AT1190,"| target=|_top|&gt;",AT1192,"&lt;/a&gt;")</f>
        <v>&lt;/li&gt;&lt;li&gt;&lt;a href=|http://biblebrowser.com/exodus/16-1.htm| title=|Split View| target=|_top|&gt;Split&lt;/a&gt;</v>
      </c>
      <c r="AU66" s="2" t="s">
        <v>1276</v>
      </c>
      <c r="AV66" t="s">
        <v>64</v>
      </c>
    </row>
    <row r="67" spans="1:48">
      <c r="A67" t="s">
        <v>622</v>
      </c>
      <c r="B67" t="s">
        <v>120</v>
      </c>
      <c r="C67" t="s">
        <v>624</v>
      </c>
      <c r="D67" t="s">
        <v>1268</v>
      </c>
      <c r="E67" t="s">
        <v>1277</v>
      </c>
      <c r="F67" t="s">
        <v>1304</v>
      </c>
      <c r="G67" t="s">
        <v>1266</v>
      </c>
      <c r="H67" t="s">
        <v>1305</v>
      </c>
      <c r="I67" t="s">
        <v>1303</v>
      </c>
      <c r="J67" t="s">
        <v>1267</v>
      </c>
      <c r="K67" t="s">
        <v>1275</v>
      </c>
      <c r="L67" s="2" t="s">
        <v>1274</v>
      </c>
      <c r="M67" t="str">
        <f t="shared" ref="M67:AB67" si="264">CONCATENATE("&lt;/li&gt;&lt;li&gt;&lt;a href=|http://",M1191,"/exodus/17.htm","| ","title=|",M1190,"| target=|_top|&gt;",M1192,"&lt;/a&gt;")</f>
        <v>&lt;/li&gt;&lt;li&gt;&lt;a href=|http://niv.scripturetext.com/exodus/17.htm| title=|New International Version| target=|_top|&gt;NIV&lt;/a&gt;</v>
      </c>
      <c r="N67" t="str">
        <f t="shared" si="264"/>
        <v>&lt;/li&gt;&lt;li&gt;&lt;a href=|http://nlt.scripturetext.com/exodus/17.htm| title=|New Living Translation| target=|_top|&gt;NLT&lt;/a&gt;</v>
      </c>
      <c r="O67" t="str">
        <f t="shared" si="264"/>
        <v>&lt;/li&gt;&lt;li&gt;&lt;a href=|http://nasb.scripturetext.com/exodus/17.htm| title=|New American Standard Bible| target=|_top|&gt;NAS&lt;/a&gt;</v>
      </c>
      <c r="P67" t="str">
        <f t="shared" si="264"/>
        <v>&lt;/li&gt;&lt;li&gt;&lt;a href=|http://gwt.scripturetext.com/exodus/17.htm| title=|God's Word Translation| target=|_top|&gt;GWT&lt;/a&gt;</v>
      </c>
      <c r="Q67" t="str">
        <f t="shared" si="264"/>
        <v>&lt;/li&gt;&lt;li&gt;&lt;a href=|http://kingjbible.com/exodus/17.htm| title=|King James Bible| target=|_top|&gt;KJV&lt;/a&gt;</v>
      </c>
      <c r="R67" t="str">
        <f t="shared" si="264"/>
        <v>&lt;/li&gt;&lt;li&gt;&lt;a href=|http://asvbible.com/exodus/17.htm| title=|American Standard Version| target=|_top|&gt;ASV&lt;/a&gt;</v>
      </c>
      <c r="S67" t="str">
        <f t="shared" si="264"/>
        <v>&lt;/li&gt;&lt;li&gt;&lt;a href=|http://drb.scripturetext.com/exodus/17.htm| title=|Douay-Rheims Bible| target=|_top|&gt;DRB&lt;/a&gt;</v>
      </c>
      <c r="T67" t="str">
        <f t="shared" si="264"/>
        <v>&lt;/li&gt;&lt;li&gt;&lt;a href=|http://erv.scripturetext.com/exodus/17.htm| title=|English Revised Version| target=|_top|&gt;ERV&lt;/a&gt;</v>
      </c>
      <c r="V67" t="str">
        <f>CONCATENATE("&lt;/li&gt;&lt;li&gt;&lt;a href=|http://",V1191,"/exodus/17.htm","| ","title=|",V1190,"| target=|_top|&gt;",V1192,"&lt;/a&gt;")</f>
        <v>&lt;/li&gt;&lt;li&gt;&lt;a href=|http://study.interlinearbible.org/exodus/17.htm| title=|Hebrew Study Bible| target=|_top|&gt;Heb Study&lt;/a&gt;</v>
      </c>
      <c r="W67" t="str">
        <f t="shared" si="264"/>
        <v>&lt;/li&gt;&lt;li&gt;&lt;a href=|http://apostolic.interlinearbible.org/exodus/17.htm| title=|Apostolic Bible Polyglot Interlinear| target=|_top|&gt;Polyglot&lt;/a&gt;</v>
      </c>
      <c r="X67" t="str">
        <f t="shared" si="264"/>
        <v>&lt;/li&gt;&lt;li&gt;&lt;a href=|http://interlinearbible.org/exodus/17.htm| title=|Interlinear Bible| target=|_top|&gt;Interlin&lt;/a&gt;</v>
      </c>
      <c r="Y67" t="str">
        <f t="shared" ref="Y67" si="265">CONCATENATE("&lt;/li&gt;&lt;li&gt;&lt;a href=|http://",Y1191,"/exodus/17.htm","| ","title=|",Y1190,"| target=|_top|&gt;",Y1192,"&lt;/a&gt;")</f>
        <v>&lt;/li&gt;&lt;li&gt;&lt;a href=|http://bibleoutline.org/exodus/17.htm| title=|Outline with People and Places List| target=|_top|&gt;Outline&lt;/a&gt;</v>
      </c>
      <c r="Z67" t="str">
        <f t="shared" si="264"/>
        <v>&lt;/li&gt;&lt;li&gt;&lt;a href=|http://kjvs.scripturetext.com/exodus/17.htm| title=|King James Bible with Strong's Numbers| target=|_top|&gt;Strong's&lt;/a&gt;</v>
      </c>
      <c r="AA67" t="str">
        <f t="shared" si="264"/>
        <v>&lt;/li&gt;&lt;li&gt;&lt;a href=|http://childrensbibleonline.com/exodus/17.htm| title=|The Children's Bible| target=|_top|&gt;Children's&lt;/a&gt;</v>
      </c>
      <c r="AB67" s="2" t="str">
        <f t="shared" si="264"/>
        <v>&lt;/li&gt;&lt;li&gt;&lt;a href=|http://tsk.scripturetext.com/exodus/17.htm| title=|Treasury of Scripture Knowledge| target=|_top|&gt;TSK&lt;/a&gt;</v>
      </c>
      <c r="AC67" t="str">
        <f>CONCATENATE("&lt;a href=|http://",AC1191,"/exodus/17.htm","| ","title=|",AC1190,"| target=|_top|&gt;",AC1192,"&lt;/a&gt;")</f>
        <v>&lt;a href=|http://parallelbible.com/exodus/17.htm| title=|Parallel Chapters| target=|_top|&gt;PAR&lt;/a&gt;</v>
      </c>
      <c r="AD67" s="2" t="str">
        <f t="shared" ref="AD67:AK67" si="266">CONCATENATE("&lt;/li&gt;&lt;li&gt;&lt;a href=|http://",AD1191,"/exodus/17.htm","| ","title=|",AD1190,"| target=|_top|&gt;",AD1192,"&lt;/a&gt;")</f>
        <v>&lt;/li&gt;&lt;li&gt;&lt;a href=|http://gsb.biblecommenter.com/exodus/17.htm| title=|Geneva Study Bible| target=|_top|&gt;GSB&lt;/a&gt;</v>
      </c>
      <c r="AE67" s="2" t="str">
        <f t="shared" si="266"/>
        <v>&lt;/li&gt;&lt;li&gt;&lt;a href=|http://jfb.biblecommenter.com/exodus/17.htm| title=|Jamieson-Fausset-Brown Bible Commentary| target=|_top|&gt;JFB&lt;/a&gt;</v>
      </c>
      <c r="AF67" s="2" t="str">
        <f t="shared" si="266"/>
        <v>&lt;/li&gt;&lt;li&gt;&lt;a href=|http://kjt.biblecommenter.com/exodus/17.htm| title=|King James Translators' Notes| target=|_top|&gt;KJT&lt;/a&gt;</v>
      </c>
      <c r="AG67" s="2" t="str">
        <f t="shared" si="266"/>
        <v>&lt;/li&gt;&lt;li&gt;&lt;a href=|http://mhc.biblecommenter.com/exodus/17.htm| title=|Matthew Henry's Concise Commentary| target=|_top|&gt;MHC&lt;/a&gt;</v>
      </c>
      <c r="AH67" s="2" t="str">
        <f t="shared" si="266"/>
        <v>&lt;/li&gt;&lt;li&gt;&lt;a href=|http://sco.biblecommenter.com/exodus/17.htm| title=|Scofield Reference Notes| target=|_top|&gt;SCO&lt;/a&gt;</v>
      </c>
      <c r="AI67" s="2" t="str">
        <f t="shared" si="266"/>
        <v>&lt;/li&gt;&lt;li&gt;&lt;a href=|http://wes.biblecommenter.com/exodus/17.htm| title=|Wesley's Notes on the Bible| target=|_top|&gt;WES&lt;/a&gt;</v>
      </c>
      <c r="AJ67" t="str">
        <f t="shared" si="266"/>
        <v>&lt;/li&gt;&lt;li&gt;&lt;a href=|http://worldebible.com/exodus/17.htm| title=|World English Bible| target=|_top|&gt;WEB&lt;/a&gt;</v>
      </c>
      <c r="AK67" t="str">
        <f t="shared" si="266"/>
        <v>&lt;/li&gt;&lt;li&gt;&lt;a href=|http://yltbible.com/exodus/17.htm| title=|Young's Literal Translation| target=|_top|&gt;YLT&lt;/a&gt;</v>
      </c>
      <c r="AL67" t="str">
        <f>CONCATENATE("&lt;a href=|http://",AL1191,"/exodus/17.htm","| ","title=|",AL1190,"| target=|_top|&gt;",AL1192,"&lt;/a&gt;")</f>
        <v>&lt;a href=|http://kjv.us/exodus/17.htm| title=|American King James Version| target=|_top|&gt;AKJ&lt;/a&gt;</v>
      </c>
      <c r="AM67" t="str">
        <f t="shared" ref="AM67:AN67" si="267">CONCATENATE("&lt;/li&gt;&lt;li&gt;&lt;a href=|http://",AM1191,"/exodus/17.htm","| ","title=|",AM1190,"| target=|_top|&gt;",AM1192,"&lt;/a&gt;")</f>
        <v>&lt;/li&gt;&lt;li&gt;&lt;a href=|http://basicenglishbible.com/exodus/17.htm| title=|Bible in Basic English| target=|_top|&gt;BBE&lt;/a&gt;</v>
      </c>
      <c r="AN67" t="str">
        <f t="shared" si="267"/>
        <v>&lt;/li&gt;&lt;li&gt;&lt;a href=|http://darbybible.com/exodus/17.htm| title=|Darby Bible Translation| target=|_top|&gt;DBY&lt;/a&gt;</v>
      </c>
      <c r="AO6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7" t="str">
        <f>CONCATENATE("&lt;/li&gt;&lt;li&gt;&lt;a href=|http://",AR1191,"/exodus/17.htm","| ","title=|",AR1190,"| target=|_top|&gt;",AR1192,"&lt;/a&gt;")</f>
        <v>&lt;/li&gt;&lt;li&gt;&lt;a href=|http://websterbible.com/exodus/17.htm| title=|Webster's Bible Translation| target=|_top|&gt;WBS&lt;/a&gt;</v>
      </c>
      <c r="AS6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7" t="str">
        <f>CONCATENATE("&lt;/li&gt;&lt;li&gt;&lt;a href=|http://",AT1191,"/exodus/17-1.htm","| ","title=|",AT1190,"| target=|_top|&gt;",AT1192,"&lt;/a&gt;")</f>
        <v>&lt;/li&gt;&lt;li&gt;&lt;a href=|http://biblebrowser.com/exodus/17-1.htm| title=|Split View| target=|_top|&gt;Split&lt;/a&gt;</v>
      </c>
      <c r="AU67" s="2" t="s">
        <v>1276</v>
      </c>
      <c r="AV67" t="s">
        <v>64</v>
      </c>
    </row>
    <row r="68" spans="1:48">
      <c r="A68" t="s">
        <v>622</v>
      </c>
      <c r="B68" t="s">
        <v>121</v>
      </c>
      <c r="C68" t="s">
        <v>624</v>
      </c>
      <c r="D68" t="s">
        <v>1268</v>
      </c>
      <c r="E68" t="s">
        <v>1277</v>
      </c>
      <c r="F68" t="s">
        <v>1304</v>
      </c>
      <c r="G68" t="s">
        <v>1266</v>
      </c>
      <c r="H68" t="s">
        <v>1305</v>
      </c>
      <c r="I68" t="s">
        <v>1303</v>
      </c>
      <c r="J68" t="s">
        <v>1267</v>
      </c>
      <c r="K68" t="s">
        <v>1275</v>
      </c>
      <c r="L68" s="2" t="s">
        <v>1274</v>
      </c>
      <c r="M68" t="str">
        <f t="shared" ref="M68:AB68" si="268">CONCATENATE("&lt;/li&gt;&lt;li&gt;&lt;a href=|http://",M1191,"/exodus/18.htm","| ","title=|",M1190,"| target=|_top|&gt;",M1192,"&lt;/a&gt;")</f>
        <v>&lt;/li&gt;&lt;li&gt;&lt;a href=|http://niv.scripturetext.com/exodus/18.htm| title=|New International Version| target=|_top|&gt;NIV&lt;/a&gt;</v>
      </c>
      <c r="N68" t="str">
        <f t="shared" si="268"/>
        <v>&lt;/li&gt;&lt;li&gt;&lt;a href=|http://nlt.scripturetext.com/exodus/18.htm| title=|New Living Translation| target=|_top|&gt;NLT&lt;/a&gt;</v>
      </c>
      <c r="O68" t="str">
        <f t="shared" si="268"/>
        <v>&lt;/li&gt;&lt;li&gt;&lt;a href=|http://nasb.scripturetext.com/exodus/18.htm| title=|New American Standard Bible| target=|_top|&gt;NAS&lt;/a&gt;</v>
      </c>
      <c r="P68" t="str">
        <f t="shared" si="268"/>
        <v>&lt;/li&gt;&lt;li&gt;&lt;a href=|http://gwt.scripturetext.com/exodus/18.htm| title=|God's Word Translation| target=|_top|&gt;GWT&lt;/a&gt;</v>
      </c>
      <c r="Q68" t="str">
        <f t="shared" si="268"/>
        <v>&lt;/li&gt;&lt;li&gt;&lt;a href=|http://kingjbible.com/exodus/18.htm| title=|King James Bible| target=|_top|&gt;KJV&lt;/a&gt;</v>
      </c>
      <c r="R68" t="str">
        <f t="shared" si="268"/>
        <v>&lt;/li&gt;&lt;li&gt;&lt;a href=|http://asvbible.com/exodus/18.htm| title=|American Standard Version| target=|_top|&gt;ASV&lt;/a&gt;</v>
      </c>
      <c r="S68" t="str">
        <f t="shared" si="268"/>
        <v>&lt;/li&gt;&lt;li&gt;&lt;a href=|http://drb.scripturetext.com/exodus/18.htm| title=|Douay-Rheims Bible| target=|_top|&gt;DRB&lt;/a&gt;</v>
      </c>
      <c r="T68" t="str">
        <f t="shared" si="268"/>
        <v>&lt;/li&gt;&lt;li&gt;&lt;a href=|http://erv.scripturetext.com/exodus/18.htm| title=|English Revised Version| target=|_top|&gt;ERV&lt;/a&gt;</v>
      </c>
      <c r="V68" t="str">
        <f>CONCATENATE("&lt;/li&gt;&lt;li&gt;&lt;a href=|http://",V1191,"/exodus/18.htm","| ","title=|",V1190,"| target=|_top|&gt;",V1192,"&lt;/a&gt;")</f>
        <v>&lt;/li&gt;&lt;li&gt;&lt;a href=|http://study.interlinearbible.org/exodus/18.htm| title=|Hebrew Study Bible| target=|_top|&gt;Heb Study&lt;/a&gt;</v>
      </c>
      <c r="W68" t="str">
        <f t="shared" si="268"/>
        <v>&lt;/li&gt;&lt;li&gt;&lt;a href=|http://apostolic.interlinearbible.org/exodus/18.htm| title=|Apostolic Bible Polyglot Interlinear| target=|_top|&gt;Polyglot&lt;/a&gt;</v>
      </c>
      <c r="X68" t="str">
        <f t="shared" si="268"/>
        <v>&lt;/li&gt;&lt;li&gt;&lt;a href=|http://interlinearbible.org/exodus/18.htm| title=|Interlinear Bible| target=|_top|&gt;Interlin&lt;/a&gt;</v>
      </c>
      <c r="Y68" t="str">
        <f t="shared" ref="Y68" si="269">CONCATENATE("&lt;/li&gt;&lt;li&gt;&lt;a href=|http://",Y1191,"/exodus/18.htm","| ","title=|",Y1190,"| target=|_top|&gt;",Y1192,"&lt;/a&gt;")</f>
        <v>&lt;/li&gt;&lt;li&gt;&lt;a href=|http://bibleoutline.org/exodus/18.htm| title=|Outline with People and Places List| target=|_top|&gt;Outline&lt;/a&gt;</v>
      </c>
      <c r="Z68" t="str">
        <f t="shared" si="268"/>
        <v>&lt;/li&gt;&lt;li&gt;&lt;a href=|http://kjvs.scripturetext.com/exodus/18.htm| title=|King James Bible with Strong's Numbers| target=|_top|&gt;Strong's&lt;/a&gt;</v>
      </c>
      <c r="AA68" t="str">
        <f t="shared" si="268"/>
        <v>&lt;/li&gt;&lt;li&gt;&lt;a href=|http://childrensbibleonline.com/exodus/18.htm| title=|The Children's Bible| target=|_top|&gt;Children's&lt;/a&gt;</v>
      </c>
      <c r="AB68" s="2" t="str">
        <f t="shared" si="268"/>
        <v>&lt;/li&gt;&lt;li&gt;&lt;a href=|http://tsk.scripturetext.com/exodus/18.htm| title=|Treasury of Scripture Knowledge| target=|_top|&gt;TSK&lt;/a&gt;</v>
      </c>
      <c r="AC68" t="str">
        <f>CONCATENATE("&lt;a href=|http://",AC1191,"/exodus/18.htm","| ","title=|",AC1190,"| target=|_top|&gt;",AC1192,"&lt;/a&gt;")</f>
        <v>&lt;a href=|http://parallelbible.com/exodus/18.htm| title=|Parallel Chapters| target=|_top|&gt;PAR&lt;/a&gt;</v>
      </c>
      <c r="AD68" s="2" t="str">
        <f t="shared" ref="AD68:AK68" si="270">CONCATENATE("&lt;/li&gt;&lt;li&gt;&lt;a href=|http://",AD1191,"/exodus/18.htm","| ","title=|",AD1190,"| target=|_top|&gt;",AD1192,"&lt;/a&gt;")</f>
        <v>&lt;/li&gt;&lt;li&gt;&lt;a href=|http://gsb.biblecommenter.com/exodus/18.htm| title=|Geneva Study Bible| target=|_top|&gt;GSB&lt;/a&gt;</v>
      </c>
      <c r="AE68" s="2" t="str">
        <f t="shared" si="270"/>
        <v>&lt;/li&gt;&lt;li&gt;&lt;a href=|http://jfb.biblecommenter.com/exodus/18.htm| title=|Jamieson-Fausset-Brown Bible Commentary| target=|_top|&gt;JFB&lt;/a&gt;</v>
      </c>
      <c r="AF68" s="2" t="str">
        <f t="shared" si="270"/>
        <v>&lt;/li&gt;&lt;li&gt;&lt;a href=|http://kjt.biblecommenter.com/exodus/18.htm| title=|King James Translators' Notes| target=|_top|&gt;KJT&lt;/a&gt;</v>
      </c>
      <c r="AG68" s="2" t="str">
        <f t="shared" si="270"/>
        <v>&lt;/li&gt;&lt;li&gt;&lt;a href=|http://mhc.biblecommenter.com/exodus/18.htm| title=|Matthew Henry's Concise Commentary| target=|_top|&gt;MHC&lt;/a&gt;</v>
      </c>
      <c r="AH68" s="2" t="str">
        <f t="shared" si="270"/>
        <v>&lt;/li&gt;&lt;li&gt;&lt;a href=|http://sco.biblecommenter.com/exodus/18.htm| title=|Scofield Reference Notes| target=|_top|&gt;SCO&lt;/a&gt;</v>
      </c>
      <c r="AI68" s="2" t="str">
        <f t="shared" si="270"/>
        <v>&lt;/li&gt;&lt;li&gt;&lt;a href=|http://wes.biblecommenter.com/exodus/18.htm| title=|Wesley's Notes on the Bible| target=|_top|&gt;WES&lt;/a&gt;</v>
      </c>
      <c r="AJ68" t="str">
        <f t="shared" si="270"/>
        <v>&lt;/li&gt;&lt;li&gt;&lt;a href=|http://worldebible.com/exodus/18.htm| title=|World English Bible| target=|_top|&gt;WEB&lt;/a&gt;</v>
      </c>
      <c r="AK68" t="str">
        <f t="shared" si="270"/>
        <v>&lt;/li&gt;&lt;li&gt;&lt;a href=|http://yltbible.com/exodus/18.htm| title=|Young's Literal Translation| target=|_top|&gt;YLT&lt;/a&gt;</v>
      </c>
      <c r="AL68" t="str">
        <f>CONCATENATE("&lt;a href=|http://",AL1191,"/exodus/18.htm","| ","title=|",AL1190,"| target=|_top|&gt;",AL1192,"&lt;/a&gt;")</f>
        <v>&lt;a href=|http://kjv.us/exodus/18.htm| title=|American King James Version| target=|_top|&gt;AKJ&lt;/a&gt;</v>
      </c>
      <c r="AM68" t="str">
        <f t="shared" ref="AM68:AN68" si="271">CONCATENATE("&lt;/li&gt;&lt;li&gt;&lt;a href=|http://",AM1191,"/exodus/18.htm","| ","title=|",AM1190,"| target=|_top|&gt;",AM1192,"&lt;/a&gt;")</f>
        <v>&lt;/li&gt;&lt;li&gt;&lt;a href=|http://basicenglishbible.com/exodus/18.htm| title=|Bible in Basic English| target=|_top|&gt;BBE&lt;/a&gt;</v>
      </c>
      <c r="AN68" t="str">
        <f t="shared" si="271"/>
        <v>&lt;/li&gt;&lt;li&gt;&lt;a href=|http://darbybible.com/exodus/18.htm| title=|Darby Bible Translation| target=|_top|&gt;DBY&lt;/a&gt;</v>
      </c>
      <c r="AO6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8" t="str">
        <f>CONCATENATE("&lt;/li&gt;&lt;li&gt;&lt;a href=|http://",AR1191,"/exodus/18.htm","| ","title=|",AR1190,"| target=|_top|&gt;",AR1192,"&lt;/a&gt;")</f>
        <v>&lt;/li&gt;&lt;li&gt;&lt;a href=|http://websterbible.com/exodus/18.htm| title=|Webster's Bible Translation| target=|_top|&gt;WBS&lt;/a&gt;</v>
      </c>
      <c r="AS6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8" t="str">
        <f>CONCATENATE("&lt;/li&gt;&lt;li&gt;&lt;a href=|http://",AT1191,"/exodus/18-1.htm","| ","title=|",AT1190,"| target=|_top|&gt;",AT1192,"&lt;/a&gt;")</f>
        <v>&lt;/li&gt;&lt;li&gt;&lt;a href=|http://biblebrowser.com/exodus/18-1.htm| title=|Split View| target=|_top|&gt;Split&lt;/a&gt;</v>
      </c>
      <c r="AU68" s="2" t="s">
        <v>1276</v>
      </c>
      <c r="AV68" t="s">
        <v>64</v>
      </c>
    </row>
    <row r="69" spans="1:48">
      <c r="A69" t="s">
        <v>622</v>
      </c>
      <c r="B69" t="s">
        <v>122</v>
      </c>
      <c r="C69" t="s">
        <v>624</v>
      </c>
      <c r="D69" t="s">
        <v>1268</v>
      </c>
      <c r="E69" t="s">
        <v>1277</v>
      </c>
      <c r="F69" t="s">
        <v>1304</v>
      </c>
      <c r="G69" t="s">
        <v>1266</v>
      </c>
      <c r="H69" t="s">
        <v>1305</v>
      </c>
      <c r="I69" t="s">
        <v>1303</v>
      </c>
      <c r="J69" t="s">
        <v>1267</v>
      </c>
      <c r="K69" t="s">
        <v>1275</v>
      </c>
      <c r="L69" s="2" t="s">
        <v>1274</v>
      </c>
      <c r="M69" t="str">
        <f t="shared" ref="M69:AB69" si="272">CONCATENATE("&lt;/li&gt;&lt;li&gt;&lt;a href=|http://",M1191,"/exodus/19.htm","| ","title=|",M1190,"| target=|_top|&gt;",M1192,"&lt;/a&gt;")</f>
        <v>&lt;/li&gt;&lt;li&gt;&lt;a href=|http://niv.scripturetext.com/exodus/19.htm| title=|New International Version| target=|_top|&gt;NIV&lt;/a&gt;</v>
      </c>
      <c r="N69" t="str">
        <f t="shared" si="272"/>
        <v>&lt;/li&gt;&lt;li&gt;&lt;a href=|http://nlt.scripturetext.com/exodus/19.htm| title=|New Living Translation| target=|_top|&gt;NLT&lt;/a&gt;</v>
      </c>
      <c r="O69" t="str">
        <f t="shared" si="272"/>
        <v>&lt;/li&gt;&lt;li&gt;&lt;a href=|http://nasb.scripturetext.com/exodus/19.htm| title=|New American Standard Bible| target=|_top|&gt;NAS&lt;/a&gt;</v>
      </c>
      <c r="P69" t="str">
        <f t="shared" si="272"/>
        <v>&lt;/li&gt;&lt;li&gt;&lt;a href=|http://gwt.scripturetext.com/exodus/19.htm| title=|God's Word Translation| target=|_top|&gt;GWT&lt;/a&gt;</v>
      </c>
      <c r="Q69" t="str">
        <f t="shared" si="272"/>
        <v>&lt;/li&gt;&lt;li&gt;&lt;a href=|http://kingjbible.com/exodus/19.htm| title=|King James Bible| target=|_top|&gt;KJV&lt;/a&gt;</v>
      </c>
      <c r="R69" t="str">
        <f t="shared" si="272"/>
        <v>&lt;/li&gt;&lt;li&gt;&lt;a href=|http://asvbible.com/exodus/19.htm| title=|American Standard Version| target=|_top|&gt;ASV&lt;/a&gt;</v>
      </c>
      <c r="S69" t="str">
        <f t="shared" si="272"/>
        <v>&lt;/li&gt;&lt;li&gt;&lt;a href=|http://drb.scripturetext.com/exodus/19.htm| title=|Douay-Rheims Bible| target=|_top|&gt;DRB&lt;/a&gt;</v>
      </c>
      <c r="T69" t="str">
        <f t="shared" si="272"/>
        <v>&lt;/li&gt;&lt;li&gt;&lt;a href=|http://erv.scripturetext.com/exodus/19.htm| title=|English Revised Version| target=|_top|&gt;ERV&lt;/a&gt;</v>
      </c>
      <c r="V69" t="str">
        <f>CONCATENATE("&lt;/li&gt;&lt;li&gt;&lt;a href=|http://",V1191,"/exodus/19.htm","| ","title=|",V1190,"| target=|_top|&gt;",V1192,"&lt;/a&gt;")</f>
        <v>&lt;/li&gt;&lt;li&gt;&lt;a href=|http://study.interlinearbible.org/exodus/19.htm| title=|Hebrew Study Bible| target=|_top|&gt;Heb Study&lt;/a&gt;</v>
      </c>
      <c r="W69" t="str">
        <f t="shared" si="272"/>
        <v>&lt;/li&gt;&lt;li&gt;&lt;a href=|http://apostolic.interlinearbible.org/exodus/19.htm| title=|Apostolic Bible Polyglot Interlinear| target=|_top|&gt;Polyglot&lt;/a&gt;</v>
      </c>
      <c r="X69" t="str">
        <f t="shared" si="272"/>
        <v>&lt;/li&gt;&lt;li&gt;&lt;a href=|http://interlinearbible.org/exodus/19.htm| title=|Interlinear Bible| target=|_top|&gt;Interlin&lt;/a&gt;</v>
      </c>
      <c r="Y69" t="str">
        <f t="shared" ref="Y69" si="273">CONCATENATE("&lt;/li&gt;&lt;li&gt;&lt;a href=|http://",Y1191,"/exodus/19.htm","| ","title=|",Y1190,"| target=|_top|&gt;",Y1192,"&lt;/a&gt;")</f>
        <v>&lt;/li&gt;&lt;li&gt;&lt;a href=|http://bibleoutline.org/exodus/19.htm| title=|Outline with People and Places List| target=|_top|&gt;Outline&lt;/a&gt;</v>
      </c>
      <c r="Z69" t="str">
        <f t="shared" si="272"/>
        <v>&lt;/li&gt;&lt;li&gt;&lt;a href=|http://kjvs.scripturetext.com/exodus/19.htm| title=|King James Bible with Strong's Numbers| target=|_top|&gt;Strong's&lt;/a&gt;</v>
      </c>
      <c r="AA69" t="str">
        <f t="shared" si="272"/>
        <v>&lt;/li&gt;&lt;li&gt;&lt;a href=|http://childrensbibleonline.com/exodus/19.htm| title=|The Children's Bible| target=|_top|&gt;Children's&lt;/a&gt;</v>
      </c>
      <c r="AB69" s="2" t="str">
        <f t="shared" si="272"/>
        <v>&lt;/li&gt;&lt;li&gt;&lt;a href=|http://tsk.scripturetext.com/exodus/19.htm| title=|Treasury of Scripture Knowledge| target=|_top|&gt;TSK&lt;/a&gt;</v>
      </c>
      <c r="AC69" t="str">
        <f>CONCATENATE("&lt;a href=|http://",AC1191,"/exodus/19.htm","| ","title=|",AC1190,"| target=|_top|&gt;",AC1192,"&lt;/a&gt;")</f>
        <v>&lt;a href=|http://parallelbible.com/exodus/19.htm| title=|Parallel Chapters| target=|_top|&gt;PAR&lt;/a&gt;</v>
      </c>
      <c r="AD69" s="2" t="str">
        <f t="shared" ref="AD69:AK69" si="274">CONCATENATE("&lt;/li&gt;&lt;li&gt;&lt;a href=|http://",AD1191,"/exodus/19.htm","| ","title=|",AD1190,"| target=|_top|&gt;",AD1192,"&lt;/a&gt;")</f>
        <v>&lt;/li&gt;&lt;li&gt;&lt;a href=|http://gsb.biblecommenter.com/exodus/19.htm| title=|Geneva Study Bible| target=|_top|&gt;GSB&lt;/a&gt;</v>
      </c>
      <c r="AE69" s="2" t="str">
        <f t="shared" si="274"/>
        <v>&lt;/li&gt;&lt;li&gt;&lt;a href=|http://jfb.biblecommenter.com/exodus/19.htm| title=|Jamieson-Fausset-Brown Bible Commentary| target=|_top|&gt;JFB&lt;/a&gt;</v>
      </c>
      <c r="AF69" s="2" t="str">
        <f t="shared" si="274"/>
        <v>&lt;/li&gt;&lt;li&gt;&lt;a href=|http://kjt.biblecommenter.com/exodus/19.htm| title=|King James Translators' Notes| target=|_top|&gt;KJT&lt;/a&gt;</v>
      </c>
      <c r="AG69" s="2" t="str">
        <f t="shared" si="274"/>
        <v>&lt;/li&gt;&lt;li&gt;&lt;a href=|http://mhc.biblecommenter.com/exodus/19.htm| title=|Matthew Henry's Concise Commentary| target=|_top|&gt;MHC&lt;/a&gt;</v>
      </c>
      <c r="AH69" s="2" t="str">
        <f t="shared" si="274"/>
        <v>&lt;/li&gt;&lt;li&gt;&lt;a href=|http://sco.biblecommenter.com/exodus/19.htm| title=|Scofield Reference Notes| target=|_top|&gt;SCO&lt;/a&gt;</v>
      </c>
      <c r="AI69" s="2" t="str">
        <f t="shared" si="274"/>
        <v>&lt;/li&gt;&lt;li&gt;&lt;a href=|http://wes.biblecommenter.com/exodus/19.htm| title=|Wesley's Notes on the Bible| target=|_top|&gt;WES&lt;/a&gt;</v>
      </c>
      <c r="AJ69" t="str">
        <f t="shared" si="274"/>
        <v>&lt;/li&gt;&lt;li&gt;&lt;a href=|http://worldebible.com/exodus/19.htm| title=|World English Bible| target=|_top|&gt;WEB&lt;/a&gt;</v>
      </c>
      <c r="AK69" t="str">
        <f t="shared" si="274"/>
        <v>&lt;/li&gt;&lt;li&gt;&lt;a href=|http://yltbible.com/exodus/19.htm| title=|Young's Literal Translation| target=|_top|&gt;YLT&lt;/a&gt;</v>
      </c>
      <c r="AL69" t="str">
        <f>CONCATENATE("&lt;a href=|http://",AL1191,"/exodus/19.htm","| ","title=|",AL1190,"| target=|_top|&gt;",AL1192,"&lt;/a&gt;")</f>
        <v>&lt;a href=|http://kjv.us/exodus/19.htm| title=|American King James Version| target=|_top|&gt;AKJ&lt;/a&gt;</v>
      </c>
      <c r="AM69" t="str">
        <f t="shared" ref="AM69:AN69" si="275">CONCATENATE("&lt;/li&gt;&lt;li&gt;&lt;a href=|http://",AM1191,"/exodus/19.htm","| ","title=|",AM1190,"| target=|_top|&gt;",AM1192,"&lt;/a&gt;")</f>
        <v>&lt;/li&gt;&lt;li&gt;&lt;a href=|http://basicenglishbible.com/exodus/19.htm| title=|Bible in Basic English| target=|_top|&gt;BBE&lt;/a&gt;</v>
      </c>
      <c r="AN69" t="str">
        <f t="shared" si="275"/>
        <v>&lt;/li&gt;&lt;li&gt;&lt;a href=|http://darbybible.com/exodus/19.htm| title=|Darby Bible Translation| target=|_top|&gt;DBY&lt;/a&gt;</v>
      </c>
      <c r="AO6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9" t="str">
        <f>CONCATENATE("&lt;/li&gt;&lt;li&gt;&lt;a href=|http://",AR1191,"/exodus/19.htm","| ","title=|",AR1190,"| target=|_top|&gt;",AR1192,"&lt;/a&gt;")</f>
        <v>&lt;/li&gt;&lt;li&gt;&lt;a href=|http://websterbible.com/exodus/19.htm| title=|Webster's Bible Translation| target=|_top|&gt;WBS&lt;/a&gt;</v>
      </c>
      <c r="AS6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9" t="str">
        <f>CONCATENATE("&lt;/li&gt;&lt;li&gt;&lt;a href=|http://",AT1191,"/exodus/19-1.htm","| ","title=|",AT1190,"| target=|_top|&gt;",AT1192,"&lt;/a&gt;")</f>
        <v>&lt;/li&gt;&lt;li&gt;&lt;a href=|http://biblebrowser.com/exodus/19-1.htm| title=|Split View| target=|_top|&gt;Split&lt;/a&gt;</v>
      </c>
      <c r="AU69" s="2" t="s">
        <v>1276</v>
      </c>
      <c r="AV69" t="s">
        <v>64</v>
      </c>
    </row>
    <row r="70" spans="1:48">
      <c r="A70" t="s">
        <v>622</v>
      </c>
      <c r="B70" t="s">
        <v>123</v>
      </c>
      <c r="C70" t="s">
        <v>624</v>
      </c>
      <c r="D70" t="s">
        <v>1268</v>
      </c>
      <c r="E70" t="s">
        <v>1277</v>
      </c>
      <c r="F70" t="s">
        <v>1304</v>
      </c>
      <c r="G70" t="s">
        <v>1266</v>
      </c>
      <c r="H70" t="s">
        <v>1305</v>
      </c>
      <c r="I70" t="s">
        <v>1303</v>
      </c>
      <c r="J70" t="s">
        <v>1267</v>
      </c>
      <c r="K70" t="s">
        <v>1275</v>
      </c>
      <c r="L70" s="2" t="s">
        <v>1274</v>
      </c>
      <c r="M70" t="str">
        <f t="shared" ref="M70:AB70" si="276">CONCATENATE("&lt;/li&gt;&lt;li&gt;&lt;a href=|http://",M1191,"/exodus/20.htm","| ","title=|",M1190,"| target=|_top|&gt;",M1192,"&lt;/a&gt;")</f>
        <v>&lt;/li&gt;&lt;li&gt;&lt;a href=|http://niv.scripturetext.com/exodus/20.htm| title=|New International Version| target=|_top|&gt;NIV&lt;/a&gt;</v>
      </c>
      <c r="N70" t="str">
        <f t="shared" si="276"/>
        <v>&lt;/li&gt;&lt;li&gt;&lt;a href=|http://nlt.scripturetext.com/exodus/20.htm| title=|New Living Translation| target=|_top|&gt;NLT&lt;/a&gt;</v>
      </c>
      <c r="O70" t="str">
        <f t="shared" si="276"/>
        <v>&lt;/li&gt;&lt;li&gt;&lt;a href=|http://nasb.scripturetext.com/exodus/20.htm| title=|New American Standard Bible| target=|_top|&gt;NAS&lt;/a&gt;</v>
      </c>
      <c r="P70" t="str">
        <f t="shared" si="276"/>
        <v>&lt;/li&gt;&lt;li&gt;&lt;a href=|http://gwt.scripturetext.com/exodus/20.htm| title=|God's Word Translation| target=|_top|&gt;GWT&lt;/a&gt;</v>
      </c>
      <c r="Q70" t="str">
        <f t="shared" si="276"/>
        <v>&lt;/li&gt;&lt;li&gt;&lt;a href=|http://kingjbible.com/exodus/20.htm| title=|King James Bible| target=|_top|&gt;KJV&lt;/a&gt;</v>
      </c>
      <c r="R70" t="str">
        <f t="shared" si="276"/>
        <v>&lt;/li&gt;&lt;li&gt;&lt;a href=|http://asvbible.com/exodus/20.htm| title=|American Standard Version| target=|_top|&gt;ASV&lt;/a&gt;</v>
      </c>
      <c r="S70" t="str">
        <f t="shared" si="276"/>
        <v>&lt;/li&gt;&lt;li&gt;&lt;a href=|http://drb.scripturetext.com/exodus/20.htm| title=|Douay-Rheims Bible| target=|_top|&gt;DRB&lt;/a&gt;</v>
      </c>
      <c r="T70" t="str">
        <f t="shared" si="276"/>
        <v>&lt;/li&gt;&lt;li&gt;&lt;a href=|http://erv.scripturetext.com/exodus/20.htm| title=|English Revised Version| target=|_top|&gt;ERV&lt;/a&gt;</v>
      </c>
      <c r="V70" t="str">
        <f>CONCATENATE("&lt;/li&gt;&lt;li&gt;&lt;a href=|http://",V1191,"/exodus/20.htm","| ","title=|",V1190,"| target=|_top|&gt;",V1192,"&lt;/a&gt;")</f>
        <v>&lt;/li&gt;&lt;li&gt;&lt;a href=|http://study.interlinearbible.org/exodus/20.htm| title=|Hebrew Study Bible| target=|_top|&gt;Heb Study&lt;/a&gt;</v>
      </c>
      <c r="W70" t="str">
        <f t="shared" si="276"/>
        <v>&lt;/li&gt;&lt;li&gt;&lt;a href=|http://apostolic.interlinearbible.org/exodus/20.htm| title=|Apostolic Bible Polyglot Interlinear| target=|_top|&gt;Polyglot&lt;/a&gt;</v>
      </c>
      <c r="X70" t="str">
        <f t="shared" si="276"/>
        <v>&lt;/li&gt;&lt;li&gt;&lt;a href=|http://interlinearbible.org/exodus/20.htm| title=|Interlinear Bible| target=|_top|&gt;Interlin&lt;/a&gt;</v>
      </c>
      <c r="Y70" t="str">
        <f t="shared" ref="Y70" si="277">CONCATENATE("&lt;/li&gt;&lt;li&gt;&lt;a href=|http://",Y1191,"/exodus/20.htm","| ","title=|",Y1190,"| target=|_top|&gt;",Y1192,"&lt;/a&gt;")</f>
        <v>&lt;/li&gt;&lt;li&gt;&lt;a href=|http://bibleoutline.org/exodus/20.htm| title=|Outline with People and Places List| target=|_top|&gt;Outline&lt;/a&gt;</v>
      </c>
      <c r="Z70" t="str">
        <f t="shared" si="276"/>
        <v>&lt;/li&gt;&lt;li&gt;&lt;a href=|http://kjvs.scripturetext.com/exodus/20.htm| title=|King James Bible with Strong's Numbers| target=|_top|&gt;Strong's&lt;/a&gt;</v>
      </c>
      <c r="AA70" t="str">
        <f t="shared" si="276"/>
        <v>&lt;/li&gt;&lt;li&gt;&lt;a href=|http://childrensbibleonline.com/exodus/20.htm| title=|The Children's Bible| target=|_top|&gt;Children's&lt;/a&gt;</v>
      </c>
      <c r="AB70" s="2" t="str">
        <f t="shared" si="276"/>
        <v>&lt;/li&gt;&lt;li&gt;&lt;a href=|http://tsk.scripturetext.com/exodus/20.htm| title=|Treasury of Scripture Knowledge| target=|_top|&gt;TSK&lt;/a&gt;</v>
      </c>
      <c r="AC70" t="str">
        <f>CONCATENATE("&lt;a href=|http://",AC1191,"/exodus/20.htm","| ","title=|",AC1190,"| target=|_top|&gt;",AC1192,"&lt;/a&gt;")</f>
        <v>&lt;a href=|http://parallelbible.com/exodus/20.htm| title=|Parallel Chapters| target=|_top|&gt;PAR&lt;/a&gt;</v>
      </c>
      <c r="AD70" s="2" t="str">
        <f t="shared" ref="AD70:AK70" si="278">CONCATENATE("&lt;/li&gt;&lt;li&gt;&lt;a href=|http://",AD1191,"/exodus/20.htm","| ","title=|",AD1190,"| target=|_top|&gt;",AD1192,"&lt;/a&gt;")</f>
        <v>&lt;/li&gt;&lt;li&gt;&lt;a href=|http://gsb.biblecommenter.com/exodus/20.htm| title=|Geneva Study Bible| target=|_top|&gt;GSB&lt;/a&gt;</v>
      </c>
      <c r="AE70" s="2" t="str">
        <f t="shared" si="278"/>
        <v>&lt;/li&gt;&lt;li&gt;&lt;a href=|http://jfb.biblecommenter.com/exodus/20.htm| title=|Jamieson-Fausset-Brown Bible Commentary| target=|_top|&gt;JFB&lt;/a&gt;</v>
      </c>
      <c r="AF70" s="2" t="str">
        <f t="shared" si="278"/>
        <v>&lt;/li&gt;&lt;li&gt;&lt;a href=|http://kjt.biblecommenter.com/exodus/20.htm| title=|King James Translators' Notes| target=|_top|&gt;KJT&lt;/a&gt;</v>
      </c>
      <c r="AG70" s="2" t="str">
        <f t="shared" si="278"/>
        <v>&lt;/li&gt;&lt;li&gt;&lt;a href=|http://mhc.biblecommenter.com/exodus/20.htm| title=|Matthew Henry's Concise Commentary| target=|_top|&gt;MHC&lt;/a&gt;</v>
      </c>
      <c r="AH70" s="2" t="str">
        <f t="shared" si="278"/>
        <v>&lt;/li&gt;&lt;li&gt;&lt;a href=|http://sco.biblecommenter.com/exodus/20.htm| title=|Scofield Reference Notes| target=|_top|&gt;SCO&lt;/a&gt;</v>
      </c>
      <c r="AI70" s="2" t="str">
        <f t="shared" si="278"/>
        <v>&lt;/li&gt;&lt;li&gt;&lt;a href=|http://wes.biblecommenter.com/exodus/20.htm| title=|Wesley's Notes on the Bible| target=|_top|&gt;WES&lt;/a&gt;</v>
      </c>
      <c r="AJ70" t="str">
        <f t="shared" si="278"/>
        <v>&lt;/li&gt;&lt;li&gt;&lt;a href=|http://worldebible.com/exodus/20.htm| title=|World English Bible| target=|_top|&gt;WEB&lt;/a&gt;</v>
      </c>
      <c r="AK70" t="str">
        <f t="shared" si="278"/>
        <v>&lt;/li&gt;&lt;li&gt;&lt;a href=|http://yltbible.com/exodus/20.htm| title=|Young's Literal Translation| target=|_top|&gt;YLT&lt;/a&gt;</v>
      </c>
      <c r="AL70" t="str">
        <f>CONCATENATE("&lt;a href=|http://",AL1191,"/exodus/20.htm","| ","title=|",AL1190,"| target=|_top|&gt;",AL1192,"&lt;/a&gt;")</f>
        <v>&lt;a href=|http://kjv.us/exodus/20.htm| title=|American King James Version| target=|_top|&gt;AKJ&lt;/a&gt;</v>
      </c>
      <c r="AM70" t="str">
        <f t="shared" ref="AM70:AN70" si="279">CONCATENATE("&lt;/li&gt;&lt;li&gt;&lt;a href=|http://",AM1191,"/exodus/20.htm","| ","title=|",AM1190,"| target=|_top|&gt;",AM1192,"&lt;/a&gt;")</f>
        <v>&lt;/li&gt;&lt;li&gt;&lt;a href=|http://basicenglishbible.com/exodus/20.htm| title=|Bible in Basic English| target=|_top|&gt;BBE&lt;/a&gt;</v>
      </c>
      <c r="AN70" t="str">
        <f t="shared" si="279"/>
        <v>&lt;/li&gt;&lt;li&gt;&lt;a href=|http://darbybible.com/exodus/20.htm| title=|Darby Bible Translation| target=|_top|&gt;DBY&lt;/a&gt;</v>
      </c>
      <c r="AO7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0" t="str">
        <f>CONCATENATE("&lt;/li&gt;&lt;li&gt;&lt;a href=|http://",AR1191,"/exodus/20.htm","| ","title=|",AR1190,"| target=|_top|&gt;",AR1192,"&lt;/a&gt;")</f>
        <v>&lt;/li&gt;&lt;li&gt;&lt;a href=|http://websterbible.com/exodus/20.htm| title=|Webster's Bible Translation| target=|_top|&gt;WBS&lt;/a&gt;</v>
      </c>
      <c r="AS7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0" t="str">
        <f>CONCATENATE("&lt;/li&gt;&lt;li&gt;&lt;a href=|http://",AT1191,"/exodus/20-1.htm","| ","title=|",AT1190,"| target=|_top|&gt;",AT1192,"&lt;/a&gt;")</f>
        <v>&lt;/li&gt;&lt;li&gt;&lt;a href=|http://biblebrowser.com/exodus/20-1.htm| title=|Split View| target=|_top|&gt;Split&lt;/a&gt;</v>
      </c>
      <c r="AU70" s="2" t="s">
        <v>1276</v>
      </c>
      <c r="AV70" t="s">
        <v>64</v>
      </c>
    </row>
    <row r="71" spans="1:48">
      <c r="A71" t="s">
        <v>622</v>
      </c>
      <c r="B71" t="s">
        <v>124</v>
      </c>
      <c r="C71" t="s">
        <v>624</v>
      </c>
      <c r="D71" t="s">
        <v>1268</v>
      </c>
      <c r="E71" t="s">
        <v>1277</v>
      </c>
      <c r="F71" t="s">
        <v>1304</v>
      </c>
      <c r="G71" t="s">
        <v>1266</v>
      </c>
      <c r="H71" t="s">
        <v>1305</v>
      </c>
      <c r="I71" t="s">
        <v>1303</v>
      </c>
      <c r="J71" t="s">
        <v>1267</v>
      </c>
      <c r="K71" t="s">
        <v>1275</v>
      </c>
      <c r="L71" s="2" t="s">
        <v>1274</v>
      </c>
      <c r="M71" t="str">
        <f t="shared" ref="M71:AB71" si="280">CONCATENATE("&lt;/li&gt;&lt;li&gt;&lt;a href=|http://",M1191,"/exodus/21.htm","| ","title=|",M1190,"| target=|_top|&gt;",M1192,"&lt;/a&gt;")</f>
        <v>&lt;/li&gt;&lt;li&gt;&lt;a href=|http://niv.scripturetext.com/exodus/21.htm| title=|New International Version| target=|_top|&gt;NIV&lt;/a&gt;</v>
      </c>
      <c r="N71" t="str">
        <f t="shared" si="280"/>
        <v>&lt;/li&gt;&lt;li&gt;&lt;a href=|http://nlt.scripturetext.com/exodus/21.htm| title=|New Living Translation| target=|_top|&gt;NLT&lt;/a&gt;</v>
      </c>
      <c r="O71" t="str">
        <f t="shared" si="280"/>
        <v>&lt;/li&gt;&lt;li&gt;&lt;a href=|http://nasb.scripturetext.com/exodus/21.htm| title=|New American Standard Bible| target=|_top|&gt;NAS&lt;/a&gt;</v>
      </c>
      <c r="P71" t="str">
        <f t="shared" si="280"/>
        <v>&lt;/li&gt;&lt;li&gt;&lt;a href=|http://gwt.scripturetext.com/exodus/21.htm| title=|God's Word Translation| target=|_top|&gt;GWT&lt;/a&gt;</v>
      </c>
      <c r="Q71" t="str">
        <f t="shared" si="280"/>
        <v>&lt;/li&gt;&lt;li&gt;&lt;a href=|http://kingjbible.com/exodus/21.htm| title=|King James Bible| target=|_top|&gt;KJV&lt;/a&gt;</v>
      </c>
      <c r="R71" t="str">
        <f t="shared" si="280"/>
        <v>&lt;/li&gt;&lt;li&gt;&lt;a href=|http://asvbible.com/exodus/21.htm| title=|American Standard Version| target=|_top|&gt;ASV&lt;/a&gt;</v>
      </c>
      <c r="S71" t="str">
        <f t="shared" si="280"/>
        <v>&lt;/li&gt;&lt;li&gt;&lt;a href=|http://drb.scripturetext.com/exodus/21.htm| title=|Douay-Rheims Bible| target=|_top|&gt;DRB&lt;/a&gt;</v>
      </c>
      <c r="T71" t="str">
        <f t="shared" si="280"/>
        <v>&lt;/li&gt;&lt;li&gt;&lt;a href=|http://erv.scripturetext.com/exodus/21.htm| title=|English Revised Version| target=|_top|&gt;ERV&lt;/a&gt;</v>
      </c>
      <c r="V71" t="str">
        <f>CONCATENATE("&lt;/li&gt;&lt;li&gt;&lt;a href=|http://",V1191,"/exodus/21.htm","| ","title=|",V1190,"| target=|_top|&gt;",V1192,"&lt;/a&gt;")</f>
        <v>&lt;/li&gt;&lt;li&gt;&lt;a href=|http://study.interlinearbible.org/exodus/21.htm| title=|Hebrew Study Bible| target=|_top|&gt;Heb Study&lt;/a&gt;</v>
      </c>
      <c r="W71" t="str">
        <f t="shared" si="280"/>
        <v>&lt;/li&gt;&lt;li&gt;&lt;a href=|http://apostolic.interlinearbible.org/exodus/21.htm| title=|Apostolic Bible Polyglot Interlinear| target=|_top|&gt;Polyglot&lt;/a&gt;</v>
      </c>
      <c r="X71" t="str">
        <f t="shared" si="280"/>
        <v>&lt;/li&gt;&lt;li&gt;&lt;a href=|http://interlinearbible.org/exodus/21.htm| title=|Interlinear Bible| target=|_top|&gt;Interlin&lt;/a&gt;</v>
      </c>
      <c r="Y71" t="str">
        <f t="shared" ref="Y71" si="281">CONCATENATE("&lt;/li&gt;&lt;li&gt;&lt;a href=|http://",Y1191,"/exodus/21.htm","| ","title=|",Y1190,"| target=|_top|&gt;",Y1192,"&lt;/a&gt;")</f>
        <v>&lt;/li&gt;&lt;li&gt;&lt;a href=|http://bibleoutline.org/exodus/21.htm| title=|Outline with People and Places List| target=|_top|&gt;Outline&lt;/a&gt;</v>
      </c>
      <c r="Z71" t="str">
        <f t="shared" si="280"/>
        <v>&lt;/li&gt;&lt;li&gt;&lt;a href=|http://kjvs.scripturetext.com/exodus/21.htm| title=|King James Bible with Strong's Numbers| target=|_top|&gt;Strong's&lt;/a&gt;</v>
      </c>
      <c r="AA71" t="str">
        <f t="shared" si="280"/>
        <v>&lt;/li&gt;&lt;li&gt;&lt;a href=|http://childrensbibleonline.com/exodus/21.htm| title=|The Children's Bible| target=|_top|&gt;Children's&lt;/a&gt;</v>
      </c>
      <c r="AB71" s="2" t="str">
        <f t="shared" si="280"/>
        <v>&lt;/li&gt;&lt;li&gt;&lt;a href=|http://tsk.scripturetext.com/exodus/21.htm| title=|Treasury of Scripture Knowledge| target=|_top|&gt;TSK&lt;/a&gt;</v>
      </c>
      <c r="AC71" t="str">
        <f>CONCATENATE("&lt;a href=|http://",AC1191,"/exodus/21.htm","| ","title=|",AC1190,"| target=|_top|&gt;",AC1192,"&lt;/a&gt;")</f>
        <v>&lt;a href=|http://parallelbible.com/exodus/21.htm| title=|Parallel Chapters| target=|_top|&gt;PAR&lt;/a&gt;</v>
      </c>
      <c r="AD71" s="2" t="str">
        <f t="shared" ref="AD71:AK71" si="282">CONCATENATE("&lt;/li&gt;&lt;li&gt;&lt;a href=|http://",AD1191,"/exodus/21.htm","| ","title=|",AD1190,"| target=|_top|&gt;",AD1192,"&lt;/a&gt;")</f>
        <v>&lt;/li&gt;&lt;li&gt;&lt;a href=|http://gsb.biblecommenter.com/exodus/21.htm| title=|Geneva Study Bible| target=|_top|&gt;GSB&lt;/a&gt;</v>
      </c>
      <c r="AE71" s="2" t="str">
        <f t="shared" si="282"/>
        <v>&lt;/li&gt;&lt;li&gt;&lt;a href=|http://jfb.biblecommenter.com/exodus/21.htm| title=|Jamieson-Fausset-Brown Bible Commentary| target=|_top|&gt;JFB&lt;/a&gt;</v>
      </c>
      <c r="AF71" s="2" t="str">
        <f t="shared" si="282"/>
        <v>&lt;/li&gt;&lt;li&gt;&lt;a href=|http://kjt.biblecommenter.com/exodus/21.htm| title=|King James Translators' Notes| target=|_top|&gt;KJT&lt;/a&gt;</v>
      </c>
      <c r="AG71" s="2" t="str">
        <f t="shared" si="282"/>
        <v>&lt;/li&gt;&lt;li&gt;&lt;a href=|http://mhc.biblecommenter.com/exodus/21.htm| title=|Matthew Henry's Concise Commentary| target=|_top|&gt;MHC&lt;/a&gt;</v>
      </c>
      <c r="AH71" s="2" t="str">
        <f t="shared" si="282"/>
        <v>&lt;/li&gt;&lt;li&gt;&lt;a href=|http://sco.biblecommenter.com/exodus/21.htm| title=|Scofield Reference Notes| target=|_top|&gt;SCO&lt;/a&gt;</v>
      </c>
      <c r="AI71" s="2" t="str">
        <f t="shared" si="282"/>
        <v>&lt;/li&gt;&lt;li&gt;&lt;a href=|http://wes.biblecommenter.com/exodus/21.htm| title=|Wesley's Notes on the Bible| target=|_top|&gt;WES&lt;/a&gt;</v>
      </c>
      <c r="AJ71" t="str">
        <f t="shared" si="282"/>
        <v>&lt;/li&gt;&lt;li&gt;&lt;a href=|http://worldebible.com/exodus/21.htm| title=|World English Bible| target=|_top|&gt;WEB&lt;/a&gt;</v>
      </c>
      <c r="AK71" t="str">
        <f t="shared" si="282"/>
        <v>&lt;/li&gt;&lt;li&gt;&lt;a href=|http://yltbible.com/exodus/21.htm| title=|Young's Literal Translation| target=|_top|&gt;YLT&lt;/a&gt;</v>
      </c>
      <c r="AL71" t="str">
        <f>CONCATENATE("&lt;a href=|http://",AL1191,"/exodus/21.htm","| ","title=|",AL1190,"| target=|_top|&gt;",AL1192,"&lt;/a&gt;")</f>
        <v>&lt;a href=|http://kjv.us/exodus/21.htm| title=|American King James Version| target=|_top|&gt;AKJ&lt;/a&gt;</v>
      </c>
      <c r="AM71" t="str">
        <f t="shared" ref="AM71:AN71" si="283">CONCATENATE("&lt;/li&gt;&lt;li&gt;&lt;a href=|http://",AM1191,"/exodus/21.htm","| ","title=|",AM1190,"| target=|_top|&gt;",AM1192,"&lt;/a&gt;")</f>
        <v>&lt;/li&gt;&lt;li&gt;&lt;a href=|http://basicenglishbible.com/exodus/21.htm| title=|Bible in Basic English| target=|_top|&gt;BBE&lt;/a&gt;</v>
      </c>
      <c r="AN71" t="str">
        <f t="shared" si="283"/>
        <v>&lt;/li&gt;&lt;li&gt;&lt;a href=|http://darbybible.com/exodus/21.htm| title=|Darby Bible Translation| target=|_top|&gt;DBY&lt;/a&gt;</v>
      </c>
      <c r="AO7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1" t="str">
        <f>CONCATENATE("&lt;/li&gt;&lt;li&gt;&lt;a href=|http://",AR1191,"/exodus/21.htm","| ","title=|",AR1190,"| target=|_top|&gt;",AR1192,"&lt;/a&gt;")</f>
        <v>&lt;/li&gt;&lt;li&gt;&lt;a href=|http://websterbible.com/exodus/21.htm| title=|Webster's Bible Translation| target=|_top|&gt;WBS&lt;/a&gt;</v>
      </c>
      <c r="AS7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1" t="str">
        <f>CONCATENATE("&lt;/li&gt;&lt;li&gt;&lt;a href=|http://",AT1191,"/exodus/21-1.htm","| ","title=|",AT1190,"| target=|_top|&gt;",AT1192,"&lt;/a&gt;")</f>
        <v>&lt;/li&gt;&lt;li&gt;&lt;a href=|http://biblebrowser.com/exodus/21-1.htm| title=|Split View| target=|_top|&gt;Split&lt;/a&gt;</v>
      </c>
      <c r="AU71" s="2" t="s">
        <v>1276</v>
      </c>
      <c r="AV71" t="s">
        <v>64</v>
      </c>
    </row>
    <row r="72" spans="1:48">
      <c r="A72" t="s">
        <v>622</v>
      </c>
      <c r="B72" t="s">
        <v>125</v>
      </c>
      <c r="C72" t="s">
        <v>624</v>
      </c>
      <c r="D72" t="s">
        <v>1268</v>
      </c>
      <c r="E72" t="s">
        <v>1277</v>
      </c>
      <c r="F72" t="s">
        <v>1304</v>
      </c>
      <c r="G72" t="s">
        <v>1266</v>
      </c>
      <c r="H72" t="s">
        <v>1305</v>
      </c>
      <c r="I72" t="s">
        <v>1303</v>
      </c>
      <c r="J72" t="s">
        <v>1267</v>
      </c>
      <c r="K72" t="s">
        <v>1275</v>
      </c>
      <c r="L72" s="2" t="s">
        <v>1274</v>
      </c>
      <c r="M72" t="str">
        <f t="shared" ref="M72:AB72" si="284">CONCATENATE("&lt;/li&gt;&lt;li&gt;&lt;a href=|http://",M1191,"/exodus/22.htm","| ","title=|",M1190,"| target=|_top|&gt;",M1192,"&lt;/a&gt;")</f>
        <v>&lt;/li&gt;&lt;li&gt;&lt;a href=|http://niv.scripturetext.com/exodus/22.htm| title=|New International Version| target=|_top|&gt;NIV&lt;/a&gt;</v>
      </c>
      <c r="N72" t="str">
        <f t="shared" si="284"/>
        <v>&lt;/li&gt;&lt;li&gt;&lt;a href=|http://nlt.scripturetext.com/exodus/22.htm| title=|New Living Translation| target=|_top|&gt;NLT&lt;/a&gt;</v>
      </c>
      <c r="O72" t="str">
        <f t="shared" si="284"/>
        <v>&lt;/li&gt;&lt;li&gt;&lt;a href=|http://nasb.scripturetext.com/exodus/22.htm| title=|New American Standard Bible| target=|_top|&gt;NAS&lt;/a&gt;</v>
      </c>
      <c r="P72" t="str">
        <f t="shared" si="284"/>
        <v>&lt;/li&gt;&lt;li&gt;&lt;a href=|http://gwt.scripturetext.com/exodus/22.htm| title=|God's Word Translation| target=|_top|&gt;GWT&lt;/a&gt;</v>
      </c>
      <c r="Q72" t="str">
        <f t="shared" si="284"/>
        <v>&lt;/li&gt;&lt;li&gt;&lt;a href=|http://kingjbible.com/exodus/22.htm| title=|King James Bible| target=|_top|&gt;KJV&lt;/a&gt;</v>
      </c>
      <c r="R72" t="str">
        <f t="shared" si="284"/>
        <v>&lt;/li&gt;&lt;li&gt;&lt;a href=|http://asvbible.com/exodus/22.htm| title=|American Standard Version| target=|_top|&gt;ASV&lt;/a&gt;</v>
      </c>
      <c r="S72" t="str">
        <f t="shared" si="284"/>
        <v>&lt;/li&gt;&lt;li&gt;&lt;a href=|http://drb.scripturetext.com/exodus/22.htm| title=|Douay-Rheims Bible| target=|_top|&gt;DRB&lt;/a&gt;</v>
      </c>
      <c r="T72" t="str">
        <f t="shared" si="284"/>
        <v>&lt;/li&gt;&lt;li&gt;&lt;a href=|http://erv.scripturetext.com/exodus/22.htm| title=|English Revised Version| target=|_top|&gt;ERV&lt;/a&gt;</v>
      </c>
      <c r="V72" t="str">
        <f>CONCATENATE("&lt;/li&gt;&lt;li&gt;&lt;a href=|http://",V1191,"/exodus/22.htm","| ","title=|",V1190,"| target=|_top|&gt;",V1192,"&lt;/a&gt;")</f>
        <v>&lt;/li&gt;&lt;li&gt;&lt;a href=|http://study.interlinearbible.org/exodus/22.htm| title=|Hebrew Study Bible| target=|_top|&gt;Heb Study&lt;/a&gt;</v>
      </c>
      <c r="W72" t="str">
        <f t="shared" si="284"/>
        <v>&lt;/li&gt;&lt;li&gt;&lt;a href=|http://apostolic.interlinearbible.org/exodus/22.htm| title=|Apostolic Bible Polyglot Interlinear| target=|_top|&gt;Polyglot&lt;/a&gt;</v>
      </c>
      <c r="X72" t="str">
        <f t="shared" si="284"/>
        <v>&lt;/li&gt;&lt;li&gt;&lt;a href=|http://interlinearbible.org/exodus/22.htm| title=|Interlinear Bible| target=|_top|&gt;Interlin&lt;/a&gt;</v>
      </c>
      <c r="Y72" t="str">
        <f t="shared" ref="Y72" si="285">CONCATENATE("&lt;/li&gt;&lt;li&gt;&lt;a href=|http://",Y1191,"/exodus/22.htm","| ","title=|",Y1190,"| target=|_top|&gt;",Y1192,"&lt;/a&gt;")</f>
        <v>&lt;/li&gt;&lt;li&gt;&lt;a href=|http://bibleoutline.org/exodus/22.htm| title=|Outline with People and Places List| target=|_top|&gt;Outline&lt;/a&gt;</v>
      </c>
      <c r="Z72" t="str">
        <f t="shared" si="284"/>
        <v>&lt;/li&gt;&lt;li&gt;&lt;a href=|http://kjvs.scripturetext.com/exodus/22.htm| title=|King James Bible with Strong's Numbers| target=|_top|&gt;Strong's&lt;/a&gt;</v>
      </c>
      <c r="AA72" t="str">
        <f t="shared" si="284"/>
        <v>&lt;/li&gt;&lt;li&gt;&lt;a href=|http://childrensbibleonline.com/exodus/22.htm| title=|The Children's Bible| target=|_top|&gt;Children's&lt;/a&gt;</v>
      </c>
      <c r="AB72" s="2" t="str">
        <f t="shared" si="284"/>
        <v>&lt;/li&gt;&lt;li&gt;&lt;a href=|http://tsk.scripturetext.com/exodus/22.htm| title=|Treasury of Scripture Knowledge| target=|_top|&gt;TSK&lt;/a&gt;</v>
      </c>
      <c r="AC72" t="str">
        <f>CONCATENATE("&lt;a href=|http://",AC1191,"/exodus/22.htm","| ","title=|",AC1190,"| target=|_top|&gt;",AC1192,"&lt;/a&gt;")</f>
        <v>&lt;a href=|http://parallelbible.com/exodus/22.htm| title=|Parallel Chapters| target=|_top|&gt;PAR&lt;/a&gt;</v>
      </c>
      <c r="AD72" s="2" t="str">
        <f t="shared" ref="AD72:AK72" si="286">CONCATENATE("&lt;/li&gt;&lt;li&gt;&lt;a href=|http://",AD1191,"/exodus/22.htm","| ","title=|",AD1190,"| target=|_top|&gt;",AD1192,"&lt;/a&gt;")</f>
        <v>&lt;/li&gt;&lt;li&gt;&lt;a href=|http://gsb.biblecommenter.com/exodus/22.htm| title=|Geneva Study Bible| target=|_top|&gt;GSB&lt;/a&gt;</v>
      </c>
      <c r="AE72" s="2" t="str">
        <f t="shared" si="286"/>
        <v>&lt;/li&gt;&lt;li&gt;&lt;a href=|http://jfb.biblecommenter.com/exodus/22.htm| title=|Jamieson-Fausset-Brown Bible Commentary| target=|_top|&gt;JFB&lt;/a&gt;</v>
      </c>
      <c r="AF72" s="2" t="str">
        <f t="shared" si="286"/>
        <v>&lt;/li&gt;&lt;li&gt;&lt;a href=|http://kjt.biblecommenter.com/exodus/22.htm| title=|King James Translators' Notes| target=|_top|&gt;KJT&lt;/a&gt;</v>
      </c>
      <c r="AG72" s="2" t="str">
        <f t="shared" si="286"/>
        <v>&lt;/li&gt;&lt;li&gt;&lt;a href=|http://mhc.biblecommenter.com/exodus/22.htm| title=|Matthew Henry's Concise Commentary| target=|_top|&gt;MHC&lt;/a&gt;</v>
      </c>
      <c r="AH72" s="2" t="str">
        <f t="shared" si="286"/>
        <v>&lt;/li&gt;&lt;li&gt;&lt;a href=|http://sco.biblecommenter.com/exodus/22.htm| title=|Scofield Reference Notes| target=|_top|&gt;SCO&lt;/a&gt;</v>
      </c>
      <c r="AI72" s="2" t="str">
        <f t="shared" si="286"/>
        <v>&lt;/li&gt;&lt;li&gt;&lt;a href=|http://wes.biblecommenter.com/exodus/22.htm| title=|Wesley's Notes on the Bible| target=|_top|&gt;WES&lt;/a&gt;</v>
      </c>
      <c r="AJ72" t="str">
        <f t="shared" si="286"/>
        <v>&lt;/li&gt;&lt;li&gt;&lt;a href=|http://worldebible.com/exodus/22.htm| title=|World English Bible| target=|_top|&gt;WEB&lt;/a&gt;</v>
      </c>
      <c r="AK72" t="str">
        <f t="shared" si="286"/>
        <v>&lt;/li&gt;&lt;li&gt;&lt;a href=|http://yltbible.com/exodus/22.htm| title=|Young's Literal Translation| target=|_top|&gt;YLT&lt;/a&gt;</v>
      </c>
      <c r="AL72" t="str">
        <f>CONCATENATE("&lt;a href=|http://",AL1191,"/exodus/22.htm","| ","title=|",AL1190,"| target=|_top|&gt;",AL1192,"&lt;/a&gt;")</f>
        <v>&lt;a href=|http://kjv.us/exodus/22.htm| title=|American King James Version| target=|_top|&gt;AKJ&lt;/a&gt;</v>
      </c>
      <c r="AM72" t="str">
        <f t="shared" ref="AM72:AN72" si="287">CONCATENATE("&lt;/li&gt;&lt;li&gt;&lt;a href=|http://",AM1191,"/exodus/22.htm","| ","title=|",AM1190,"| target=|_top|&gt;",AM1192,"&lt;/a&gt;")</f>
        <v>&lt;/li&gt;&lt;li&gt;&lt;a href=|http://basicenglishbible.com/exodus/22.htm| title=|Bible in Basic English| target=|_top|&gt;BBE&lt;/a&gt;</v>
      </c>
      <c r="AN72" t="str">
        <f t="shared" si="287"/>
        <v>&lt;/li&gt;&lt;li&gt;&lt;a href=|http://darbybible.com/exodus/22.htm| title=|Darby Bible Translation| target=|_top|&gt;DBY&lt;/a&gt;</v>
      </c>
      <c r="AO7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2" t="str">
        <f>CONCATENATE("&lt;/li&gt;&lt;li&gt;&lt;a href=|http://",AR1191,"/exodus/22.htm","| ","title=|",AR1190,"| target=|_top|&gt;",AR1192,"&lt;/a&gt;")</f>
        <v>&lt;/li&gt;&lt;li&gt;&lt;a href=|http://websterbible.com/exodus/22.htm| title=|Webster's Bible Translation| target=|_top|&gt;WBS&lt;/a&gt;</v>
      </c>
      <c r="AS7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2" t="str">
        <f>CONCATENATE("&lt;/li&gt;&lt;li&gt;&lt;a href=|http://",AT1191,"/exodus/22-1.htm","| ","title=|",AT1190,"| target=|_top|&gt;",AT1192,"&lt;/a&gt;")</f>
        <v>&lt;/li&gt;&lt;li&gt;&lt;a href=|http://biblebrowser.com/exodus/22-1.htm| title=|Split View| target=|_top|&gt;Split&lt;/a&gt;</v>
      </c>
      <c r="AU72" s="2" t="s">
        <v>1276</v>
      </c>
      <c r="AV72" t="s">
        <v>64</v>
      </c>
    </row>
    <row r="73" spans="1:48">
      <c r="A73" t="s">
        <v>622</v>
      </c>
      <c r="B73" t="s">
        <v>126</v>
      </c>
      <c r="C73" t="s">
        <v>624</v>
      </c>
      <c r="D73" t="s">
        <v>1268</v>
      </c>
      <c r="E73" t="s">
        <v>1277</v>
      </c>
      <c r="F73" t="s">
        <v>1304</v>
      </c>
      <c r="G73" t="s">
        <v>1266</v>
      </c>
      <c r="H73" t="s">
        <v>1305</v>
      </c>
      <c r="I73" t="s">
        <v>1303</v>
      </c>
      <c r="J73" t="s">
        <v>1267</v>
      </c>
      <c r="K73" t="s">
        <v>1275</v>
      </c>
      <c r="L73" s="2" t="s">
        <v>1274</v>
      </c>
      <c r="M73" t="str">
        <f t="shared" ref="M73:AB73" si="288">CONCATENATE("&lt;/li&gt;&lt;li&gt;&lt;a href=|http://",M1191,"/exodus/23.htm","| ","title=|",M1190,"| target=|_top|&gt;",M1192,"&lt;/a&gt;")</f>
        <v>&lt;/li&gt;&lt;li&gt;&lt;a href=|http://niv.scripturetext.com/exodus/23.htm| title=|New International Version| target=|_top|&gt;NIV&lt;/a&gt;</v>
      </c>
      <c r="N73" t="str">
        <f t="shared" si="288"/>
        <v>&lt;/li&gt;&lt;li&gt;&lt;a href=|http://nlt.scripturetext.com/exodus/23.htm| title=|New Living Translation| target=|_top|&gt;NLT&lt;/a&gt;</v>
      </c>
      <c r="O73" t="str">
        <f t="shared" si="288"/>
        <v>&lt;/li&gt;&lt;li&gt;&lt;a href=|http://nasb.scripturetext.com/exodus/23.htm| title=|New American Standard Bible| target=|_top|&gt;NAS&lt;/a&gt;</v>
      </c>
      <c r="P73" t="str">
        <f t="shared" si="288"/>
        <v>&lt;/li&gt;&lt;li&gt;&lt;a href=|http://gwt.scripturetext.com/exodus/23.htm| title=|God's Word Translation| target=|_top|&gt;GWT&lt;/a&gt;</v>
      </c>
      <c r="Q73" t="str">
        <f t="shared" si="288"/>
        <v>&lt;/li&gt;&lt;li&gt;&lt;a href=|http://kingjbible.com/exodus/23.htm| title=|King James Bible| target=|_top|&gt;KJV&lt;/a&gt;</v>
      </c>
      <c r="R73" t="str">
        <f t="shared" si="288"/>
        <v>&lt;/li&gt;&lt;li&gt;&lt;a href=|http://asvbible.com/exodus/23.htm| title=|American Standard Version| target=|_top|&gt;ASV&lt;/a&gt;</v>
      </c>
      <c r="S73" t="str">
        <f t="shared" si="288"/>
        <v>&lt;/li&gt;&lt;li&gt;&lt;a href=|http://drb.scripturetext.com/exodus/23.htm| title=|Douay-Rheims Bible| target=|_top|&gt;DRB&lt;/a&gt;</v>
      </c>
      <c r="T73" t="str">
        <f t="shared" si="288"/>
        <v>&lt;/li&gt;&lt;li&gt;&lt;a href=|http://erv.scripturetext.com/exodus/23.htm| title=|English Revised Version| target=|_top|&gt;ERV&lt;/a&gt;</v>
      </c>
      <c r="V73" t="str">
        <f>CONCATENATE("&lt;/li&gt;&lt;li&gt;&lt;a href=|http://",V1191,"/exodus/23.htm","| ","title=|",V1190,"| target=|_top|&gt;",V1192,"&lt;/a&gt;")</f>
        <v>&lt;/li&gt;&lt;li&gt;&lt;a href=|http://study.interlinearbible.org/exodus/23.htm| title=|Hebrew Study Bible| target=|_top|&gt;Heb Study&lt;/a&gt;</v>
      </c>
      <c r="W73" t="str">
        <f t="shared" si="288"/>
        <v>&lt;/li&gt;&lt;li&gt;&lt;a href=|http://apostolic.interlinearbible.org/exodus/23.htm| title=|Apostolic Bible Polyglot Interlinear| target=|_top|&gt;Polyglot&lt;/a&gt;</v>
      </c>
      <c r="X73" t="str">
        <f t="shared" si="288"/>
        <v>&lt;/li&gt;&lt;li&gt;&lt;a href=|http://interlinearbible.org/exodus/23.htm| title=|Interlinear Bible| target=|_top|&gt;Interlin&lt;/a&gt;</v>
      </c>
      <c r="Y73" t="str">
        <f t="shared" ref="Y73" si="289">CONCATENATE("&lt;/li&gt;&lt;li&gt;&lt;a href=|http://",Y1191,"/exodus/23.htm","| ","title=|",Y1190,"| target=|_top|&gt;",Y1192,"&lt;/a&gt;")</f>
        <v>&lt;/li&gt;&lt;li&gt;&lt;a href=|http://bibleoutline.org/exodus/23.htm| title=|Outline with People and Places List| target=|_top|&gt;Outline&lt;/a&gt;</v>
      </c>
      <c r="Z73" t="str">
        <f t="shared" si="288"/>
        <v>&lt;/li&gt;&lt;li&gt;&lt;a href=|http://kjvs.scripturetext.com/exodus/23.htm| title=|King James Bible with Strong's Numbers| target=|_top|&gt;Strong's&lt;/a&gt;</v>
      </c>
      <c r="AA73" t="str">
        <f t="shared" si="288"/>
        <v>&lt;/li&gt;&lt;li&gt;&lt;a href=|http://childrensbibleonline.com/exodus/23.htm| title=|The Children's Bible| target=|_top|&gt;Children's&lt;/a&gt;</v>
      </c>
      <c r="AB73" s="2" t="str">
        <f t="shared" si="288"/>
        <v>&lt;/li&gt;&lt;li&gt;&lt;a href=|http://tsk.scripturetext.com/exodus/23.htm| title=|Treasury of Scripture Knowledge| target=|_top|&gt;TSK&lt;/a&gt;</v>
      </c>
      <c r="AC73" t="str">
        <f>CONCATENATE("&lt;a href=|http://",AC1191,"/exodus/23.htm","| ","title=|",AC1190,"| target=|_top|&gt;",AC1192,"&lt;/a&gt;")</f>
        <v>&lt;a href=|http://parallelbible.com/exodus/23.htm| title=|Parallel Chapters| target=|_top|&gt;PAR&lt;/a&gt;</v>
      </c>
      <c r="AD73" s="2" t="str">
        <f t="shared" ref="AD73:AK73" si="290">CONCATENATE("&lt;/li&gt;&lt;li&gt;&lt;a href=|http://",AD1191,"/exodus/23.htm","| ","title=|",AD1190,"| target=|_top|&gt;",AD1192,"&lt;/a&gt;")</f>
        <v>&lt;/li&gt;&lt;li&gt;&lt;a href=|http://gsb.biblecommenter.com/exodus/23.htm| title=|Geneva Study Bible| target=|_top|&gt;GSB&lt;/a&gt;</v>
      </c>
      <c r="AE73" s="2" t="str">
        <f t="shared" si="290"/>
        <v>&lt;/li&gt;&lt;li&gt;&lt;a href=|http://jfb.biblecommenter.com/exodus/23.htm| title=|Jamieson-Fausset-Brown Bible Commentary| target=|_top|&gt;JFB&lt;/a&gt;</v>
      </c>
      <c r="AF73" s="2" t="str">
        <f t="shared" si="290"/>
        <v>&lt;/li&gt;&lt;li&gt;&lt;a href=|http://kjt.biblecommenter.com/exodus/23.htm| title=|King James Translators' Notes| target=|_top|&gt;KJT&lt;/a&gt;</v>
      </c>
      <c r="AG73" s="2" t="str">
        <f t="shared" si="290"/>
        <v>&lt;/li&gt;&lt;li&gt;&lt;a href=|http://mhc.biblecommenter.com/exodus/23.htm| title=|Matthew Henry's Concise Commentary| target=|_top|&gt;MHC&lt;/a&gt;</v>
      </c>
      <c r="AH73" s="2" t="str">
        <f t="shared" si="290"/>
        <v>&lt;/li&gt;&lt;li&gt;&lt;a href=|http://sco.biblecommenter.com/exodus/23.htm| title=|Scofield Reference Notes| target=|_top|&gt;SCO&lt;/a&gt;</v>
      </c>
      <c r="AI73" s="2" t="str">
        <f t="shared" si="290"/>
        <v>&lt;/li&gt;&lt;li&gt;&lt;a href=|http://wes.biblecommenter.com/exodus/23.htm| title=|Wesley's Notes on the Bible| target=|_top|&gt;WES&lt;/a&gt;</v>
      </c>
      <c r="AJ73" t="str">
        <f t="shared" si="290"/>
        <v>&lt;/li&gt;&lt;li&gt;&lt;a href=|http://worldebible.com/exodus/23.htm| title=|World English Bible| target=|_top|&gt;WEB&lt;/a&gt;</v>
      </c>
      <c r="AK73" t="str">
        <f t="shared" si="290"/>
        <v>&lt;/li&gt;&lt;li&gt;&lt;a href=|http://yltbible.com/exodus/23.htm| title=|Young's Literal Translation| target=|_top|&gt;YLT&lt;/a&gt;</v>
      </c>
      <c r="AL73" t="str">
        <f>CONCATENATE("&lt;a href=|http://",AL1191,"/exodus/23.htm","| ","title=|",AL1190,"| target=|_top|&gt;",AL1192,"&lt;/a&gt;")</f>
        <v>&lt;a href=|http://kjv.us/exodus/23.htm| title=|American King James Version| target=|_top|&gt;AKJ&lt;/a&gt;</v>
      </c>
      <c r="AM73" t="str">
        <f t="shared" ref="AM73:AN73" si="291">CONCATENATE("&lt;/li&gt;&lt;li&gt;&lt;a href=|http://",AM1191,"/exodus/23.htm","| ","title=|",AM1190,"| target=|_top|&gt;",AM1192,"&lt;/a&gt;")</f>
        <v>&lt;/li&gt;&lt;li&gt;&lt;a href=|http://basicenglishbible.com/exodus/23.htm| title=|Bible in Basic English| target=|_top|&gt;BBE&lt;/a&gt;</v>
      </c>
      <c r="AN73" t="str">
        <f t="shared" si="291"/>
        <v>&lt;/li&gt;&lt;li&gt;&lt;a href=|http://darbybible.com/exodus/23.htm| title=|Darby Bible Translation| target=|_top|&gt;DBY&lt;/a&gt;</v>
      </c>
      <c r="AO7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3" t="str">
        <f>CONCATENATE("&lt;/li&gt;&lt;li&gt;&lt;a href=|http://",AR1191,"/exodus/23.htm","| ","title=|",AR1190,"| target=|_top|&gt;",AR1192,"&lt;/a&gt;")</f>
        <v>&lt;/li&gt;&lt;li&gt;&lt;a href=|http://websterbible.com/exodus/23.htm| title=|Webster's Bible Translation| target=|_top|&gt;WBS&lt;/a&gt;</v>
      </c>
      <c r="AS7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3" t="str">
        <f>CONCATENATE("&lt;/li&gt;&lt;li&gt;&lt;a href=|http://",AT1191,"/exodus/23-1.htm","| ","title=|",AT1190,"| target=|_top|&gt;",AT1192,"&lt;/a&gt;")</f>
        <v>&lt;/li&gt;&lt;li&gt;&lt;a href=|http://biblebrowser.com/exodus/23-1.htm| title=|Split View| target=|_top|&gt;Split&lt;/a&gt;</v>
      </c>
      <c r="AU73" s="2" t="s">
        <v>1276</v>
      </c>
      <c r="AV73" t="s">
        <v>64</v>
      </c>
    </row>
    <row r="74" spans="1:48">
      <c r="A74" t="s">
        <v>622</v>
      </c>
      <c r="B74" t="s">
        <v>127</v>
      </c>
      <c r="C74" t="s">
        <v>624</v>
      </c>
      <c r="D74" t="s">
        <v>1268</v>
      </c>
      <c r="E74" t="s">
        <v>1277</v>
      </c>
      <c r="F74" t="s">
        <v>1304</v>
      </c>
      <c r="G74" t="s">
        <v>1266</v>
      </c>
      <c r="H74" t="s">
        <v>1305</v>
      </c>
      <c r="I74" t="s">
        <v>1303</v>
      </c>
      <c r="J74" t="s">
        <v>1267</v>
      </c>
      <c r="K74" t="s">
        <v>1275</v>
      </c>
      <c r="L74" s="2" t="s">
        <v>1274</v>
      </c>
      <c r="M74" t="str">
        <f t="shared" ref="M74:AB74" si="292">CONCATENATE("&lt;/li&gt;&lt;li&gt;&lt;a href=|http://",M1191,"/exodus/24.htm","| ","title=|",M1190,"| target=|_top|&gt;",M1192,"&lt;/a&gt;")</f>
        <v>&lt;/li&gt;&lt;li&gt;&lt;a href=|http://niv.scripturetext.com/exodus/24.htm| title=|New International Version| target=|_top|&gt;NIV&lt;/a&gt;</v>
      </c>
      <c r="N74" t="str">
        <f t="shared" si="292"/>
        <v>&lt;/li&gt;&lt;li&gt;&lt;a href=|http://nlt.scripturetext.com/exodus/24.htm| title=|New Living Translation| target=|_top|&gt;NLT&lt;/a&gt;</v>
      </c>
      <c r="O74" t="str">
        <f t="shared" si="292"/>
        <v>&lt;/li&gt;&lt;li&gt;&lt;a href=|http://nasb.scripturetext.com/exodus/24.htm| title=|New American Standard Bible| target=|_top|&gt;NAS&lt;/a&gt;</v>
      </c>
      <c r="P74" t="str">
        <f t="shared" si="292"/>
        <v>&lt;/li&gt;&lt;li&gt;&lt;a href=|http://gwt.scripturetext.com/exodus/24.htm| title=|God's Word Translation| target=|_top|&gt;GWT&lt;/a&gt;</v>
      </c>
      <c r="Q74" t="str">
        <f t="shared" si="292"/>
        <v>&lt;/li&gt;&lt;li&gt;&lt;a href=|http://kingjbible.com/exodus/24.htm| title=|King James Bible| target=|_top|&gt;KJV&lt;/a&gt;</v>
      </c>
      <c r="R74" t="str">
        <f t="shared" si="292"/>
        <v>&lt;/li&gt;&lt;li&gt;&lt;a href=|http://asvbible.com/exodus/24.htm| title=|American Standard Version| target=|_top|&gt;ASV&lt;/a&gt;</v>
      </c>
      <c r="S74" t="str">
        <f t="shared" si="292"/>
        <v>&lt;/li&gt;&lt;li&gt;&lt;a href=|http://drb.scripturetext.com/exodus/24.htm| title=|Douay-Rheims Bible| target=|_top|&gt;DRB&lt;/a&gt;</v>
      </c>
      <c r="T74" t="str">
        <f t="shared" si="292"/>
        <v>&lt;/li&gt;&lt;li&gt;&lt;a href=|http://erv.scripturetext.com/exodus/24.htm| title=|English Revised Version| target=|_top|&gt;ERV&lt;/a&gt;</v>
      </c>
      <c r="V74" t="str">
        <f>CONCATENATE("&lt;/li&gt;&lt;li&gt;&lt;a href=|http://",V1191,"/exodus/24.htm","| ","title=|",V1190,"| target=|_top|&gt;",V1192,"&lt;/a&gt;")</f>
        <v>&lt;/li&gt;&lt;li&gt;&lt;a href=|http://study.interlinearbible.org/exodus/24.htm| title=|Hebrew Study Bible| target=|_top|&gt;Heb Study&lt;/a&gt;</v>
      </c>
      <c r="W74" t="str">
        <f t="shared" si="292"/>
        <v>&lt;/li&gt;&lt;li&gt;&lt;a href=|http://apostolic.interlinearbible.org/exodus/24.htm| title=|Apostolic Bible Polyglot Interlinear| target=|_top|&gt;Polyglot&lt;/a&gt;</v>
      </c>
      <c r="X74" t="str">
        <f t="shared" si="292"/>
        <v>&lt;/li&gt;&lt;li&gt;&lt;a href=|http://interlinearbible.org/exodus/24.htm| title=|Interlinear Bible| target=|_top|&gt;Interlin&lt;/a&gt;</v>
      </c>
      <c r="Y74" t="str">
        <f t="shared" ref="Y74" si="293">CONCATENATE("&lt;/li&gt;&lt;li&gt;&lt;a href=|http://",Y1191,"/exodus/24.htm","| ","title=|",Y1190,"| target=|_top|&gt;",Y1192,"&lt;/a&gt;")</f>
        <v>&lt;/li&gt;&lt;li&gt;&lt;a href=|http://bibleoutline.org/exodus/24.htm| title=|Outline with People and Places List| target=|_top|&gt;Outline&lt;/a&gt;</v>
      </c>
      <c r="Z74" t="str">
        <f t="shared" si="292"/>
        <v>&lt;/li&gt;&lt;li&gt;&lt;a href=|http://kjvs.scripturetext.com/exodus/24.htm| title=|King James Bible with Strong's Numbers| target=|_top|&gt;Strong's&lt;/a&gt;</v>
      </c>
      <c r="AA74" t="str">
        <f t="shared" si="292"/>
        <v>&lt;/li&gt;&lt;li&gt;&lt;a href=|http://childrensbibleonline.com/exodus/24.htm| title=|The Children's Bible| target=|_top|&gt;Children's&lt;/a&gt;</v>
      </c>
      <c r="AB74" s="2" t="str">
        <f t="shared" si="292"/>
        <v>&lt;/li&gt;&lt;li&gt;&lt;a href=|http://tsk.scripturetext.com/exodus/24.htm| title=|Treasury of Scripture Knowledge| target=|_top|&gt;TSK&lt;/a&gt;</v>
      </c>
      <c r="AC74" t="str">
        <f>CONCATENATE("&lt;a href=|http://",AC1191,"/exodus/24.htm","| ","title=|",AC1190,"| target=|_top|&gt;",AC1192,"&lt;/a&gt;")</f>
        <v>&lt;a href=|http://parallelbible.com/exodus/24.htm| title=|Parallel Chapters| target=|_top|&gt;PAR&lt;/a&gt;</v>
      </c>
      <c r="AD74" s="2" t="str">
        <f t="shared" ref="AD74:AK74" si="294">CONCATENATE("&lt;/li&gt;&lt;li&gt;&lt;a href=|http://",AD1191,"/exodus/24.htm","| ","title=|",AD1190,"| target=|_top|&gt;",AD1192,"&lt;/a&gt;")</f>
        <v>&lt;/li&gt;&lt;li&gt;&lt;a href=|http://gsb.biblecommenter.com/exodus/24.htm| title=|Geneva Study Bible| target=|_top|&gt;GSB&lt;/a&gt;</v>
      </c>
      <c r="AE74" s="2" t="str">
        <f t="shared" si="294"/>
        <v>&lt;/li&gt;&lt;li&gt;&lt;a href=|http://jfb.biblecommenter.com/exodus/24.htm| title=|Jamieson-Fausset-Brown Bible Commentary| target=|_top|&gt;JFB&lt;/a&gt;</v>
      </c>
      <c r="AF74" s="2" t="str">
        <f t="shared" si="294"/>
        <v>&lt;/li&gt;&lt;li&gt;&lt;a href=|http://kjt.biblecommenter.com/exodus/24.htm| title=|King James Translators' Notes| target=|_top|&gt;KJT&lt;/a&gt;</v>
      </c>
      <c r="AG74" s="2" t="str">
        <f t="shared" si="294"/>
        <v>&lt;/li&gt;&lt;li&gt;&lt;a href=|http://mhc.biblecommenter.com/exodus/24.htm| title=|Matthew Henry's Concise Commentary| target=|_top|&gt;MHC&lt;/a&gt;</v>
      </c>
      <c r="AH74" s="2" t="str">
        <f t="shared" si="294"/>
        <v>&lt;/li&gt;&lt;li&gt;&lt;a href=|http://sco.biblecommenter.com/exodus/24.htm| title=|Scofield Reference Notes| target=|_top|&gt;SCO&lt;/a&gt;</v>
      </c>
      <c r="AI74" s="2" t="str">
        <f t="shared" si="294"/>
        <v>&lt;/li&gt;&lt;li&gt;&lt;a href=|http://wes.biblecommenter.com/exodus/24.htm| title=|Wesley's Notes on the Bible| target=|_top|&gt;WES&lt;/a&gt;</v>
      </c>
      <c r="AJ74" t="str">
        <f t="shared" si="294"/>
        <v>&lt;/li&gt;&lt;li&gt;&lt;a href=|http://worldebible.com/exodus/24.htm| title=|World English Bible| target=|_top|&gt;WEB&lt;/a&gt;</v>
      </c>
      <c r="AK74" t="str">
        <f t="shared" si="294"/>
        <v>&lt;/li&gt;&lt;li&gt;&lt;a href=|http://yltbible.com/exodus/24.htm| title=|Young's Literal Translation| target=|_top|&gt;YLT&lt;/a&gt;</v>
      </c>
      <c r="AL74" t="str">
        <f>CONCATENATE("&lt;a href=|http://",AL1191,"/exodus/24.htm","| ","title=|",AL1190,"| target=|_top|&gt;",AL1192,"&lt;/a&gt;")</f>
        <v>&lt;a href=|http://kjv.us/exodus/24.htm| title=|American King James Version| target=|_top|&gt;AKJ&lt;/a&gt;</v>
      </c>
      <c r="AM74" t="str">
        <f t="shared" ref="AM74:AN74" si="295">CONCATENATE("&lt;/li&gt;&lt;li&gt;&lt;a href=|http://",AM1191,"/exodus/24.htm","| ","title=|",AM1190,"| target=|_top|&gt;",AM1192,"&lt;/a&gt;")</f>
        <v>&lt;/li&gt;&lt;li&gt;&lt;a href=|http://basicenglishbible.com/exodus/24.htm| title=|Bible in Basic English| target=|_top|&gt;BBE&lt;/a&gt;</v>
      </c>
      <c r="AN74" t="str">
        <f t="shared" si="295"/>
        <v>&lt;/li&gt;&lt;li&gt;&lt;a href=|http://darbybible.com/exodus/24.htm| title=|Darby Bible Translation| target=|_top|&gt;DBY&lt;/a&gt;</v>
      </c>
      <c r="AO7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4" t="str">
        <f>CONCATENATE("&lt;/li&gt;&lt;li&gt;&lt;a href=|http://",AR1191,"/exodus/24.htm","| ","title=|",AR1190,"| target=|_top|&gt;",AR1192,"&lt;/a&gt;")</f>
        <v>&lt;/li&gt;&lt;li&gt;&lt;a href=|http://websterbible.com/exodus/24.htm| title=|Webster's Bible Translation| target=|_top|&gt;WBS&lt;/a&gt;</v>
      </c>
      <c r="AS7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4" t="str">
        <f>CONCATENATE("&lt;/li&gt;&lt;li&gt;&lt;a href=|http://",AT1191,"/exodus/24-1.htm","| ","title=|",AT1190,"| target=|_top|&gt;",AT1192,"&lt;/a&gt;")</f>
        <v>&lt;/li&gt;&lt;li&gt;&lt;a href=|http://biblebrowser.com/exodus/24-1.htm| title=|Split View| target=|_top|&gt;Split&lt;/a&gt;</v>
      </c>
      <c r="AU74" s="2" t="s">
        <v>1276</v>
      </c>
      <c r="AV74" t="s">
        <v>64</v>
      </c>
    </row>
    <row r="75" spans="1:48">
      <c r="A75" t="s">
        <v>622</v>
      </c>
      <c r="B75" t="s">
        <v>128</v>
      </c>
      <c r="C75" t="s">
        <v>624</v>
      </c>
      <c r="D75" t="s">
        <v>1268</v>
      </c>
      <c r="E75" t="s">
        <v>1277</v>
      </c>
      <c r="F75" t="s">
        <v>1304</v>
      </c>
      <c r="G75" t="s">
        <v>1266</v>
      </c>
      <c r="H75" t="s">
        <v>1305</v>
      </c>
      <c r="I75" t="s">
        <v>1303</v>
      </c>
      <c r="J75" t="s">
        <v>1267</v>
      </c>
      <c r="K75" t="s">
        <v>1275</v>
      </c>
      <c r="L75" s="2" t="s">
        <v>1274</v>
      </c>
      <c r="M75" t="str">
        <f t="shared" ref="M75:AB75" si="296">CONCATENATE("&lt;/li&gt;&lt;li&gt;&lt;a href=|http://",M1191,"/exodus/25.htm","| ","title=|",M1190,"| target=|_top|&gt;",M1192,"&lt;/a&gt;")</f>
        <v>&lt;/li&gt;&lt;li&gt;&lt;a href=|http://niv.scripturetext.com/exodus/25.htm| title=|New International Version| target=|_top|&gt;NIV&lt;/a&gt;</v>
      </c>
      <c r="N75" t="str">
        <f t="shared" si="296"/>
        <v>&lt;/li&gt;&lt;li&gt;&lt;a href=|http://nlt.scripturetext.com/exodus/25.htm| title=|New Living Translation| target=|_top|&gt;NLT&lt;/a&gt;</v>
      </c>
      <c r="O75" t="str">
        <f t="shared" si="296"/>
        <v>&lt;/li&gt;&lt;li&gt;&lt;a href=|http://nasb.scripturetext.com/exodus/25.htm| title=|New American Standard Bible| target=|_top|&gt;NAS&lt;/a&gt;</v>
      </c>
      <c r="P75" t="str">
        <f t="shared" si="296"/>
        <v>&lt;/li&gt;&lt;li&gt;&lt;a href=|http://gwt.scripturetext.com/exodus/25.htm| title=|God's Word Translation| target=|_top|&gt;GWT&lt;/a&gt;</v>
      </c>
      <c r="Q75" t="str">
        <f t="shared" si="296"/>
        <v>&lt;/li&gt;&lt;li&gt;&lt;a href=|http://kingjbible.com/exodus/25.htm| title=|King James Bible| target=|_top|&gt;KJV&lt;/a&gt;</v>
      </c>
      <c r="R75" t="str">
        <f t="shared" si="296"/>
        <v>&lt;/li&gt;&lt;li&gt;&lt;a href=|http://asvbible.com/exodus/25.htm| title=|American Standard Version| target=|_top|&gt;ASV&lt;/a&gt;</v>
      </c>
      <c r="S75" t="str">
        <f t="shared" si="296"/>
        <v>&lt;/li&gt;&lt;li&gt;&lt;a href=|http://drb.scripturetext.com/exodus/25.htm| title=|Douay-Rheims Bible| target=|_top|&gt;DRB&lt;/a&gt;</v>
      </c>
      <c r="T75" t="str">
        <f t="shared" si="296"/>
        <v>&lt;/li&gt;&lt;li&gt;&lt;a href=|http://erv.scripturetext.com/exodus/25.htm| title=|English Revised Version| target=|_top|&gt;ERV&lt;/a&gt;</v>
      </c>
      <c r="V75" t="str">
        <f>CONCATENATE("&lt;/li&gt;&lt;li&gt;&lt;a href=|http://",V1191,"/exodus/25.htm","| ","title=|",V1190,"| target=|_top|&gt;",V1192,"&lt;/a&gt;")</f>
        <v>&lt;/li&gt;&lt;li&gt;&lt;a href=|http://study.interlinearbible.org/exodus/25.htm| title=|Hebrew Study Bible| target=|_top|&gt;Heb Study&lt;/a&gt;</v>
      </c>
      <c r="W75" t="str">
        <f t="shared" si="296"/>
        <v>&lt;/li&gt;&lt;li&gt;&lt;a href=|http://apostolic.interlinearbible.org/exodus/25.htm| title=|Apostolic Bible Polyglot Interlinear| target=|_top|&gt;Polyglot&lt;/a&gt;</v>
      </c>
      <c r="X75" t="str">
        <f t="shared" si="296"/>
        <v>&lt;/li&gt;&lt;li&gt;&lt;a href=|http://interlinearbible.org/exodus/25.htm| title=|Interlinear Bible| target=|_top|&gt;Interlin&lt;/a&gt;</v>
      </c>
      <c r="Y75" t="str">
        <f t="shared" ref="Y75" si="297">CONCATENATE("&lt;/li&gt;&lt;li&gt;&lt;a href=|http://",Y1191,"/exodus/25.htm","| ","title=|",Y1190,"| target=|_top|&gt;",Y1192,"&lt;/a&gt;")</f>
        <v>&lt;/li&gt;&lt;li&gt;&lt;a href=|http://bibleoutline.org/exodus/25.htm| title=|Outline with People and Places List| target=|_top|&gt;Outline&lt;/a&gt;</v>
      </c>
      <c r="Z75" t="str">
        <f t="shared" si="296"/>
        <v>&lt;/li&gt;&lt;li&gt;&lt;a href=|http://kjvs.scripturetext.com/exodus/25.htm| title=|King James Bible with Strong's Numbers| target=|_top|&gt;Strong's&lt;/a&gt;</v>
      </c>
      <c r="AA75" t="str">
        <f t="shared" si="296"/>
        <v>&lt;/li&gt;&lt;li&gt;&lt;a href=|http://childrensbibleonline.com/exodus/25.htm| title=|The Children's Bible| target=|_top|&gt;Children's&lt;/a&gt;</v>
      </c>
      <c r="AB75" s="2" t="str">
        <f t="shared" si="296"/>
        <v>&lt;/li&gt;&lt;li&gt;&lt;a href=|http://tsk.scripturetext.com/exodus/25.htm| title=|Treasury of Scripture Knowledge| target=|_top|&gt;TSK&lt;/a&gt;</v>
      </c>
      <c r="AC75" t="str">
        <f>CONCATENATE("&lt;a href=|http://",AC1191,"/exodus/25.htm","| ","title=|",AC1190,"| target=|_top|&gt;",AC1192,"&lt;/a&gt;")</f>
        <v>&lt;a href=|http://parallelbible.com/exodus/25.htm| title=|Parallel Chapters| target=|_top|&gt;PAR&lt;/a&gt;</v>
      </c>
      <c r="AD75" s="2" t="str">
        <f t="shared" ref="AD75:AK75" si="298">CONCATENATE("&lt;/li&gt;&lt;li&gt;&lt;a href=|http://",AD1191,"/exodus/25.htm","| ","title=|",AD1190,"| target=|_top|&gt;",AD1192,"&lt;/a&gt;")</f>
        <v>&lt;/li&gt;&lt;li&gt;&lt;a href=|http://gsb.biblecommenter.com/exodus/25.htm| title=|Geneva Study Bible| target=|_top|&gt;GSB&lt;/a&gt;</v>
      </c>
      <c r="AE75" s="2" t="str">
        <f t="shared" si="298"/>
        <v>&lt;/li&gt;&lt;li&gt;&lt;a href=|http://jfb.biblecommenter.com/exodus/25.htm| title=|Jamieson-Fausset-Brown Bible Commentary| target=|_top|&gt;JFB&lt;/a&gt;</v>
      </c>
      <c r="AF75" s="2" t="str">
        <f t="shared" si="298"/>
        <v>&lt;/li&gt;&lt;li&gt;&lt;a href=|http://kjt.biblecommenter.com/exodus/25.htm| title=|King James Translators' Notes| target=|_top|&gt;KJT&lt;/a&gt;</v>
      </c>
      <c r="AG75" s="2" t="str">
        <f t="shared" si="298"/>
        <v>&lt;/li&gt;&lt;li&gt;&lt;a href=|http://mhc.biblecommenter.com/exodus/25.htm| title=|Matthew Henry's Concise Commentary| target=|_top|&gt;MHC&lt;/a&gt;</v>
      </c>
      <c r="AH75" s="2" t="str">
        <f t="shared" si="298"/>
        <v>&lt;/li&gt;&lt;li&gt;&lt;a href=|http://sco.biblecommenter.com/exodus/25.htm| title=|Scofield Reference Notes| target=|_top|&gt;SCO&lt;/a&gt;</v>
      </c>
      <c r="AI75" s="2" t="str">
        <f t="shared" si="298"/>
        <v>&lt;/li&gt;&lt;li&gt;&lt;a href=|http://wes.biblecommenter.com/exodus/25.htm| title=|Wesley's Notes on the Bible| target=|_top|&gt;WES&lt;/a&gt;</v>
      </c>
      <c r="AJ75" t="str">
        <f t="shared" si="298"/>
        <v>&lt;/li&gt;&lt;li&gt;&lt;a href=|http://worldebible.com/exodus/25.htm| title=|World English Bible| target=|_top|&gt;WEB&lt;/a&gt;</v>
      </c>
      <c r="AK75" t="str">
        <f t="shared" si="298"/>
        <v>&lt;/li&gt;&lt;li&gt;&lt;a href=|http://yltbible.com/exodus/25.htm| title=|Young's Literal Translation| target=|_top|&gt;YLT&lt;/a&gt;</v>
      </c>
      <c r="AL75" t="str">
        <f>CONCATENATE("&lt;a href=|http://",AL1191,"/exodus/25.htm","| ","title=|",AL1190,"| target=|_top|&gt;",AL1192,"&lt;/a&gt;")</f>
        <v>&lt;a href=|http://kjv.us/exodus/25.htm| title=|American King James Version| target=|_top|&gt;AKJ&lt;/a&gt;</v>
      </c>
      <c r="AM75" t="str">
        <f t="shared" ref="AM75:AN75" si="299">CONCATENATE("&lt;/li&gt;&lt;li&gt;&lt;a href=|http://",AM1191,"/exodus/25.htm","| ","title=|",AM1190,"| target=|_top|&gt;",AM1192,"&lt;/a&gt;")</f>
        <v>&lt;/li&gt;&lt;li&gt;&lt;a href=|http://basicenglishbible.com/exodus/25.htm| title=|Bible in Basic English| target=|_top|&gt;BBE&lt;/a&gt;</v>
      </c>
      <c r="AN75" t="str">
        <f t="shared" si="299"/>
        <v>&lt;/li&gt;&lt;li&gt;&lt;a href=|http://darbybible.com/exodus/25.htm| title=|Darby Bible Translation| target=|_top|&gt;DBY&lt;/a&gt;</v>
      </c>
      <c r="AO7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5" t="str">
        <f>CONCATENATE("&lt;/li&gt;&lt;li&gt;&lt;a href=|http://",AR1191,"/exodus/25.htm","| ","title=|",AR1190,"| target=|_top|&gt;",AR1192,"&lt;/a&gt;")</f>
        <v>&lt;/li&gt;&lt;li&gt;&lt;a href=|http://websterbible.com/exodus/25.htm| title=|Webster's Bible Translation| target=|_top|&gt;WBS&lt;/a&gt;</v>
      </c>
      <c r="AS7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5" t="str">
        <f>CONCATENATE("&lt;/li&gt;&lt;li&gt;&lt;a href=|http://",AT1191,"/exodus/25-1.htm","| ","title=|",AT1190,"| target=|_top|&gt;",AT1192,"&lt;/a&gt;")</f>
        <v>&lt;/li&gt;&lt;li&gt;&lt;a href=|http://biblebrowser.com/exodus/25-1.htm| title=|Split View| target=|_top|&gt;Split&lt;/a&gt;</v>
      </c>
      <c r="AU75" s="2" t="s">
        <v>1276</v>
      </c>
      <c r="AV75" t="s">
        <v>64</v>
      </c>
    </row>
    <row r="76" spans="1:48">
      <c r="A76" t="s">
        <v>622</v>
      </c>
      <c r="B76" t="s">
        <v>129</v>
      </c>
      <c r="C76" t="s">
        <v>624</v>
      </c>
      <c r="D76" t="s">
        <v>1268</v>
      </c>
      <c r="E76" t="s">
        <v>1277</v>
      </c>
      <c r="F76" t="s">
        <v>1304</v>
      </c>
      <c r="G76" t="s">
        <v>1266</v>
      </c>
      <c r="H76" t="s">
        <v>1305</v>
      </c>
      <c r="I76" t="s">
        <v>1303</v>
      </c>
      <c r="J76" t="s">
        <v>1267</v>
      </c>
      <c r="K76" t="s">
        <v>1275</v>
      </c>
      <c r="L76" s="2" t="s">
        <v>1274</v>
      </c>
      <c r="M76" t="str">
        <f t="shared" ref="M76:AB76" si="300">CONCATENATE("&lt;/li&gt;&lt;li&gt;&lt;a href=|http://",M1191,"/exodus/26.htm","| ","title=|",M1190,"| target=|_top|&gt;",M1192,"&lt;/a&gt;")</f>
        <v>&lt;/li&gt;&lt;li&gt;&lt;a href=|http://niv.scripturetext.com/exodus/26.htm| title=|New International Version| target=|_top|&gt;NIV&lt;/a&gt;</v>
      </c>
      <c r="N76" t="str">
        <f t="shared" si="300"/>
        <v>&lt;/li&gt;&lt;li&gt;&lt;a href=|http://nlt.scripturetext.com/exodus/26.htm| title=|New Living Translation| target=|_top|&gt;NLT&lt;/a&gt;</v>
      </c>
      <c r="O76" t="str">
        <f t="shared" si="300"/>
        <v>&lt;/li&gt;&lt;li&gt;&lt;a href=|http://nasb.scripturetext.com/exodus/26.htm| title=|New American Standard Bible| target=|_top|&gt;NAS&lt;/a&gt;</v>
      </c>
      <c r="P76" t="str">
        <f t="shared" si="300"/>
        <v>&lt;/li&gt;&lt;li&gt;&lt;a href=|http://gwt.scripturetext.com/exodus/26.htm| title=|God's Word Translation| target=|_top|&gt;GWT&lt;/a&gt;</v>
      </c>
      <c r="Q76" t="str">
        <f t="shared" si="300"/>
        <v>&lt;/li&gt;&lt;li&gt;&lt;a href=|http://kingjbible.com/exodus/26.htm| title=|King James Bible| target=|_top|&gt;KJV&lt;/a&gt;</v>
      </c>
      <c r="R76" t="str">
        <f t="shared" si="300"/>
        <v>&lt;/li&gt;&lt;li&gt;&lt;a href=|http://asvbible.com/exodus/26.htm| title=|American Standard Version| target=|_top|&gt;ASV&lt;/a&gt;</v>
      </c>
      <c r="S76" t="str">
        <f t="shared" si="300"/>
        <v>&lt;/li&gt;&lt;li&gt;&lt;a href=|http://drb.scripturetext.com/exodus/26.htm| title=|Douay-Rheims Bible| target=|_top|&gt;DRB&lt;/a&gt;</v>
      </c>
      <c r="T76" t="str">
        <f t="shared" si="300"/>
        <v>&lt;/li&gt;&lt;li&gt;&lt;a href=|http://erv.scripturetext.com/exodus/26.htm| title=|English Revised Version| target=|_top|&gt;ERV&lt;/a&gt;</v>
      </c>
      <c r="V76" t="str">
        <f>CONCATENATE("&lt;/li&gt;&lt;li&gt;&lt;a href=|http://",V1191,"/exodus/26.htm","| ","title=|",V1190,"| target=|_top|&gt;",V1192,"&lt;/a&gt;")</f>
        <v>&lt;/li&gt;&lt;li&gt;&lt;a href=|http://study.interlinearbible.org/exodus/26.htm| title=|Hebrew Study Bible| target=|_top|&gt;Heb Study&lt;/a&gt;</v>
      </c>
      <c r="W76" t="str">
        <f t="shared" si="300"/>
        <v>&lt;/li&gt;&lt;li&gt;&lt;a href=|http://apostolic.interlinearbible.org/exodus/26.htm| title=|Apostolic Bible Polyglot Interlinear| target=|_top|&gt;Polyglot&lt;/a&gt;</v>
      </c>
      <c r="X76" t="str">
        <f t="shared" si="300"/>
        <v>&lt;/li&gt;&lt;li&gt;&lt;a href=|http://interlinearbible.org/exodus/26.htm| title=|Interlinear Bible| target=|_top|&gt;Interlin&lt;/a&gt;</v>
      </c>
      <c r="Y76" t="str">
        <f t="shared" ref="Y76" si="301">CONCATENATE("&lt;/li&gt;&lt;li&gt;&lt;a href=|http://",Y1191,"/exodus/26.htm","| ","title=|",Y1190,"| target=|_top|&gt;",Y1192,"&lt;/a&gt;")</f>
        <v>&lt;/li&gt;&lt;li&gt;&lt;a href=|http://bibleoutline.org/exodus/26.htm| title=|Outline with People and Places List| target=|_top|&gt;Outline&lt;/a&gt;</v>
      </c>
      <c r="Z76" t="str">
        <f t="shared" si="300"/>
        <v>&lt;/li&gt;&lt;li&gt;&lt;a href=|http://kjvs.scripturetext.com/exodus/26.htm| title=|King James Bible with Strong's Numbers| target=|_top|&gt;Strong's&lt;/a&gt;</v>
      </c>
      <c r="AA76" t="str">
        <f t="shared" si="300"/>
        <v>&lt;/li&gt;&lt;li&gt;&lt;a href=|http://childrensbibleonline.com/exodus/26.htm| title=|The Children's Bible| target=|_top|&gt;Children's&lt;/a&gt;</v>
      </c>
      <c r="AB76" s="2" t="str">
        <f t="shared" si="300"/>
        <v>&lt;/li&gt;&lt;li&gt;&lt;a href=|http://tsk.scripturetext.com/exodus/26.htm| title=|Treasury of Scripture Knowledge| target=|_top|&gt;TSK&lt;/a&gt;</v>
      </c>
      <c r="AC76" t="str">
        <f>CONCATENATE("&lt;a href=|http://",AC1191,"/exodus/26.htm","| ","title=|",AC1190,"| target=|_top|&gt;",AC1192,"&lt;/a&gt;")</f>
        <v>&lt;a href=|http://parallelbible.com/exodus/26.htm| title=|Parallel Chapters| target=|_top|&gt;PAR&lt;/a&gt;</v>
      </c>
      <c r="AD76" s="2" t="str">
        <f t="shared" ref="AD76:AK76" si="302">CONCATENATE("&lt;/li&gt;&lt;li&gt;&lt;a href=|http://",AD1191,"/exodus/26.htm","| ","title=|",AD1190,"| target=|_top|&gt;",AD1192,"&lt;/a&gt;")</f>
        <v>&lt;/li&gt;&lt;li&gt;&lt;a href=|http://gsb.biblecommenter.com/exodus/26.htm| title=|Geneva Study Bible| target=|_top|&gt;GSB&lt;/a&gt;</v>
      </c>
      <c r="AE76" s="2" t="str">
        <f t="shared" si="302"/>
        <v>&lt;/li&gt;&lt;li&gt;&lt;a href=|http://jfb.biblecommenter.com/exodus/26.htm| title=|Jamieson-Fausset-Brown Bible Commentary| target=|_top|&gt;JFB&lt;/a&gt;</v>
      </c>
      <c r="AF76" s="2" t="str">
        <f t="shared" si="302"/>
        <v>&lt;/li&gt;&lt;li&gt;&lt;a href=|http://kjt.biblecommenter.com/exodus/26.htm| title=|King James Translators' Notes| target=|_top|&gt;KJT&lt;/a&gt;</v>
      </c>
      <c r="AG76" s="2" t="str">
        <f t="shared" si="302"/>
        <v>&lt;/li&gt;&lt;li&gt;&lt;a href=|http://mhc.biblecommenter.com/exodus/26.htm| title=|Matthew Henry's Concise Commentary| target=|_top|&gt;MHC&lt;/a&gt;</v>
      </c>
      <c r="AH76" s="2" t="str">
        <f t="shared" si="302"/>
        <v>&lt;/li&gt;&lt;li&gt;&lt;a href=|http://sco.biblecommenter.com/exodus/26.htm| title=|Scofield Reference Notes| target=|_top|&gt;SCO&lt;/a&gt;</v>
      </c>
      <c r="AI76" s="2" t="str">
        <f t="shared" si="302"/>
        <v>&lt;/li&gt;&lt;li&gt;&lt;a href=|http://wes.biblecommenter.com/exodus/26.htm| title=|Wesley's Notes on the Bible| target=|_top|&gt;WES&lt;/a&gt;</v>
      </c>
      <c r="AJ76" t="str">
        <f t="shared" si="302"/>
        <v>&lt;/li&gt;&lt;li&gt;&lt;a href=|http://worldebible.com/exodus/26.htm| title=|World English Bible| target=|_top|&gt;WEB&lt;/a&gt;</v>
      </c>
      <c r="AK76" t="str">
        <f t="shared" si="302"/>
        <v>&lt;/li&gt;&lt;li&gt;&lt;a href=|http://yltbible.com/exodus/26.htm| title=|Young's Literal Translation| target=|_top|&gt;YLT&lt;/a&gt;</v>
      </c>
      <c r="AL76" t="str">
        <f>CONCATENATE("&lt;a href=|http://",AL1191,"/exodus/26.htm","| ","title=|",AL1190,"| target=|_top|&gt;",AL1192,"&lt;/a&gt;")</f>
        <v>&lt;a href=|http://kjv.us/exodus/26.htm| title=|American King James Version| target=|_top|&gt;AKJ&lt;/a&gt;</v>
      </c>
      <c r="AM76" t="str">
        <f t="shared" ref="AM76:AN76" si="303">CONCATENATE("&lt;/li&gt;&lt;li&gt;&lt;a href=|http://",AM1191,"/exodus/26.htm","| ","title=|",AM1190,"| target=|_top|&gt;",AM1192,"&lt;/a&gt;")</f>
        <v>&lt;/li&gt;&lt;li&gt;&lt;a href=|http://basicenglishbible.com/exodus/26.htm| title=|Bible in Basic English| target=|_top|&gt;BBE&lt;/a&gt;</v>
      </c>
      <c r="AN76" t="str">
        <f t="shared" si="303"/>
        <v>&lt;/li&gt;&lt;li&gt;&lt;a href=|http://darbybible.com/exodus/26.htm| title=|Darby Bible Translation| target=|_top|&gt;DBY&lt;/a&gt;</v>
      </c>
      <c r="AO7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6" t="str">
        <f>CONCATENATE("&lt;/li&gt;&lt;li&gt;&lt;a href=|http://",AR1191,"/exodus/26.htm","| ","title=|",AR1190,"| target=|_top|&gt;",AR1192,"&lt;/a&gt;")</f>
        <v>&lt;/li&gt;&lt;li&gt;&lt;a href=|http://websterbible.com/exodus/26.htm| title=|Webster's Bible Translation| target=|_top|&gt;WBS&lt;/a&gt;</v>
      </c>
      <c r="AS7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6" t="str">
        <f>CONCATENATE("&lt;/li&gt;&lt;li&gt;&lt;a href=|http://",AT1191,"/exodus/26-1.htm","| ","title=|",AT1190,"| target=|_top|&gt;",AT1192,"&lt;/a&gt;")</f>
        <v>&lt;/li&gt;&lt;li&gt;&lt;a href=|http://biblebrowser.com/exodus/26-1.htm| title=|Split View| target=|_top|&gt;Split&lt;/a&gt;</v>
      </c>
      <c r="AU76" s="2" t="s">
        <v>1276</v>
      </c>
      <c r="AV76" t="s">
        <v>64</v>
      </c>
    </row>
    <row r="77" spans="1:48">
      <c r="A77" t="s">
        <v>622</v>
      </c>
      <c r="B77" t="s">
        <v>130</v>
      </c>
      <c r="C77" t="s">
        <v>624</v>
      </c>
      <c r="D77" t="s">
        <v>1268</v>
      </c>
      <c r="E77" t="s">
        <v>1277</v>
      </c>
      <c r="F77" t="s">
        <v>1304</v>
      </c>
      <c r="G77" t="s">
        <v>1266</v>
      </c>
      <c r="H77" t="s">
        <v>1305</v>
      </c>
      <c r="I77" t="s">
        <v>1303</v>
      </c>
      <c r="J77" t="s">
        <v>1267</v>
      </c>
      <c r="K77" t="s">
        <v>1275</v>
      </c>
      <c r="L77" s="2" t="s">
        <v>1274</v>
      </c>
      <c r="M77" t="str">
        <f t="shared" ref="M77:AB77" si="304">CONCATENATE("&lt;/li&gt;&lt;li&gt;&lt;a href=|http://",M1191,"/exodus/27.htm","| ","title=|",M1190,"| target=|_top|&gt;",M1192,"&lt;/a&gt;")</f>
        <v>&lt;/li&gt;&lt;li&gt;&lt;a href=|http://niv.scripturetext.com/exodus/27.htm| title=|New International Version| target=|_top|&gt;NIV&lt;/a&gt;</v>
      </c>
      <c r="N77" t="str">
        <f t="shared" si="304"/>
        <v>&lt;/li&gt;&lt;li&gt;&lt;a href=|http://nlt.scripturetext.com/exodus/27.htm| title=|New Living Translation| target=|_top|&gt;NLT&lt;/a&gt;</v>
      </c>
      <c r="O77" t="str">
        <f t="shared" si="304"/>
        <v>&lt;/li&gt;&lt;li&gt;&lt;a href=|http://nasb.scripturetext.com/exodus/27.htm| title=|New American Standard Bible| target=|_top|&gt;NAS&lt;/a&gt;</v>
      </c>
      <c r="P77" t="str">
        <f t="shared" si="304"/>
        <v>&lt;/li&gt;&lt;li&gt;&lt;a href=|http://gwt.scripturetext.com/exodus/27.htm| title=|God's Word Translation| target=|_top|&gt;GWT&lt;/a&gt;</v>
      </c>
      <c r="Q77" t="str">
        <f t="shared" si="304"/>
        <v>&lt;/li&gt;&lt;li&gt;&lt;a href=|http://kingjbible.com/exodus/27.htm| title=|King James Bible| target=|_top|&gt;KJV&lt;/a&gt;</v>
      </c>
      <c r="R77" t="str">
        <f t="shared" si="304"/>
        <v>&lt;/li&gt;&lt;li&gt;&lt;a href=|http://asvbible.com/exodus/27.htm| title=|American Standard Version| target=|_top|&gt;ASV&lt;/a&gt;</v>
      </c>
      <c r="S77" t="str">
        <f t="shared" si="304"/>
        <v>&lt;/li&gt;&lt;li&gt;&lt;a href=|http://drb.scripturetext.com/exodus/27.htm| title=|Douay-Rheims Bible| target=|_top|&gt;DRB&lt;/a&gt;</v>
      </c>
      <c r="T77" t="str">
        <f t="shared" si="304"/>
        <v>&lt;/li&gt;&lt;li&gt;&lt;a href=|http://erv.scripturetext.com/exodus/27.htm| title=|English Revised Version| target=|_top|&gt;ERV&lt;/a&gt;</v>
      </c>
      <c r="V77" t="str">
        <f>CONCATENATE("&lt;/li&gt;&lt;li&gt;&lt;a href=|http://",V1191,"/exodus/27.htm","| ","title=|",V1190,"| target=|_top|&gt;",V1192,"&lt;/a&gt;")</f>
        <v>&lt;/li&gt;&lt;li&gt;&lt;a href=|http://study.interlinearbible.org/exodus/27.htm| title=|Hebrew Study Bible| target=|_top|&gt;Heb Study&lt;/a&gt;</v>
      </c>
      <c r="W77" t="str">
        <f t="shared" si="304"/>
        <v>&lt;/li&gt;&lt;li&gt;&lt;a href=|http://apostolic.interlinearbible.org/exodus/27.htm| title=|Apostolic Bible Polyglot Interlinear| target=|_top|&gt;Polyglot&lt;/a&gt;</v>
      </c>
      <c r="X77" t="str">
        <f t="shared" si="304"/>
        <v>&lt;/li&gt;&lt;li&gt;&lt;a href=|http://interlinearbible.org/exodus/27.htm| title=|Interlinear Bible| target=|_top|&gt;Interlin&lt;/a&gt;</v>
      </c>
      <c r="Y77" t="str">
        <f t="shared" ref="Y77" si="305">CONCATENATE("&lt;/li&gt;&lt;li&gt;&lt;a href=|http://",Y1191,"/exodus/27.htm","| ","title=|",Y1190,"| target=|_top|&gt;",Y1192,"&lt;/a&gt;")</f>
        <v>&lt;/li&gt;&lt;li&gt;&lt;a href=|http://bibleoutline.org/exodus/27.htm| title=|Outline with People and Places List| target=|_top|&gt;Outline&lt;/a&gt;</v>
      </c>
      <c r="Z77" t="str">
        <f t="shared" si="304"/>
        <v>&lt;/li&gt;&lt;li&gt;&lt;a href=|http://kjvs.scripturetext.com/exodus/27.htm| title=|King James Bible with Strong's Numbers| target=|_top|&gt;Strong's&lt;/a&gt;</v>
      </c>
      <c r="AA77" t="str">
        <f t="shared" si="304"/>
        <v>&lt;/li&gt;&lt;li&gt;&lt;a href=|http://childrensbibleonline.com/exodus/27.htm| title=|The Children's Bible| target=|_top|&gt;Children's&lt;/a&gt;</v>
      </c>
      <c r="AB77" s="2" t="str">
        <f t="shared" si="304"/>
        <v>&lt;/li&gt;&lt;li&gt;&lt;a href=|http://tsk.scripturetext.com/exodus/27.htm| title=|Treasury of Scripture Knowledge| target=|_top|&gt;TSK&lt;/a&gt;</v>
      </c>
      <c r="AC77" t="str">
        <f>CONCATENATE("&lt;a href=|http://",AC1191,"/exodus/27.htm","| ","title=|",AC1190,"| target=|_top|&gt;",AC1192,"&lt;/a&gt;")</f>
        <v>&lt;a href=|http://parallelbible.com/exodus/27.htm| title=|Parallel Chapters| target=|_top|&gt;PAR&lt;/a&gt;</v>
      </c>
      <c r="AD77" s="2" t="str">
        <f t="shared" ref="AD77:AK77" si="306">CONCATENATE("&lt;/li&gt;&lt;li&gt;&lt;a href=|http://",AD1191,"/exodus/27.htm","| ","title=|",AD1190,"| target=|_top|&gt;",AD1192,"&lt;/a&gt;")</f>
        <v>&lt;/li&gt;&lt;li&gt;&lt;a href=|http://gsb.biblecommenter.com/exodus/27.htm| title=|Geneva Study Bible| target=|_top|&gt;GSB&lt;/a&gt;</v>
      </c>
      <c r="AE77" s="2" t="str">
        <f t="shared" si="306"/>
        <v>&lt;/li&gt;&lt;li&gt;&lt;a href=|http://jfb.biblecommenter.com/exodus/27.htm| title=|Jamieson-Fausset-Brown Bible Commentary| target=|_top|&gt;JFB&lt;/a&gt;</v>
      </c>
      <c r="AF77" s="2" t="str">
        <f t="shared" si="306"/>
        <v>&lt;/li&gt;&lt;li&gt;&lt;a href=|http://kjt.biblecommenter.com/exodus/27.htm| title=|King James Translators' Notes| target=|_top|&gt;KJT&lt;/a&gt;</v>
      </c>
      <c r="AG77" s="2" t="str">
        <f t="shared" si="306"/>
        <v>&lt;/li&gt;&lt;li&gt;&lt;a href=|http://mhc.biblecommenter.com/exodus/27.htm| title=|Matthew Henry's Concise Commentary| target=|_top|&gt;MHC&lt;/a&gt;</v>
      </c>
      <c r="AH77" s="2" t="str">
        <f t="shared" si="306"/>
        <v>&lt;/li&gt;&lt;li&gt;&lt;a href=|http://sco.biblecommenter.com/exodus/27.htm| title=|Scofield Reference Notes| target=|_top|&gt;SCO&lt;/a&gt;</v>
      </c>
      <c r="AI77" s="2" t="str">
        <f t="shared" si="306"/>
        <v>&lt;/li&gt;&lt;li&gt;&lt;a href=|http://wes.biblecommenter.com/exodus/27.htm| title=|Wesley's Notes on the Bible| target=|_top|&gt;WES&lt;/a&gt;</v>
      </c>
      <c r="AJ77" t="str">
        <f t="shared" si="306"/>
        <v>&lt;/li&gt;&lt;li&gt;&lt;a href=|http://worldebible.com/exodus/27.htm| title=|World English Bible| target=|_top|&gt;WEB&lt;/a&gt;</v>
      </c>
      <c r="AK77" t="str">
        <f t="shared" si="306"/>
        <v>&lt;/li&gt;&lt;li&gt;&lt;a href=|http://yltbible.com/exodus/27.htm| title=|Young's Literal Translation| target=|_top|&gt;YLT&lt;/a&gt;</v>
      </c>
      <c r="AL77" t="str">
        <f>CONCATENATE("&lt;a href=|http://",AL1191,"/exodus/27.htm","| ","title=|",AL1190,"| target=|_top|&gt;",AL1192,"&lt;/a&gt;")</f>
        <v>&lt;a href=|http://kjv.us/exodus/27.htm| title=|American King James Version| target=|_top|&gt;AKJ&lt;/a&gt;</v>
      </c>
      <c r="AM77" t="str">
        <f t="shared" ref="AM77:AN77" si="307">CONCATENATE("&lt;/li&gt;&lt;li&gt;&lt;a href=|http://",AM1191,"/exodus/27.htm","| ","title=|",AM1190,"| target=|_top|&gt;",AM1192,"&lt;/a&gt;")</f>
        <v>&lt;/li&gt;&lt;li&gt;&lt;a href=|http://basicenglishbible.com/exodus/27.htm| title=|Bible in Basic English| target=|_top|&gt;BBE&lt;/a&gt;</v>
      </c>
      <c r="AN77" t="str">
        <f t="shared" si="307"/>
        <v>&lt;/li&gt;&lt;li&gt;&lt;a href=|http://darbybible.com/exodus/27.htm| title=|Darby Bible Translation| target=|_top|&gt;DBY&lt;/a&gt;</v>
      </c>
      <c r="AO7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7" t="str">
        <f>CONCATENATE("&lt;/li&gt;&lt;li&gt;&lt;a href=|http://",AR1191,"/exodus/27.htm","| ","title=|",AR1190,"| target=|_top|&gt;",AR1192,"&lt;/a&gt;")</f>
        <v>&lt;/li&gt;&lt;li&gt;&lt;a href=|http://websterbible.com/exodus/27.htm| title=|Webster's Bible Translation| target=|_top|&gt;WBS&lt;/a&gt;</v>
      </c>
      <c r="AS7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7" t="str">
        <f>CONCATENATE("&lt;/li&gt;&lt;li&gt;&lt;a href=|http://",AT1191,"/exodus/27-1.htm","| ","title=|",AT1190,"| target=|_top|&gt;",AT1192,"&lt;/a&gt;")</f>
        <v>&lt;/li&gt;&lt;li&gt;&lt;a href=|http://biblebrowser.com/exodus/27-1.htm| title=|Split View| target=|_top|&gt;Split&lt;/a&gt;</v>
      </c>
      <c r="AU77" s="2" t="s">
        <v>1276</v>
      </c>
      <c r="AV77" t="s">
        <v>64</v>
      </c>
    </row>
    <row r="78" spans="1:48">
      <c r="A78" t="s">
        <v>622</v>
      </c>
      <c r="B78" t="s">
        <v>131</v>
      </c>
      <c r="C78" t="s">
        <v>624</v>
      </c>
      <c r="D78" t="s">
        <v>1268</v>
      </c>
      <c r="E78" t="s">
        <v>1277</v>
      </c>
      <c r="F78" t="s">
        <v>1304</v>
      </c>
      <c r="G78" t="s">
        <v>1266</v>
      </c>
      <c r="H78" t="s">
        <v>1305</v>
      </c>
      <c r="I78" t="s">
        <v>1303</v>
      </c>
      <c r="J78" t="s">
        <v>1267</v>
      </c>
      <c r="K78" t="s">
        <v>1275</v>
      </c>
      <c r="L78" s="2" t="s">
        <v>1274</v>
      </c>
      <c r="M78" t="str">
        <f t="shared" ref="M78:AB78" si="308">CONCATENATE("&lt;/li&gt;&lt;li&gt;&lt;a href=|http://",M1191,"/exodus/28.htm","| ","title=|",M1190,"| target=|_top|&gt;",M1192,"&lt;/a&gt;")</f>
        <v>&lt;/li&gt;&lt;li&gt;&lt;a href=|http://niv.scripturetext.com/exodus/28.htm| title=|New International Version| target=|_top|&gt;NIV&lt;/a&gt;</v>
      </c>
      <c r="N78" t="str">
        <f t="shared" si="308"/>
        <v>&lt;/li&gt;&lt;li&gt;&lt;a href=|http://nlt.scripturetext.com/exodus/28.htm| title=|New Living Translation| target=|_top|&gt;NLT&lt;/a&gt;</v>
      </c>
      <c r="O78" t="str">
        <f t="shared" si="308"/>
        <v>&lt;/li&gt;&lt;li&gt;&lt;a href=|http://nasb.scripturetext.com/exodus/28.htm| title=|New American Standard Bible| target=|_top|&gt;NAS&lt;/a&gt;</v>
      </c>
      <c r="P78" t="str">
        <f t="shared" si="308"/>
        <v>&lt;/li&gt;&lt;li&gt;&lt;a href=|http://gwt.scripturetext.com/exodus/28.htm| title=|God's Word Translation| target=|_top|&gt;GWT&lt;/a&gt;</v>
      </c>
      <c r="Q78" t="str">
        <f t="shared" si="308"/>
        <v>&lt;/li&gt;&lt;li&gt;&lt;a href=|http://kingjbible.com/exodus/28.htm| title=|King James Bible| target=|_top|&gt;KJV&lt;/a&gt;</v>
      </c>
      <c r="R78" t="str">
        <f t="shared" si="308"/>
        <v>&lt;/li&gt;&lt;li&gt;&lt;a href=|http://asvbible.com/exodus/28.htm| title=|American Standard Version| target=|_top|&gt;ASV&lt;/a&gt;</v>
      </c>
      <c r="S78" t="str">
        <f t="shared" si="308"/>
        <v>&lt;/li&gt;&lt;li&gt;&lt;a href=|http://drb.scripturetext.com/exodus/28.htm| title=|Douay-Rheims Bible| target=|_top|&gt;DRB&lt;/a&gt;</v>
      </c>
      <c r="T78" t="str">
        <f t="shared" si="308"/>
        <v>&lt;/li&gt;&lt;li&gt;&lt;a href=|http://erv.scripturetext.com/exodus/28.htm| title=|English Revised Version| target=|_top|&gt;ERV&lt;/a&gt;</v>
      </c>
      <c r="V78" t="str">
        <f>CONCATENATE("&lt;/li&gt;&lt;li&gt;&lt;a href=|http://",V1191,"/exodus/28.htm","| ","title=|",V1190,"| target=|_top|&gt;",V1192,"&lt;/a&gt;")</f>
        <v>&lt;/li&gt;&lt;li&gt;&lt;a href=|http://study.interlinearbible.org/exodus/28.htm| title=|Hebrew Study Bible| target=|_top|&gt;Heb Study&lt;/a&gt;</v>
      </c>
      <c r="W78" t="str">
        <f t="shared" si="308"/>
        <v>&lt;/li&gt;&lt;li&gt;&lt;a href=|http://apostolic.interlinearbible.org/exodus/28.htm| title=|Apostolic Bible Polyglot Interlinear| target=|_top|&gt;Polyglot&lt;/a&gt;</v>
      </c>
      <c r="X78" t="str">
        <f t="shared" si="308"/>
        <v>&lt;/li&gt;&lt;li&gt;&lt;a href=|http://interlinearbible.org/exodus/28.htm| title=|Interlinear Bible| target=|_top|&gt;Interlin&lt;/a&gt;</v>
      </c>
      <c r="Y78" t="str">
        <f t="shared" ref="Y78" si="309">CONCATENATE("&lt;/li&gt;&lt;li&gt;&lt;a href=|http://",Y1191,"/exodus/28.htm","| ","title=|",Y1190,"| target=|_top|&gt;",Y1192,"&lt;/a&gt;")</f>
        <v>&lt;/li&gt;&lt;li&gt;&lt;a href=|http://bibleoutline.org/exodus/28.htm| title=|Outline with People and Places List| target=|_top|&gt;Outline&lt;/a&gt;</v>
      </c>
      <c r="Z78" t="str">
        <f t="shared" si="308"/>
        <v>&lt;/li&gt;&lt;li&gt;&lt;a href=|http://kjvs.scripturetext.com/exodus/28.htm| title=|King James Bible with Strong's Numbers| target=|_top|&gt;Strong's&lt;/a&gt;</v>
      </c>
      <c r="AA78" t="str">
        <f t="shared" si="308"/>
        <v>&lt;/li&gt;&lt;li&gt;&lt;a href=|http://childrensbibleonline.com/exodus/28.htm| title=|The Children's Bible| target=|_top|&gt;Children's&lt;/a&gt;</v>
      </c>
      <c r="AB78" s="2" t="str">
        <f t="shared" si="308"/>
        <v>&lt;/li&gt;&lt;li&gt;&lt;a href=|http://tsk.scripturetext.com/exodus/28.htm| title=|Treasury of Scripture Knowledge| target=|_top|&gt;TSK&lt;/a&gt;</v>
      </c>
      <c r="AC78" t="str">
        <f>CONCATENATE("&lt;a href=|http://",AC1191,"/exodus/28.htm","| ","title=|",AC1190,"| target=|_top|&gt;",AC1192,"&lt;/a&gt;")</f>
        <v>&lt;a href=|http://parallelbible.com/exodus/28.htm| title=|Parallel Chapters| target=|_top|&gt;PAR&lt;/a&gt;</v>
      </c>
      <c r="AD78" s="2" t="str">
        <f t="shared" ref="AD78:AK78" si="310">CONCATENATE("&lt;/li&gt;&lt;li&gt;&lt;a href=|http://",AD1191,"/exodus/28.htm","| ","title=|",AD1190,"| target=|_top|&gt;",AD1192,"&lt;/a&gt;")</f>
        <v>&lt;/li&gt;&lt;li&gt;&lt;a href=|http://gsb.biblecommenter.com/exodus/28.htm| title=|Geneva Study Bible| target=|_top|&gt;GSB&lt;/a&gt;</v>
      </c>
      <c r="AE78" s="2" t="str">
        <f t="shared" si="310"/>
        <v>&lt;/li&gt;&lt;li&gt;&lt;a href=|http://jfb.biblecommenter.com/exodus/28.htm| title=|Jamieson-Fausset-Brown Bible Commentary| target=|_top|&gt;JFB&lt;/a&gt;</v>
      </c>
      <c r="AF78" s="2" t="str">
        <f t="shared" si="310"/>
        <v>&lt;/li&gt;&lt;li&gt;&lt;a href=|http://kjt.biblecommenter.com/exodus/28.htm| title=|King James Translators' Notes| target=|_top|&gt;KJT&lt;/a&gt;</v>
      </c>
      <c r="AG78" s="2" t="str">
        <f t="shared" si="310"/>
        <v>&lt;/li&gt;&lt;li&gt;&lt;a href=|http://mhc.biblecommenter.com/exodus/28.htm| title=|Matthew Henry's Concise Commentary| target=|_top|&gt;MHC&lt;/a&gt;</v>
      </c>
      <c r="AH78" s="2" t="str">
        <f t="shared" si="310"/>
        <v>&lt;/li&gt;&lt;li&gt;&lt;a href=|http://sco.biblecommenter.com/exodus/28.htm| title=|Scofield Reference Notes| target=|_top|&gt;SCO&lt;/a&gt;</v>
      </c>
      <c r="AI78" s="2" t="str">
        <f t="shared" si="310"/>
        <v>&lt;/li&gt;&lt;li&gt;&lt;a href=|http://wes.biblecommenter.com/exodus/28.htm| title=|Wesley's Notes on the Bible| target=|_top|&gt;WES&lt;/a&gt;</v>
      </c>
      <c r="AJ78" t="str">
        <f t="shared" si="310"/>
        <v>&lt;/li&gt;&lt;li&gt;&lt;a href=|http://worldebible.com/exodus/28.htm| title=|World English Bible| target=|_top|&gt;WEB&lt;/a&gt;</v>
      </c>
      <c r="AK78" t="str">
        <f t="shared" si="310"/>
        <v>&lt;/li&gt;&lt;li&gt;&lt;a href=|http://yltbible.com/exodus/28.htm| title=|Young's Literal Translation| target=|_top|&gt;YLT&lt;/a&gt;</v>
      </c>
      <c r="AL78" t="str">
        <f>CONCATENATE("&lt;a href=|http://",AL1191,"/exodus/28.htm","| ","title=|",AL1190,"| target=|_top|&gt;",AL1192,"&lt;/a&gt;")</f>
        <v>&lt;a href=|http://kjv.us/exodus/28.htm| title=|American King James Version| target=|_top|&gt;AKJ&lt;/a&gt;</v>
      </c>
      <c r="AM78" t="str">
        <f t="shared" ref="AM78:AN78" si="311">CONCATENATE("&lt;/li&gt;&lt;li&gt;&lt;a href=|http://",AM1191,"/exodus/28.htm","| ","title=|",AM1190,"| target=|_top|&gt;",AM1192,"&lt;/a&gt;")</f>
        <v>&lt;/li&gt;&lt;li&gt;&lt;a href=|http://basicenglishbible.com/exodus/28.htm| title=|Bible in Basic English| target=|_top|&gt;BBE&lt;/a&gt;</v>
      </c>
      <c r="AN78" t="str">
        <f t="shared" si="311"/>
        <v>&lt;/li&gt;&lt;li&gt;&lt;a href=|http://darbybible.com/exodus/28.htm| title=|Darby Bible Translation| target=|_top|&gt;DBY&lt;/a&gt;</v>
      </c>
      <c r="AO7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8" t="str">
        <f>CONCATENATE("&lt;/li&gt;&lt;li&gt;&lt;a href=|http://",AR1191,"/exodus/28.htm","| ","title=|",AR1190,"| target=|_top|&gt;",AR1192,"&lt;/a&gt;")</f>
        <v>&lt;/li&gt;&lt;li&gt;&lt;a href=|http://websterbible.com/exodus/28.htm| title=|Webster's Bible Translation| target=|_top|&gt;WBS&lt;/a&gt;</v>
      </c>
      <c r="AS7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8" t="str">
        <f>CONCATENATE("&lt;/li&gt;&lt;li&gt;&lt;a href=|http://",AT1191,"/exodus/28-1.htm","| ","title=|",AT1190,"| target=|_top|&gt;",AT1192,"&lt;/a&gt;")</f>
        <v>&lt;/li&gt;&lt;li&gt;&lt;a href=|http://biblebrowser.com/exodus/28-1.htm| title=|Split View| target=|_top|&gt;Split&lt;/a&gt;</v>
      </c>
      <c r="AU78" s="2" t="s">
        <v>1276</v>
      </c>
      <c r="AV78" t="s">
        <v>64</v>
      </c>
    </row>
    <row r="79" spans="1:48">
      <c r="A79" t="s">
        <v>622</v>
      </c>
      <c r="B79" t="s">
        <v>132</v>
      </c>
      <c r="C79" t="s">
        <v>624</v>
      </c>
      <c r="D79" t="s">
        <v>1268</v>
      </c>
      <c r="E79" t="s">
        <v>1277</v>
      </c>
      <c r="F79" t="s">
        <v>1304</v>
      </c>
      <c r="G79" t="s">
        <v>1266</v>
      </c>
      <c r="H79" t="s">
        <v>1305</v>
      </c>
      <c r="I79" t="s">
        <v>1303</v>
      </c>
      <c r="J79" t="s">
        <v>1267</v>
      </c>
      <c r="K79" t="s">
        <v>1275</v>
      </c>
      <c r="L79" s="2" t="s">
        <v>1274</v>
      </c>
      <c r="M79" t="str">
        <f t="shared" ref="M79:AB79" si="312">CONCATENATE("&lt;/li&gt;&lt;li&gt;&lt;a href=|http://",M1191,"/exodus/29.htm","| ","title=|",M1190,"| target=|_top|&gt;",M1192,"&lt;/a&gt;")</f>
        <v>&lt;/li&gt;&lt;li&gt;&lt;a href=|http://niv.scripturetext.com/exodus/29.htm| title=|New International Version| target=|_top|&gt;NIV&lt;/a&gt;</v>
      </c>
      <c r="N79" t="str">
        <f t="shared" si="312"/>
        <v>&lt;/li&gt;&lt;li&gt;&lt;a href=|http://nlt.scripturetext.com/exodus/29.htm| title=|New Living Translation| target=|_top|&gt;NLT&lt;/a&gt;</v>
      </c>
      <c r="O79" t="str">
        <f t="shared" si="312"/>
        <v>&lt;/li&gt;&lt;li&gt;&lt;a href=|http://nasb.scripturetext.com/exodus/29.htm| title=|New American Standard Bible| target=|_top|&gt;NAS&lt;/a&gt;</v>
      </c>
      <c r="P79" t="str">
        <f t="shared" si="312"/>
        <v>&lt;/li&gt;&lt;li&gt;&lt;a href=|http://gwt.scripturetext.com/exodus/29.htm| title=|God's Word Translation| target=|_top|&gt;GWT&lt;/a&gt;</v>
      </c>
      <c r="Q79" t="str">
        <f t="shared" si="312"/>
        <v>&lt;/li&gt;&lt;li&gt;&lt;a href=|http://kingjbible.com/exodus/29.htm| title=|King James Bible| target=|_top|&gt;KJV&lt;/a&gt;</v>
      </c>
      <c r="R79" t="str">
        <f t="shared" si="312"/>
        <v>&lt;/li&gt;&lt;li&gt;&lt;a href=|http://asvbible.com/exodus/29.htm| title=|American Standard Version| target=|_top|&gt;ASV&lt;/a&gt;</v>
      </c>
      <c r="S79" t="str">
        <f t="shared" si="312"/>
        <v>&lt;/li&gt;&lt;li&gt;&lt;a href=|http://drb.scripturetext.com/exodus/29.htm| title=|Douay-Rheims Bible| target=|_top|&gt;DRB&lt;/a&gt;</v>
      </c>
      <c r="T79" t="str">
        <f t="shared" si="312"/>
        <v>&lt;/li&gt;&lt;li&gt;&lt;a href=|http://erv.scripturetext.com/exodus/29.htm| title=|English Revised Version| target=|_top|&gt;ERV&lt;/a&gt;</v>
      </c>
      <c r="V79" t="str">
        <f>CONCATENATE("&lt;/li&gt;&lt;li&gt;&lt;a href=|http://",V1191,"/exodus/29.htm","| ","title=|",V1190,"| target=|_top|&gt;",V1192,"&lt;/a&gt;")</f>
        <v>&lt;/li&gt;&lt;li&gt;&lt;a href=|http://study.interlinearbible.org/exodus/29.htm| title=|Hebrew Study Bible| target=|_top|&gt;Heb Study&lt;/a&gt;</v>
      </c>
      <c r="W79" t="str">
        <f t="shared" si="312"/>
        <v>&lt;/li&gt;&lt;li&gt;&lt;a href=|http://apostolic.interlinearbible.org/exodus/29.htm| title=|Apostolic Bible Polyglot Interlinear| target=|_top|&gt;Polyglot&lt;/a&gt;</v>
      </c>
      <c r="X79" t="str">
        <f t="shared" si="312"/>
        <v>&lt;/li&gt;&lt;li&gt;&lt;a href=|http://interlinearbible.org/exodus/29.htm| title=|Interlinear Bible| target=|_top|&gt;Interlin&lt;/a&gt;</v>
      </c>
      <c r="Y79" t="str">
        <f t="shared" ref="Y79" si="313">CONCATENATE("&lt;/li&gt;&lt;li&gt;&lt;a href=|http://",Y1191,"/exodus/29.htm","| ","title=|",Y1190,"| target=|_top|&gt;",Y1192,"&lt;/a&gt;")</f>
        <v>&lt;/li&gt;&lt;li&gt;&lt;a href=|http://bibleoutline.org/exodus/29.htm| title=|Outline with People and Places List| target=|_top|&gt;Outline&lt;/a&gt;</v>
      </c>
      <c r="Z79" t="str">
        <f t="shared" si="312"/>
        <v>&lt;/li&gt;&lt;li&gt;&lt;a href=|http://kjvs.scripturetext.com/exodus/29.htm| title=|King James Bible with Strong's Numbers| target=|_top|&gt;Strong's&lt;/a&gt;</v>
      </c>
      <c r="AA79" t="str">
        <f t="shared" si="312"/>
        <v>&lt;/li&gt;&lt;li&gt;&lt;a href=|http://childrensbibleonline.com/exodus/29.htm| title=|The Children's Bible| target=|_top|&gt;Children's&lt;/a&gt;</v>
      </c>
      <c r="AB79" s="2" t="str">
        <f t="shared" si="312"/>
        <v>&lt;/li&gt;&lt;li&gt;&lt;a href=|http://tsk.scripturetext.com/exodus/29.htm| title=|Treasury of Scripture Knowledge| target=|_top|&gt;TSK&lt;/a&gt;</v>
      </c>
      <c r="AC79" t="str">
        <f>CONCATENATE("&lt;a href=|http://",AC1191,"/exodus/29.htm","| ","title=|",AC1190,"| target=|_top|&gt;",AC1192,"&lt;/a&gt;")</f>
        <v>&lt;a href=|http://parallelbible.com/exodus/29.htm| title=|Parallel Chapters| target=|_top|&gt;PAR&lt;/a&gt;</v>
      </c>
      <c r="AD79" s="2" t="str">
        <f t="shared" ref="AD79:AK79" si="314">CONCATENATE("&lt;/li&gt;&lt;li&gt;&lt;a href=|http://",AD1191,"/exodus/29.htm","| ","title=|",AD1190,"| target=|_top|&gt;",AD1192,"&lt;/a&gt;")</f>
        <v>&lt;/li&gt;&lt;li&gt;&lt;a href=|http://gsb.biblecommenter.com/exodus/29.htm| title=|Geneva Study Bible| target=|_top|&gt;GSB&lt;/a&gt;</v>
      </c>
      <c r="AE79" s="2" t="str">
        <f t="shared" si="314"/>
        <v>&lt;/li&gt;&lt;li&gt;&lt;a href=|http://jfb.biblecommenter.com/exodus/29.htm| title=|Jamieson-Fausset-Brown Bible Commentary| target=|_top|&gt;JFB&lt;/a&gt;</v>
      </c>
      <c r="AF79" s="2" t="str">
        <f t="shared" si="314"/>
        <v>&lt;/li&gt;&lt;li&gt;&lt;a href=|http://kjt.biblecommenter.com/exodus/29.htm| title=|King James Translators' Notes| target=|_top|&gt;KJT&lt;/a&gt;</v>
      </c>
      <c r="AG79" s="2" t="str">
        <f t="shared" si="314"/>
        <v>&lt;/li&gt;&lt;li&gt;&lt;a href=|http://mhc.biblecommenter.com/exodus/29.htm| title=|Matthew Henry's Concise Commentary| target=|_top|&gt;MHC&lt;/a&gt;</v>
      </c>
      <c r="AH79" s="2" t="str">
        <f t="shared" si="314"/>
        <v>&lt;/li&gt;&lt;li&gt;&lt;a href=|http://sco.biblecommenter.com/exodus/29.htm| title=|Scofield Reference Notes| target=|_top|&gt;SCO&lt;/a&gt;</v>
      </c>
      <c r="AI79" s="2" t="str">
        <f t="shared" si="314"/>
        <v>&lt;/li&gt;&lt;li&gt;&lt;a href=|http://wes.biblecommenter.com/exodus/29.htm| title=|Wesley's Notes on the Bible| target=|_top|&gt;WES&lt;/a&gt;</v>
      </c>
      <c r="AJ79" t="str">
        <f t="shared" si="314"/>
        <v>&lt;/li&gt;&lt;li&gt;&lt;a href=|http://worldebible.com/exodus/29.htm| title=|World English Bible| target=|_top|&gt;WEB&lt;/a&gt;</v>
      </c>
      <c r="AK79" t="str">
        <f t="shared" si="314"/>
        <v>&lt;/li&gt;&lt;li&gt;&lt;a href=|http://yltbible.com/exodus/29.htm| title=|Young's Literal Translation| target=|_top|&gt;YLT&lt;/a&gt;</v>
      </c>
      <c r="AL79" t="str">
        <f>CONCATENATE("&lt;a href=|http://",AL1191,"/exodus/29.htm","| ","title=|",AL1190,"| target=|_top|&gt;",AL1192,"&lt;/a&gt;")</f>
        <v>&lt;a href=|http://kjv.us/exodus/29.htm| title=|American King James Version| target=|_top|&gt;AKJ&lt;/a&gt;</v>
      </c>
      <c r="AM79" t="str">
        <f t="shared" ref="AM79:AN79" si="315">CONCATENATE("&lt;/li&gt;&lt;li&gt;&lt;a href=|http://",AM1191,"/exodus/29.htm","| ","title=|",AM1190,"| target=|_top|&gt;",AM1192,"&lt;/a&gt;")</f>
        <v>&lt;/li&gt;&lt;li&gt;&lt;a href=|http://basicenglishbible.com/exodus/29.htm| title=|Bible in Basic English| target=|_top|&gt;BBE&lt;/a&gt;</v>
      </c>
      <c r="AN79" t="str">
        <f t="shared" si="315"/>
        <v>&lt;/li&gt;&lt;li&gt;&lt;a href=|http://darbybible.com/exodus/29.htm| title=|Darby Bible Translation| target=|_top|&gt;DBY&lt;/a&gt;</v>
      </c>
      <c r="AO7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9" t="str">
        <f>CONCATENATE("&lt;/li&gt;&lt;li&gt;&lt;a href=|http://",AR1191,"/exodus/29.htm","| ","title=|",AR1190,"| target=|_top|&gt;",AR1192,"&lt;/a&gt;")</f>
        <v>&lt;/li&gt;&lt;li&gt;&lt;a href=|http://websterbible.com/exodus/29.htm| title=|Webster's Bible Translation| target=|_top|&gt;WBS&lt;/a&gt;</v>
      </c>
      <c r="AS7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9" t="str">
        <f>CONCATENATE("&lt;/li&gt;&lt;li&gt;&lt;a href=|http://",AT1191,"/exodus/29-1.htm","| ","title=|",AT1190,"| target=|_top|&gt;",AT1192,"&lt;/a&gt;")</f>
        <v>&lt;/li&gt;&lt;li&gt;&lt;a href=|http://biblebrowser.com/exodus/29-1.htm| title=|Split View| target=|_top|&gt;Split&lt;/a&gt;</v>
      </c>
      <c r="AU79" s="2" t="s">
        <v>1276</v>
      </c>
      <c r="AV79" t="s">
        <v>64</v>
      </c>
    </row>
    <row r="80" spans="1:48">
      <c r="A80" t="s">
        <v>622</v>
      </c>
      <c r="B80" t="s">
        <v>133</v>
      </c>
      <c r="C80" t="s">
        <v>624</v>
      </c>
      <c r="D80" t="s">
        <v>1268</v>
      </c>
      <c r="E80" t="s">
        <v>1277</v>
      </c>
      <c r="F80" t="s">
        <v>1304</v>
      </c>
      <c r="G80" t="s">
        <v>1266</v>
      </c>
      <c r="H80" t="s">
        <v>1305</v>
      </c>
      <c r="I80" t="s">
        <v>1303</v>
      </c>
      <c r="J80" t="s">
        <v>1267</v>
      </c>
      <c r="K80" t="s">
        <v>1275</v>
      </c>
      <c r="L80" s="2" t="s">
        <v>1274</v>
      </c>
      <c r="M80" t="str">
        <f t="shared" ref="M80:AB80" si="316">CONCATENATE("&lt;/li&gt;&lt;li&gt;&lt;a href=|http://",M1191,"/exodus/30.htm","| ","title=|",M1190,"| target=|_top|&gt;",M1192,"&lt;/a&gt;")</f>
        <v>&lt;/li&gt;&lt;li&gt;&lt;a href=|http://niv.scripturetext.com/exodus/30.htm| title=|New International Version| target=|_top|&gt;NIV&lt;/a&gt;</v>
      </c>
      <c r="N80" t="str">
        <f t="shared" si="316"/>
        <v>&lt;/li&gt;&lt;li&gt;&lt;a href=|http://nlt.scripturetext.com/exodus/30.htm| title=|New Living Translation| target=|_top|&gt;NLT&lt;/a&gt;</v>
      </c>
      <c r="O80" t="str">
        <f t="shared" si="316"/>
        <v>&lt;/li&gt;&lt;li&gt;&lt;a href=|http://nasb.scripturetext.com/exodus/30.htm| title=|New American Standard Bible| target=|_top|&gt;NAS&lt;/a&gt;</v>
      </c>
      <c r="P80" t="str">
        <f t="shared" si="316"/>
        <v>&lt;/li&gt;&lt;li&gt;&lt;a href=|http://gwt.scripturetext.com/exodus/30.htm| title=|God's Word Translation| target=|_top|&gt;GWT&lt;/a&gt;</v>
      </c>
      <c r="Q80" t="str">
        <f t="shared" si="316"/>
        <v>&lt;/li&gt;&lt;li&gt;&lt;a href=|http://kingjbible.com/exodus/30.htm| title=|King James Bible| target=|_top|&gt;KJV&lt;/a&gt;</v>
      </c>
      <c r="R80" t="str">
        <f t="shared" si="316"/>
        <v>&lt;/li&gt;&lt;li&gt;&lt;a href=|http://asvbible.com/exodus/30.htm| title=|American Standard Version| target=|_top|&gt;ASV&lt;/a&gt;</v>
      </c>
      <c r="S80" t="str">
        <f t="shared" si="316"/>
        <v>&lt;/li&gt;&lt;li&gt;&lt;a href=|http://drb.scripturetext.com/exodus/30.htm| title=|Douay-Rheims Bible| target=|_top|&gt;DRB&lt;/a&gt;</v>
      </c>
      <c r="T80" t="str">
        <f t="shared" si="316"/>
        <v>&lt;/li&gt;&lt;li&gt;&lt;a href=|http://erv.scripturetext.com/exodus/30.htm| title=|English Revised Version| target=|_top|&gt;ERV&lt;/a&gt;</v>
      </c>
      <c r="V80" t="str">
        <f>CONCATENATE("&lt;/li&gt;&lt;li&gt;&lt;a href=|http://",V1191,"/exodus/30.htm","| ","title=|",V1190,"| target=|_top|&gt;",V1192,"&lt;/a&gt;")</f>
        <v>&lt;/li&gt;&lt;li&gt;&lt;a href=|http://study.interlinearbible.org/exodus/30.htm| title=|Hebrew Study Bible| target=|_top|&gt;Heb Study&lt;/a&gt;</v>
      </c>
      <c r="W80" t="str">
        <f t="shared" si="316"/>
        <v>&lt;/li&gt;&lt;li&gt;&lt;a href=|http://apostolic.interlinearbible.org/exodus/30.htm| title=|Apostolic Bible Polyglot Interlinear| target=|_top|&gt;Polyglot&lt;/a&gt;</v>
      </c>
      <c r="X80" t="str">
        <f t="shared" si="316"/>
        <v>&lt;/li&gt;&lt;li&gt;&lt;a href=|http://interlinearbible.org/exodus/30.htm| title=|Interlinear Bible| target=|_top|&gt;Interlin&lt;/a&gt;</v>
      </c>
      <c r="Y80" t="str">
        <f t="shared" ref="Y80" si="317">CONCATENATE("&lt;/li&gt;&lt;li&gt;&lt;a href=|http://",Y1191,"/exodus/30.htm","| ","title=|",Y1190,"| target=|_top|&gt;",Y1192,"&lt;/a&gt;")</f>
        <v>&lt;/li&gt;&lt;li&gt;&lt;a href=|http://bibleoutline.org/exodus/30.htm| title=|Outline with People and Places List| target=|_top|&gt;Outline&lt;/a&gt;</v>
      </c>
      <c r="Z80" t="str">
        <f t="shared" si="316"/>
        <v>&lt;/li&gt;&lt;li&gt;&lt;a href=|http://kjvs.scripturetext.com/exodus/30.htm| title=|King James Bible with Strong's Numbers| target=|_top|&gt;Strong's&lt;/a&gt;</v>
      </c>
      <c r="AA80" t="str">
        <f t="shared" si="316"/>
        <v>&lt;/li&gt;&lt;li&gt;&lt;a href=|http://childrensbibleonline.com/exodus/30.htm| title=|The Children's Bible| target=|_top|&gt;Children's&lt;/a&gt;</v>
      </c>
      <c r="AB80" s="2" t="str">
        <f t="shared" si="316"/>
        <v>&lt;/li&gt;&lt;li&gt;&lt;a href=|http://tsk.scripturetext.com/exodus/30.htm| title=|Treasury of Scripture Knowledge| target=|_top|&gt;TSK&lt;/a&gt;</v>
      </c>
      <c r="AC80" t="str">
        <f>CONCATENATE("&lt;a href=|http://",AC1191,"/exodus/30.htm","| ","title=|",AC1190,"| target=|_top|&gt;",AC1192,"&lt;/a&gt;")</f>
        <v>&lt;a href=|http://parallelbible.com/exodus/30.htm| title=|Parallel Chapters| target=|_top|&gt;PAR&lt;/a&gt;</v>
      </c>
      <c r="AD80" s="2" t="str">
        <f t="shared" ref="AD80:AK80" si="318">CONCATENATE("&lt;/li&gt;&lt;li&gt;&lt;a href=|http://",AD1191,"/exodus/30.htm","| ","title=|",AD1190,"| target=|_top|&gt;",AD1192,"&lt;/a&gt;")</f>
        <v>&lt;/li&gt;&lt;li&gt;&lt;a href=|http://gsb.biblecommenter.com/exodus/30.htm| title=|Geneva Study Bible| target=|_top|&gt;GSB&lt;/a&gt;</v>
      </c>
      <c r="AE80" s="2" t="str">
        <f t="shared" si="318"/>
        <v>&lt;/li&gt;&lt;li&gt;&lt;a href=|http://jfb.biblecommenter.com/exodus/30.htm| title=|Jamieson-Fausset-Brown Bible Commentary| target=|_top|&gt;JFB&lt;/a&gt;</v>
      </c>
      <c r="AF80" s="2" t="str">
        <f t="shared" si="318"/>
        <v>&lt;/li&gt;&lt;li&gt;&lt;a href=|http://kjt.biblecommenter.com/exodus/30.htm| title=|King James Translators' Notes| target=|_top|&gt;KJT&lt;/a&gt;</v>
      </c>
      <c r="AG80" s="2" t="str">
        <f t="shared" si="318"/>
        <v>&lt;/li&gt;&lt;li&gt;&lt;a href=|http://mhc.biblecommenter.com/exodus/30.htm| title=|Matthew Henry's Concise Commentary| target=|_top|&gt;MHC&lt;/a&gt;</v>
      </c>
      <c r="AH80" s="2" t="str">
        <f t="shared" si="318"/>
        <v>&lt;/li&gt;&lt;li&gt;&lt;a href=|http://sco.biblecommenter.com/exodus/30.htm| title=|Scofield Reference Notes| target=|_top|&gt;SCO&lt;/a&gt;</v>
      </c>
      <c r="AI80" s="2" t="str">
        <f t="shared" si="318"/>
        <v>&lt;/li&gt;&lt;li&gt;&lt;a href=|http://wes.biblecommenter.com/exodus/30.htm| title=|Wesley's Notes on the Bible| target=|_top|&gt;WES&lt;/a&gt;</v>
      </c>
      <c r="AJ80" t="str">
        <f t="shared" si="318"/>
        <v>&lt;/li&gt;&lt;li&gt;&lt;a href=|http://worldebible.com/exodus/30.htm| title=|World English Bible| target=|_top|&gt;WEB&lt;/a&gt;</v>
      </c>
      <c r="AK80" t="str">
        <f t="shared" si="318"/>
        <v>&lt;/li&gt;&lt;li&gt;&lt;a href=|http://yltbible.com/exodus/30.htm| title=|Young's Literal Translation| target=|_top|&gt;YLT&lt;/a&gt;</v>
      </c>
      <c r="AL80" t="str">
        <f>CONCATENATE("&lt;a href=|http://",AL1191,"/exodus/30.htm","| ","title=|",AL1190,"| target=|_top|&gt;",AL1192,"&lt;/a&gt;")</f>
        <v>&lt;a href=|http://kjv.us/exodus/30.htm| title=|American King James Version| target=|_top|&gt;AKJ&lt;/a&gt;</v>
      </c>
      <c r="AM80" t="str">
        <f t="shared" ref="AM80:AN80" si="319">CONCATENATE("&lt;/li&gt;&lt;li&gt;&lt;a href=|http://",AM1191,"/exodus/30.htm","| ","title=|",AM1190,"| target=|_top|&gt;",AM1192,"&lt;/a&gt;")</f>
        <v>&lt;/li&gt;&lt;li&gt;&lt;a href=|http://basicenglishbible.com/exodus/30.htm| title=|Bible in Basic English| target=|_top|&gt;BBE&lt;/a&gt;</v>
      </c>
      <c r="AN80" t="str">
        <f t="shared" si="319"/>
        <v>&lt;/li&gt;&lt;li&gt;&lt;a href=|http://darbybible.com/exodus/30.htm| title=|Darby Bible Translation| target=|_top|&gt;DBY&lt;/a&gt;</v>
      </c>
      <c r="AO8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0" t="str">
        <f>CONCATENATE("&lt;/li&gt;&lt;li&gt;&lt;a href=|http://",AR1191,"/exodus/30.htm","| ","title=|",AR1190,"| target=|_top|&gt;",AR1192,"&lt;/a&gt;")</f>
        <v>&lt;/li&gt;&lt;li&gt;&lt;a href=|http://websterbible.com/exodus/30.htm| title=|Webster's Bible Translation| target=|_top|&gt;WBS&lt;/a&gt;</v>
      </c>
      <c r="AS8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0" t="str">
        <f>CONCATENATE("&lt;/li&gt;&lt;li&gt;&lt;a href=|http://",AT1191,"/exodus/30-1.htm","| ","title=|",AT1190,"| target=|_top|&gt;",AT1192,"&lt;/a&gt;")</f>
        <v>&lt;/li&gt;&lt;li&gt;&lt;a href=|http://biblebrowser.com/exodus/30-1.htm| title=|Split View| target=|_top|&gt;Split&lt;/a&gt;</v>
      </c>
      <c r="AU80" s="2" t="s">
        <v>1276</v>
      </c>
      <c r="AV80" t="s">
        <v>64</v>
      </c>
    </row>
    <row r="81" spans="1:48">
      <c r="A81" t="s">
        <v>622</v>
      </c>
      <c r="B81" t="s">
        <v>134</v>
      </c>
      <c r="C81" t="s">
        <v>624</v>
      </c>
      <c r="D81" t="s">
        <v>1268</v>
      </c>
      <c r="E81" t="s">
        <v>1277</v>
      </c>
      <c r="F81" t="s">
        <v>1304</v>
      </c>
      <c r="G81" t="s">
        <v>1266</v>
      </c>
      <c r="H81" t="s">
        <v>1305</v>
      </c>
      <c r="I81" t="s">
        <v>1303</v>
      </c>
      <c r="J81" t="s">
        <v>1267</v>
      </c>
      <c r="K81" t="s">
        <v>1275</v>
      </c>
      <c r="L81" s="2" t="s">
        <v>1274</v>
      </c>
      <c r="M81" t="str">
        <f t="shared" ref="M81:AB81" si="320">CONCATENATE("&lt;/li&gt;&lt;li&gt;&lt;a href=|http://",M1191,"/exodus/31.htm","| ","title=|",M1190,"| target=|_top|&gt;",M1192,"&lt;/a&gt;")</f>
        <v>&lt;/li&gt;&lt;li&gt;&lt;a href=|http://niv.scripturetext.com/exodus/31.htm| title=|New International Version| target=|_top|&gt;NIV&lt;/a&gt;</v>
      </c>
      <c r="N81" t="str">
        <f t="shared" si="320"/>
        <v>&lt;/li&gt;&lt;li&gt;&lt;a href=|http://nlt.scripturetext.com/exodus/31.htm| title=|New Living Translation| target=|_top|&gt;NLT&lt;/a&gt;</v>
      </c>
      <c r="O81" t="str">
        <f t="shared" si="320"/>
        <v>&lt;/li&gt;&lt;li&gt;&lt;a href=|http://nasb.scripturetext.com/exodus/31.htm| title=|New American Standard Bible| target=|_top|&gt;NAS&lt;/a&gt;</v>
      </c>
      <c r="P81" t="str">
        <f t="shared" si="320"/>
        <v>&lt;/li&gt;&lt;li&gt;&lt;a href=|http://gwt.scripturetext.com/exodus/31.htm| title=|God's Word Translation| target=|_top|&gt;GWT&lt;/a&gt;</v>
      </c>
      <c r="Q81" t="str">
        <f t="shared" si="320"/>
        <v>&lt;/li&gt;&lt;li&gt;&lt;a href=|http://kingjbible.com/exodus/31.htm| title=|King James Bible| target=|_top|&gt;KJV&lt;/a&gt;</v>
      </c>
      <c r="R81" t="str">
        <f t="shared" si="320"/>
        <v>&lt;/li&gt;&lt;li&gt;&lt;a href=|http://asvbible.com/exodus/31.htm| title=|American Standard Version| target=|_top|&gt;ASV&lt;/a&gt;</v>
      </c>
      <c r="S81" t="str">
        <f t="shared" si="320"/>
        <v>&lt;/li&gt;&lt;li&gt;&lt;a href=|http://drb.scripturetext.com/exodus/31.htm| title=|Douay-Rheims Bible| target=|_top|&gt;DRB&lt;/a&gt;</v>
      </c>
      <c r="T81" t="str">
        <f t="shared" si="320"/>
        <v>&lt;/li&gt;&lt;li&gt;&lt;a href=|http://erv.scripturetext.com/exodus/31.htm| title=|English Revised Version| target=|_top|&gt;ERV&lt;/a&gt;</v>
      </c>
      <c r="V81" t="str">
        <f>CONCATENATE("&lt;/li&gt;&lt;li&gt;&lt;a href=|http://",V1191,"/exodus/31.htm","| ","title=|",V1190,"| target=|_top|&gt;",V1192,"&lt;/a&gt;")</f>
        <v>&lt;/li&gt;&lt;li&gt;&lt;a href=|http://study.interlinearbible.org/exodus/31.htm| title=|Hebrew Study Bible| target=|_top|&gt;Heb Study&lt;/a&gt;</v>
      </c>
      <c r="W81" t="str">
        <f t="shared" si="320"/>
        <v>&lt;/li&gt;&lt;li&gt;&lt;a href=|http://apostolic.interlinearbible.org/exodus/31.htm| title=|Apostolic Bible Polyglot Interlinear| target=|_top|&gt;Polyglot&lt;/a&gt;</v>
      </c>
      <c r="X81" t="str">
        <f t="shared" si="320"/>
        <v>&lt;/li&gt;&lt;li&gt;&lt;a href=|http://interlinearbible.org/exodus/31.htm| title=|Interlinear Bible| target=|_top|&gt;Interlin&lt;/a&gt;</v>
      </c>
      <c r="Y81" t="str">
        <f t="shared" ref="Y81" si="321">CONCATENATE("&lt;/li&gt;&lt;li&gt;&lt;a href=|http://",Y1191,"/exodus/31.htm","| ","title=|",Y1190,"| target=|_top|&gt;",Y1192,"&lt;/a&gt;")</f>
        <v>&lt;/li&gt;&lt;li&gt;&lt;a href=|http://bibleoutline.org/exodus/31.htm| title=|Outline with People and Places List| target=|_top|&gt;Outline&lt;/a&gt;</v>
      </c>
      <c r="Z81" t="str">
        <f t="shared" si="320"/>
        <v>&lt;/li&gt;&lt;li&gt;&lt;a href=|http://kjvs.scripturetext.com/exodus/31.htm| title=|King James Bible with Strong's Numbers| target=|_top|&gt;Strong's&lt;/a&gt;</v>
      </c>
      <c r="AA81" t="str">
        <f t="shared" si="320"/>
        <v>&lt;/li&gt;&lt;li&gt;&lt;a href=|http://childrensbibleonline.com/exodus/31.htm| title=|The Children's Bible| target=|_top|&gt;Children's&lt;/a&gt;</v>
      </c>
      <c r="AB81" s="2" t="str">
        <f t="shared" si="320"/>
        <v>&lt;/li&gt;&lt;li&gt;&lt;a href=|http://tsk.scripturetext.com/exodus/31.htm| title=|Treasury of Scripture Knowledge| target=|_top|&gt;TSK&lt;/a&gt;</v>
      </c>
      <c r="AC81" t="str">
        <f>CONCATENATE("&lt;a href=|http://",AC1191,"/exodus/31.htm","| ","title=|",AC1190,"| target=|_top|&gt;",AC1192,"&lt;/a&gt;")</f>
        <v>&lt;a href=|http://parallelbible.com/exodus/31.htm| title=|Parallel Chapters| target=|_top|&gt;PAR&lt;/a&gt;</v>
      </c>
      <c r="AD81" s="2" t="str">
        <f t="shared" ref="AD81:AK81" si="322">CONCATENATE("&lt;/li&gt;&lt;li&gt;&lt;a href=|http://",AD1191,"/exodus/31.htm","| ","title=|",AD1190,"| target=|_top|&gt;",AD1192,"&lt;/a&gt;")</f>
        <v>&lt;/li&gt;&lt;li&gt;&lt;a href=|http://gsb.biblecommenter.com/exodus/31.htm| title=|Geneva Study Bible| target=|_top|&gt;GSB&lt;/a&gt;</v>
      </c>
      <c r="AE81" s="2" t="str">
        <f t="shared" si="322"/>
        <v>&lt;/li&gt;&lt;li&gt;&lt;a href=|http://jfb.biblecommenter.com/exodus/31.htm| title=|Jamieson-Fausset-Brown Bible Commentary| target=|_top|&gt;JFB&lt;/a&gt;</v>
      </c>
      <c r="AF81" s="2" t="str">
        <f t="shared" si="322"/>
        <v>&lt;/li&gt;&lt;li&gt;&lt;a href=|http://kjt.biblecommenter.com/exodus/31.htm| title=|King James Translators' Notes| target=|_top|&gt;KJT&lt;/a&gt;</v>
      </c>
      <c r="AG81" s="2" t="str">
        <f t="shared" si="322"/>
        <v>&lt;/li&gt;&lt;li&gt;&lt;a href=|http://mhc.biblecommenter.com/exodus/31.htm| title=|Matthew Henry's Concise Commentary| target=|_top|&gt;MHC&lt;/a&gt;</v>
      </c>
      <c r="AH81" s="2" t="str">
        <f t="shared" si="322"/>
        <v>&lt;/li&gt;&lt;li&gt;&lt;a href=|http://sco.biblecommenter.com/exodus/31.htm| title=|Scofield Reference Notes| target=|_top|&gt;SCO&lt;/a&gt;</v>
      </c>
      <c r="AI81" s="2" t="str">
        <f t="shared" si="322"/>
        <v>&lt;/li&gt;&lt;li&gt;&lt;a href=|http://wes.biblecommenter.com/exodus/31.htm| title=|Wesley's Notes on the Bible| target=|_top|&gt;WES&lt;/a&gt;</v>
      </c>
      <c r="AJ81" t="str">
        <f t="shared" si="322"/>
        <v>&lt;/li&gt;&lt;li&gt;&lt;a href=|http://worldebible.com/exodus/31.htm| title=|World English Bible| target=|_top|&gt;WEB&lt;/a&gt;</v>
      </c>
      <c r="AK81" t="str">
        <f t="shared" si="322"/>
        <v>&lt;/li&gt;&lt;li&gt;&lt;a href=|http://yltbible.com/exodus/31.htm| title=|Young's Literal Translation| target=|_top|&gt;YLT&lt;/a&gt;</v>
      </c>
      <c r="AL81" t="str">
        <f>CONCATENATE("&lt;a href=|http://",AL1191,"/exodus/31.htm","| ","title=|",AL1190,"| target=|_top|&gt;",AL1192,"&lt;/a&gt;")</f>
        <v>&lt;a href=|http://kjv.us/exodus/31.htm| title=|American King James Version| target=|_top|&gt;AKJ&lt;/a&gt;</v>
      </c>
      <c r="AM81" t="str">
        <f t="shared" ref="AM81:AN81" si="323">CONCATENATE("&lt;/li&gt;&lt;li&gt;&lt;a href=|http://",AM1191,"/exodus/31.htm","| ","title=|",AM1190,"| target=|_top|&gt;",AM1192,"&lt;/a&gt;")</f>
        <v>&lt;/li&gt;&lt;li&gt;&lt;a href=|http://basicenglishbible.com/exodus/31.htm| title=|Bible in Basic English| target=|_top|&gt;BBE&lt;/a&gt;</v>
      </c>
      <c r="AN81" t="str">
        <f t="shared" si="323"/>
        <v>&lt;/li&gt;&lt;li&gt;&lt;a href=|http://darbybible.com/exodus/31.htm| title=|Darby Bible Translation| target=|_top|&gt;DBY&lt;/a&gt;</v>
      </c>
      <c r="AO8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1" t="str">
        <f>CONCATENATE("&lt;/li&gt;&lt;li&gt;&lt;a href=|http://",AR1191,"/exodus/31.htm","| ","title=|",AR1190,"| target=|_top|&gt;",AR1192,"&lt;/a&gt;")</f>
        <v>&lt;/li&gt;&lt;li&gt;&lt;a href=|http://websterbible.com/exodus/31.htm| title=|Webster's Bible Translation| target=|_top|&gt;WBS&lt;/a&gt;</v>
      </c>
      <c r="AS8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1" t="str">
        <f>CONCATENATE("&lt;/li&gt;&lt;li&gt;&lt;a href=|http://",AT1191,"/exodus/31-1.htm","| ","title=|",AT1190,"| target=|_top|&gt;",AT1192,"&lt;/a&gt;")</f>
        <v>&lt;/li&gt;&lt;li&gt;&lt;a href=|http://biblebrowser.com/exodus/31-1.htm| title=|Split View| target=|_top|&gt;Split&lt;/a&gt;</v>
      </c>
      <c r="AU81" s="2" t="s">
        <v>1276</v>
      </c>
      <c r="AV81" t="s">
        <v>64</v>
      </c>
    </row>
    <row r="82" spans="1:48">
      <c r="A82" t="s">
        <v>622</v>
      </c>
      <c r="B82" t="s">
        <v>135</v>
      </c>
      <c r="C82" t="s">
        <v>624</v>
      </c>
      <c r="D82" t="s">
        <v>1268</v>
      </c>
      <c r="E82" t="s">
        <v>1277</v>
      </c>
      <c r="F82" t="s">
        <v>1304</v>
      </c>
      <c r="G82" t="s">
        <v>1266</v>
      </c>
      <c r="H82" t="s">
        <v>1305</v>
      </c>
      <c r="I82" t="s">
        <v>1303</v>
      </c>
      <c r="J82" t="s">
        <v>1267</v>
      </c>
      <c r="K82" t="s">
        <v>1275</v>
      </c>
      <c r="L82" s="2" t="s">
        <v>1274</v>
      </c>
      <c r="M82" t="str">
        <f t="shared" ref="M82:AB82" si="324">CONCATENATE("&lt;/li&gt;&lt;li&gt;&lt;a href=|http://",M1191,"/exodus/32.htm","| ","title=|",M1190,"| target=|_top|&gt;",M1192,"&lt;/a&gt;")</f>
        <v>&lt;/li&gt;&lt;li&gt;&lt;a href=|http://niv.scripturetext.com/exodus/32.htm| title=|New International Version| target=|_top|&gt;NIV&lt;/a&gt;</v>
      </c>
      <c r="N82" t="str">
        <f t="shared" si="324"/>
        <v>&lt;/li&gt;&lt;li&gt;&lt;a href=|http://nlt.scripturetext.com/exodus/32.htm| title=|New Living Translation| target=|_top|&gt;NLT&lt;/a&gt;</v>
      </c>
      <c r="O82" t="str">
        <f t="shared" si="324"/>
        <v>&lt;/li&gt;&lt;li&gt;&lt;a href=|http://nasb.scripturetext.com/exodus/32.htm| title=|New American Standard Bible| target=|_top|&gt;NAS&lt;/a&gt;</v>
      </c>
      <c r="P82" t="str">
        <f t="shared" si="324"/>
        <v>&lt;/li&gt;&lt;li&gt;&lt;a href=|http://gwt.scripturetext.com/exodus/32.htm| title=|God's Word Translation| target=|_top|&gt;GWT&lt;/a&gt;</v>
      </c>
      <c r="Q82" t="str">
        <f t="shared" si="324"/>
        <v>&lt;/li&gt;&lt;li&gt;&lt;a href=|http://kingjbible.com/exodus/32.htm| title=|King James Bible| target=|_top|&gt;KJV&lt;/a&gt;</v>
      </c>
      <c r="R82" t="str">
        <f t="shared" si="324"/>
        <v>&lt;/li&gt;&lt;li&gt;&lt;a href=|http://asvbible.com/exodus/32.htm| title=|American Standard Version| target=|_top|&gt;ASV&lt;/a&gt;</v>
      </c>
      <c r="S82" t="str">
        <f t="shared" si="324"/>
        <v>&lt;/li&gt;&lt;li&gt;&lt;a href=|http://drb.scripturetext.com/exodus/32.htm| title=|Douay-Rheims Bible| target=|_top|&gt;DRB&lt;/a&gt;</v>
      </c>
      <c r="T82" t="str">
        <f t="shared" si="324"/>
        <v>&lt;/li&gt;&lt;li&gt;&lt;a href=|http://erv.scripturetext.com/exodus/32.htm| title=|English Revised Version| target=|_top|&gt;ERV&lt;/a&gt;</v>
      </c>
      <c r="V82" t="str">
        <f>CONCATENATE("&lt;/li&gt;&lt;li&gt;&lt;a href=|http://",V1191,"/exodus/32.htm","| ","title=|",V1190,"| target=|_top|&gt;",V1192,"&lt;/a&gt;")</f>
        <v>&lt;/li&gt;&lt;li&gt;&lt;a href=|http://study.interlinearbible.org/exodus/32.htm| title=|Hebrew Study Bible| target=|_top|&gt;Heb Study&lt;/a&gt;</v>
      </c>
      <c r="W82" t="str">
        <f t="shared" si="324"/>
        <v>&lt;/li&gt;&lt;li&gt;&lt;a href=|http://apostolic.interlinearbible.org/exodus/32.htm| title=|Apostolic Bible Polyglot Interlinear| target=|_top|&gt;Polyglot&lt;/a&gt;</v>
      </c>
      <c r="X82" t="str">
        <f t="shared" si="324"/>
        <v>&lt;/li&gt;&lt;li&gt;&lt;a href=|http://interlinearbible.org/exodus/32.htm| title=|Interlinear Bible| target=|_top|&gt;Interlin&lt;/a&gt;</v>
      </c>
      <c r="Y82" t="str">
        <f t="shared" ref="Y82" si="325">CONCATENATE("&lt;/li&gt;&lt;li&gt;&lt;a href=|http://",Y1191,"/exodus/32.htm","| ","title=|",Y1190,"| target=|_top|&gt;",Y1192,"&lt;/a&gt;")</f>
        <v>&lt;/li&gt;&lt;li&gt;&lt;a href=|http://bibleoutline.org/exodus/32.htm| title=|Outline with People and Places List| target=|_top|&gt;Outline&lt;/a&gt;</v>
      </c>
      <c r="Z82" t="str">
        <f t="shared" si="324"/>
        <v>&lt;/li&gt;&lt;li&gt;&lt;a href=|http://kjvs.scripturetext.com/exodus/32.htm| title=|King James Bible with Strong's Numbers| target=|_top|&gt;Strong's&lt;/a&gt;</v>
      </c>
      <c r="AA82" t="str">
        <f t="shared" si="324"/>
        <v>&lt;/li&gt;&lt;li&gt;&lt;a href=|http://childrensbibleonline.com/exodus/32.htm| title=|The Children's Bible| target=|_top|&gt;Children's&lt;/a&gt;</v>
      </c>
      <c r="AB82" s="2" t="str">
        <f t="shared" si="324"/>
        <v>&lt;/li&gt;&lt;li&gt;&lt;a href=|http://tsk.scripturetext.com/exodus/32.htm| title=|Treasury of Scripture Knowledge| target=|_top|&gt;TSK&lt;/a&gt;</v>
      </c>
      <c r="AC82" t="str">
        <f>CONCATENATE("&lt;a href=|http://",AC1191,"/exodus/32.htm","| ","title=|",AC1190,"| target=|_top|&gt;",AC1192,"&lt;/a&gt;")</f>
        <v>&lt;a href=|http://parallelbible.com/exodus/32.htm| title=|Parallel Chapters| target=|_top|&gt;PAR&lt;/a&gt;</v>
      </c>
      <c r="AD82" s="2" t="str">
        <f t="shared" ref="AD82:AK82" si="326">CONCATENATE("&lt;/li&gt;&lt;li&gt;&lt;a href=|http://",AD1191,"/exodus/32.htm","| ","title=|",AD1190,"| target=|_top|&gt;",AD1192,"&lt;/a&gt;")</f>
        <v>&lt;/li&gt;&lt;li&gt;&lt;a href=|http://gsb.biblecommenter.com/exodus/32.htm| title=|Geneva Study Bible| target=|_top|&gt;GSB&lt;/a&gt;</v>
      </c>
      <c r="AE82" s="2" t="str">
        <f t="shared" si="326"/>
        <v>&lt;/li&gt;&lt;li&gt;&lt;a href=|http://jfb.biblecommenter.com/exodus/32.htm| title=|Jamieson-Fausset-Brown Bible Commentary| target=|_top|&gt;JFB&lt;/a&gt;</v>
      </c>
      <c r="AF82" s="2" t="str">
        <f t="shared" si="326"/>
        <v>&lt;/li&gt;&lt;li&gt;&lt;a href=|http://kjt.biblecommenter.com/exodus/32.htm| title=|King James Translators' Notes| target=|_top|&gt;KJT&lt;/a&gt;</v>
      </c>
      <c r="AG82" s="2" t="str">
        <f t="shared" si="326"/>
        <v>&lt;/li&gt;&lt;li&gt;&lt;a href=|http://mhc.biblecommenter.com/exodus/32.htm| title=|Matthew Henry's Concise Commentary| target=|_top|&gt;MHC&lt;/a&gt;</v>
      </c>
      <c r="AH82" s="2" t="str">
        <f t="shared" si="326"/>
        <v>&lt;/li&gt;&lt;li&gt;&lt;a href=|http://sco.biblecommenter.com/exodus/32.htm| title=|Scofield Reference Notes| target=|_top|&gt;SCO&lt;/a&gt;</v>
      </c>
      <c r="AI82" s="2" t="str">
        <f t="shared" si="326"/>
        <v>&lt;/li&gt;&lt;li&gt;&lt;a href=|http://wes.biblecommenter.com/exodus/32.htm| title=|Wesley's Notes on the Bible| target=|_top|&gt;WES&lt;/a&gt;</v>
      </c>
      <c r="AJ82" t="str">
        <f t="shared" si="326"/>
        <v>&lt;/li&gt;&lt;li&gt;&lt;a href=|http://worldebible.com/exodus/32.htm| title=|World English Bible| target=|_top|&gt;WEB&lt;/a&gt;</v>
      </c>
      <c r="AK82" t="str">
        <f t="shared" si="326"/>
        <v>&lt;/li&gt;&lt;li&gt;&lt;a href=|http://yltbible.com/exodus/32.htm| title=|Young's Literal Translation| target=|_top|&gt;YLT&lt;/a&gt;</v>
      </c>
      <c r="AL82" t="str">
        <f>CONCATENATE("&lt;a href=|http://",AL1191,"/exodus/32.htm","| ","title=|",AL1190,"| target=|_top|&gt;",AL1192,"&lt;/a&gt;")</f>
        <v>&lt;a href=|http://kjv.us/exodus/32.htm| title=|American King James Version| target=|_top|&gt;AKJ&lt;/a&gt;</v>
      </c>
      <c r="AM82" t="str">
        <f t="shared" ref="AM82:AN82" si="327">CONCATENATE("&lt;/li&gt;&lt;li&gt;&lt;a href=|http://",AM1191,"/exodus/32.htm","| ","title=|",AM1190,"| target=|_top|&gt;",AM1192,"&lt;/a&gt;")</f>
        <v>&lt;/li&gt;&lt;li&gt;&lt;a href=|http://basicenglishbible.com/exodus/32.htm| title=|Bible in Basic English| target=|_top|&gt;BBE&lt;/a&gt;</v>
      </c>
      <c r="AN82" t="str">
        <f t="shared" si="327"/>
        <v>&lt;/li&gt;&lt;li&gt;&lt;a href=|http://darbybible.com/exodus/32.htm| title=|Darby Bible Translation| target=|_top|&gt;DBY&lt;/a&gt;</v>
      </c>
      <c r="AO8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2" t="str">
        <f>CONCATENATE("&lt;/li&gt;&lt;li&gt;&lt;a href=|http://",AR1191,"/exodus/32.htm","| ","title=|",AR1190,"| target=|_top|&gt;",AR1192,"&lt;/a&gt;")</f>
        <v>&lt;/li&gt;&lt;li&gt;&lt;a href=|http://websterbible.com/exodus/32.htm| title=|Webster's Bible Translation| target=|_top|&gt;WBS&lt;/a&gt;</v>
      </c>
      <c r="AS8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2" t="str">
        <f>CONCATENATE("&lt;/li&gt;&lt;li&gt;&lt;a href=|http://",AT1191,"/exodus/32-1.htm","| ","title=|",AT1190,"| target=|_top|&gt;",AT1192,"&lt;/a&gt;")</f>
        <v>&lt;/li&gt;&lt;li&gt;&lt;a href=|http://biblebrowser.com/exodus/32-1.htm| title=|Split View| target=|_top|&gt;Split&lt;/a&gt;</v>
      </c>
      <c r="AU82" s="2" t="s">
        <v>1276</v>
      </c>
      <c r="AV82" t="s">
        <v>64</v>
      </c>
    </row>
    <row r="83" spans="1:48">
      <c r="A83" t="s">
        <v>622</v>
      </c>
      <c r="B83" t="s">
        <v>136</v>
      </c>
      <c r="C83" t="s">
        <v>624</v>
      </c>
      <c r="D83" t="s">
        <v>1268</v>
      </c>
      <c r="E83" t="s">
        <v>1277</v>
      </c>
      <c r="F83" t="s">
        <v>1304</v>
      </c>
      <c r="G83" t="s">
        <v>1266</v>
      </c>
      <c r="H83" t="s">
        <v>1305</v>
      </c>
      <c r="I83" t="s">
        <v>1303</v>
      </c>
      <c r="J83" t="s">
        <v>1267</v>
      </c>
      <c r="K83" t="s">
        <v>1275</v>
      </c>
      <c r="L83" s="2" t="s">
        <v>1274</v>
      </c>
      <c r="M83" t="str">
        <f t="shared" ref="M83:AB83" si="328">CONCATENATE("&lt;/li&gt;&lt;li&gt;&lt;a href=|http://",M1191,"/exodus/33.htm","| ","title=|",M1190,"| target=|_top|&gt;",M1192,"&lt;/a&gt;")</f>
        <v>&lt;/li&gt;&lt;li&gt;&lt;a href=|http://niv.scripturetext.com/exodus/33.htm| title=|New International Version| target=|_top|&gt;NIV&lt;/a&gt;</v>
      </c>
      <c r="N83" t="str">
        <f t="shared" si="328"/>
        <v>&lt;/li&gt;&lt;li&gt;&lt;a href=|http://nlt.scripturetext.com/exodus/33.htm| title=|New Living Translation| target=|_top|&gt;NLT&lt;/a&gt;</v>
      </c>
      <c r="O83" t="str">
        <f t="shared" si="328"/>
        <v>&lt;/li&gt;&lt;li&gt;&lt;a href=|http://nasb.scripturetext.com/exodus/33.htm| title=|New American Standard Bible| target=|_top|&gt;NAS&lt;/a&gt;</v>
      </c>
      <c r="P83" t="str">
        <f t="shared" si="328"/>
        <v>&lt;/li&gt;&lt;li&gt;&lt;a href=|http://gwt.scripturetext.com/exodus/33.htm| title=|God's Word Translation| target=|_top|&gt;GWT&lt;/a&gt;</v>
      </c>
      <c r="Q83" t="str">
        <f t="shared" si="328"/>
        <v>&lt;/li&gt;&lt;li&gt;&lt;a href=|http://kingjbible.com/exodus/33.htm| title=|King James Bible| target=|_top|&gt;KJV&lt;/a&gt;</v>
      </c>
      <c r="R83" t="str">
        <f t="shared" si="328"/>
        <v>&lt;/li&gt;&lt;li&gt;&lt;a href=|http://asvbible.com/exodus/33.htm| title=|American Standard Version| target=|_top|&gt;ASV&lt;/a&gt;</v>
      </c>
      <c r="S83" t="str">
        <f t="shared" si="328"/>
        <v>&lt;/li&gt;&lt;li&gt;&lt;a href=|http://drb.scripturetext.com/exodus/33.htm| title=|Douay-Rheims Bible| target=|_top|&gt;DRB&lt;/a&gt;</v>
      </c>
      <c r="T83" t="str">
        <f t="shared" si="328"/>
        <v>&lt;/li&gt;&lt;li&gt;&lt;a href=|http://erv.scripturetext.com/exodus/33.htm| title=|English Revised Version| target=|_top|&gt;ERV&lt;/a&gt;</v>
      </c>
      <c r="V83" t="str">
        <f>CONCATENATE("&lt;/li&gt;&lt;li&gt;&lt;a href=|http://",V1191,"/exodus/33.htm","| ","title=|",V1190,"| target=|_top|&gt;",V1192,"&lt;/a&gt;")</f>
        <v>&lt;/li&gt;&lt;li&gt;&lt;a href=|http://study.interlinearbible.org/exodus/33.htm| title=|Hebrew Study Bible| target=|_top|&gt;Heb Study&lt;/a&gt;</v>
      </c>
      <c r="W83" t="str">
        <f t="shared" si="328"/>
        <v>&lt;/li&gt;&lt;li&gt;&lt;a href=|http://apostolic.interlinearbible.org/exodus/33.htm| title=|Apostolic Bible Polyglot Interlinear| target=|_top|&gt;Polyglot&lt;/a&gt;</v>
      </c>
      <c r="X83" t="str">
        <f t="shared" si="328"/>
        <v>&lt;/li&gt;&lt;li&gt;&lt;a href=|http://interlinearbible.org/exodus/33.htm| title=|Interlinear Bible| target=|_top|&gt;Interlin&lt;/a&gt;</v>
      </c>
      <c r="Y83" t="str">
        <f t="shared" ref="Y83" si="329">CONCATENATE("&lt;/li&gt;&lt;li&gt;&lt;a href=|http://",Y1191,"/exodus/33.htm","| ","title=|",Y1190,"| target=|_top|&gt;",Y1192,"&lt;/a&gt;")</f>
        <v>&lt;/li&gt;&lt;li&gt;&lt;a href=|http://bibleoutline.org/exodus/33.htm| title=|Outline with People and Places List| target=|_top|&gt;Outline&lt;/a&gt;</v>
      </c>
      <c r="Z83" t="str">
        <f t="shared" si="328"/>
        <v>&lt;/li&gt;&lt;li&gt;&lt;a href=|http://kjvs.scripturetext.com/exodus/33.htm| title=|King James Bible with Strong's Numbers| target=|_top|&gt;Strong's&lt;/a&gt;</v>
      </c>
      <c r="AA83" t="str">
        <f t="shared" si="328"/>
        <v>&lt;/li&gt;&lt;li&gt;&lt;a href=|http://childrensbibleonline.com/exodus/33.htm| title=|The Children's Bible| target=|_top|&gt;Children's&lt;/a&gt;</v>
      </c>
      <c r="AB83" s="2" t="str">
        <f t="shared" si="328"/>
        <v>&lt;/li&gt;&lt;li&gt;&lt;a href=|http://tsk.scripturetext.com/exodus/33.htm| title=|Treasury of Scripture Knowledge| target=|_top|&gt;TSK&lt;/a&gt;</v>
      </c>
      <c r="AC83" t="str">
        <f>CONCATENATE("&lt;a href=|http://",AC1191,"/exodus/33.htm","| ","title=|",AC1190,"| target=|_top|&gt;",AC1192,"&lt;/a&gt;")</f>
        <v>&lt;a href=|http://parallelbible.com/exodus/33.htm| title=|Parallel Chapters| target=|_top|&gt;PAR&lt;/a&gt;</v>
      </c>
      <c r="AD83" s="2" t="str">
        <f t="shared" ref="AD83:AK83" si="330">CONCATENATE("&lt;/li&gt;&lt;li&gt;&lt;a href=|http://",AD1191,"/exodus/33.htm","| ","title=|",AD1190,"| target=|_top|&gt;",AD1192,"&lt;/a&gt;")</f>
        <v>&lt;/li&gt;&lt;li&gt;&lt;a href=|http://gsb.biblecommenter.com/exodus/33.htm| title=|Geneva Study Bible| target=|_top|&gt;GSB&lt;/a&gt;</v>
      </c>
      <c r="AE83" s="2" t="str">
        <f t="shared" si="330"/>
        <v>&lt;/li&gt;&lt;li&gt;&lt;a href=|http://jfb.biblecommenter.com/exodus/33.htm| title=|Jamieson-Fausset-Brown Bible Commentary| target=|_top|&gt;JFB&lt;/a&gt;</v>
      </c>
      <c r="AF83" s="2" t="str">
        <f t="shared" si="330"/>
        <v>&lt;/li&gt;&lt;li&gt;&lt;a href=|http://kjt.biblecommenter.com/exodus/33.htm| title=|King James Translators' Notes| target=|_top|&gt;KJT&lt;/a&gt;</v>
      </c>
      <c r="AG83" s="2" t="str">
        <f t="shared" si="330"/>
        <v>&lt;/li&gt;&lt;li&gt;&lt;a href=|http://mhc.biblecommenter.com/exodus/33.htm| title=|Matthew Henry's Concise Commentary| target=|_top|&gt;MHC&lt;/a&gt;</v>
      </c>
      <c r="AH83" s="2" t="str">
        <f t="shared" si="330"/>
        <v>&lt;/li&gt;&lt;li&gt;&lt;a href=|http://sco.biblecommenter.com/exodus/33.htm| title=|Scofield Reference Notes| target=|_top|&gt;SCO&lt;/a&gt;</v>
      </c>
      <c r="AI83" s="2" t="str">
        <f t="shared" si="330"/>
        <v>&lt;/li&gt;&lt;li&gt;&lt;a href=|http://wes.biblecommenter.com/exodus/33.htm| title=|Wesley's Notes on the Bible| target=|_top|&gt;WES&lt;/a&gt;</v>
      </c>
      <c r="AJ83" t="str">
        <f t="shared" si="330"/>
        <v>&lt;/li&gt;&lt;li&gt;&lt;a href=|http://worldebible.com/exodus/33.htm| title=|World English Bible| target=|_top|&gt;WEB&lt;/a&gt;</v>
      </c>
      <c r="AK83" t="str">
        <f t="shared" si="330"/>
        <v>&lt;/li&gt;&lt;li&gt;&lt;a href=|http://yltbible.com/exodus/33.htm| title=|Young's Literal Translation| target=|_top|&gt;YLT&lt;/a&gt;</v>
      </c>
      <c r="AL83" t="str">
        <f>CONCATENATE("&lt;a href=|http://",AL1191,"/exodus/33.htm","| ","title=|",AL1190,"| target=|_top|&gt;",AL1192,"&lt;/a&gt;")</f>
        <v>&lt;a href=|http://kjv.us/exodus/33.htm| title=|American King James Version| target=|_top|&gt;AKJ&lt;/a&gt;</v>
      </c>
      <c r="AM83" t="str">
        <f t="shared" ref="AM83:AN83" si="331">CONCATENATE("&lt;/li&gt;&lt;li&gt;&lt;a href=|http://",AM1191,"/exodus/33.htm","| ","title=|",AM1190,"| target=|_top|&gt;",AM1192,"&lt;/a&gt;")</f>
        <v>&lt;/li&gt;&lt;li&gt;&lt;a href=|http://basicenglishbible.com/exodus/33.htm| title=|Bible in Basic English| target=|_top|&gt;BBE&lt;/a&gt;</v>
      </c>
      <c r="AN83" t="str">
        <f t="shared" si="331"/>
        <v>&lt;/li&gt;&lt;li&gt;&lt;a href=|http://darbybible.com/exodus/33.htm| title=|Darby Bible Translation| target=|_top|&gt;DBY&lt;/a&gt;</v>
      </c>
      <c r="AO8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3" t="str">
        <f>CONCATENATE("&lt;/li&gt;&lt;li&gt;&lt;a href=|http://",AR1191,"/exodus/33.htm","| ","title=|",AR1190,"| target=|_top|&gt;",AR1192,"&lt;/a&gt;")</f>
        <v>&lt;/li&gt;&lt;li&gt;&lt;a href=|http://websterbible.com/exodus/33.htm| title=|Webster's Bible Translation| target=|_top|&gt;WBS&lt;/a&gt;</v>
      </c>
      <c r="AS8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3" t="str">
        <f>CONCATENATE("&lt;/li&gt;&lt;li&gt;&lt;a href=|http://",AT1191,"/exodus/33-1.htm","| ","title=|",AT1190,"| target=|_top|&gt;",AT1192,"&lt;/a&gt;")</f>
        <v>&lt;/li&gt;&lt;li&gt;&lt;a href=|http://biblebrowser.com/exodus/33-1.htm| title=|Split View| target=|_top|&gt;Split&lt;/a&gt;</v>
      </c>
      <c r="AU83" s="2" t="s">
        <v>1276</v>
      </c>
      <c r="AV83" t="s">
        <v>64</v>
      </c>
    </row>
    <row r="84" spans="1:48">
      <c r="A84" t="s">
        <v>622</v>
      </c>
      <c r="B84" t="s">
        <v>137</v>
      </c>
      <c r="C84" t="s">
        <v>624</v>
      </c>
      <c r="D84" t="s">
        <v>1268</v>
      </c>
      <c r="E84" t="s">
        <v>1277</v>
      </c>
      <c r="F84" t="s">
        <v>1304</v>
      </c>
      <c r="G84" t="s">
        <v>1266</v>
      </c>
      <c r="H84" t="s">
        <v>1305</v>
      </c>
      <c r="I84" t="s">
        <v>1303</v>
      </c>
      <c r="J84" t="s">
        <v>1267</v>
      </c>
      <c r="K84" t="s">
        <v>1275</v>
      </c>
      <c r="L84" s="2" t="s">
        <v>1274</v>
      </c>
      <c r="M84" t="str">
        <f t="shared" ref="M84:AB84" si="332">CONCATENATE("&lt;/li&gt;&lt;li&gt;&lt;a href=|http://",M1191,"/exodus/34.htm","| ","title=|",M1190,"| target=|_top|&gt;",M1192,"&lt;/a&gt;")</f>
        <v>&lt;/li&gt;&lt;li&gt;&lt;a href=|http://niv.scripturetext.com/exodus/34.htm| title=|New International Version| target=|_top|&gt;NIV&lt;/a&gt;</v>
      </c>
      <c r="N84" t="str">
        <f t="shared" si="332"/>
        <v>&lt;/li&gt;&lt;li&gt;&lt;a href=|http://nlt.scripturetext.com/exodus/34.htm| title=|New Living Translation| target=|_top|&gt;NLT&lt;/a&gt;</v>
      </c>
      <c r="O84" t="str">
        <f t="shared" si="332"/>
        <v>&lt;/li&gt;&lt;li&gt;&lt;a href=|http://nasb.scripturetext.com/exodus/34.htm| title=|New American Standard Bible| target=|_top|&gt;NAS&lt;/a&gt;</v>
      </c>
      <c r="P84" t="str">
        <f t="shared" si="332"/>
        <v>&lt;/li&gt;&lt;li&gt;&lt;a href=|http://gwt.scripturetext.com/exodus/34.htm| title=|God's Word Translation| target=|_top|&gt;GWT&lt;/a&gt;</v>
      </c>
      <c r="Q84" t="str">
        <f t="shared" si="332"/>
        <v>&lt;/li&gt;&lt;li&gt;&lt;a href=|http://kingjbible.com/exodus/34.htm| title=|King James Bible| target=|_top|&gt;KJV&lt;/a&gt;</v>
      </c>
      <c r="R84" t="str">
        <f t="shared" si="332"/>
        <v>&lt;/li&gt;&lt;li&gt;&lt;a href=|http://asvbible.com/exodus/34.htm| title=|American Standard Version| target=|_top|&gt;ASV&lt;/a&gt;</v>
      </c>
      <c r="S84" t="str">
        <f t="shared" si="332"/>
        <v>&lt;/li&gt;&lt;li&gt;&lt;a href=|http://drb.scripturetext.com/exodus/34.htm| title=|Douay-Rheims Bible| target=|_top|&gt;DRB&lt;/a&gt;</v>
      </c>
      <c r="T84" t="str">
        <f t="shared" si="332"/>
        <v>&lt;/li&gt;&lt;li&gt;&lt;a href=|http://erv.scripturetext.com/exodus/34.htm| title=|English Revised Version| target=|_top|&gt;ERV&lt;/a&gt;</v>
      </c>
      <c r="V84" t="str">
        <f>CONCATENATE("&lt;/li&gt;&lt;li&gt;&lt;a href=|http://",V1191,"/exodus/34.htm","| ","title=|",V1190,"| target=|_top|&gt;",V1192,"&lt;/a&gt;")</f>
        <v>&lt;/li&gt;&lt;li&gt;&lt;a href=|http://study.interlinearbible.org/exodus/34.htm| title=|Hebrew Study Bible| target=|_top|&gt;Heb Study&lt;/a&gt;</v>
      </c>
      <c r="W84" t="str">
        <f t="shared" si="332"/>
        <v>&lt;/li&gt;&lt;li&gt;&lt;a href=|http://apostolic.interlinearbible.org/exodus/34.htm| title=|Apostolic Bible Polyglot Interlinear| target=|_top|&gt;Polyglot&lt;/a&gt;</v>
      </c>
      <c r="X84" t="str">
        <f t="shared" si="332"/>
        <v>&lt;/li&gt;&lt;li&gt;&lt;a href=|http://interlinearbible.org/exodus/34.htm| title=|Interlinear Bible| target=|_top|&gt;Interlin&lt;/a&gt;</v>
      </c>
      <c r="Y84" t="str">
        <f t="shared" ref="Y84" si="333">CONCATENATE("&lt;/li&gt;&lt;li&gt;&lt;a href=|http://",Y1191,"/exodus/34.htm","| ","title=|",Y1190,"| target=|_top|&gt;",Y1192,"&lt;/a&gt;")</f>
        <v>&lt;/li&gt;&lt;li&gt;&lt;a href=|http://bibleoutline.org/exodus/34.htm| title=|Outline with People and Places List| target=|_top|&gt;Outline&lt;/a&gt;</v>
      </c>
      <c r="Z84" t="str">
        <f t="shared" si="332"/>
        <v>&lt;/li&gt;&lt;li&gt;&lt;a href=|http://kjvs.scripturetext.com/exodus/34.htm| title=|King James Bible with Strong's Numbers| target=|_top|&gt;Strong's&lt;/a&gt;</v>
      </c>
      <c r="AA84" t="str">
        <f t="shared" si="332"/>
        <v>&lt;/li&gt;&lt;li&gt;&lt;a href=|http://childrensbibleonline.com/exodus/34.htm| title=|The Children's Bible| target=|_top|&gt;Children's&lt;/a&gt;</v>
      </c>
      <c r="AB84" s="2" t="str">
        <f t="shared" si="332"/>
        <v>&lt;/li&gt;&lt;li&gt;&lt;a href=|http://tsk.scripturetext.com/exodus/34.htm| title=|Treasury of Scripture Knowledge| target=|_top|&gt;TSK&lt;/a&gt;</v>
      </c>
      <c r="AC84" t="str">
        <f>CONCATENATE("&lt;a href=|http://",AC1191,"/exodus/34.htm","| ","title=|",AC1190,"| target=|_top|&gt;",AC1192,"&lt;/a&gt;")</f>
        <v>&lt;a href=|http://parallelbible.com/exodus/34.htm| title=|Parallel Chapters| target=|_top|&gt;PAR&lt;/a&gt;</v>
      </c>
      <c r="AD84" s="2" t="str">
        <f t="shared" ref="AD84:AK84" si="334">CONCATENATE("&lt;/li&gt;&lt;li&gt;&lt;a href=|http://",AD1191,"/exodus/34.htm","| ","title=|",AD1190,"| target=|_top|&gt;",AD1192,"&lt;/a&gt;")</f>
        <v>&lt;/li&gt;&lt;li&gt;&lt;a href=|http://gsb.biblecommenter.com/exodus/34.htm| title=|Geneva Study Bible| target=|_top|&gt;GSB&lt;/a&gt;</v>
      </c>
      <c r="AE84" s="2" t="str">
        <f t="shared" si="334"/>
        <v>&lt;/li&gt;&lt;li&gt;&lt;a href=|http://jfb.biblecommenter.com/exodus/34.htm| title=|Jamieson-Fausset-Brown Bible Commentary| target=|_top|&gt;JFB&lt;/a&gt;</v>
      </c>
      <c r="AF84" s="2" t="str">
        <f t="shared" si="334"/>
        <v>&lt;/li&gt;&lt;li&gt;&lt;a href=|http://kjt.biblecommenter.com/exodus/34.htm| title=|King James Translators' Notes| target=|_top|&gt;KJT&lt;/a&gt;</v>
      </c>
      <c r="AG84" s="2" t="str">
        <f t="shared" si="334"/>
        <v>&lt;/li&gt;&lt;li&gt;&lt;a href=|http://mhc.biblecommenter.com/exodus/34.htm| title=|Matthew Henry's Concise Commentary| target=|_top|&gt;MHC&lt;/a&gt;</v>
      </c>
      <c r="AH84" s="2" t="str">
        <f t="shared" si="334"/>
        <v>&lt;/li&gt;&lt;li&gt;&lt;a href=|http://sco.biblecommenter.com/exodus/34.htm| title=|Scofield Reference Notes| target=|_top|&gt;SCO&lt;/a&gt;</v>
      </c>
      <c r="AI84" s="2" t="str">
        <f t="shared" si="334"/>
        <v>&lt;/li&gt;&lt;li&gt;&lt;a href=|http://wes.biblecommenter.com/exodus/34.htm| title=|Wesley's Notes on the Bible| target=|_top|&gt;WES&lt;/a&gt;</v>
      </c>
      <c r="AJ84" t="str">
        <f t="shared" si="334"/>
        <v>&lt;/li&gt;&lt;li&gt;&lt;a href=|http://worldebible.com/exodus/34.htm| title=|World English Bible| target=|_top|&gt;WEB&lt;/a&gt;</v>
      </c>
      <c r="AK84" t="str">
        <f t="shared" si="334"/>
        <v>&lt;/li&gt;&lt;li&gt;&lt;a href=|http://yltbible.com/exodus/34.htm| title=|Young's Literal Translation| target=|_top|&gt;YLT&lt;/a&gt;</v>
      </c>
      <c r="AL84" t="str">
        <f>CONCATENATE("&lt;a href=|http://",AL1191,"/exodus/34.htm","| ","title=|",AL1190,"| target=|_top|&gt;",AL1192,"&lt;/a&gt;")</f>
        <v>&lt;a href=|http://kjv.us/exodus/34.htm| title=|American King James Version| target=|_top|&gt;AKJ&lt;/a&gt;</v>
      </c>
      <c r="AM84" t="str">
        <f t="shared" ref="AM84:AN84" si="335">CONCATENATE("&lt;/li&gt;&lt;li&gt;&lt;a href=|http://",AM1191,"/exodus/34.htm","| ","title=|",AM1190,"| target=|_top|&gt;",AM1192,"&lt;/a&gt;")</f>
        <v>&lt;/li&gt;&lt;li&gt;&lt;a href=|http://basicenglishbible.com/exodus/34.htm| title=|Bible in Basic English| target=|_top|&gt;BBE&lt;/a&gt;</v>
      </c>
      <c r="AN84" t="str">
        <f t="shared" si="335"/>
        <v>&lt;/li&gt;&lt;li&gt;&lt;a href=|http://darbybible.com/exodus/34.htm| title=|Darby Bible Translation| target=|_top|&gt;DBY&lt;/a&gt;</v>
      </c>
      <c r="AO8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4" t="str">
        <f>CONCATENATE("&lt;/li&gt;&lt;li&gt;&lt;a href=|http://",AR1191,"/exodus/34.htm","| ","title=|",AR1190,"| target=|_top|&gt;",AR1192,"&lt;/a&gt;")</f>
        <v>&lt;/li&gt;&lt;li&gt;&lt;a href=|http://websterbible.com/exodus/34.htm| title=|Webster's Bible Translation| target=|_top|&gt;WBS&lt;/a&gt;</v>
      </c>
      <c r="AS8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4" t="str">
        <f>CONCATENATE("&lt;/li&gt;&lt;li&gt;&lt;a href=|http://",AT1191,"/exodus/34-1.htm","| ","title=|",AT1190,"| target=|_top|&gt;",AT1192,"&lt;/a&gt;")</f>
        <v>&lt;/li&gt;&lt;li&gt;&lt;a href=|http://biblebrowser.com/exodus/34-1.htm| title=|Split View| target=|_top|&gt;Split&lt;/a&gt;</v>
      </c>
      <c r="AU84" s="2" t="s">
        <v>1276</v>
      </c>
      <c r="AV84" t="s">
        <v>64</v>
      </c>
    </row>
    <row r="85" spans="1:48">
      <c r="A85" t="s">
        <v>622</v>
      </c>
      <c r="B85" t="s">
        <v>138</v>
      </c>
      <c r="C85" t="s">
        <v>624</v>
      </c>
      <c r="D85" t="s">
        <v>1268</v>
      </c>
      <c r="E85" t="s">
        <v>1277</v>
      </c>
      <c r="F85" t="s">
        <v>1304</v>
      </c>
      <c r="G85" t="s">
        <v>1266</v>
      </c>
      <c r="H85" t="s">
        <v>1305</v>
      </c>
      <c r="I85" t="s">
        <v>1303</v>
      </c>
      <c r="J85" t="s">
        <v>1267</v>
      </c>
      <c r="K85" t="s">
        <v>1275</v>
      </c>
      <c r="L85" s="2" t="s">
        <v>1274</v>
      </c>
      <c r="M85" t="str">
        <f t="shared" ref="M85:AB85" si="336">CONCATENATE("&lt;/li&gt;&lt;li&gt;&lt;a href=|http://",M1191,"/exodus/35.htm","| ","title=|",M1190,"| target=|_top|&gt;",M1192,"&lt;/a&gt;")</f>
        <v>&lt;/li&gt;&lt;li&gt;&lt;a href=|http://niv.scripturetext.com/exodus/35.htm| title=|New International Version| target=|_top|&gt;NIV&lt;/a&gt;</v>
      </c>
      <c r="N85" t="str">
        <f t="shared" si="336"/>
        <v>&lt;/li&gt;&lt;li&gt;&lt;a href=|http://nlt.scripturetext.com/exodus/35.htm| title=|New Living Translation| target=|_top|&gt;NLT&lt;/a&gt;</v>
      </c>
      <c r="O85" t="str">
        <f t="shared" si="336"/>
        <v>&lt;/li&gt;&lt;li&gt;&lt;a href=|http://nasb.scripturetext.com/exodus/35.htm| title=|New American Standard Bible| target=|_top|&gt;NAS&lt;/a&gt;</v>
      </c>
      <c r="P85" t="str">
        <f t="shared" si="336"/>
        <v>&lt;/li&gt;&lt;li&gt;&lt;a href=|http://gwt.scripturetext.com/exodus/35.htm| title=|God's Word Translation| target=|_top|&gt;GWT&lt;/a&gt;</v>
      </c>
      <c r="Q85" t="str">
        <f t="shared" si="336"/>
        <v>&lt;/li&gt;&lt;li&gt;&lt;a href=|http://kingjbible.com/exodus/35.htm| title=|King James Bible| target=|_top|&gt;KJV&lt;/a&gt;</v>
      </c>
      <c r="R85" t="str">
        <f t="shared" si="336"/>
        <v>&lt;/li&gt;&lt;li&gt;&lt;a href=|http://asvbible.com/exodus/35.htm| title=|American Standard Version| target=|_top|&gt;ASV&lt;/a&gt;</v>
      </c>
      <c r="S85" t="str">
        <f t="shared" si="336"/>
        <v>&lt;/li&gt;&lt;li&gt;&lt;a href=|http://drb.scripturetext.com/exodus/35.htm| title=|Douay-Rheims Bible| target=|_top|&gt;DRB&lt;/a&gt;</v>
      </c>
      <c r="T85" t="str">
        <f t="shared" si="336"/>
        <v>&lt;/li&gt;&lt;li&gt;&lt;a href=|http://erv.scripturetext.com/exodus/35.htm| title=|English Revised Version| target=|_top|&gt;ERV&lt;/a&gt;</v>
      </c>
      <c r="V85" t="str">
        <f>CONCATENATE("&lt;/li&gt;&lt;li&gt;&lt;a href=|http://",V1191,"/exodus/35.htm","| ","title=|",V1190,"| target=|_top|&gt;",V1192,"&lt;/a&gt;")</f>
        <v>&lt;/li&gt;&lt;li&gt;&lt;a href=|http://study.interlinearbible.org/exodus/35.htm| title=|Hebrew Study Bible| target=|_top|&gt;Heb Study&lt;/a&gt;</v>
      </c>
      <c r="W85" t="str">
        <f t="shared" si="336"/>
        <v>&lt;/li&gt;&lt;li&gt;&lt;a href=|http://apostolic.interlinearbible.org/exodus/35.htm| title=|Apostolic Bible Polyglot Interlinear| target=|_top|&gt;Polyglot&lt;/a&gt;</v>
      </c>
      <c r="X85" t="str">
        <f t="shared" si="336"/>
        <v>&lt;/li&gt;&lt;li&gt;&lt;a href=|http://interlinearbible.org/exodus/35.htm| title=|Interlinear Bible| target=|_top|&gt;Interlin&lt;/a&gt;</v>
      </c>
      <c r="Y85" t="str">
        <f t="shared" ref="Y85" si="337">CONCATENATE("&lt;/li&gt;&lt;li&gt;&lt;a href=|http://",Y1191,"/exodus/35.htm","| ","title=|",Y1190,"| target=|_top|&gt;",Y1192,"&lt;/a&gt;")</f>
        <v>&lt;/li&gt;&lt;li&gt;&lt;a href=|http://bibleoutline.org/exodus/35.htm| title=|Outline with People and Places List| target=|_top|&gt;Outline&lt;/a&gt;</v>
      </c>
      <c r="Z85" t="str">
        <f t="shared" si="336"/>
        <v>&lt;/li&gt;&lt;li&gt;&lt;a href=|http://kjvs.scripturetext.com/exodus/35.htm| title=|King James Bible with Strong's Numbers| target=|_top|&gt;Strong's&lt;/a&gt;</v>
      </c>
      <c r="AA85" t="str">
        <f t="shared" si="336"/>
        <v>&lt;/li&gt;&lt;li&gt;&lt;a href=|http://childrensbibleonline.com/exodus/35.htm| title=|The Children's Bible| target=|_top|&gt;Children's&lt;/a&gt;</v>
      </c>
      <c r="AB85" s="2" t="str">
        <f t="shared" si="336"/>
        <v>&lt;/li&gt;&lt;li&gt;&lt;a href=|http://tsk.scripturetext.com/exodus/35.htm| title=|Treasury of Scripture Knowledge| target=|_top|&gt;TSK&lt;/a&gt;</v>
      </c>
      <c r="AC85" t="str">
        <f>CONCATENATE("&lt;a href=|http://",AC1191,"/exodus/35.htm","| ","title=|",AC1190,"| target=|_top|&gt;",AC1192,"&lt;/a&gt;")</f>
        <v>&lt;a href=|http://parallelbible.com/exodus/35.htm| title=|Parallel Chapters| target=|_top|&gt;PAR&lt;/a&gt;</v>
      </c>
      <c r="AD85" s="2" t="str">
        <f t="shared" ref="AD85:AK85" si="338">CONCATENATE("&lt;/li&gt;&lt;li&gt;&lt;a href=|http://",AD1191,"/exodus/35.htm","| ","title=|",AD1190,"| target=|_top|&gt;",AD1192,"&lt;/a&gt;")</f>
        <v>&lt;/li&gt;&lt;li&gt;&lt;a href=|http://gsb.biblecommenter.com/exodus/35.htm| title=|Geneva Study Bible| target=|_top|&gt;GSB&lt;/a&gt;</v>
      </c>
      <c r="AE85" s="2" t="str">
        <f t="shared" si="338"/>
        <v>&lt;/li&gt;&lt;li&gt;&lt;a href=|http://jfb.biblecommenter.com/exodus/35.htm| title=|Jamieson-Fausset-Brown Bible Commentary| target=|_top|&gt;JFB&lt;/a&gt;</v>
      </c>
      <c r="AF85" s="2" t="str">
        <f t="shared" si="338"/>
        <v>&lt;/li&gt;&lt;li&gt;&lt;a href=|http://kjt.biblecommenter.com/exodus/35.htm| title=|King James Translators' Notes| target=|_top|&gt;KJT&lt;/a&gt;</v>
      </c>
      <c r="AG85" s="2" t="str">
        <f t="shared" si="338"/>
        <v>&lt;/li&gt;&lt;li&gt;&lt;a href=|http://mhc.biblecommenter.com/exodus/35.htm| title=|Matthew Henry's Concise Commentary| target=|_top|&gt;MHC&lt;/a&gt;</v>
      </c>
      <c r="AH85" s="2" t="str">
        <f t="shared" si="338"/>
        <v>&lt;/li&gt;&lt;li&gt;&lt;a href=|http://sco.biblecommenter.com/exodus/35.htm| title=|Scofield Reference Notes| target=|_top|&gt;SCO&lt;/a&gt;</v>
      </c>
      <c r="AI85" s="2" t="str">
        <f t="shared" si="338"/>
        <v>&lt;/li&gt;&lt;li&gt;&lt;a href=|http://wes.biblecommenter.com/exodus/35.htm| title=|Wesley's Notes on the Bible| target=|_top|&gt;WES&lt;/a&gt;</v>
      </c>
      <c r="AJ85" t="str">
        <f t="shared" si="338"/>
        <v>&lt;/li&gt;&lt;li&gt;&lt;a href=|http://worldebible.com/exodus/35.htm| title=|World English Bible| target=|_top|&gt;WEB&lt;/a&gt;</v>
      </c>
      <c r="AK85" t="str">
        <f t="shared" si="338"/>
        <v>&lt;/li&gt;&lt;li&gt;&lt;a href=|http://yltbible.com/exodus/35.htm| title=|Young's Literal Translation| target=|_top|&gt;YLT&lt;/a&gt;</v>
      </c>
      <c r="AL85" t="str">
        <f>CONCATENATE("&lt;a href=|http://",AL1191,"/exodus/35.htm","| ","title=|",AL1190,"| target=|_top|&gt;",AL1192,"&lt;/a&gt;")</f>
        <v>&lt;a href=|http://kjv.us/exodus/35.htm| title=|American King James Version| target=|_top|&gt;AKJ&lt;/a&gt;</v>
      </c>
      <c r="AM85" t="str">
        <f t="shared" ref="AM85:AN85" si="339">CONCATENATE("&lt;/li&gt;&lt;li&gt;&lt;a href=|http://",AM1191,"/exodus/35.htm","| ","title=|",AM1190,"| target=|_top|&gt;",AM1192,"&lt;/a&gt;")</f>
        <v>&lt;/li&gt;&lt;li&gt;&lt;a href=|http://basicenglishbible.com/exodus/35.htm| title=|Bible in Basic English| target=|_top|&gt;BBE&lt;/a&gt;</v>
      </c>
      <c r="AN85" t="str">
        <f t="shared" si="339"/>
        <v>&lt;/li&gt;&lt;li&gt;&lt;a href=|http://darbybible.com/exodus/35.htm| title=|Darby Bible Translation| target=|_top|&gt;DBY&lt;/a&gt;</v>
      </c>
      <c r="AO8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5" t="str">
        <f>CONCATENATE("&lt;/li&gt;&lt;li&gt;&lt;a href=|http://",AR1191,"/exodus/35.htm","| ","title=|",AR1190,"| target=|_top|&gt;",AR1192,"&lt;/a&gt;")</f>
        <v>&lt;/li&gt;&lt;li&gt;&lt;a href=|http://websterbible.com/exodus/35.htm| title=|Webster's Bible Translation| target=|_top|&gt;WBS&lt;/a&gt;</v>
      </c>
      <c r="AS8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5" t="str">
        <f>CONCATENATE("&lt;/li&gt;&lt;li&gt;&lt;a href=|http://",AT1191,"/exodus/35-1.htm","| ","title=|",AT1190,"| target=|_top|&gt;",AT1192,"&lt;/a&gt;")</f>
        <v>&lt;/li&gt;&lt;li&gt;&lt;a href=|http://biblebrowser.com/exodus/35-1.htm| title=|Split View| target=|_top|&gt;Split&lt;/a&gt;</v>
      </c>
      <c r="AU85" s="2" t="s">
        <v>1276</v>
      </c>
      <c r="AV85" t="s">
        <v>64</v>
      </c>
    </row>
    <row r="86" spans="1:48">
      <c r="A86" t="s">
        <v>622</v>
      </c>
      <c r="B86" t="s">
        <v>139</v>
      </c>
      <c r="C86" t="s">
        <v>624</v>
      </c>
      <c r="D86" t="s">
        <v>1268</v>
      </c>
      <c r="E86" t="s">
        <v>1277</v>
      </c>
      <c r="F86" t="s">
        <v>1304</v>
      </c>
      <c r="G86" t="s">
        <v>1266</v>
      </c>
      <c r="H86" t="s">
        <v>1305</v>
      </c>
      <c r="I86" t="s">
        <v>1303</v>
      </c>
      <c r="J86" t="s">
        <v>1267</v>
      </c>
      <c r="K86" t="s">
        <v>1275</v>
      </c>
      <c r="L86" s="2" t="s">
        <v>1274</v>
      </c>
      <c r="M86" t="str">
        <f t="shared" ref="M86:AB86" si="340">CONCATENATE("&lt;/li&gt;&lt;li&gt;&lt;a href=|http://",M1191,"/exodus/36.htm","| ","title=|",M1190,"| target=|_top|&gt;",M1192,"&lt;/a&gt;")</f>
        <v>&lt;/li&gt;&lt;li&gt;&lt;a href=|http://niv.scripturetext.com/exodus/36.htm| title=|New International Version| target=|_top|&gt;NIV&lt;/a&gt;</v>
      </c>
      <c r="N86" t="str">
        <f t="shared" si="340"/>
        <v>&lt;/li&gt;&lt;li&gt;&lt;a href=|http://nlt.scripturetext.com/exodus/36.htm| title=|New Living Translation| target=|_top|&gt;NLT&lt;/a&gt;</v>
      </c>
      <c r="O86" t="str">
        <f t="shared" si="340"/>
        <v>&lt;/li&gt;&lt;li&gt;&lt;a href=|http://nasb.scripturetext.com/exodus/36.htm| title=|New American Standard Bible| target=|_top|&gt;NAS&lt;/a&gt;</v>
      </c>
      <c r="P86" t="str">
        <f t="shared" si="340"/>
        <v>&lt;/li&gt;&lt;li&gt;&lt;a href=|http://gwt.scripturetext.com/exodus/36.htm| title=|God's Word Translation| target=|_top|&gt;GWT&lt;/a&gt;</v>
      </c>
      <c r="Q86" t="str">
        <f t="shared" si="340"/>
        <v>&lt;/li&gt;&lt;li&gt;&lt;a href=|http://kingjbible.com/exodus/36.htm| title=|King James Bible| target=|_top|&gt;KJV&lt;/a&gt;</v>
      </c>
      <c r="R86" t="str">
        <f t="shared" si="340"/>
        <v>&lt;/li&gt;&lt;li&gt;&lt;a href=|http://asvbible.com/exodus/36.htm| title=|American Standard Version| target=|_top|&gt;ASV&lt;/a&gt;</v>
      </c>
      <c r="S86" t="str">
        <f t="shared" si="340"/>
        <v>&lt;/li&gt;&lt;li&gt;&lt;a href=|http://drb.scripturetext.com/exodus/36.htm| title=|Douay-Rheims Bible| target=|_top|&gt;DRB&lt;/a&gt;</v>
      </c>
      <c r="T86" t="str">
        <f t="shared" si="340"/>
        <v>&lt;/li&gt;&lt;li&gt;&lt;a href=|http://erv.scripturetext.com/exodus/36.htm| title=|English Revised Version| target=|_top|&gt;ERV&lt;/a&gt;</v>
      </c>
      <c r="V86" t="str">
        <f>CONCATENATE("&lt;/li&gt;&lt;li&gt;&lt;a href=|http://",V1191,"/exodus/36.htm","| ","title=|",V1190,"| target=|_top|&gt;",V1192,"&lt;/a&gt;")</f>
        <v>&lt;/li&gt;&lt;li&gt;&lt;a href=|http://study.interlinearbible.org/exodus/36.htm| title=|Hebrew Study Bible| target=|_top|&gt;Heb Study&lt;/a&gt;</v>
      </c>
      <c r="W86" t="str">
        <f t="shared" si="340"/>
        <v>&lt;/li&gt;&lt;li&gt;&lt;a href=|http://apostolic.interlinearbible.org/exodus/36.htm| title=|Apostolic Bible Polyglot Interlinear| target=|_top|&gt;Polyglot&lt;/a&gt;</v>
      </c>
      <c r="X86" t="str">
        <f t="shared" si="340"/>
        <v>&lt;/li&gt;&lt;li&gt;&lt;a href=|http://interlinearbible.org/exodus/36.htm| title=|Interlinear Bible| target=|_top|&gt;Interlin&lt;/a&gt;</v>
      </c>
      <c r="Y86" t="str">
        <f t="shared" ref="Y86" si="341">CONCATENATE("&lt;/li&gt;&lt;li&gt;&lt;a href=|http://",Y1191,"/exodus/36.htm","| ","title=|",Y1190,"| target=|_top|&gt;",Y1192,"&lt;/a&gt;")</f>
        <v>&lt;/li&gt;&lt;li&gt;&lt;a href=|http://bibleoutline.org/exodus/36.htm| title=|Outline with People and Places List| target=|_top|&gt;Outline&lt;/a&gt;</v>
      </c>
      <c r="Z86" t="str">
        <f t="shared" si="340"/>
        <v>&lt;/li&gt;&lt;li&gt;&lt;a href=|http://kjvs.scripturetext.com/exodus/36.htm| title=|King James Bible with Strong's Numbers| target=|_top|&gt;Strong's&lt;/a&gt;</v>
      </c>
      <c r="AA86" t="str">
        <f t="shared" si="340"/>
        <v>&lt;/li&gt;&lt;li&gt;&lt;a href=|http://childrensbibleonline.com/exodus/36.htm| title=|The Children's Bible| target=|_top|&gt;Children's&lt;/a&gt;</v>
      </c>
      <c r="AB86" s="2" t="str">
        <f t="shared" si="340"/>
        <v>&lt;/li&gt;&lt;li&gt;&lt;a href=|http://tsk.scripturetext.com/exodus/36.htm| title=|Treasury of Scripture Knowledge| target=|_top|&gt;TSK&lt;/a&gt;</v>
      </c>
      <c r="AC86" t="str">
        <f>CONCATENATE("&lt;a href=|http://",AC1191,"/exodus/36.htm","| ","title=|",AC1190,"| target=|_top|&gt;",AC1192,"&lt;/a&gt;")</f>
        <v>&lt;a href=|http://parallelbible.com/exodus/36.htm| title=|Parallel Chapters| target=|_top|&gt;PAR&lt;/a&gt;</v>
      </c>
      <c r="AD86" s="2" t="str">
        <f t="shared" ref="AD86:AK86" si="342">CONCATENATE("&lt;/li&gt;&lt;li&gt;&lt;a href=|http://",AD1191,"/exodus/36.htm","| ","title=|",AD1190,"| target=|_top|&gt;",AD1192,"&lt;/a&gt;")</f>
        <v>&lt;/li&gt;&lt;li&gt;&lt;a href=|http://gsb.biblecommenter.com/exodus/36.htm| title=|Geneva Study Bible| target=|_top|&gt;GSB&lt;/a&gt;</v>
      </c>
      <c r="AE86" s="2" t="str">
        <f t="shared" si="342"/>
        <v>&lt;/li&gt;&lt;li&gt;&lt;a href=|http://jfb.biblecommenter.com/exodus/36.htm| title=|Jamieson-Fausset-Brown Bible Commentary| target=|_top|&gt;JFB&lt;/a&gt;</v>
      </c>
      <c r="AF86" s="2" t="str">
        <f t="shared" si="342"/>
        <v>&lt;/li&gt;&lt;li&gt;&lt;a href=|http://kjt.biblecommenter.com/exodus/36.htm| title=|King James Translators' Notes| target=|_top|&gt;KJT&lt;/a&gt;</v>
      </c>
      <c r="AG86" s="2" t="str">
        <f t="shared" si="342"/>
        <v>&lt;/li&gt;&lt;li&gt;&lt;a href=|http://mhc.biblecommenter.com/exodus/36.htm| title=|Matthew Henry's Concise Commentary| target=|_top|&gt;MHC&lt;/a&gt;</v>
      </c>
      <c r="AH86" s="2" t="str">
        <f t="shared" si="342"/>
        <v>&lt;/li&gt;&lt;li&gt;&lt;a href=|http://sco.biblecommenter.com/exodus/36.htm| title=|Scofield Reference Notes| target=|_top|&gt;SCO&lt;/a&gt;</v>
      </c>
      <c r="AI86" s="2" t="str">
        <f t="shared" si="342"/>
        <v>&lt;/li&gt;&lt;li&gt;&lt;a href=|http://wes.biblecommenter.com/exodus/36.htm| title=|Wesley's Notes on the Bible| target=|_top|&gt;WES&lt;/a&gt;</v>
      </c>
      <c r="AJ86" t="str">
        <f t="shared" si="342"/>
        <v>&lt;/li&gt;&lt;li&gt;&lt;a href=|http://worldebible.com/exodus/36.htm| title=|World English Bible| target=|_top|&gt;WEB&lt;/a&gt;</v>
      </c>
      <c r="AK86" t="str">
        <f t="shared" si="342"/>
        <v>&lt;/li&gt;&lt;li&gt;&lt;a href=|http://yltbible.com/exodus/36.htm| title=|Young's Literal Translation| target=|_top|&gt;YLT&lt;/a&gt;</v>
      </c>
      <c r="AL86" t="str">
        <f>CONCATENATE("&lt;a href=|http://",AL1191,"/exodus/36.htm","| ","title=|",AL1190,"| target=|_top|&gt;",AL1192,"&lt;/a&gt;")</f>
        <v>&lt;a href=|http://kjv.us/exodus/36.htm| title=|American King James Version| target=|_top|&gt;AKJ&lt;/a&gt;</v>
      </c>
      <c r="AM86" t="str">
        <f t="shared" ref="AM86:AN86" si="343">CONCATENATE("&lt;/li&gt;&lt;li&gt;&lt;a href=|http://",AM1191,"/exodus/36.htm","| ","title=|",AM1190,"| target=|_top|&gt;",AM1192,"&lt;/a&gt;")</f>
        <v>&lt;/li&gt;&lt;li&gt;&lt;a href=|http://basicenglishbible.com/exodus/36.htm| title=|Bible in Basic English| target=|_top|&gt;BBE&lt;/a&gt;</v>
      </c>
      <c r="AN86" t="str">
        <f t="shared" si="343"/>
        <v>&lt;/li&gt;&lt;li&gt;&lt;a href=|http://darbybible.com/exodus/36.htm| title=|Darby Bible Translation| target=|_top|&gt;DBY&lt;/a&gt;</v>
      </c>
      <c r="AO8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6" t="str">
        <f>CONCATENATE("&lt;/li&gt;&lt;li&gt;&lt;a href=|http://",AR1191,"/exodus/36.htm","| ","title=|",AR1190,"| target=|_top|&gt;",AR1192,"&lt;/a&gt;")</f>
        <v>&lt;/li&gt;&lt;li&gt;&lt;a href=|http://websterbible.com/exodus/36.htm| title=|Webster's Bible Translation| target=|_top|&gt;WBS&lt;/a&gt;</v>
      </c>
      <c r="AS8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6" t="str">
        <f>CONCATENATE("&lt;/li&gt;&lt;li&gt;&lt;a href=|http://",AT1191,"/exodus/36-1.htm","| ","title=|",AT1190,"| target=|_top|&gt;",AT1192,"&lt;/a&gt;")</f>
        <v>&lt;/li&gt;&lt;li&gt;&lt;a href=|http://biblebrowser.com/exodus/36-1.htm| title=|Split View| target=|_top|&gt;Split&lt;/a&gt;</v>
      </c>
      <c r="AU86" s="2" t="s">
        <v>1276</v>
      </c>
      <c r="AV86" t="s">
        <v>64</v>
      </c>
    </row>
    <row r="87" spans="1:48">
      <c r="A87" t="s">
        <v>622</v>
      </c>
      <c r="B87" t="s">
        <v>140</v>
      </c>
      <c r="C87" t="s">
        <v>624</v>
      </c>
      <c r="D87" t="s">
        <v>1268</v>
      </c>
      <c r="E87" t="s">
        <v>1277</v>
      </c>
      <c r="F87" t="s">
        <v>1304</v>
      </c>
      <c r="G87" t="s">
        <v>1266</v>
      </c>
      <c r="H87" t="s">
        <v>1305</v>
      </c>
      <c r="I87" t="s">
        <v>1303</v>
      </c>
      <c r="J87" t="s">
        <v>1267</v>
      </c>
      <c r="K87" t="s">
        <v>1275</v>
      </c>
      <c r="L87" s="2" t="s">
        <v>1274</v>
      </c>
      <c r="M87" t="str">
        <f t="shared" ref="M87:AB87" si="344">CONCATENATE("&lt;/li&gt;&lt;li&gt;&lt;a href=|http://",M1191,"/exodus/37.htm","| ","title=|",M1190,"| target=|_top|&gt;",M1192,"&lt;/a&gt;")</f>
        <v>&lt;/li&gt;&lt;li&gt;&lt;a href=|http://niv.scripturetext.com/exodus/37.htm| title=|New International Version| target=|_top|&gt;NIV&lt;/a&gt;</v>
      </c>
      <c r="N87" t="str">
        <f t="shared" si="344"/>
        <v>&lt;/li&gt;&lt;li&gt;&lt;a href=|http://nlt.scripturetext.com/exodus/37.htm| title=|New Living Translation| target=|_top|&gt;NLT&lt;/a&gt;</v>
      </c>
      <c r="O87" t="str">
        <f t="shared" si="344"/>
        <v>&lt;/li&gt;&lt;li&gt;&lt;a href=|http://nasb.scripturetext.com/exodus/37.htm| title=|New American Standard Bible| target=|_top|&gt;NAS&lt;/a&gt;</v>
      </c>
      <c r="P87" t="str">
        <f t="shared" si="344"/>
        <v>&lt;/li&gt;&lt;li&gt;&lt;a href=|http://gwt.scripturetext.com/exodus/37.htm| title=|God's Word Translation| target=|_top|&gt;GWT&lt;/a&gt;</v>
      </c>
      <c r="Q87" t="str">
        <f t="shared" si="344"/>
        <v>&lt;/li&gt;&lt;li&gt;&lt;a href=|http://kingjbible.com/exodus/37.htm| title=|King James Bible| target=|_top|&gt;KJV&lt;/a&gt;</v>
      </c>
      <c r="R87" t="str">
        <f t="shared" si="344"/>
        <v>&lt;/li&gt;&lt;li&gt;&lt;a href=|http://asvbible.com/exodus/37.htm| title=|American Standard Version| target=|_top|&gt;ASV&lt;/a&gt;</v>
      </c>
      <c r="S87" t="str">
        <f t="shared" si="344"/>
        <v>&lt;/li&gt;&lt;li&gt;&lt;a href=|http://drb.scripturetext.com/exodus/37.htm| title=|Douay-Rheims Bible| target=|_top|&gt;DRB&lt;/a&gt;</v>
      </c>
      <c r="T87" t="str">
        <f t="shared" si="344"/>
        <v>&lt;/li&gt;&lt;li&gt;&lt;a href=|http://erv.scripturetext.com/exodus/37.htm| title=|English Revised Version| target=|_top|&gt;ERV&lt;/a&gt;</v>
      </c>
      <c r="V87" t="str">
        <f>CONCATENATE("&lt;/li&gt;&lt;li&gt;&lt;a href=|http://",V1191,"/exodus/37.htm","| ","title=|",V1190,"| target=|_top|&gt;",V1192,"&lt;/a&gt;")</f>
        <v>&lt;/li&gt;&lt;li&gt;&lt;a href=|http://study.interlinearbible.org/exodus/37.htm| title=|Hebrew Study Bible| target=|_top|&gt;Heb Study&lt;/a&gt;</v>
      </c>
      <c r="W87" t="str">
        <f t="shared" si="344"/>
        <v>&lt;/li&gt;&lt;li&gt;&lt;a href=|http://apostolic.interlinearbible.org/exodus/37.htm| title=|Apostolic Bible Polyglot Interlinear| target=|_top|&gt;Polyglot&lt;/a&gt;</v>
      </c>
      <c r="X87" t="str">
        <f t="shared" si="344"/>
        <v>&lt;/li&gt;&lt;li&gt;&lt;a href=|http://interlinearbible.org/exodus/37.htm| title=|Interlinear Bible| target=|_top|&gt;Interlin&lt;/a&gt;</v>
      </c>
      <c r="Y87" t="str">
        <f t="shared" ref="Y87" si="345">CONCATENATE("&lt;/li&gt;&lt;li&gt;&lt;a href=|http://",Y1191,"/exodus/37.htm","| ","title=|",Y1190,"| target=|_top|&gt;",Y1192,"&lt;/a&gt;")</f>
        <v>&lt;/li&gt;&lt;li&gt;&lt;a href=|http://bibleoutline.org/exodus/37.htm| title=|Outline with People and Places List| target=|_top|&gt;Outline&lt;/a&gt;</v>
      </c>
      <c r="Z87" t="str">
        <f t="shared" si="344"/>
        <v>&lt;/li&gt;&lt;li&gt;&lt;a href=|http://kjvs.scripturetext.com/exodus/37.htm| title=|King James Bible with Strong's Numbers| target=|_top|&gt;Strong's&lt;/a&gt;</v>
      </c>
      <c r="AA87" t="str">
        <f t="shared" si="344"/>
        <v>&lt;/li&gt;&lt;li&gt;&lt;a href=|http://childrensbibleonline.com/exodus/37.htm| title=|The Children's Bible| target=|_top|&gt;Children's&lt;/a&gt;</v>
      </c>
      <c r="AB87" s="2" t="str">
        <f t="shared" si="344"/>
        <v>&lt;/li&gt;&lt;li&gt;&lt;a href=|http://tsk.scripturetext.com/exodus/37.htm| title=|Treasury of Scripture Knowledge| target=|_top|&gt;TSK&lt;/a&gt;</v>
      </c>
      <c r="AC87" t="str">
        <f>CONCATENATE("&lt;a href=|http://",AC1191,"/exodus/37.htm","| ","title=|",AC1190,"| target=|_top|&gt;",AC1192,"&lt;/a&gt;")</f>
        <v>&lt;a href=|http://parallelbible.com/exodus/37.htm| title=|Parallel Chapters| target=|_top|&gt;PAR&lt;/a&gt;</v>
      </c>
      <c r="AD87" s="2" t="str">
        <f t="shared" ref="AD87:AK87" si="346">CONCATENATE("&lt;/li&gt;&lt;li&gt;&lt;a href=|http://",AD1191,"/exodus/37.htm","| ","title=|",AD1190,"| target=|_top|&gt;",AD1192,"&lt;/a&gt;")</f>
        <v>&lt;/li&gt;&lt;li&gt;&lt;a href=|http://gsb.biblecommenter.com/exodus/37.htm| title=|Geneva Study Bible| target=|_top|&gt;GSB&lt;/a&gt;</v>
      </c>
      <c r="AE87" s="2" t="str">
        <f t="shared" si="346"/>
        <v>&lt;/li&gt;&lt;li&gt;&lt;a href=|http://jfb.biblecommenter.com/exodus/37.htm| title=|Jamieson-Fausset-Brown Bible Commentary| target=|_top|&gt;JFB&lt;/a&gt;</v>
      </c>
      <c r="AF87" s="2" t="str">
        <f t="shared" si="346"/>
        <v>&lt;/li&gt;&lt;li&gt;&lt;a href=|http://kjt.biblecommenter.com/exodus/37.htm| title=|King James Translators' Notes| target=|_top|&gt;KJT&lt;/a&gt;</v>
      </c>
      <c r="AG87" s="2" t="str">
        <f t="shared" si="346"/>
        <v>&lt;/li&gt;&lt;li&gt;&lt;a href=|http://mhc.biblecommenter.com/exodus/37.htm| title=|Matthew Henry's Concise Commentary| target=|_top|&gt;MHC&lt;/a&gt;</v>
      </c>
      <c r="AH87" s="2" t="str">
        <f t="shared" si="346"/>
        <v>&lt;/li&gt;&lt;li&gt;&lt;a href=|http://sco.biblecommenter.com/exodus/37.htm| title=|Scofield Reference Notes| target=|_top|&gt;SCO&lt;/a&gt;</v>
      </c>
      <c r="AI87" s="2" t="str">
        <f t="shared" si="346"/>
        <v>&lt;/li&gt;&lt;li&gt;&lt;a href=|http://wes.biblecommenter.com/exodus/37.htm| title=|Wesley's Notes on the Bible| target=|_top|&gt;WES&lt;/a&gt;</v>
      </c>
      <c r="AJ87" t="str">
        <f t="shared" si="346"/>
        <v>&lt;/li&gt;&lt;li&gt;&lt;a href=|http://worldebible.com/exodus/37.htm| title=|World English Bible| target=|_top|&gt;WEB&lt;/a&gt;</v>
      </c>
      <c r="AK87" t="str">
        <f t="shared" si="346"/>
        <v>&lt;/li&gt;&lt;li&gt;&lt;a href=|http://yltbible.com/exodus/37.htm| title=|Young's Literal Translation| target=|_top|&gt;YLT&lt;/a&gt;</v>
      </c>
      <c r="AL87" t="str">
        <f>CONCATENATE("&lt;a href=|http://",AL1191,"/exodus/37.htm","| ","title=|",AL1190,"| target=|_top|&gt;",AL1192,"&lt;/a&gt;")</f>
        <v>&lt;a href=|http://kjv.us/exodus/37.htm| title=|American King James Version| target=|_top|&gt;AKJ&lt;/a&gt;</v>
      </c>
      <c r="AM87" t="str">
        <f t="shared" ref="AM87:AN87" si="347">CONCATENATE("&lt;/li&gt;&lt;li&gt;&lt;a href=|http://",AM1191,"/exodus/37.htm","| ","title=|",AM1190,"| target=|_top|&gt;",AM1192,"&lt;/a&gt;")</f>
        <v>&lt;/li&gt;&lt;li&gt;&lt;a href=|http://basicenglishbible.com/exodus/37.htm| title=|Bible in Basic English| target=|_top|&gt;BBE&lt;/a&gt;</v>
      </c>
      <c r="AN87" t="str">
        <f t="shared" si="347"/>
        <v>&lt;/li&gt;&lt;li&gt;&lt;a href=|http://darbybible.com/exodus/37.htm| title=|Darby Bible Translation| target=|_top|&gt;DBY&lt;/a&gt;</v>
      </c>
      <c r="AO8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7" t="str">
        <f>CONCATENATE("&lt;/li&gt;&lt;li&gt;&lt;a href=|http://",AR1191,"/exodus/37.htm","| ","title=|",AR1190,"| target=|_top|&gt;",AR1192,"&lt;/a&gt;")</f>
        <v>&lt;/li&gt;&lt;li&gt;&lt;a href=|http://websterbible.com/exodus/37.htm| title=|Webster's Bible Translation| target=|_top|&gt;WBS&lt;/a&gt;</v>
      </c>
      <c r="AS8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7" t="str">
        <f>CONCATENATE("&lt;/li&gt;&lt;li&gt;&lt;a href=|http://",AT1191,"/exodus/37-1.htm","| ","title=|",AT1190,"| target=|_top|&gt;",AT1192,"&lt;/a&gt;")</f>
        <v>&lt;/li&gt;&lt;li&gt;&lt;a href=|http://biblebrowser.com/exodus/37-1.htm| title=|Split View| target=|_top|&gt;Split&lt;/a&gt;</v>
      </c>
      <c r="AU87" s="2" t="s">
        <v>1276</v>
      </c>
      <c r="AV87" t="s">
        <v>64</v>
      </c>
    </row>
    <row r="88" spans="1:48">
      <c r="A88" t="s">
        <v>622</v>
      </c>
      <c r="B88" t="s">
        <v>141</v>
      </c>
      <c r="C88" t="s">
        <v>624</v>
      </c>
      <c r="D88" t="s">
        <v>1268</v>
      </c>
      <c r="E88" t="s">
        <v>1277</v>
      </c>
      <c r="F88" t="s">
        <v>1304</v>
      </c>
      <c r="G88" t="s">
        <v>1266</v>
      </c>
      <c r="H88" t="s">
        <v>1305</v>
      </c>
      <c r="I88" t="s">
        <v>1303</v>
      </c>
      <c r="J88" t="s">
        <v>1267</v>
      </c>
      <c r="K88" t="s">
        <v>1275</v>
      </c>
      <c r="L88" s="2" t="s">
        <v>1274</v>
      </c>
      <c r="M88" t="str">
        <f t="shared" ref="M88:AB88" si="348">CONCATENATE("&lt;/li&gt;&lt;li&gt;&lt;a href=|http://",M1191,"/exodus/38.htm","| ","title=|",M1190,"| target=|_top|&gt;",M1192,"&lt;/a&gt;")</f>
        <v>&lt;/li&gt;&lt;li&gt;&lt;a href=|http://niv.scripturetext.com/exodus/38.htm| title=|New International Version| target=|_top|&gt;NIV&lt;/a&gt;</v>
      </c>
      <c r="N88" t="str">
        <f t="shared" si="348"/>
        <v>&lt;/li&gt;&lt;li&gt;&lt;a href=|http://nlt.scripturetext.com/exodus/38.htm| title=|New Living Translation| target=|_top|&gt;NLT&lt;/a&gt;</v>
      </c>
      <c r="O88" t="str">
        <f t="shared" si="348"/>
        <v>&lt;/li&gt;&lt;li&gt;&lt;a href=|http://nasb.scripturetext.com/exodus/38.htm| title=|New American Standard Bible| target=|_top|&gt;NAS&lt;/a&gt;</v>
      </c>
      <c r="P88" t="str">
        <f t="shared" si="348"/>
        <v>&lt;/li&gt;&lt;li&gt;&lt;a href=|http://gwt.scripturetext.com/exodus/38.htm| title=|God's Word Translation| target=|_top|&gt;GWT&lt;/a&gt;</v>
      </c>
      <c r="Q88" t="str">
        <f t="shared" si="348"/>
        <v>&lt;/li&gt;&lt;li&gt;&lt;a href=|http://kingjbible.com/exodus/38.htm| title=|King James Bible| target=|_top|&gt;KJV&lt;/a&gt;</v>
      </c>
      <c r="R88" t="str">
        <f t="shared" si="348"/>
        <v>&lt;/li&gt;&lt;li&gt;&lt;a href=|http://asvbible.com/exodus/38.htm| title=|American Standard Version| target=|_top|&gt;ASV&lt;/a&gt;</v>
      </c>
      <c r="S88" t="str">
        <f t="shared" si="348"/>
        <v>&lt;/li&gt;&lt;li&gt;&lt;a href=|http://drb.scripturetext.com/exodus/38.htm| title=|Douay-Rheims Bible| target=|_top|&gt;DRB&lt;/a&gt;</v>
      </c>
      <c r="T88" t="str">
        <f t="shared" si="348"/>
        <v>&lt;/li&gt;&lt;li&gt;&lt;a href=|http://erv.scripturetext.com/exodus/38.htm| title=|English Revised Version| target=|_top|&gt;ERV&lt;/a&gt;</v>
      </c>
      <c r="V88" t="str">
        <f>CONCATENATE("&lt;/li&gt;&lt;li&gt;&lt;a href=|http://",V1191,"/exodus/38.htm","| ","title=|",V1190,"| target=|_top|&gt;",V1192,"&lt;/a&gt;")</f>
        <v>&lt;/li&gt;&lt;li&gt;&lt;a href=|http://study.interlinearbible.org/exodus/38.htm| title=|Hebrew Study Bible| target=|_top|&gt;Heb Study&lt;/a&gt;</v>
      </c>
      <c r="W88" t="str">
        <f t="shared" si="348"/>
        <v>&lt;/li&gt;&lt;li&gt;&lt;a href=|http://apostolic.interlinearbible.org/exodus/38.htm| title=|Apostolic Bible Polyglot Interlinear| target=|_top|&gt;Polyglot&lt;/a&gt;</v>
      </c>
      <c r="X88" t="str">
        <f t="shared" si="348"/>
        <v>&lt;/li&gt;&lt;li&gt;&lt;a href=|http://interlinearbible.org/exodus/38.htm| title=|Interlinear Bible| target=|_top|&gt;Interlin&lt;/a&gt;</v>
      </c>
      <c r="Y88" t="str">
        <f t="shared" ref="Y88" si="349">CONCATENATE("&lt;/li&gt;&lt;li&gt;&lt;a href=|http://",Y1191,"/exodus/38.htm","| ","title=|",Y1190,"| target=|_top|&gt;",Y1192,"&lt;/a&gt;")</f>
        <v>&lt;/li&gt;&lt;li&gt;&lt;a href=|http://bibleoutline.org/exodus/38.htm| title=|Outline with People and Places List| target=|_top|&gt;Outline&lt;/a&gt;</v>
      </c>
      <c r="Z88" t="str">
        <f t="shared" si="348"/>
        <v>&lt;/li&gt;&lt;li&gt;&lt;a href=|http://kjvs.scripturetext.com/exodus/38.htm| title=|King James Bible with Strong's Numbers| target=|_top|&gt;Strong's&lt;/a&gt;</v>
      </c>
      <c r="AA88" t="str">
        <f t="shared" si="348"/>
        <v>&lt;/li&gt;&lt;li&gt;&lt;a href=|http://childrensbibleonline.com/exodus/38.htm| title=|The Children's Bible| target=|_top|&gt;Children's&lt;/a&gt;</v>
      </c>
      <c r="AB88" s="2" t="str">
        <f t="shared" si="348"/>
        <v>&lt;/li&gt;&lt;li&gt;&lt;a href=|http://tsk.scripturetext.com/exodus/38.htm| title=|Treasury of Scripture Knowledge| target=|_top|&gt;TSK&lt;/a&gt;</v>
      </c>
      <c r="AC88" t="str">
        <f>CONCATENATE("&lt;a href=|http://",AC1191,"/exodus/38.htm","| ","title=|",AC1190,"| target=|_top|&gt;",AC1192,"&lt;/a&gt;")</f>
        <v>&lt;a href=|http://parallelbible.com/exodus/38.htm| title=|Parallel Chapters| target=|_top|&gt;PAR&lt;/a&gt;</v>
      </c>
      <c r="AD88" s="2" t="str">
        <f t="shared" ref="AD88:AK88" si="350">CONCATENATE("&lt;/li&gt;&lt;li&gt;&lt;a href=|http://",AD1191,"/exodus/38.htm","| ","title=|",AD1190,"| target=|_top|&gt;",AD1192,"&lt;/a&gt;")</f>
        <v>&lt;/li&gt;&lt;li&gt;&lt;a href=|http://gsb.biblecommenter.com/exodus/38.htm| title=|Geneva Study Bible| target=|_top|&gt;GSB&lt;/a&gt;</v>
      </c>
      <c r="AE88" s="2" t="str">
        <f t="shared" si="350"/>
        <v>&lt;/li&gt;&lt;li&gt;&lt;a href=|http://jfb.biblecommenter.com/exodus/38.htm| title=|Jamieson-Fausset-Brown Bible Commentary| target=|_top|&gt;JFB&lt;/a&gt;</v>
      </c>
      <c r="AF88" s="2" t="str">
        <f t="shared" si="350"/>
        <v>&lt;/li&gt;&lt;li&gt;&lt;a href=|http://kjt.biblecommenter.com/exodus/38.htm| title=|King James Translators' Notes| target=|_top|&gt;KJT&lt;/a&gt;</v>
      </c>
      <c r="AG88" s="2" t="str">
        <f t="shared" si="350"/>
        <v>&lt;/li&gt;&lt;li&gt;&lt;a href=|http://mhc.biblecommenter.com/exodus/38.htm| title=|Matthew Henry's Concise Commentary| target=|_top|&gt;MHC&lt;/a&gt;</v>
      </c>
      <c r="AH88" s="2" t="str">
        <f t="shared" si="350"/>
        <v>&lt;/li&gt;&lt;li&gt;&lt;a href=|http://sco.biblecommenter.com/exodus/38.htm| title=|Scofield Reference Notes| target=|_top|&gt;SCO&lt;/a&gt;</v>
      </c>
      <c r="AI88" s="2" t="str">
        <f t="shared" si="350"/>
        <v>&lt;/li&gt;&lt;li&gt;&lt;a href=|http://wes.biblecommenter.com/exodus/38.htm| title=|Wesley's Notes on the Bible| target=|_top|&gt;WES&lt;/a&gt;</v>
      </c>
      <c r="AJ88" t="str">
        <f t="shared" si="350"/>
        <v>&lt;/li&gt;&lt;li&gt;&lt;a href=|http://worldebible.com/exodus/38.htm| title=|World English Bible| target=|_top|&gt;WEB&lt;/a&gt;</v>
      </c>
      <c r="AK88" t="str">
        <f t="shared" si="350"/>
        <v>&lt;/li&gt;&lt;li&gt;&lt;a href=|http://yltbible.com/exodus/38.htm| title=|Young's Literal Translation| target=|_top|&gt;YLT&lt;/a&gt;</v>
      </c>
      <c r="AL88" t="str">
        <f>CONCATENATE("&lt;a href=|http://",AL1191,"/exodus/38.htm","| ","title=|",AL1190,"| target=|_top|&gt;",AL1192,"&lt;/a&gt;")</f>
        <v>&lt;a href=|http://kjv.us/exodus/38.htm| title=|American King James Version| target=|_top|&gt;AKJ&lt;/a&gt;</v>
      </c>
      <c r="AM88" t="str">
        <f t="shared" ref="AM88:AN88" si="351">CONCATENATE("&lt;/li&gt;&lt;li&gt;&lt;a href=|http://",AM1191,"/exodus/38.htm","| ","title=|",AM1190,"| target=|_top|&gt;",AM1192,"&lt;/a&gt;")</f>
        <v>&lt;/li&gt;&lt;li&gt;&lt;a href=|http://basicenglishbible.com/exodus/38.htm| title=|Bible in Basic English| target=|_top|&gt;BBE&lt;/a&gt;</v>
      </c>
      <c r="AN88" t="str">
        <f t="shared" si="351"/>
        <v>&lt;/li&gt;&lt;li&gt;&lt;a href=|http://darbybible.com/exodus/38.htm| title=|Darby Bible Translation| target=|_top|&gt;DBY&lt;/a&gt;</v>
      </c>
      <c r="AO8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8" t="str">
        <f>CONCATENATE("&lt;/li&gt;&lt;li&gt;&lt;a href=|http://",AR1191,"/exodus/38.htm","| ","title=|",AR1190,"| target=|_top|&gt;",AR1192,"&lt;/a&gt;")</f>
        <v>&lt;/li&gt;&lt;li&gt;&lt;a href=|http://websterbible.com/exodus/38.htm| title=|Webster's Bible Translation| target=|_top|&gt;WBS&lt;/a&gt;</v>
      </c>
      <c r="AS8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8" t="str">
        <f>CONCATENATE("&lt;/li&gt;&lt;li&gt;&lt;a href=|http://",AT1191,"/exodus/38-1.htm","| ","title=|",AT1190,"| target=|_top|&gt;",AT1192,"&lt;/a&gt;")</f>
        <v>&lt;/li&gt;&lt;li&gt;&lt;a href=|http://biblebrowser.com/exodus/38-1.htm| title=|Split View| target=|_top|&gt;Split&lt;/a&gt;</v>
      </c>
      <c r="AU88" s="2" t="s">
        <v>1276</v>
      </c>
      <c r="AV88" t="s">
        <v>64</v>
      </c>
    </row>
    <row r="89" spans="1:48">
      <c r="A89" t="s">
        <v>622</v>
      </c>
      <c r="B89" t="s">
        <v>142</v>
      </c>
      <c r="C89" t="s">
        <v>624</v>
      </c>
      <c r="D89" t="s">
        <v>1268</v>
      </c>
      <c r="E89" t="s">
        <v>1277</v>
      </c>
      <c r="F89" t="s">
        <v>1304</v>
      </c>
      <c r="G89" t="s">
        <v>1266</v>
      </c>
      <c r="H89" t="s">
        <v>1305</v>
      </c>
      <c r="I89" t="s">
        <v>1303</v>
      </c>
      <c r="J89" t="s">
        <v>1267</v>
      </c>
      <c r="K89" t="s">
        <v>1275</v>
      </c>
      <c r="L89" s="2" t="s">
        <v>1274</v>
      </c>
      <c r="M89" t="str">
        <f t="shared" ref="M89:AB89" si="352">CONCATENATE("&lt;/li&gt;&lt;li&gt;&lt;a href=|http://",M1191,"/exodus/39.htm","| ","title=|",M1190,"| target=|_top|&gt;",M1192,"&lt;/a&gt;")</f>
        <v>&lt;/li&gt;&lt;li&gt;&lt;a href=|http://niv.scripturetext.com/exodus/39.htm| title=|New International Version| target=|_top|&gt;NIV&lt;/a&gt;</v>
      </c>
      <c r="N89" t="str">
        <f t="shared" si="352"/>
        <v>&lt;/li&gt;&lt;li&gt;&lt;a href=|http://nlt.scripturetext.com/exodus/39.htm| title=|New Living Translation| target=|_top|&gt;NLT&lt;/a&gt;</v>
      </c>
      <c r="O89" t="str">
        <f t="shared" si="352"/>
        <v>&lt;/li&gt;&lt;li&gt;&lt;a href=|http://nasb.scripturetext.com/exodus/39.htm| title=|New American Standard Bible| target=|_top|&gt;NAS&lt;/a&gt;</v>
      </c>
      <c r="P89" t="str">
        <f t="shared" si="352"/>
        <v>&lt;/li&gt;&lt;li&gt;&lt;a href=|http://gwt.scripturetext.com/exodus/39.htm| title=|God's Word Translation| target=|_top|&gt;GWT&lt;/a&gt;</v>
      </c>
      <c r="Q89" t="str">
        <f t="shared" si="352"/>
        <v>&lt;/li&gt;&lt;li&gt;&lt;a href=|http://kingjbible.com/exodus/39.htm| title=|King James Bible| target=|_top|&gt;KJV&lt;/a&gt;</v>
      </c>
      <c r="R89" t="str">
        <f t="shared" si="352"/>
        <v>&lt;/li&gt;&lt;li&gt;&lt;a href=|http://asvbible.com/exodus/39.htm| title=|American Standard Version| target=|_top|&gt;ASV&lt;/a&gt;</v>
      </c>
      <c r="S89" t="str">
        <f t="shared" si="352"/>
        <v>&lt;/li&gt;&lt;li&gt;&lt;a href=|http://drb.scripturetext.com/exodus/39.htm| title=|Douay-Rheims Bible| target=|_top|&gt;DRB&lt;/a&gt;</v>
      </c>
      <c r="T89" t="str">
        <f t="shared" si="352"/>
        <v>&lt;/li&gt;&lt;li&gt;&lt;a href=|http://erv.scripturetext.com/exodus/39.htm| title=|English Revised Version| target=|_top|&gt;ERV&lt;/a&gt;</v>
      </c>
      <c r="V89" t="str">
        <f>CONCATENATE("&lt;/li&gt;&lt;li&gt;&lt;a href=|http://",V1191,"/exodus/39.htm","| ","title=|",V1190,"| target=|_top|&gt;",V1192,"&lt;/a&gt;")</f>
        <v>&lt;/li&gt;&lt;li&gt;&lt;a href=|http://study.interlinearbible.org/exodus/39.htm| title=|Hebrew Study Bible| target=|_top|&gt;Heb Study&lt;/a&gt;</v>
      </c>
      <c r="W89" t="str">
        <f t="shared" si="352"/>
        <v>&lt;/li&gt;&lt;li&gt;&lt;a href=|http://apostolic.interlinearbible.org/exodus/39.htm| title=|Apostolic Bible Polyglot Interlinear| target=|_top|&gt;Polyglot&lt;/a&gt;</v>
      </c>
      <c r="X89" t="str">
        <f t="shared" si="352"/>
        <v>&lt;/li&gt;&lt;li&gt;&lt;a href=|http://interlinearbible.org/exodus/39.htm| title=|Interlinear Bible| target=|_top|&gt;Interlin&lt;/a&gt;</v>
      </c>
      <c r="Y89" t="str">
        <f t="shared" ref="Y89" si="353">CONCATENATE("&lt;/li&gt;&lt;li&gt;&lt;a href=|http://",Y1191,"/exodus/39.htm","| ","title=|",Y1190,"| target=|_top|&gt;",Y1192,"&lt;/a&gt;")</f>
        <v>&lt;/li&gt;&lt;li&gt;&lt;a href=|http://bibleoutline.org/exodus/39.htm| title=|Outline with People and Places List| target=|_top|&gt;Outline&lt;/a&gt;</v>
      </c>
      <c r="Z89" t="str">
        <f t="shared" si="352"/>
        <v>&lt;/li&gt;&lt;li&gt;&lt;a href=|http://kjvs.scripturetext.com/exodus/39.htm| title=|King James Bible with Strong's Numbers| target=|_top|&gt;Strong's&lt;/a&gt;</v>
      </c>
      <c r="AA89" t="str">
        <f t="shared" si="352"/>
        <v>&lt;/li&gt;&lt;li&gt;&lt;a href=|http://childrensbibleonline.com/exodus/39.htm| title=|The Children's Bible| target=|_top|&gt;Children's&lt;/a&gt;</v>
      </c>
      <c r="AB89" s="2" t="str">
        <f t="shared" si="352"/>
        <v>&lt;/li&gt;&lt;li&gt;&lt;a href=|http://tsk.scripturetext.com/exodus/39.htm| title=|Treasury of Scripture Knowledge| target=|_top|&gt;TSK&lt;/a&gt;</v>
      </c>
      <c r="AC89" t="str">
        <f>CONCATENATE("&lt;a href=|http://",AC1191,"/exodus/39.htm","| ","title=|",AC1190,"| target=|_top|&gt;",AC1192,"&lt;/a&gt;")</f>
        <v>&lt;a href=|http://parallelbible.com/exodus/39.htm| title=|Parallel Chapters| target=|_top|&gt;PAR&lt;/a&gt;</v>
      </c>
      <c r="AD89" s="2" t="str">
        <f t="shared" ref="AD89:AK89" si="354">CONCATENATE("&lt;/li&gt;&lt;li&gt;&lt;a href=|http://",AD1191,"/exodus/39.htm","| ","title=|",AD1190,"| target=|_top|&gt;",AD1192,"&lt;/a&gt;")</f>
        <v>&lt;/li&gt;&lt;li&gt;&lt;a href=|http://gsb.biblecommenter.com/exodus/39.htm| title=|Geneva Study Bible| target=|_top|&gt;GSB&lt;/a&gt;</v>
      </c>
      <c r="AE89" s="2" t="str">
        <f t="shared" si="354"/>
        <v>&lt;/li&gt;&lt;li&gt;&lt;a href=|http://jfb.biblecommenter.com/exodus/39.htm| title=|Jamieson-Fausset-Brown Bible Commentary| target=|_top|&gt;JFB&lt;/a&gt;</v>
      </c>
      <c r="AF89" s="2" t="str">
        <f t="shared" si="354"/>
        <v>&lt;/li&gt;&lt;li&gt;&lt;a href=|http://kjt.biblecommenter.com/exodus/39.htm| title=|King James Translators' Notes| target=|_top|&gt;KJT&lt;/a&gt;</v>
      </c>
      <c r="AG89" s="2" t="str">
        <f t="shared" si="354"/>
        <v>&lt;/li&gt;&lt;li&gt;&lt;a href=|http://mhc.biblecommenter.com/exodus/39.htm| title=|Matthew Henry's Concise Commentary| target=|_top|&gt;MHC&lt;/a&gt;</v>
      </c>
      <c r="AH89" s="2" t="str">
        <f t="shared" si="354"/>
        <v>&lt;/li&gt;&lt;li&gt;&lt;a href=|http://sco.biblecommenter.com/exodus/39.htm| title=|Scofield Reference Notes| target=|_top|&gt;SCO&lt;/a&gt;</v>
      </c>
      <c r="AI89" s="2" t="str">
        <f t="shared" si="354"/>
        <v>&lt;/li&gt;&lt;li&gt;&lt;a href=|http://wes.biblecommenter.com/exodus/39.htm| title=|Wesley's Notes on the Bible| target=|_top|&gt;WES&lt;/a&gt;</v>
      </c>
      <c r="AJ89" t="str">
        <f t="shared" si="354"/>
        <v>&lt;/li&gt;&lt;li&gt;&lt;a href=|http://worldebible.com/exodus/39.htm| title=|World English Bible| target=|_top|&gt;WEB&lt;/a&gt;</v>
      </c>
      <c r="AK89" t="str">
        <f t="shared" si="354"/>
        <v>&lt;/li&gt;&lt;li&gt;&lt;a href=|http://yltbible.com/exodus/39.htm| title=|Young's Literal Translation| target=|_top|&gt;YLT&lt;/a&gt;</v>
      </c>
      <c r="AL89" t="str">
        <f>CONCATENATE("&lt;a href=|http://",AL1191,"/exodus/39.htm","| ","title=|",AL1190,"| target=|_top|&gt;",AL1192,"&lt;/a&gt;")</f>
        <v>&lt;a href=|http://kjv.us/exodus/39.htm| title=|American King James Version| target=|_top|&gt;AKJ&lt;/a&gt;</v>
      </c>
      <c r="AM89" t="str">
        <f t="shared" ref="AM89:AN89" si="355">CONCATENATE("&lt;/li&gt;&lt;li&gt;&lt;a href=|http://",AM1191,"/exodus/39.htm","| ","title=|",AM1190,"| target=|_top|&gt;",AM1192,"&lt;/a&gt;")</f>
        <v>&lt;/li&gt;&lt;li&gt;&lt;a href=|http://basicenglishbible.com/exodus/39.htm| title=|Bible in Basic English| target=|_top|&gt;BBE&lt;/a&gt;</v>
      </c>
      <c r="AN89" t="str">
        <f t="shared" si="355"/>
        <v>&lt;/li&gt;&lt;li&gt;&lt;a href=|http://darbybible.com/exodus/39.htm| title=|Darby Bible Translation| target=|_top|&gt;DBY&lt;/a&gt;</v>
      </c>
      <c r="AO8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9" t="str">
        <f>CONCATENATE("&lt;/li&gt;&lt;li&gt;&lt;a href=|http://",AR1191,"/exodus/39.htm","| ","title=|",AR1190,"| target=|_top|&gt;",AR1192,"&lt;/a&gt;")</f>
        <v>&lt;/li&gt;&lt;li&gt;&lt;a href=|http://websterbible.com/exodus/39.htm| title=|Webster's Bible Translation| target=|_top|&gt;WBS&lt;/a&gt;</v>
      </c>
      <c r="AS8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9" t="str">
        <f>CONCATENATE("&lt;/li&gt;&lt;li&gt;&lt;a href=|http://",AT1191,"/exodus/39-1.htm","| ","title=|",AT1190,"| target=|_top|&gt;",AT1192,"&lt;/a&gt;")</f>
        <v>&lt;/li&gt;&lt;li&gt;&lt;a href=|http://biblebrowser.com/exodus/39-1.htm| title=|Split View| target=|_top|&gt;Split&lt;/a&gt;</v>
      </c>
      <c r="AU89" s="2" t="s">
        <v>1276</v>
      </c>
      <c r="AV89" t="s">
        <v>64</v>
      </c>
    </row>
    <row r="90" spans="1:48">
      <c r="A90" t="s">
        <v>622</v>
      </c>
      <c r="B90" t="s">
        <v>143</v>
      </c>
      <c r="C90" t="s">
        <v>624</v>
      </c>
      <c r="D90" t="s">
        <v>1268</v>
      </c>
      <c r="E90" t="s">
        <v>1277</v>
      </c>
      <c r="F90" t="s">
        <v>1304</v>
      </c>
      <c r="G90" t="s">
        <v>1266</v>
      </c>
      <c r="H90" t="s">
        <v>1305</v>
      </c>
      <c r="I90" t="s">
        <v>1303</v>
      </c>
      <c r="J90" t="s">
        <v>1267</v>
      </c>
      <c r="K90" t="s">
        <v>1275</v>
      </c>
      <c r="L90" s="2" t="s">
        <v>1274</v>
      </c>
      <c r="M90" t="str">
        <f t="shared" ref="M90:AB90" si="356">CONCATENATE("&lt;/li&gt;&lt;li&gt;&lt;a href=|http://",M1191,"/exodus/40.htm","| ","title=|",M1190,"| target=|_top|&gt;",M1192,"&lt;/a&gt;")</f>
        <v>&lt;/li&gt;&lt;li&gt;&lt;a href=|http://niv.scripturetext.com/exodus/40.htm| title=|New International Version| target=|_top|&gt;NIV&lt;/a&gt;</v>
      </c>
      <c r="N90" t="str">
        <f t="shared" si="356"/>
        <v>&lt;/li&gt;&lt;li&gt;&lt;a href=|http://nlt.scripturetext.com/exodus/40.htm| title=|New Living Translation| target=|_top|&gt;NLT&lt;/a&gt;</v>
      </c>
      <c r="O90" t="str">
        <f t="shared" si="356"/>
        <v>&lt;/li&gt;&lt;li&gt;&lt;a href=|http://nasb.scripturetext.com/exodus/40.htm| title=|New American Standard Bible| target=|_top|&gt;NAS&lt;/a&gt;</v>
      </c>
      <c r="P90" t="str">
        <f t="shared" si="356"/>
        <v>&lt;/li&gt;&lt;li&gt;&lt;a href=|http://gwt.scripturetext.com/exodus/40.htm| title=|God's Word Translation| target=|_top|&gt;GWT&lt;/a&gt;</v>
      </c>
      <c r="Q90" t="str">
        <f t="shared" si="356"/>
        <v>&lt;/li&gt;&lt;li&gt;&lt;a href=|http://kingjbible.com/exodus/40.htm| title=|King James Bible| target=|_top|&gt;KJV&lt;/a&gt;</v>
      </c>
      <c r="R90" t="str">
        <f t="shared" si="356"/>
        <v>&lt;/li&gt;&lt;li&gt;&lt;a href=|http://asvbible.com/exodus/40.htm| title=|American Standard Version| target=|_top|&gt;ASV&lt;/a&gt;</v>
      </c>
      <c r="S90" t="str">
        <f t="shared" si="356"/>
        <v>&lt;/li&gt;&lt;li&gt;&lt;a href=|http://drb.scripturetext.com/exodus/40.htm| title=|Douay-Rheims Bible| target=|_top|&gt;DRB&lt;/a&gt;</v>
      </c>
      <c r="T90" t="str">
        <f t="shared" si="356"/>
        <v>&lt;/li&gt;&lt;li&gt;&lt;a href=|http://erv.scripturetext.com/exodus/40.htm| title=|English Revised Version| target=|_top|&gt;ERV&lt;/a&gt;</v>
      </c>
      <c r="V90" t="str">
        <f>CONCATENATE("&lt;/li&gt;&lt;li&gt;&lt;a href=|http://",V1191,"/exodus/40.htm","| ","title=|",V1190,"| target=|_top|&gt;",V1192,"&lt;/a&gt;")</f>
        <v>&lt;/li&gt;&lt;li&gt;&lt;a href=|http://study.interlinearbible.org/exodus/40.htm| title=|Hebrew Study Bible| target=|_top|&gt;Heb Study&lt;/a&gt;</v>
      </c>
      <c r="W90" t="str">
        <f t="shared" si="356"/>
        <v>&lt;/li&gt;&lt;li&gt;&lt;a href=|http://apostolic.interlinearbible.org/exodus/40.htm| title=|Apostolic Bible Polyglot Interlinear| target=|_top|&gt;Polyglot&lt;/a&gt;</v>
      </c>
      <c r="X90" t="str">
        <f t="shared" si="356"/>
        <v>&lt;/li&gt;&lt;li&gt;&lt;a href=|http://interlinearbible.org/exodus/40.htm| title=|Interlinear Bible| target=|_top|&gt;Interlin&lt;/a&gt;</v>
      </c>
      <c r="Y90" t="str">
        <f t="shared" ref="Y90" si="357">CONCATENATE("&lt;/li&gt;&lt;li&gt;&lt;a href=|http://",Y1191,"/exodus/40.htm","| ","title=|",Y1190,"| target=|_top|&gt;",Y1192,"&lt;/a&gt;")</f>
        <v>&lt;/li&gt;&lt;li&gt;&lt;a href=|http://bibleoutline.org/exodus/40.htm| title=|Outline with People and Places List| target=|_top|&gt;Outline&lt;/a&gt;</v>
      </c>
      <c r="Z90" t="str">
        <f t="shared" si="356"/>
        <v>&lt;/li&gt;&lt;li&gt;&lt;a href=|http://kjvs.scripturetext.com/exodus/40.htm| title=|King James Bible with Strong's Numbers| target=|_top|&gt;Strong's&lt;/a&gt;</v>
      </c>
      <c r="AA90" t="str">
        <f t="shared" si="356"/>
        <v>&lt;/li&gt;&lt;li&gt;&lt;a href=|http://childrensbibleonline.com/exodus/40.htm| title=|The Children's Bible| target=|_top|&gt;Children's&lt;/a&gt;</v>
      </c>
      <c r="AB90" s="2" t="str">
        <f t="shared" si="356"/>
        <v>&lt;/li&gt;&lt;li&gt;&lt;a href=|http://tsk.scripturetext.com/exodus/40.htm| title=|Treasury of Scripture Knowledge| target=|_top|&gt;TSK&lt;/a&gt;</v>
      </c>
      <c r="AC90" t="str">
        <f>CONCATENATE("&lt;a href=|http://",AC1191,"/exodus/40.htm","| ","title=|",AC1190,"| target=|_top|&gt;",AC1192,"&lt;/a&gt;")</f>
        <v>&lt;a href=|http://parallelbible.com/exodus/40.htm| title=|Parallel Chapters| target=|_top|&gt;PAR&lt;/a&gt;</v>
      </c>
      <c r="AD90" s="2" t="str">
        <f t="shared" ref="AD90:AK90" si="358">CONCATENATE("&lt;/li&gt;&lt;li&gt;&lt;a href=|http://",AD1191,"/exodus/40.htm","| ","title=|",AD1190,"| target=|_top|&gt;",AD1192,"&lt;/a&gt;")</f>
        <v>&lt;/li&gt;&lt;li&gt;&lt;a href=|http://gsb.biblecommenter.com/exodus/40.htm| title=|Geneva Study Bible| target=|_top|&gt;GSB&lt;/a&gt;</v>
      </c>
      <c r="AE90" s="2" t="str">
        <f t="shared" si="358"/>
        <v>&lt;/li&gt;&lt;li&gt;&lt;a href=|http://jfb.biblecommenter.com/exodus/40.htm| title=|Jamieson-Fausset-Brown Bible Commentary| target=|_top|&gt;JFB&lt;/a&gt;</v>
      </c>
      <c r="AF90" s="2" t="str">
        <f t="shared" si="358"/>
        <v>&lt;/li&gt;&lt;li&gt;&lt;a href=|http://kjt.biblecommenter.com/exodus/40.htm| title=|King James Translators' Notes| target=|_top|&gt;KJT&lt;/a&gt;</v>
      </c>
      <c r="AG90" s="2" t="str">
        <f t="shared" si="358"/>
        <v>&lt;/li&gt;&lt;li&gt;&lt;a href=|http://mhc.biblecommenter.com/exodus/40.htm| title=|Matthew Henry's Concise Commentary| target=|_top|&gt;MHC&lt;/a&gt;</v>
      </c>
      <c r="AH90" s="2" t="str">
        <f t="shared" si="358"/>
        <v>&lt;/li&gt;&lt;li&gt;&lt;a href=|http://sco.biblecommenter.com/exodus/40.htm| title=|Scofield Reference Notes| target=|_top|&gt;SCO&lt;/a&gt;</v>
      </c>
      <c r="AI90" s="2" t="str">
        <f t="shared" si="358"/>
        <v>&lt;/li&gt;&lt;li&gt;&lt;a href=|http://wes.biblecommenter.com/exodus/40.htm| title=|Wesley's Notes on the Bible| target=|_top|&gt;WES&lt;/a&gt;</v>
      </c>
      <c r="AJ90" t="str">
        <f t="shared" si="358"/>
        <v>&lt;/li&gt;&lt;li&gt;&lt;a href=|http://worldebible.com/exodus/40.htm| title=|World English Bible| target=|_top|&gt;WEB&lt;/a&gt;</v>
      </c>
      <c r="AK90" t="str">
        <f t="shared" si="358"/>
        <v>&lt;/li&gt;&lt;li&gt;&lt;a href=|http://yltbible.com/exodus/40.htm| title=|Young's Literal Translation| target=|_top|&gt;YLT&lt;/a&gt;</v>
      </c>
      <c r="AL90" t="str">
        <f>CONCATENATE("&lt;a href=|http://",AL1191,"/exodus/40.htm","| ","title=|",AL1190,"| target=|_top|&gt;",AL1192,"&lt;/a&gt;")</f>
        <v>&lt;a href=|http://kjv.us/exodus/40.htm| title=|American King James Version| target=|_top|&gt;AKJ&lt;/a&gt;</v>
      </c>
      <c r="AM90" t="str">
        <f t="shared" ref="AM90:AN90" si="359">CONCATENATE("&lt;/li&gt;&lt;li&gt;&lt;a href=|http://",AM1191,"/exodus/40.htm","| ","title=|",AM1190,"| target=|_top|&gt;",AM1192,"&lt;/a&gt;")</f>
        <v>&lt;/li&gt;&lt;li&gt;&lt;a href=|http://basicenglishbible.com/exodus/40.htm| title=|Bible in Basic English| target=|_top|&gt;BBE&lt;/a&gt;</v>
      </c>
      <c r="AN90" t="str">
        <f t="shared" si="359"/>
        <v>&lt;/li&gt;&lt;li&gt;&lt;a href=|http://darbybible.com/exodus/40.htm| title=|Darby Bible Translation| target=|_top|&gt;DBY&lt;/a&gt;</v>
      </c>
      <c r="AO9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0" t="str">
        <f>CONCATENATE("&lt;/li&gt;&lt;li&gt;&lt;a href=|http://",AR1191,"/exodus/40.htm","| ","title=|",AR1190,"| target=|_top|&gt;",AR1192,"&lt;/a&gt;")</f>
        <v>&lt;/li&gt;&lt;li&gt;&lt;a href=|http://websterbible.com/exodus/40.htm| title=|Webster's Bible Translation| target=|_top|&gt;WBS&lt;/a&gt;</v>
      </c>
      <c r="AS9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0" t="str">
        <f>CONCATENATE("&lt;/li&gt;&lt;li&gt;&lt;a href=|http://",AT1191,"/exodus/40-1.htm","| ","title=|",AT1190,"| target=|_top|&gt;",AT1192,"&lt;/a&gt;")</f>
        <v>&lt;/li&gt;&lt;li&gt;&lt;a href=|http://biblebrowser.com/exodus/40-1.htm| title=|Split View| target=|_top|&gt;Split&lt;/a&gt;</v>
      </c>
      <c r="AU90" s="2" t="s">
        <v>1276</v>
      </c>
      <c r="AV90" t="s">
        <v>64</v>
      </c>
    </row>
    <row r="91" spans="1:48">
      <c r="A91" t="s">
        <v>622</v>
      </c>
      <c r="B91" t="s">
        <v>144</v>
      </c>
      <c r="C91" t="s">
        <v>624</v>
      </c>
      <c r="D91" t="s">
        <v>1268</v>
      </c>
      <c r="E91" t="s">
        <v>1277</v>
      </c>
      <c r="F91" t="s">
        <v>1304</v>
      </c>
      <c r="G91" t="s">
        <v>1266</v>
      </c>
      <c r="H91" t="s">
        <v>1305</v>
      </c>
      <c r="I91" t="s">
        <v>1303</v>
      </c>
      <c r="J91" t="s">
        <v>1267</v>
      </c>
      <c r="K91" t="s">
        <v>1275</v>
      </c>
      <c r="L91" s="2" t="s">
        <v>1274</v>
      </c>
      <c r="M91" t="str">
        <f t="shared" ref="M91:AB91" si="360">CONCATENATE("&lt;/li&gt;&lt;li&gt;&lt;a href=|http://",M1191,"/leviticus/1.htm","| ","title=|",M1190,"| target=|_top|&gt;",M1192,"&lt;/a&gt;")</f>
        <v>&lt;/li&gt;&lt;li&gt;&lt;a href=|http://niv.scripturetext.com/leviticus/1.htm| title=|New International Version| target=|_top|&gt;NIV&lt;/a&gt;</v>
      </c>
      <c r="N91" t="str">
        <f t="shared" si="360"/>
        <v>&lt;/li&gt;&lt;li&gt;&lt;a href=|http://nlt.scripturetext.com/leviticus/1.htm| title=|New Living Translation| target=|_top|&gt;NLT&lt;/a&gt;</v>
      </c>
      <c r="O91" t="str">
        <f t="shared" si="360"/>
        <v>&lt;/li&gt;&lt;li&gt;&lt;a href=|http://nasb.scripturetext.com/leviticus/1.htm| title=|New American Standard Bible| target=|_top|&gt;NAS&lt;/a&gt;</v>
      </c>
      <c r="P91" t="str">
        <f t="shared" si="360"/>
        <v>&lt;/li&gt;&lt;li&gt;&lt;a href=|http://gwt.scripturetext.com/leviticus/1.htm| title=|God's Word Translation| target=|_top|&gt;GWT&lt;/a&gt;</v>
      </c>
      <c r="Q91" t="str">
        <f t="shared" si="360"/>
        <v>&lt;/li&gt;&lt;li&gt;&lt;a href=|http://kingjbible.com/leviticus/1.htm| title=|King James Bible| target=|_top|&gt;KJV&lt;/a&gt;</v>
      </c>
      <c r="R91" t="str">
        <f t="shared" si="360"/>
        <v>&lt;/li&gt;&lt;li&gt;&lt;a href=|http://asvbible.com/leviticus/1.htm| title=|American Standard Version| target=|_top|&gt;ASV&lt;/a&gt;</v>
      </c>
      <c r="S91" t="str">
        <f t="shared" si="360"/>
        <v>&lt;/li&gt;&lt;li&gt;&lt;a href=|http://drb.scripturetext.com/leviticus/1.htm| title=|Douay-Rheims Bible| target=|_top|&gt;DRB&lt;/a&gt;</v>
      </c>
      <c r="T91" t="str">
        <f t="shared" si="360"/>
        <v>&lt;/li&gt;&lt;li&gt;&lt;a href=|http://erv.scripturetext.com/leviticus/1.htm| title=|English Revised Version| target=|_top|&gt;ERV&lt;/a&gt;</v>
      </c>
      <c r="V91" t="str">
        <f>CONCATENATE("&lt;/li&gt;&lt;li&gt;&lt;a href=|http://",V1191,"/leviticus/1.htm","| ","title=|",V1190,"| target=|_top|&gt;",V1192,"&lt;/a&gt;")</f>
        <v>&lt;/li&gt;&lt;li&gt;&lt;a href=|http://study.interlinearbible.org/leviticus/1.htm| title=|Hebrew Study Bible| target=|_top|&gt;Heb Study&lt;/a&gt;</v>
      </c>
      <c r="W91" t="str">
        <f t="shared" si="360"/>
        <v>&lt;/li&gt;&lt;li&gt;&lt;a href=|http://apostolic.interlinearbible.org/leviticus/1.htm| title=|Apostolic Bible Polyglot Interlinear| target=|_top|&gt;Polyglot&lt;/a&gt;</v>
      </c>
      <c r="X91" t="str">
        <f t="shared" si="360"/>
        <v>&lt;/li&gt;&lt;li&gt;&lt;a href=|http://interlinearbible.org/leviticus/1.htm| title=|Interlinear Bible| target=|_top|&gt;Interlin&lt;/a&gt;</v>
      </c>
      <c r="Y91" t="str">
        <f t="shared" ref="Y91" si="361">CONCATENATE("&lt;/li&gt;&lt;li&gt;&lt;a href=|http://",Y1191,"/leviticus/1.htm","| ","title=|",Y1190,"| target=|_top|&gt;",Y1192,"&lt;/a&gt;")</f>
        <v>&lt;/li&gt;&lt;li&gt;&lt;a href=|http://bibleoutline.org/leviticus/1.htm| title=|Outline with People and Places List| target=|_top|&gt;Outline&lt;/a&gt;</v>
      </c>
      <c r="Z91" t="str">
        <f t="shared" si="360"/>
        <v>&lt;/li&gt;&lt;li&gt;&lt;a href=|http://kjvs.scripturetext.com/leviticus/1.htm| title=|King James Bible with Strong's Numbers| target=|_top|&gt;Strong's&lt;/a&gt;</v>
      </c>
      <c r="AA91" t="str">
        <f t="shared" si="360"/>
        <v>&lt;/li&gt;&lt;li&gt;&lt;a href=|http://childrensbibleonline.com/leviticus/1.htm| title=|The Children's Bible| target=|_top|&gt;Children's&lt;/a&gt;</v>
      </c>
      <c r="AB91" s="2" t="str">
        <f t="shared" si="360"/>
        <v>&lt;/li&gt;&lt;li&gt;&lt;a href=|http://tsk.scripturetext.com/leviticus/1.htm| title=|Treasury of Scripture Knowledge| target=|_top|&gt;TSK&lt;/a&gt;</v>
      </c>
      <c r="AC91" t="str">
        <f>CONCATENATE("&lt;a href=|http://",AC1191,"/leviticus/1.htm","| ","title=|",AC1190,"| target=|_top|&gt;",AC1192,"&lt;/a&gt;")</f>
        <v>&lt;a href=|http://parallelbible.com/leviticus/1.htm| title=|Parallel Chapters| target=|_top|&gt;PAR&lt;/a&gt;</v>
      </c>
      <c r="AD91" s="2" t="str">
        <f t="shared" ref="AD91:AK91" si="362">CONCATENATE("&lt;/li&gt;&lt;li&gt;&lt;a href=|http://",AD1191,"/leviticus/1.htm","| ","title=|",AD1190,"| target=|_top|&gt;",AD1192,"&lt;/a&gt;")</f>
        <v>&lt;/li&gt;&lt;li&gt;&lt;a href=|http://gsb.biblecommenter.com/leviticus/1.htm| title=|Geneva Study Bible| target=|_top|&gt;GSB&lt;/a&gt;</v>
      </c>
      <c r="AE91" s="2" t="str">
        <f t="shared" si="362"/>
        <v>&lt;/li&gt;&lt;li&gt;&lt;a href=|http://jfb.biblecommenter.com/leviticus/1.htm| title=|Jamieson-Fausset-Brown Bible Commentary| target=|_top|&gt;JFB&lt;/a&gt;</v>
      </c>
      <c r="AF91" s="2" t="str">
        <f t="shared" si="362"/>
        <v>&lt;/li&gt;&lt;li&gt;&lt;a href=|http://kjt.biblecommenter.com/leviticus/1.htm| title=|King James Translators' Notes| target=|_top|&gt;KJT&lt;/a&gt;</v>
      </c>
      <c r="AG91" s="2" t="str">
        <f t="shared" si="362"/>
        <v>&lt;/li&gt;&lt;li&gt;&lt;a href=|http://mhc.biblecommenter.com/leviticus/1.htm| title=|Matthew Henry's Concise Commentary| target=|_top|&gt;MHC&lt;/a&gt;</v>
      </c>
      <c r="AH91" s="2" t="str">
        <f t="shared" si="362"/>
        <v>&lt;/li&gt;&lt;li&gt;&lt;a href=|http://sco.biblecommenter.com/leviticus/1.htm| title=|Scofield Reference Notes| target=|_top|&gt;SCO&lt;/a&gt;</v>
      </c>
      <c r="AI91" s="2" t="str">
        <f t="shared" si="362"/>
        <v>&lt;/li&gt;&lt;li&gt;&lt;a href=|http://wes.biblecommenter.com/leviticus/1.htm| title=|Wesley's Notes on the Bible| target=|_top|&gt;WES&lt;/a&gt;</v>
      </c>
      <c r="AJ91" t="str">
        <f t="shared" si="362"/>
        <v>&lt;/li&gt;&lt;li&gt;&lt;a href=|http://worldebible.com/leviticus/1.htm| title=|World English Bible| target=|_top|&gt;WEB&lt;/a&gt;</v>
      </c>
      <c r="AK91" t="str">
        <f t="shared" si="362"/>
        <v>&lt;/li&gt;&lt;li&gt;&lt;a href=|http://yltbible.com/leviticus/1.htm| title=|Young's Literal Translation| target=|_top|&gt;YLT&lt;/a&gt;</v>
      </c>
      <c r="AL91" t="str">
        <f>CONCATENATE("&lt;a href=|http://",AL1191,"/leviticus/1.htm","| ","title=|",AL1190,"| target=|_top|&gt;",AL1192,"&lt;/a&gt;")</f>
        <v>&lt;a href=|http://kjv.us/leviticus/1.htm| title=|American King James Version| target=|_top|&gt;AKJ&lt;/a&gt;</v>
      </c>
      <c r="AM91" t="str">
        <f t="shared" ref="AM91:AN91" si="363">CONCATENATE("&lt;/li&gt;&lt;li&gt;&lt;a href=|http://",AM1191,"/leviticus/1.htm","| ","title=|",AM1190,"| target=|_top|&gt;",AM1192,"&lt;/a&gt;")</f>
        <v>&lt;/li&gt;&lt;li&gt;&lt;a href=|http://basicenglishbible.com/leviticus/1.htm| title=|Bible in Basic English| target=|_top|&gt;BBE&lt;/a&gt;</v>
      </c>
      <c r="AN91" t="str">
        <f t="shared" si="363"/>
        <v>&lt;/li&gt;&lt;li&gt;&lt;a href=|http://darbybible.com/leviticus/1.htm| title=|Darby Bible Translation| target=|_top|&gt;DBY&lt;/a&gt;</v>
      </c>
      <c r="AO9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1" t="str">
        <f>CONCATENATE("&lt;/li&gt;&lt;li&gt;&lt;a href=|http://",AR1191,"/leviticus/1.htm","| ","title=|",AR1190,"| target=|_top|&gt;",AR1192,"&lt;/a&gt;")</f>
        <v>&lt;/li&gt;&lt;li&gt;&lt;a href=|http://websterbible.com/leviticus/1.htm| title=|Webster's Bible Translation| target=|_top|&gt;WBS&lt;/a&gt;</v>
      </c>
      <c r="AS9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1" t="str">
        <f>CONCATENATE("&lt;/li&gt;&lt;li&gt;&lt;a href=|http://",AT1191,"/leviticus/1-1.htm","| ","title=|",AT1190,"| target=|_top|&gt;",AT1192,"&lt;/a&gt;")</f>
        <v>&lt;/li&gt;&lt;li&gt;&lt;a href=|http://biblebrowser.com/leviticus/1-1.htm| title=|Split View| target=|_top|&gt;Split&lt;/a&gt;</v>
      </c>
      <c r="AU91" s="2" t="s">
        <v>1276</v>
      </c>
      <c r="AV91" t="s">
        <v>64</v>
      </c>
    </row>
    <row r="92" spans="1:48">
      <c r="A92" t="s">
        <v>622</v>
      </c>
      <c r="B92" t="s">
        <v>145</v>
      </c>
      <c r="C92" t="s">
        <v>624</v>
      </c>
      <c r="D92" t="s">
        <v>1268</v>
      </c>
      <c r="E92" t="s">
        <v>1277</v>
      </c>
      <c r="F92" t="s">
        <v>1304</v>
      </c>
      <c r="G92" t="s">
        <v>1266</v>
      </c>
      <c r="H92" t="s">
        <v>1305</v>
      </c>
      <c r="I92" t="s">
        <v>1303</v>
      </c>
      <c r="J92" t="s">
        <v>1267</v>
      </c>
      <c r="K92" t="s">
        <v>1275</v>
      </c>
      <c r="L92" s="2" t="s">
        <v>1274</v>
      </c>
      <c r="M92" t="str">
        <f t="shared" ref="M92:AB92" si="364">CONCATENATE("&lt;/li&gt;&lt;li&gt;&lt;a href=|http://",M1191,"/leviticus/2.htm","| ","title=|",M1190,"| target=|_top|&gt;",M1192,"&lt;/a&gt;")</f>
        <v>&lt;/li&gt;&lt;li&gt;&lt;a href=|http://niv.scripturetext.com/leviticus/2.htm| title=|New International Version| target=|_top|&gt;NIV&lt;/a&gt;</v>
      </c>
      <c r="N92" t="str">
        <f t="shared" si="364"/>
        <v>&lt;/li&gt;&lt;li&gt;&lt;a href=|http://nlt.scripturetext.com/leviticus/2.htm| title=|New Living Translation| target=|_top|&gt;NLT&lt;/a&gt;</v>
      </c>
      <c r="O92" t="str">
        <f t="shared" si="364"/>
        <v>&lt;/li&gt;&lt;li&gt;&lt;a href=|http://nasb.scripturetext.com/leviticus/2.htm| title=|New American Standard Bible| target=|_top|&gt;NAS&lt;/a&gt;</v>
      </c>
      <c r="P92" t="str">
        <f t="shared" si="364"/>
        <v>&lt;/li&gt;&lt;li&gt;&lt;a href=|http://gwt.scripturetext.com/leviticus/2.htm| title=|God's Word Translation| target=|_top|&gt;GWT&lt;/a&gt;</v>
      </c>
      <c r="Q92" t="str">
        <f t="shared" si="364"/>
        <v>&lt;/li&gt;&lt;li&gt;&lt;a href=|http://kingjbible.com/leviticus/2.htm| title=|King James Bible| target=|_top|&gt;KJV&lt;/a&gt;</v>
      </c>
      <c r="R92" t="str">
        <f t="shared" si="364"/>
        <v>&lt;/li&gt;&lt;li&gt;&lt;a href=|http://asvbible.com/leviticus/2.htm| title=|American Standard Version| target=|_top|&gt;ASV&lt;/a&gt;</v>
      </c>
      <c r="S92" t="str">
        <f t="shared" si="364"/>
        <v>&lt;/li&gt;&lt;li&gt;&lt;a href=|http://drb.scripturetext.com/leviticus/2.htm| title=|Douay-Rheims Bible| target=|_top|&gt;DRB&lt;/a&gt;</v>
      </c>
      <c r="T92" t="str">
        <f t="shared" si="364"/>
        <v>&lt;/li&gt;&lt;li&gt;&lt;a href=|http://erv.scripturetext.com/leviticus/2.htm| title=|English Revised Version| target=|_top|&gt;ERV&lt;/a&gt;</v>
      </c>
      <c r="V92" t="str">
        <f>CONCATENATE("&lt;/li&gt;&lt;li&gt;&lt;a href=|http://",V1191,"/leviticus/2.htm","| ","title=|",V1190,"| target=|_top|&gt;",V1192,"&lt;/a&gt;")</f>
        <v>&lt;/li&gt;&lt;li&gt;&lt;a href=|http://study.interlinearbible.org/leviticus/2.htm| title=|Hebrew Study Bible| target=|_top|&gt;Heb Study&lt;/a&gt;</v>
      </c>
      <c r="W92" t="str">
        <f t="shared" si="364"/>
        <v>&lt;/li&gt;&lt;li&gt;&lt;a href=|http://apostolic.interlinearbible.org/leviticus/2.htm| title=|Apostolic Bible Polyglot Interlinear| target=|_top|&gt;Polyglot&lt;/a&gt;</v>
      </c>
      <c r="X92" t="str">
        <f t="shared" si="364"/>
        <v>&lt;/li&gt;&lt;li&gt;&lt;a href=|http://interlinearbible.org/leviticus/2.htm| title=|Interlinear Bible| target=|_top|&gt;Interlin&lt;/a&gt;</v>
      </c>
      <c r="Y92" t="str">
        <f t="shared" ref="Y92" si="365">CONCATENATE("&lt;/li&gt;&lt;li&gt;&lt;a href=|http://",Y1191,"/leviticus/2.htm","| ","title=|",Y1190,"| target=|_top|&gt;",Y1192,"&lt;/a&gt;")</f>
        <v>&lt;/li&gt;&lt;li&gt;&lt;a href=|http://bibleoutline.org/leviticus/2.htm| title=|Outline with People and Places List| target=|_top|&gt;Outline&lt;/a&gt;</v>
      </c>
      <c r="Z92" t="str">
        <f t="shared" si="364"/>
        <v>&lt;/li&gt;&lt;li&gt;&lt;a href=|http://kjvs.scripturetext.com/leviticus/2.htm| title=|King James Bible with Strong's Numbers| target=|_top|&gt;Strong's&lt;/a&gt;</v>
      </c>
      <c r="AA92" t="str">
        <f t="shared" si="364"/>
        <v>&lt;/li&gt;&lt;li&gt;&lt;a href=|http://childrensbibleonline.com/leviticus/2.htm| title=|The Children's Bible| target=|_top|&gt;Children's&lt;/a&gt;</v>
      </c>
      <c r="AB92" s="2" t="str">
        <f t="shared" si="364"/>
        <v>&lt;/li&gt;&lt;li&gt;&lt;a href=|http://tsk.scripturetext.com/leviticus/2.htm| title=|Treasury of Scripture Knowledge| target=|_top|&gt;TSK&lt;/a&gt;</v>
      </c>
      <c r="AC92" t="str">
        <f>CONCATENATE("&lt;a href=|http://",AC1191,"/leviticus/2.htm","| ","title=|",AC1190,"| target=|_top|&gt;",AC1192,"&lt;/a&gt;")</f>
        <v>&lt;a href=|http://parallelbible.com/leviticus/2.htm| title=|Parallel Chapters| target=|_top|&gt;PAR&lt;/a&gt;</v>
      </c>
      <c r="AD92" s="2" t="str">
        <f t="shared" ref="AD92:AK92" si="366">CONCATENATE("&lt;/li&gt;&lt;li&gt;&lt;a href=|http://",AD1191,"/leviticus/2.htm","| ","title=|",AD1190,"| target=|_top|&gt;",AD1192,"&lt;/a&gt;")</f>
        <v>&lt;/li&gt;&lt;li&gt;&lt;a href=|http://gsb.biblecommenter.com/leviticus/2.htm| title=|Geneva Study Bible| target=|_top|&gt;GSB&lt;/a&gt;</v>
      </c>
      <c r="AE92" s="2" t="str">
        <f t="shared" si="366"/>
        <v>&lt;/li&gt;&lt;li&gt;&lt;a href=|http://jfb.biblecommenter.com/leviticus/2.htm| title=|Jamieson-Fausset-Brown Bible Commentary| target=|_top|&gt;JFB&lt;/a&gt;</v>
      </c>
      <c r="AF92" s="2" t="str">
        <f t="shared" si="366"/>
        <v>&lt;/li&gt;&lt;li&gt;&lt;a href=|http://kjt.biblecommenter.com/leviticus/2.htm| title=|King James Translators' Notes| target=|_top|&gt;KJT&lt;/a&gt;</v>
      </c>
      <c r="AG92" s="2" t="str">
        <f t="shared" si="366"/>
        <v>&lt;/li&gt;&lt;li&gt;&lt;a href=|http://mhc.biblecommenter.com/leviticus/2.htm| title=|Matthew Henry's Concise Commentary| target=|_top|&gt;MHC&lt;/a&gt;</v>
      </c>
      <c r="AH92" s="2" t="str">
        <f t="shared" si="366"/>
        <v>&lt;/li&gt;&lt;li&gt;&lt;a href=|http://sco.biblecommenter.com/leviticus/2.htm| title=|Scofield Reference Notes| target=|_top|&gt;SCO&lt;/a&gt;</v>
      </c>
      <c r="AI92" s="2" t="str">
        <f t="shared" si="366"/>
        <v>&lt;/li&gt;&lt;li&gt;&lt;a href=|http://wes.biblecommenter.com/leviticus/2.htm| title=|Wesley's Notes on the Bible| target=|_top|&gt;WES&lt;/a&gt;</v>
      </c>
      <c r="AJ92" t="str">
        <f t="shared" si="366"/>
        <v>&lt;/li&gt;&lt;li&gt;&lt;a href=|http://worldebible.com/leviticus/2.htm| title=|World English Bible| target=|_top|&gt;WEB&lt;/a&gt;</v>
      </c>
      <c r="AK92" t="str">
        <f t="shared" si="366"/>
        <v>&lt;/li&gt;&lt;li&gt;&lt;a href=|http://yltbible.com/leviticus/2.htm| title=|Young's Literal Translation| target=|_top|&gt;YLT&lt;/a&gt;</v>
      </c>
      <c r="AL92" t="str">
        <f>CONCATENATE("&lt;a href=|http://",AL1191,"/leviticus/2.htm","| ","title=|",AL1190,"| target=|_top|&gt;",AL1192,"&lt;/a&gt;")</f>
        <v>&lt;a href=|http://kjv.us/leviticus/2.htm| title=|American King James Version| target=|_top|&gt;AKJ&lt;/a&gt;</v>
      </c>
      <c r="AM92" t="str">
        <f t="shared" ref="AM92:AN92" si="367">CONCATENATE("&lt;/li&gt;&lt;li&gt;&lt;a href=|http://",AM1191,"/leviticus/2.htm","| ","title=|",AM1190,"| target=|_top|&gt;",AM1192,"&lt;/a&gt;")</f>
        <v>&lt;/li&gt;&lt;li&gt;&lt;a href=|http://basicenglishbible.com/leviticus/2.htm| title=|Bible in Basic English| target=|_top|&gt;BBE&lt;/a&gt;</v>
      </c>
      <c r="AN92" t="str">
        <f t="shared" si="367"/>
        <v>&lt;/li&gt;&lt;li&gt;&lt;a href=|http://darbybible.com/leviticus/2.htm| title=|Darby Bible Translation| target=|_top|&gt;DBY&lt;/a&gt;</v>
      </c>
      <c r="AO9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2" t="str">
        <f>CONCATENATE("&lt;/li&gt;&lt;li&gt;&lt;a href=|http://",AR1191,"/leviticus/2.htm","| ","title=|",AR1190,"| target=|_top|&gt;",AR1192,"&lt;/a&gt;")</f>
        <v>&lt;/li&gt;&lt;li&gt;&lt;a href=|http://websterbible.com/leviticus/2.htm| title=|Webster's Bible Translation| target=|_top|&gt;WBS&lt;/a&gt;</v>
      </c>
      <c r="AS9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2" t="str">
        <f>CONCATENATE("&lt;/li&gt;&lt;li&gt;&lt;a href=|http://",AT1191,"/leviticus/2-1.htm","| ","title=|",AT1190,"| target=|_top|&gt;",AT1192,"&lt;/a&gt;")</f>
        <v>&lt;/li&gt;&lt;li&gt;&lt;a href=|http://biblebrowser.com/leviticus/2-1.htm| title=|Split View| target=|_top|&gt;Split&lt;/a&gt;</v>
      </c>
      <c r="AU92" s="2" t="s">
        <v>1276</v>
      </c>
      <c r="AV92" t="s">
        <v>64</v>
      </c>
    </row>
    <row r="93" spans="1:48">
      <c r="A93" t="s">
        <v>622</v>
      </c>
      <c r="B93" t="s">
        <v>146</v>
      </c>
      <c r="C93" t="s">
        <v>624</v>
      </c>
      <c r="D93" t="s">
        <v>1268</v>
      </c>
      <c r="E93" t="s">
        <v>1277</v>
      </c>
      <c r="F93" t="s">
        <v>1304</v>
      </c>
      <c r="G93" t="s">
        <v>1266</v>
      </c>
      <c r="H93" t="s">
        <v>1305</v>
      </c>
      <c r="I93" t="s">
        <v>1303</v>
      </c>
      <c r="J93" t="s">
        <v>1267</v>
      </c>
      <c r="K93" t="s">
        <v>1275</v>
      </c>
      <c r="L93" s="2" t="s">
        <v>1274</v>
      </c>
      <c r="M93" t="str">
        <f t="shared" ref="M93:AB93" si="368">CONCATENATE("&lt;/li&gt;&lt;li&gt;&lt;a href=|http://",M1191,"/leviticus/3.htm","| ","title=|",M1190,"| target=|_top|&gt;",M1192,"&lt;/a&gt;")</f>
        <v>&lt;/li&gt;&lt;li&gt;&lt;a href=|http://niv.scripturetext.com/leviticus/3.htm| title=|New International Version| target=|_top|&gt;NIV&lt;/a&gt;</v>
      </c>
      <c r="N93" t="str">
        <f t="shared" si="368"/>
        <v>&lt;/li&gt;&lt;li&gt;&lt;a href=|http://nlt.scripturetext.com/leviticus/3.htm| title=|New Living Translation| target=|_top|&gt;NLT&lt;/a&gt;</v>
      </c>
      <c r="O93" t="str">
        <f t="shared" si="368"/>
        <v>&lt;/li&gt;&lt;li&gt;&lt;a href=|http://nasb.scripturetext.com/leviticus/3.htm| title=|New American Standard Bible| target=|_top|&gt;NAS&lt;/a&gt;</v>
      </c>
      <c r="P93" t="str">
        <f t="shared" si="368"/>
        <v>&lt;/li&gt;&lt;li&gt;&lt;a href=|http://gwt.scripturetext.com/leviticus/3.htm| title=|God's Word Translation| target=|_top|&gt;GWT&lt;/a&gt;</v>
      </c>
      <c r="Q93" t="str">
        <f t="shared" si="368"/>
        <v>&lt;/li&gt;&lt;li&gt;&lt;a href=|http://kingjbible.com/leviticus/3.htm| title=|King James Bible| target=|_top|&gt;KJV&lt;/a&gt;</v>
      </c>
      <c r="R93" t="str">
        <f t="shared" si="368"/>
        <v>&lt;/li&gt;&lt;li&gt;&lt;a href=|http://asvbible.com/leviticus/3.htm| title=|American Standard Version| target=|_top|&gt;ASV&lt;/a&gt;</v>
      </c>
      <c r="S93" t="str">
        <f t="shared" si="368"/>
        <v>&lt;/li&gt;&lt;li&gt;&lt;a href=|http://drb.scripturetext.com/leviticus/3.htm| title=|Douay-Rheims Bible| target=|_top|&gt;DRB&lt;/a&gt;</v>
      </c>
      <c r="T93" t="str">
        <f t="shared" si="368"/>
        <v>&lt;/li&gt;&lt;li&gt;&lt;a href=|http://erv.scripturetext.com/leviticus/3.htm| title=|English Revised Version| target=|_top|&gt;ERV&lt;/a&gt;</v>
      </c>
      <c r="V93" t="str">
        <f>CONCATENATE("&lt;/li&gt;&lt;li&gt;&lt;a href=|http://",V1191,"/leviticus/3.htm","| ","title=|",V1190,"| target=|_top|&gt;",V1192,"&lt;/a&gt;")</f>
        <v>&lt;/li&gt;&lt;li&gt;&lt;a href=|http://study.interlinearbible.org/leviticus/3.htm| title=|Hebrew Study Bible| target=|_top|&gt;Heb Study&lt;/a&gt;</v>
      </c>
      <c r="W93" t="str">
        <f t="shared" si="368"/>
        <v>&lt;/li&gt;&lt;li&gt;&lt;a href=|http://apostolic.interlinearbible.org/leviticus/3.htm| title=|Apostolic Bible Polyglot Interlinear| target=|_top|&gt;Polyglot&lt;/a&gt;</v>
      </c>
      <c r="X93" t="str">
        <f t="shared" si="368"/>
        <v>&lt;/li&gt;&lt;li&gt;&lt;a href=|http://interlinearbible.org/leviticus/3.htm| title=|Interlinear Bible| target=|_top|&gt;Interlin&lt;/a&gt;</v>
      </c>
      <c r="Y93" t="str">
        <f t="shared" ref="Y93" si="369">CONCATENATE("&lt;/li&gt;&lt;li&gt;&lt;a href=|http://",Y1191,"/leviticus/3.htm","| ","title=|",Y1190,"| target=|_top|&gt;",Y1192,"&lt;/a&gt;")</f>
        <v>&lt;/li&gt;&lt;li&gt;&lt;a href=|http://bibleoutline.org/leviticus/3.htm| title=|Outline with People and Places List| target=|_top|&gt;Outline&lt;/a&gt;</v>
      </c>
      <c r="Z93" t="str">
        <f t="shared" si="368"/>
        <v>&lt;/li&gt;&lt;li&gt;&lt;a href=|http://kjvs.scripturetext.com/leviticus/3.htm| title=|King James Bible with Strong's Numbers| target=|_top|&gt;Strong's&lt;/a&gt;</v>
      </c>
      <c r="AA93" t="str">
        <f t="shared" si="368"/>
        <v>&lt;/li&gt;&lt;li&gt;&lt;a href=|http://childrensbibleonline.com/leviticus/3.htm| title=|The Children's Bible| target=|_top|&gt;Children's&lt;/a&gt;</v>
      </c>
      <c r="AB93" s="2" t="str">
        <f t="shared" si="368"/>
        <v>&lt;/li&gt;&lt;li&gt;&lt;a href=|http://tsk.scripturetext.com/leviticus/3.htm| title=|Treasury of Scripture Knowledge| target=|_top|&gt;TSK&lt;/a&gt;</v>
      </c>
      <c r="AC93" t="str">
        <f>CONCATENATE("&lt;a href=|http://",AC1191,"/leviticus/3.htm","| ","title=|",AC1190,"| target=|_top|&gt;",AC1192,"&lt;/a&gt;")</f>
        <v>&lt;a href=|http://parallelbible.com/leviticus/3.htm| title=|Parallel Chapters| target=|_top|&gt;PAR&lt;/a&gt;</v>
      </c>
      <c r="AD93" s="2" t="str">
        <f t="shared" ref="AD93:AK93" si="370">CONCATENATE("&lt;/li&gt;&lt;li&gt;&lt;a href=|http://",AD1191,"/leviticus/3.htm","| ","title=|",AD1190,"| target=|_top|&gt;",AD1192,"&lt;/a&gt;")</f>
        <v>&lt;/li&gt;&lt;li&gt;&lt;a href=|http://gsb.biblecommenter.com/leviticus/3.htm| title=|Geneva Study Bible| target=|_top|&gt;GSB&lt;/a&gt;</v>
      </c>
      <c r="AE93" s="2" t="str">
        <f t="shared" si="370"/>
        <v>&lt;/li&gt;&lt;li&gt;&lt;a href=|http://jfb.biblecommenter.com/leviticus/3.htm| title=|Jamieson-Fausset-Brown Bible Commentary| target=|_top|&gt;JFB&lt;/a&gt;</v>
      </c>
      <c r="AF93" s="2" t="str">
        <f t="shared" si="370"/>
        <v>&lt;/li&gt;&lt;li&gt;&lt;a href=|http://kjt.biblecommenter.com/leviticus/3.htm| title=|King James Translators' Notes| target=|_top|&gt;KJT&lt;/a&gt;</v>
      </c>
      <c r="AG93" s="2" t="str">
        <f t="shared" si="370"/>
        <v>&lt;/li&gt;&lt;li&gt;&lt;a href=|http://mhc.biblecommenter.com/leviticus/3.htm| title=|Matthew Henry's Concise Commentary| target=|_top|&gt;MHC&lt;/a&gt;</v>
      </c>
      <c r="AH93" s="2" t="str">
        <f t="shared" si="370"/>
        <v>&lt;/li&gt;&lt;li&gt;&lt;a href=|http://sco.biblecommenter.com/leviticus/3.htm| title=|Scofield Reference Notes| target=|_top|&gt;SCO&lt;/a&gt;</v>
      </c>
      <c r="AI93" s="2" t="str">
        <f t="shared" si="370"/>
        <v>&lt;/li&gt;&lt;li&gt;&lt;a href=|http://wes.biblecommenter.com/leviticus/3.htm| title=|Wesley's Notes on the Bible| target=|_top|&gt;WES&lt;/a&gt;</v>
      </c>
      <c r="AJ93" t="str">
        <f t="shared" si="370"/>
        <v>&lt;/li&gt;&lt;li&gt;&lt;a href=|http://worldebible.com/leviticus/3.htm| title=|World English Bible| target=|_top|&gt;WEB&lt;/a&gt;</v>
      </c>
      <c r="AK93" t="str">
        <f t="shared" si="370"/>
        <v>&lt;/li&gt;&lt;li&gt;&lt;a href=|http://yltbible.com/leviticus/3.htm| title=|Young's Literal Translation| target=|_top|&gt;YLT&lt;/a&gt;</v>
      </c>
      <c r="AL93" t="str">
        <f>CONCATENATE("&lt;a href=|http://",AL1191,"/leviticus/3.htm","| ","title=|",AL1190,"| target=|_top|&gt;",AL1192,"&lt;/a&gt;")</f>
        <v>&lt;a href=|http://kjv.us/leviticus/3.htm| title=|American King James Version| target=|_top|&gt;AKJ&lt;/a&gt;</v>
      </c>
      <c r="AM93" t="str">
        <f t="shared" ref="AM93:AN93" si="371">CONCATENATE("&lt;/li&gt;&lt;li&gt;&lt;a href=|http://",AM1191,"/leviticus/3.htm","| ","title=|",AM1190,"| target=|_top|&gt;",AM1192,"&lt;/a&gt;")</f>
        <v>&lt;/li&gt;&lt;li&gt;&lt;a href=|http://basicenglishbible.com/leviticus/3.htm| title=|Bible in Basic English| target=|_top|&gt;BBE&lt;/a&gt;</v>
      </c>
      <c r="AN93" t="str">
        <f t="shared" si="371"/>
        <v>&lt;/li&gt;&lt;li&gt;&lt;a href=|http://darbybible.com/leviticus/3.htm| title=|Darby Bible Translation| target=|_top|&gt;DBY&lt;/a&gt;</v>
      </c>
      <c r="AO9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3" t="str">
        <f>CONCATENATE("&lt;/li&gt;&lt;li&gt;&lt;a href=|http://",AR1191,"/leviticus/3.htm","| ","title=|",AR1190,"| target=|_top|&gt;",AR1192,"&lt;/a&gt;")</f>
        <v>&lt;/li&gt;&lt;li&gt;&lt;a href=|http://websterbible.com/leviticus/3.htm| title=|Webster's Bible Translation| target=|_top|&gt;WBS&lt;/a&gt;</v>
      </c>
      <c r="AS9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3" t="str">
        <f>CONCATENATE("&lt;/li&gt;&lt;li&gt;&lt;a href=|http://",AT1191,"/leviticus/3-1.htm","| ","title=|",AT1190,"| target=|_top|&gt;",AT1192,"&lt;/a&gt;")</f>
        <v>&lt;/li&gt;&lt;li&gt;&lt;a href=|http://biblebrowser.com/leviticus/3-1.htm| title=|Split View| target=|_top|&gt;Split&lt;/a&gt;</v>
      </c>
      <c r="AU93" s="2" t="s">
        <v>1276</v>
      </c>
      <c r="AV93" t="s">
        <v>64</v>
      </c>
    </row>
    <row r="94" spans="1:48">
      <c r="A94" t="s">
        <v>622</v>
      </c>
      <c r="B94" t="s">
        <v>147</v>
      </c>
      <c r="C94" t="s">
        <v>624</v>
      </c>
      <c r="D94" t="s">
        <v>1268</v>
      </c>
      <c r="E94" t="s">
        <v>1277</v>
      </c>
      <c r="F94" t="s">
        <v>1304</v>
      </c>
      <c r="G94" t="s">
        <v>1266</v>
      </c>
      <c r="H94" t="s">
        <v>1305</v>
      </c>
      <c r="I94" t="s">
        <v>1303</v>
      </c>
      <c r="J94" t="s">
        <v>1267</v>
      </c>
      <c r="K94" t="s">
        <v>1275</v>
      </c>
      <c r="L94" s="2" t="s">
        <v>1274</v>
      </c>
      <c r="M94" t="str">
        <f t="shared" ref="M94:AB94" si="372">CONCATENATE("&lt;/li&gt;&lt;li&gt;&lt;a href=|http://",M1191,"/leviticus/4.htm","| ","title=|",M1190,"| target=|_top|&gt;",M1192,"&lt;/a&gt;")</f>
        <v>&lt;/li&gt;&lt;li&gt;&lt;a href=|http://niv.scripturetext.com/leviticus/4.htm| title=|New International Version| target=|_top|&gt;NIV&lt;/a&gt;</v>
      </c>
      <c r="N94" t="str">
        <f t="shared" si="372"/>
        <v>&lt;/li&gt;&lt;li&gt;&lt;a href=|http://nlt.scripturetext.com/leviticus/4.htm| title=|New Living Translation| target=|_top|&gt;NLT&lt;/a&gt;</v>
      </c>
      <c r="O94" t="str">
        <f t="shared" si="372"/>
        <v>&lt;/li&gt;&lt;li&gt;&lt;a href=|http://nasb.scripturetext.com/leviticus/4.htm| title=|New American Standard Bible| target=|_top|&gt;NAS&lt;/a&gt;</v>
      </c>
      <c r="P94" t="str">
        <f t="shared" si="372"/>
        <v>&lt;/li&gt;&lt;li&gt;&lt;a href=|http://gwt.scripturetext.com/leviticus/4.htm| title=|God's Word Translation| target=|_top|&gt;GWT&lt;/a&gt;</v>
      </c>
      <c r="Q94" t="str">
        <f t="shared" si="372"/>
        <v>&lt;/li&gt;&lt;li&gt;&lt;a href=|http://kingjbible.com/leviticus/4.htm| title=|King James Bible| target=|_top|&gt;KJV&lt;/a&gt;</v>
      </c>
      <c r="R94" t="str">
        <f t="shared" si="372"/>
        <v>&lt;/li&gt;&lt;li&gt;&lt;a href=|http://asvbible.com/leviticus/4.htm| title=|American Standard Version| target=|_top|&gt;ASV&lt;/a&gt;</v>
      </c>
      <c r="S94" t="str">
        <f t="shared" si="372"/>
        <v>&lt;/li&gt;&lt;li&gt;&lt;a href=|http://drb.scripturetext.com/leviticus/4.htm| title=|Douay-Rheims Bible| target=|_top|&gt;DRB&lt;/a&gt;</v>
      </c>
      <c r="T94" t="str">
        <f t="shared" si="372"/>
        <v>&lt;/li&gt;&lt;li&gt;&lt;a href=|http://erv.scripturetext.com/leviticus/4.htm| title=|English Revised Version| target=|_top|&gt;ERV&lt;/a&gt;</v>
      </c>
      <c r="V94" t="str">
        <f>CONCATENATE("&lt;/li&gt;&lt;li&gt;&lt;a href=|http://",V1191,"/leviticus/4.htm","| ","title=|",V1190,"| target=|_top|&gt;",V1192,"&lt;/a&gt;")</f>
        <v>&lt;/li&gt;&lt;li&gt;&lt;a href=|http://study.interlinearbible.org/leviticus/4.htm| title=|Hebrew Study Bible| target=|_top|&gt;Heb Study&lt;/a&gt;</v>
      </c>
      <c r="W94" t="str">
        <f t="shared" si="372"/>
        <v>&lt;/li&gt;&lt;li&gt;&lt;a href=|http://apostolic.interlinearbible.org/leviticus/4.htm| title=|Apostolic Bible Polyglot Interlinear| target=|_top|&gt;Polyglot&lt;/a&gt;</v>
      </c>
      <c r="X94" t="str">
        <f t="shared" si="372"/>
        <v>&lt;/li&gt;&lt;li&gt;&lt;a href=|http://interlinearbible.org/leviticus/4.htm| title=|Interlinear Bible| target=|_top|&gt;Interlin&lt;/a&gt;</v>
      </c>
      <c r="Y94" t="str">
        <f t="shared" ref="Y94" si="373">CONCATENATE("&lt;/li&gt;&lt;li&gt;&lt;a href=|http://",Y1191,"/leviticus/4.htm","| ","title=|",Y1190,"| target=|_top|&gt;",Y1192,"&lt;/a&gt;")</f>
        <v>&lt;/li&gt;&lt;li&gt;&lt;a href=|http://bibleoutline.org/leviticus/4.htm| title=|Outline with People and Places List| target=|_top|&gt;Outline&lt;/a&gt;</v>
      </c>
      <c r="Z94" t="str">
        <f t="shared" si="372"/>
        <v>&lt;/li&gt;&lt;li&gt;&lt;a href=|http://kjvs.scripturetext.com/leviticus/4.htm| title=|King James Bible with Strong's Numbers| target=|_top|&gt;Strong's&lt;/a&gt;</v>
      </c>
      <c r="AA94" t="str">
        <f t="shared" si="372"/>
        <v>&lt;/li&gt;&lt;li&gt;&lt;a href=|http://childrensbibleonline.com/leviticus/4.htm| title=|The Children's Bible| target=|_top|&gt;Children's&lt;/a&gt;</v>
      </c>
      <c r="AB94" s="2" t="str">
        <f t="shared" si="372"/>
        <v>&lt;/li&gt;&lt;li&gt;&lt;a href=|http://tsk.scripturetext.com/leviticus/4.htm| title=|Treasury of Scripture Knowledge| target=|_top|&gt;TSK&lt;/a&gt;</v>
      </c>
      <c r="AC94" t="str">
        <f>CONCATENATE("&lt;a href=|http://",AC1191,"/leviticus/4.htm","| ","title=|",AC1190,"| target=|_top|&gt;",AC1192,"&lt;/a&gt;")</f>
        <v>&lt;a href=|http://parallelbible.com/leviticus/4.htm| title=|Parallel Chapters| target=|_top|&gt;PAR&lt;/a&gt;</v>
      </c>
      <c r="AD94" s="2" t="str">
        <f t="shared" ref="AD94:AK94" si="374">CONCATENATE("&lt;/li&gt;&lt;li&gt;&lt;a href=|http://",AD1191,"/leviticus/4.htm","| ","title=|",AD1190,"| target=|_top|&gt;",AD1192,"&lt;/a&gt;")</f>
        <v>&lt;/li&gt;&lt;li&gt;&lt;a href=|http://gsb.biblecommenter.com/leviticus/4.htm| title=|Geneva Study Bible| target=|_top|&gt;GSB&lt;/a&gt;</v>
      </c>
      <c r="AE94" s="2" t="str">
        <f t="shared" si="374"/>
        <v>&lt;/li&gt;&lt;li&gt;&lt;a href=|http://jfb.biblecommenter.com/leviticus/4.htm| title=|Jamieson-Fausset-Brown Bible Commentary| target=|_top|&gt;JFB&lt;/a&gt;</v>
      </c>
      <c r="AF94" s="2" t="str">
        <f t="shared" si="374"/>
        <v>&lt;/li&gt;&lt;li&gt;&lt;a href=|http://kjt.biblecommenter.com/leviticus/4.htm| title=|King James Translators' Notes| target=|_top|&gt;KJT&lt;/a&gt;</v>
      </c>
      <c r="AG94" s="2" t="str">
        <f t="shared" si="374"/>
        <v>&lt;/li&gt;&lt;li&gt;&lt;a href=|http://mhc.biblecommenter.com/leviticus/4.htm| title=|Matthew Henry's Concise Commentary| target=|_top|&gt;MHC&lt;/a&gt;</v>
      </c>
      <c r="AH94" s="2" t="str">
        <f t="shared" si="374"/>
        <v>&lt;/li&gt;&lt;li&gt;&lt;a href=|http://sco.biblecommenter.com/leviticus/4.htm| title=|Scofield Reference Notes| target=|_top|&gt;SCO&lt;/a&gt;</v>
      </c>
      <c r="AI94" s="2" t="str">
        <f t="shared" si="374"/>
        <v>&lt;/li&gt;&lt;li&gt;&lt;a href=|http://wes.biblecommenter.com/leviticus/4.htm| title=|Wesley's Notes on the Bible| target=|_top|&gt;WES&lt;/a&gt;</v>
      </c>
      <c r="AJ94" t="str">
        <f t="shared" si="374"/>
        <v>&lt;/li&gt;&lt;li&gt;&lt;a href=|http://worldebible.com/leviticus/4.htm| title=|World English Bible| target=|_top|&gt;WEB&lt;/a&gt;</v>
      </c>
      <c r="AK94" t="str">
        <f t="shared" si="374"/>
        <v>&lt;/li&gt;&lt;li&gt;&lt;a href=|http://yltbible.com/leviticus/4.htm| title=|Young's Literal Translation| target=|_top|&gt;YLT&lt;/a&gt;</v>
      </c>
      <c r="AL94" t="str">
        <f>CONCATENATE("&lt;a href=|http://",AL1191,"/leviticus/4.htm","| ","title=|",AL1190,"| target=|_top|&gt;",AL1192,"&lt;/a&gt;")</f>
        <v>&lt;a href=|http://kjv.us/leviticus/4.htm| title=|American King James Version| target=|_top|&gt;AKJ&lt;/a&gt;</v>
      </c>
      <c r="AM94" t="str">
        <f t="shared" ref="AM94:AN94" si="375">CONCATENATE("&lt;/li&gt;&lt;li&gt;&lt;a href=|http://",AM1191,"/leviticus/4.htm","| ","title=|",AM1190,"| target=|_top|&gt;",AM1192,"&lt;/a&gt;")</f>
        <v>&lt;/li&gt;&lt;li&gt;&lt;a href=|http://basicenglishbible.com/leviticus/4.htm| title=|Bible in Basic English| target=|_top|&gt;BBE&lt;/a&gt;</v>
      </c>
      <c r="AN94" t="str">
        <f t="shared" si="375"/>
        <v>&lt;/li&gt;&lt;li&gt;&lt;a href=|http://darbybible.com/leviticus/4.htm| title=|Darby Bible Translation| target=|_top|&gt;DBY&lt;/a&gt;</v>
      </c>
      <c r="AO9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4" t="str">
        <f>CONCATENATE("&lt;/li&gt;&lt;li&gt;&lt;a href=|http://",AR1191,"/leviticus/4.htm","| ","title=|",AR1190,"| target=|_top|&gt;",AR1192,"&lt;/a&gt;")</f>
        <v>&lt;/li&gt;&lt;li&gt;&lt;a href=|http://websterbible.com/leviticus/4.htm| title=|Webster's Bible Translation| target=|_top|&gt;WBS&lt;/a&gt;</v>
      </c>
      <c r="AS9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4" t="str">
        <f>CONCATENATE("&lt;/li&gt;&lt;li&gt;&lt;a href=|http://",AT1191,"/leviticus/4-1.htm","| ","title=|",AT1190,"| target=|_top|&gt;",AT1192,"&lt;/a&gt;")</f>
        <v>&lt;/li&gt;&lt;li&gt;&lt;a href=|http://biblebrowser.com/leviticus/4-1.htm| title=|Split View| target=|_top|&gt;Split&lt;/a&gt;</v>
      </c>
      <c r="AU94" s="2" t="s">
        <v>1276</v>
      </c>
      <c r="AV94" t="s">
        <v>64</v>
      </c>
    </row>
    <row r="95" spans="1:48">
      <c r="A95" t="s">
        <v>622</v>
      </c>
      <c r="B95" t="s">
        <v>148</v>
      </c>
      <c r="C95" t="s">
        <v>624</v>
      </c>
      <c r="D95" t="s">
        <v>1268</v>
      </c>
      <c r="E95" t="s">
        <v>1277</v>
      </c>
      <c r="F95" t="s">
        <v>1304</v>
      </c>
      <c r="G95" t="s">
        <v>1266</v>
      </c>
      <c r="H95" t="s">
        <v>1305</v>
      </c>
      <c r="I95" t="s">
        <v>1303</v>
      </c>
      <c r="J95" t="s">
        <v>1267</v>
      </c>
      <c r="K95" t="s">
        <v>1275</v>
      </c>
      <c r="L95" s="2" t="s">
        <v>1274</v>
      </c>
      <c r="M95" t="str">
        <f t="shared" ref="M95:AB95" si="376">CONCATENATE("&lt;/li&gt;&lt;li&gt;&lt;a href=|http://",M1191,"/leviticus/5.htm","| ","title=|",M1190,"| target=|_top|&gt;",M1192,"&lt;/a&gt;")</f>
        <v>&lt;/li&gt;&lt;li&gt;&lt;a href=|http://niv.scripturetext.com/leviticus/5.htm| title=|New International Version| target=|_top|&gt;NIV&lt;/a&gt;</v>
      </c>
      <c r="N95" t="str">
        <f t="shared" si="376"/>
        <v>&lt;/li&gt;&lt;li&gt;&lt;a href=|http://nlt.scripturetext.com/leviticus/5.htm| title=|New Living Translation| target=|_top|&gt;NLT&lt;/a&gt;</v>
      </c>
      <c r="O95" t="str">
        <f t="shared" si="376"/>
        <v>&lt;/li&gt;&lt;li&gt;&lt;a href=|http://nasb.scripturetext.com/leviticus/5.htm| title=|New American Standard Bible| target=|_top|&gt;NAS&lt;/a&gt;</v>
      </c>
      <c r="P95" t="str">
        <f t="shared" si="376"/>
        <v>&lt;/li&gt;&lt;li&gt;&lt;a href=|http://gwt.scripturetext.com/leviticus/5.htm| title=|God's Word Translation| target=|_top|&gt;GWT&lt;/a&gt;</v>
      </c>
      <c r="Q95" t="str">
        <f t="shared" si="376"/>
        <v>&lt;/li&gt;&lt;li&gt;&lt;a href=|http://kingjbible.com/leviticus/5.htm| title=|King James Bible| target=|_top|&gt;KJV&lt;/a&gt;</v>
      </c>
      <c r="R95" t="str">
        <f t="shared" si="376"/>
        <v>&lt;/li&gt;&lt;li&gt;&lt;a href=|http://asvbible.com/leviticus/5.htm| title=|American Standard Version| target=|_top|&gt;ASV&lt;/a&gt;</v>
      </c>
      <c r="S95" t="str">
        <f t="shared" si="376"/>
        <v>&lt;/li&gt;&lt;li&gt;&lt;a href=|http://drb.scripturetext.com/leviticus/5.htm| title=|Douay-Rheims Bible| target=|_top|&gt;DRB&lt;/a&gt;</v>
      </c>
      <c r="T95" t="str">
        <f t="shared" si="376"/>
        <v>&lt;/li&gt;&lt;li&gt;&lt;a href=|http://erv.scripturetext.com/leviticus/5.htm| title=|English Revised Version| target=|_top|&gt;ERV&lt;/a&gt;</v>
      </c>
      <c r="V95" t="str">
        <f>CONCATENATE("&lt;/li&gt;&lt;li&gt;&lt;a href=|http://",V1191,"/leviticus/5.htm","| ","title=|",V1190,"| target=|_top|&gt;",V1192,"&lt;/a&gt;")</f>
        <v>&lt;/li&gt;&lt;li&gt;&lt;a href=|http://study.interlinearbible.org/leviticus/5.htm| title=|Hebrew Study Bible| target=|_top|&gt;Heb Study&lt;/a&gt;</v>
      </c>
      <c r="W95" t="str">
        <f t="shared" si="376"/>
        <v>&lt;/li&gt;&lt;li&gt;&lt;a href=|http://apostolic.interlinearbible.org/leviticus/5.htm| title=|Apostolic Bible Polyglot Interlinear| target=|_top|&gt;Polyglot&lt;/a&gt;</v>
      </c>
      <c r="X95" t="str">
        <f t="shared" si="376"/>
        <v>&lt;/li&gt;&lt;li&gt;&lt;a href=|http://interlinearbible.org/leviticus/5.htm| title=|Interlinear Bible| target=|_top|&gt;Interlin&lt;/a&gt;</v>
      </c>
      <c r="Y95" t="str">
        <f t="shared" ref="Y95" si="377">CONCATENATE("&lt;/li&gt;&lt;li&gt;&lt;a href=|http://",Y1191,"/leviticus/5.htm","| ","title=|",Y1190,"| target=|_top|&gt;",Y1192,"&lt;/a&gt;")</f>
        <v>&lt;/li&gt;&lt;li&gt;&lt;a href=|http://bibleoutline.org/leviticus/5.htm| title=|Outline with People and Places List| target=|_top|&gt;Outline&lt;/a&gt;</v>
      </c>
      <c r="Z95" t="str">
        <f t="shared" si="376"/>
        <v>&lt;/li&gt;&lt;li&gt;&lt;a href=|http://kjvs.scripturetext.com/leviticus/5.htm| title=|King James Bible with Strong's Numbers| target=|_top|&gt;Strong's&lt;/a&gt;</v>
      </c>
      <c r="AA95" t="str">
        <f t="shared" si="376"/>
        <v>&lt;/li&gt;&lt;li&gt;&lt;a href=|http://childrensbibleonline.com/leviticus/5.htm| title=|The Children's Bible| target=|_top|&gt;Children's&lt;/a&gt;</v>
      </c>
      <c r="AB95" s="2" t="str">
        <f t="shared" si="376"/>
        <v>&lt;/li&gt;&lt;li&gt;&lt;a href=|http://tsk.scripturetext.com/leviticus/5.htm| title=|Treasury of Scripture Knowledge| target=|_top|&gt;TSK&lt;/a&gt;</v>
      </c>
      <c r="AC95" t="str">
        <f>CONCATENATE("&lt;a href=|http://",AC1191,"/leviticus/5.htm","| ","title=|",AC1190,"| target=|_top|&gt;",AC1192,"&lt;/a&gt;")</f>
        <v>&lt;a href=|http://parallelbible.com/leviticus/5.htm| title=|Parallel Chapters| target=|_top|&gt;PAR&lt;/a&gt;</v>
      </c>
      <c r="AD95" s="2" t="str">
        <f t="shared" ref="AD95:AK95" si="378">CONCATENATE("&lt;/li&gt;&lt;li&gt;&lt;a href=|http://",AD1191,"/leviticus/5.htm","| ","title=|",AD1190,"| target=|_top|&gt;",AD1192,"&lt;/a&gt;")</f>
        <v>&lt;/li&gt;&lt;li&gt;&lt;a href=|http://gsb.biblecommenter.com/leviticus/5.htm| title=|Geneva Study Bible| target=|_top|&gt;GSB&lt;/a&gt;</v>
      </c>
      <c r="AE95" s="2" t="str">
        <f t="shared" si="378"/>
        <v>&lt;/li&gt;&lt;li&gt;&lt;a href=|http://jfb.biblecommenter.com/leviticus/5.htm| title=|Jamieson-Fausset-Brown Bible Commentary| target=|_top|&gt;JFB&lt;/a&gt;</v>
      </c>
      <c r="AF95" s="2" t="str">
        <f t="shared" si="378"/>
        <v>&lt;/li&gt;&lt;li&gt;&lt;a href=|http://kjt.biblecommenter.com/leviticus/5.htm| title=|King James Translators' Notes| target=|_top|&gt;KJT&lt;/a&gt;</v>
      </c>
      <c r="AG95" s="2" t="str">
        <f t="shared" si="378"/>
        <v>&lt;/li&gt;&lt;li&gt;&lt;a href=|http://mhc.biblecommenter.com/leviticus/5.htm| title=|Matthew Henry's Concise Commentary| target=|_top|&gt;MHC&lt;/a&gt;</v>
      </c>
      <c r="AH95" s="2" t="str">
        <f t="shared" si="378"/>
        <v>&lt;/li&gt;&lt;li&gt;&lt;a href=|http://sco.biblecommenter.com/leviticus/5.htm| title=|Scofield Reference Notes| target=|_top|&gt;SCO&lt;/a&gt;</v>
      </c>
      <c r="AI95" s="2" t="str">
        <f t="shared" si="378"/>
        <v>&lt;/li&gt;&lt;li&gt;&lt;a href=|http://wes.biblecommenter.com/leviticus/5.htm| title=|Wesley's Notes on the Bible| target=|_top|&gt;WES&lt;/a&gt;</v>
      </c>
      <c r="AJ95" t="str">
        <f t="shared" si="378"/>
        <v>&lt;/li&gt;&lt;li&gt;&lt;a href=|http://worldebible.com/leviticus/5.htm| title=|World English Bible| target=|_top|&gt;WEB&lt;/a&gt;</v>
      </c>
      <c r="AK95" t="str">
        <f t="shared" si="378"/>
        <v>&lt;/li&gt;&lt;li&gt;&lt;a href=|http://yltbible.com/leviticus/5.htm| title=|Young's Literal Translation| target=|_top|&gt;YLT&lt;/a&gt;</v>
      </c>
      <c r="AL95" t="str">
        <f>CONCATENATE("&lt;a href=|http://",AL1191,"/leviticus/5.htm","| ","title=|",AL1190,"| target=|_top|&gt;",AL1192,"&lt;/a&gt;")</f>
        <v>&lt;a href=|http://kjv.us/leviticus/5.htm| title=|American King James Version| target=|_top|&gt;AKJ&lt;/a&gt;</v>
      </c>
      <c r="AM95" t="str">
        <f t="shared" ref="AM95:AN95" si="379">CONCATENATE("&lt;/li&gt;&lt;li&gt;&lt;a href=|http://",AM1191,"/leviticus/5.htm","| ","title=|",AM1190,"| target=|_top|&gt;",AM1192,"&lt;/a&gt;")</f>
        <v>&lt;/li&gt;&lt;li&gt;&lt;a href=|http://basicenglishbible.com/leviticus/5.htm| title=|Bible in Basic English| target=|_top|&gt;BBE&lt;/a&gt;</v>
      </c>
      <c r="AN95" t="str">
        <f t="shared" si="379"/>
        <v>&lt;/li&gt;&lt;li&gt;&lt;a href=|http://darbybible.com/leviticus/5.htm| title=|Darby Bible Translation| target=|_top|&gt;DBY&lt;/a&gt;</v>
      </c>
      <c r="AO9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5" t="str">
        <f>CONCATENATE("&lt;/li&gt;&lt;li&gt;&lt;a href=|http://",AR1191,"/leviticus/5.htm","| ","title=|",AR1190,"| target=|_top|&gt;",AR1192,"&lt;/a&gt;")</f>
        <v>&lt;/li&gt;&lt;li&gt;&lt;a href=|http://websterbible.com/leviticus/5.htm| title=|Webster's Bible Translation| target=|_top|&gt;WBS&lt;/a&gt;</v>
      </c>
      <c r="AS9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5" t="str">
        <f>CONCATENATE("&lt;/li&gt;&lt;li&gt;&lt;a href=|http://",AT1191,"/leviticus/5-1.htm","| ","title=|",AT1190,"| target=|_top|&gt;",AT1192,"&lt;/a&gt;")</f>
        <v>&lt;/li&gt;&lt;li&gt;&lt;a href=|http://biblebrowser.com/leviticus/5-1.htm| title=|Split View| target=|_top|&gt;Split&lt;/a&gt;</v>
      </c>
      <c r="AU95" s="2" t="s">
        <v>1276</v>
      </c>
      <c r="AV95" t="s">
        <v>64</v>
      </c>
    </row>
    <row r="96" spans="1:48">
      <c r="A96" t="s">
        <v>622</v>
      </c>
      <c r="B96" t="s">
        <v>149</v>
      </c>
      <c r="C96" t="s">
        <v>624</v>
      </c>
      <c r="D96" t="s">
        <v>1268</v>
      </c>
      <c r="E96" t="s">
        <v>1277</v>
      </c>
      <c r="F96" t="s">
        <v>1304</v>
      </c>
      <c r="G96" t="s">
        <v>1266</v>
      </c>
      <c r="H96" t="s">
        <v>1305</v>
      </c>
      <c r="I96" t="s">
        <v>1303</v>
      </c>
      <c r="J96" t="s">
        <v>1267</v>
      </c>
      <c r="K96" t="s">
        <v>1275</v>
      </c>
      <c r="L96" s="2" t="s">
        <v>1274</v>
      </c>
      <c r="M96" t="str">
        <f t="shared" ref="M96:AB96" si="380">CONCATENATE("&lt;/li&gt;&lt;li&gt;&lt;a href=|http://",M1191,"/leviticus/6.htm","| ","title=|",M1190,"| target=|_top|&gt;",M1192,"&lt;/a&gt;")</f>
        <v>&lt;/li&gt;&lt;li&gt;&lt;a href=|http://niv.scripturetext.com/leviticus/6.htm| title=|New International Version| target=|_top|&gt;NIV&lt;/a&gt;</v>
      </c>
      <c r="N96" t="str">
        <f t="shared" si="380"/>
        <v>&lt;/li&gt;&lt;li&gt;&lt;a href=|http://nlt.scripturetext.com/leviticus/6.htm| title=|New Living Translation| target=|_top|&gt;NLT&lt;/a&gt;</v>
      </c>
      <c r="O96" t="str">
        <f t="shared" si="380"/>
        <v>&lt;/li&gt;&lt;li&gt;&lt;a href=|http://nasb.scripturetext.com/leviticus/6.htm| title=|New American Standard Bible| target=|_top|&gt;NAS&lt;/a&gt;</v>
      </c>
      <c r="P96" t="str">
        <f t="shared" si="380"/>
        <v>&lt;/li&gt;&lt;li&gt;&lt;a href=|http://gwt.scripturetext.com/leviticus/6.htm| title=|God's Word Translation| target=|_top|&gt;GWT&lt;/a&gt;</v>
      </c>
      <c r="Q96" t="str">
        <f t="shared" si="380"/>
        <v>&lt;/li&gt;&lt;li&gt;&lt;a href=|http://kingjbible.com/leviticus/6.htm| title=|King James Bible| target=|_top|&gt;KJV&lt;/a&gt;</v>
      </c>
      <c r="R96" t="str">
        <f t="shared" si="380"/>
        <v>&lt;/li&gt;&lt;li&gt;&lt;a href=|http://asvbible.com/leviticus/6.htm| title=|American Standard Version| target=|_top|&gt;ASV&lt;/a&gt;</v>
      </c>
      <c r="S96" t="str">
        <f t="shared" si="380"/>
        <v>&lt;/li&gt;&lt;li&gt;&lt;a href=|http://drb.scripturetext.com/leviticus/6.htm| title=|Douay-Rheims Bible| target=|_top|&gt;DRB&lt;/a&gt;</v>
      </c>
      <c r="T96" t="str">
        <f t="shared" si="380"/>
        <v>&lt;/li&gt;&lt;li&gt;&lt;a href=|http://erv.scripturetext.com/leviticus/6.htm| title=|English Revised Version| target=|_top|&gt;ERV&lt;/a&gt;</v>
      </c>
      <c r="V96" t="str">
        <f>CONCATENATE("&lt;/li&gt;&lt;li&gt;&lt;a href=|http://",V1191,"/leviticus/6.htm","| ","title=|",V1190,"| target=|_top|&gt;",V1192,"&lt;/a&gt;")</f>
        <v>&lt;/li&gt;&lt;li&gt;&lt;a href=|http://study.interlinearbible.org/leviticus/6.htm| title=|Hebrew Study Bible| target=|_top|&gt;Heb Study&lt;/a&gt;</v>
      </c>
      <c r="W96" t="str">
        <f t="shared" si="380"/>
        <v>&lt;/li&gt;&lt;li&gt;&lt;a href=|http://apostolic.interlinearbible.org/leviticus/6.htm| title=|Apostolic Bible Polyglot Interlinear| target=|_top|&gt;Polyglot&lt;/a&gt;</v>
      </c>
      <c r="X96" t="str">
        <f t="shared" si="380"/>
        <v>&lt;/li&gt;&lt;li&gt;&lt;a href=|http://interlinearbible.org/leviticus/6.htm| title=|Interlinear Bible| target=|_top|&gt;Interlin&lt;/a&gt;</v>
      </c>
      <c r="Y96" t="str">
        <f t="shared" ref="Y96" si="381">CONCATENATE("&lt;/li&gt;&lt;li&gt;&lt;a href=|http://",Y1191,"/leviticus/6.htm","| ","title=|",Y1190,"| target=|_top|&gt;",Y1192,"&lt;/a&gt;")</f>
        <v>&lt;/li&gt;&lt;li&gt;&lt;a href=|http://bibleoutline.org/leviticus/6.htm| title=|Outline with People and Places List| target=|_top|&gt;Outline&lt;/a&gt;</v>
      </c>
      <c r="Z96" t="str">
        <f t="shared" si="380"/>
        <v>&lt;/li&gt;&lt;li&gt;&lt;a href=|http://kjvs.scripturetext.com/leviticus/6.htm| title=|King James Bible with Strong's Numbers| target=|_top|&gt;Strong's&lt;/a&gt;</v>
      </c>
      <c r="AA96" t="str">
        <f t="shared" si="380"/>
        <v>&lt;/li&gt;&lt;li&gt;&lt;a href=|http://childrensbibleonline.com/leviticus/6.htm| title=|The Children's Bible| target=|_top|&gt;Children's&lt;/a&gt;</v>
      </c>
      <c r="AB96" s="2" t="str">
        <f t="shared" si="380"/>
        <v>&lt;/li&gt;&lt;li&gt;&lt;a href=|http://tsk.scripturetext.com/leviticus/6.htm| title=|Treasury of Scripture Knowledge| target=|_top|&gt;TSK&lt;/a&gt;</v>
      </c>
      <c r="AC96" t="str">
        <f>CONCATENATE("&lt;a href=|http://",AC1191,"/leviticus/6.htm","| ","title=|",AC1190,"| target=|_top|&gt;",AC1192,"&lt;/a&gt;")</f>
        <v>&lt;a href=|http://parallelbible.com/leviticus/6.htm| title=|Parallel Chapters| target=|_top|&gt;PAR&lt;/a&gt;</v>
      </c>
      <c r="AD96" s="2" t="str">
        <f t="shared" ref="AD96:AK96" si="382">CONCATENATE("&lt;/li&gt;&lt;li&gt;&lt;a href=|http://",AD1191,"/leviticus/6.htm","| ","title=|",AD1190,"| target=|_top|&gt;",AD1192,"&lt;/a&gt;")</f>
        <v>&lt;/li&gt;&lt;li&gt;&lt;a href=|http://gsb.biblecommenter.com/leviticus/6.htm| title=|Geneva Study Bible| target=|_top|&gt;GSB&lt;/a&gt;</v>
      </c>
      <c r="AE96" s="2" t="str">
        <f t="shared" si="382"/>
        <v>&lt;/li&gt;&lt;li&gt;&lt;a href=|http://jfb.biblecommenter.com/leviticus/6.htm| title=|Jamieson-Fausset-Brown Bible Commentary| target=|_top|&gt;JFB&lt;/a&gt;</v>
      </c>
      <c r="AF96" s="2" t="str">
        <f t="shared" si="382"/>
        <v>&lt;/li&gt;&lt;li&gt;&lt;a href=|http://kjt.biblecommenter.com/leviticus/6.htm| title=|King James Translators' Notes| target=|_top|&gt;KJT&lt;/a&gt;</v>
      </c>
      <c r="AG96" s="2" t="str">
        <f t="shared" si="382"/>
        <v>&lt;/li&gt;&lt;li&gt;&lt;a href=|http://mhc.biblecommenter.com/leviticus/6.htm| title=|Matthew Henry's Concise Commentary| target=|_top|&gt;MHC&lt;/a&gt;</v>
      </c>
      <c r="AH96" s="2" t="str">
        <f t="shared" si="382"/>
        <v>&lt;/li&gt;&lt;li&gt;&lt;a href=|http://sco.biblecommenter.com/leviticus/6.htm| title=|Scofield Reference Notes| target=|_top|&gt;SCO&lt;/a&gt;</v>
      </c>
      <c r="AI96" s="2" t="str">
        <f t="shared" si="382"/>
        <v>&lt;/li&gt;&lt;li&gt;&lt;a href=|http://wes.biblecommenter.com/leviticus/6.htm| title=|Wesley's Notes on the Bible| target=|_top|&gt;WES&lt;/a&gt;</v>
      </c>
      <c r="AJ96" t="str">
        <f t="shared" si="382"/>
        <v>&lt;/li&gt;&lt;li&gt;&lt;a href=|http://worldebible.com/leviticus/6.htm| title=|World English Bible| target=|_top|&gt;WEB&lt;/a&gt;</v>
      </c>
      <c r="AK96" t="str">
        <f t="shared" si="382"/>
        <v>&lt;/li&gt;&lt;li&gt;&lt;a href=|http://yltbible.com/leviticus/6.htm| title=|Young's Literal Translation| target=|_top|&gt;YLT&lt;/a&gt;</v>
      </c>
      <c r="AL96" t="str">
        <f>CONCATENATE("&lt;a href=|http://",AL1191,"/leviticus/6.htm","| ","title=|",AL1190,"| target=|_top|&gt;",AL1192,"&lt;/a&gt;")</f>
        <v>&lt;a href=|http://kjv.us/leviticus/6.htm| title=|American King James Version| target=|_top|&gt;AKJ&lt;/a&gt;</v>
      </c>
      <c r="AM96" t="str">
        <f t="shared" ref="AM96:AN96" si="383">CONCATENATE("&lt;/li&gt;&lt;li&gt;&lt;a href=|http://",AM1191,"/leviticus/6.htm","| ","title=|",AM1190,"| target=|_top|&gt;",AM1192,"&lt;/a&gt;")</f>
        <v>&lt;/li&gt;&lt;li&gt;&lt;a href=|http://basicenglishbible.com/leviticus/6.htm| title=|Bible in Basic English| target=|_top|&gt;BBE&lt;/a&gt;</v>
      </c>
      <c r="AN96" t="str">
        <f t="shared" si="383"/>
        <v>&lt;/li&gt;&lt;li&gt;&lt;a href=|http://darbybible.com/leviticus/6.htm| title=|Darby Bible Translation| target=|_top|&gt;DBY&lt;/a&gt;</v>
      </c>
      <c r="AO9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6" t="str">
        <f>CONCATENATE("&lt;/li&gt;&lt;li&gt;&lt;a href=|http://",AR1191,"/leviticus/6.htm","| ","title=|",AR1190,"| target=|_top|&gt;",AR1192,"&lt;/a&gt;")</f>
        <v>&lt;/li&gt;&lt;li&gt;&lt;a href=|http://websterbible.com/leviticus/6.htm| title=|Webster's Bible Translation| target=|_top|&gt;WBS&lt;/a&gt;</v>
      </c>
      <c r="AS9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6" t="str">
        <f>CONCATENATE("&lt;/li&gt;&lt;li&gt;&lt;a href=|http://",AT1191,"/leviticus/6-1.htm","| ","title=|",AT1190,"| target=|_top|&gt;",AT1192,"&lt;/a&gt;")</f>
        <v>&lt;/li&gt;&lt;li&gt;&lt;a href=|http://biblebrowser.com/leviticus/6-1.htm| title=|Split View| target=|_top|&gt;Split&lt;/a&gt;</v>
      </c>
      <c r="AU96" s="2" t="s">
        <v>1276</v>
      </c>
      <c r="AV96" t="s">
        <v>64</v>
      </c>
    </row>
    <row r="97" spans="1:48">
      <c r="A97" t="s">
        <v>622</v>
      </c>
      <c r="B97" t="s">
        <v>150</v>
      </c>
      <c r="C97" t="s">
        <v>624</v>
      </c>
      <c r="D97" t="s">
        <v>1268</v>
      </c>
      <c r="E97" t="s">
        <v>1277</v>
      </c>
      <c r="F97" t="s">
        <v>1304</v>
      </c>
      <c r="G97" t="s">
        <v>1266</v>
      </c>
      <c r="H97" t="s">
        <v>1305</v>
      </c>
      <c r="I97" t="s">
        <v>1303</v>
      </c>
      <c r="J97" t="s">
        <v>1267</v>
      </c>
      <c r="K97" t="s">
        <v>1275</v>
      </c>
      <c r="L97" s="2" t="s">
        <v>1274</v>
      </c>
      <c r="M97" t="str">
        <f t="shared" ref="M97:AB97" si="384">CONCATENATE("&lt;/li&gt;&lt;li&gt;&lt;a href=|http://",M1191,"/leviticus/7.htm","| ","title=|",M1190,"| target=|_top|&gt;",M1192,"&lt;/a&gt;")</f>
        <v>&lt;/li&gt;&lt;li&gt;&lt;a href=|http://niv.scripturetext.com/leviticus/7.htm| title=|New International Version| target=|_top|&gt;NIV&lt;/a&gt;</v>
      </c>
      <c r="N97" t="str">
        <f t="shared" si="384"/>
        <v>&lt;/li&gt;&lt;li&gt;&lt;a href=|http://nlt.scripturetext.com/leviticus/7.htm| title=|New Living Translation| target=|_top|&gt;NLT&lt;/a&gt;</v>
      </c>
      <c r="O97" t="str">
        <f t="shared" si="384"/>
        <v>&lt;/li&gt;&lt;li&gt;&lt;a href=|http://nasb.scripturetext.com/leviticus/7.htm| title=|New American Standard Bible| target=|_top|&gt;NAS&lt;/a&gt;</v>
      </c>
      <c r="P97" t="str">
        <f t="shared" si="384"/>
        <v>&lt;/li&gt;&lt;li&gt;&lt;a href=|http://gwt.scripturetext.com/leviticus/7.htm| title=|God's Word Translation| target=|_top|&gt;GWT&lt;/a&gt;</v>
      </c>
      <c r="Q97" t="str">
        <f t="shared" si="384"/>
        <v>&lt;/li&gt;&lt;li&gt;&lt;a href=|http://kingjbible.com/leviticus/7.htm| title=|King James Bible| target=|_top|&gt;KJV&lt;/a&gt;</v>
      </c>
      <c r="R97" t="str">
        <f t="shared" si="384"/>
        <v>&lt;/li&gt;&lt;li&gt;&lt;a href=|http://asvbible.com/leviticus/7.htm| title=|American Standard Version| target=|_top|&gt;ASV&lt;/a&gt;</v>
      </c>
      <c r="S97" t="str">
        <f t="shared" si="384"/>
        <v>&lt;/li&gt;&lt;li&gt;&lt;a href=|http://drb.scripturetext.com/leviticus/7.htm| title=|Douay-Rheims Bible| target=|_top|&gt;DRB&lt;/a&gt;</v>
      </c>
      <c r="T97" t="str">
        <f t="shared" si="384"/>
        <v>&lt;/li&gt;&lt;li&gt;&lt;a href=|http://erv.scripturetext.com/leviticus/7.htm| title=|English Revised Version| target=|_top|&gt;ERV&lt;/a&gt;</v>
      </c>
      <c r="V97" t="str">
        <f>CONCATENATE("&lt;/li&gt;&lt;li&gt;&lt;a href=|http://",V1191,"/leviticus/7.htm","| ","title=|",V1190,"| target=|_top|&gt;",V1192,"&lt;/a&gt;")</f>
        <v>&lt;/li&gt;&lt;li&gt;&lt;a href=|http://study.interlinearbible.org/leviticus/7.htm| title=|Hebrew Study Bible| target=|_top|&gt;Heb Study&lt;/a&gt;</v>
      </c>
      <c r="W97" t="str">
        <f t="shared" si="384"/>
        <v>&lt;/li&gt;&lt;li&gt;&lt;a href=|http://apostolic.interlinearbible.org/leviticus/7.htm| title=|Apostolic Bible Polyglot Interlinear| target=|_top|&gt;Polyglot&lt;/a&gt;</v>
      </c>
      <c r="X97" t="str">
        <f t="shared" si="384"/>
        <v>&lt;/li&gt;&lt;li&gt;&lt;a href=|http://interlinearbible.org/leviticus/7.htm| title=|Interlinear Bible| target=|_top|&gt;Interlin&lt;/a&gt;</v>
      </c>
      <c r="Y97" t="str">
        <f t="shared" ref="Y97" si="385">CONCATENATE("&lt;/li&gt;&lt;li&gt;&lt;a href=|http://",Y1191,"/leviticus/7.htm","| ","title=|",Y1190,"| target=|_top|&gt;",Y1192,"&lt;/a&gt;")</f>
        <v>&lt;/li&gt;&lt;li&gt;&lt;a href=|http://bibleoutline.org/leviticus/7.htm| title=|Outline with People and Places List| target=|_top|&gt;Outline&lt;/a&gt;</v>
      </c>
      <c r="Z97" t="str">
        <f t="shared" si="384"/>
        <v>&lt;/li&gt;&lt;li&gt;&lt;a href=|http://kjvs.scripturetext.com/leviticus/7.htm| title=|King James Bible with Strong's Numbers| target=|_top|&gt;Strong's&lt;/a&gt;</v>
      </c>
      <c r="AA97" t="str">
        <f t="shared" si="384"/>
        <v>&lt;/li&gt;&lt;li&gt;&lt;a href=|http://childrensbibleonline.com/leviticus/7.htm| title=|The Children's Bible| target=|_top|&gt;Children's&lt;/a&gt;</v>
      </c>
      <c r="AB97" s="2" t="str">
        <f t="shared" si="384"/>
        <v>&lt;/li&gt;&lt;li&gt;&lt;a href=|http://tsk.scripturetext.com/leviticus/7.htm| title=|Treasury of Scripture Knowledge| target=|_top|&gt;TSK&lt;/a&gt;</v>
      </c>
      <c r="AC97" t="str">
        <f>CONCATENATE("&lt;a href=|http://",AC1191,"/leviticus/7.htm","| ","title=|",AC1190,"| target=|_top|&gt;",AC1192,"&lt;/a&gt;")</f>
        <v>&lt;a href=|http://parallelbible.com/leviticus/7.htm| title=|Parallel Chapters| target=|_top|&gt;PAR&lt;/a&gt;</v>
      </c>
      <c r="AD97" s="2" t="str">
        <f t="shared" ref="AD97:AK97" si="386">CONCATENATE("&lt;/li&gt;&lt;li&gt;&lt;a href=|http://",AD1191,"/leviticus/7.htm","| ","title=|",AD1190,"| target=|_top|&gt;",AD1192,"&lt;/a&gt;")</f>
        <v>&lt;/li&gt;&lt;li&gt;&lt;a href=|http://gsb.biblecommenter.com/leviticus/7.htm| title=|Geneva Study Bible| target=|_top|&gt;GSB&lt;/a&gt;</v>
      </c>
      <c r="AE97" s="2" t="str">
        <f t="shared" si="386"/>
        <v>&lt;/li&gt;&lt;li&gt;&lt;a href=|http://jfb.biblecommenter.com/leviticus/7.htm| title=|Jamieson-Fausset-Brown Bible Commentary| target=|_top|&gt;JFB&lt;/a&gt;</v>
      </c>
      <c r="AF97" s="2" t="str">
        <f t="shared" si="386"/>
        <v>&lt;/li&gt;&lt;li&gt;&lt;a href=|http://kjt.biblecommenter.com/leviticus/7.htm| title=|King James Translators' Notes| target=|_top|&gt;KJT&lt;/a&gt;</v>
      </c>
      <c r="AG97" s="2" t="str">
        <f t="shared" si="386"/>
        <v>&lt;/li&gt;&lt;li&gt;&lt;a href=|http://mhc.biblecommenter.com/leviticus/7.htm| title=|Matthew Henry's Concise Commentary| target=|_top|&gt;MHC&lt;/a&gt;</v>
      </c>
      <c r="AH97" s="2" t="str">
        <f t="shared" si="386"/>
        <v>&lt;/li&gt;&lt;li&gt;&lt;a href=|http://sco.biblecommenter.com/leviticus/7.htm| title=|Scofield Reference Notes| target=|_top|&gt;SCO&lt;/a&gt;</v>
      </c>
      <c r="AI97" s="2" t="str">
        <f t="shared" si="386"/>
        <v>&lt;/li&gt;&lt;li&gt;&lt;a href=|http://wes.biblecommenter.com/leviticus/7.htm| title=|Wesley's Notes on the Bible| target=|_top|&gt;WES&lt;/a&gt;</v>
      </c>
      <c r="AJ97" t="str">
        <f t="shared" si="386"/>
        <v>&lt;/li&gt;&lt;li&gt;&lt;a href=|http://worldebible.com/leviticus/7.htm| title=|World English Bible| target=|_top|&gt;WEB&lt;/a&gt;</v>
      </c>
      <c r="AK97" t="str">
        <f t="shared" si="386"/>
        <v>&lt;/li&gt;&lt;li&gt;&lt;a href=|http://yltbible.com/leviticus/7.htm| title=|Young's Literal Translation| target=|_top|&gt;YLT&lt;/a&gt;</v>
      </c>
      <c r="AL97" t="str">
        <f>CONCATENATE("&lt;a href=|http://",AL1191,"/leviticus/7.htm","| ","title=|",AL1190,"| target=|_top|&gt;",AL1192,"&lt;/a&gt;")</f>
        <v>&lt;a href=|http://kjv.us/leviticus/7.htm| title=|American King James Version| target=|_top|&gt;AKJ&lt;/a&gt;</v>
      </c>
      <c r="AM97" t="str">
        <f t="shared" ref="AM97:AN97" si="387">CONCATENATE("&lt;/li&gt;&lt;li&gt;&lt;a href=|http://",AM1191,"/leviticus/7.htm","| ","title=|",AM1190,"| target=|_top|&gt;",AM1192,"&lt;/a&gt;")</f>
        <v>&lt;/li&gt;&lt;li&gt;&lt;a href=|http://basicenglishbible.com/leviticus/7.htm| title=|Bible in Basic English| target=|_top|&gt;BBE&lt;/a&gt;</v>
      </c>
      <c r="AN97" t="str">
        <f t="shared" si="387"/>
        <v>&lt;/li&gt;&lt;li&gt;&lt;a href=|http://darbybible.com/leviticus/7.htm| title=|Darby Bible Translation| target=|_top|&gt;DBY&lt;/a&gt;</v>
      </c>
      <c r="AO9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7" t="str">
        <f>CONCATENATE("&lt;/li&gt;&lt;li&gt;&lt;a href=|http://",AR1191,"/leviticus/7.htm","| ","title=|",AR1190,"| target=|_top|&gt;",AR1192,"&lt;/a&gt;")</f>
        <v>&lt;/li&gt;&lt;li&gt;&lt;a href=|http://websterbible.com/leviticus/7.htm| title=|Webster's Bible Translation| target=|_top|&gt;WBS&lt;/a&gt;</v>
      </c>
      <c r="AS9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7" t="str">
        <f>CONCATENATE("&lt;/li&gt;&lt;li&gt;&lt;a href=|http://",AT1191,"/leviticus/7-1.htm","| ","title=|",AT1190,"| target=|_top|&gt;",AT1192,"&lt;/a&gt;")</f>
        <v>&lt;/li&gt;&lt;li&gt;&lt;a href=|http://biblebrowser.com/leviticus/7-1.htm| title=|Split View| target=|_top|&gt;Split&lt;/a&gt;</v>
      </c>
      <c r="AU97" s="2" t="s">
        <v>1276</v>
      </c>
      <c r="AV97" t="s">
        <v>64</v>
      </c>
    </row>
    <row r="98" spans="1:48">
      <c r="A98" t="s">
        <v>622</v>
      </c>
      <c r="B98" t="s">
        <v>151</v>
      </c>
      <c r="C98" t="s">
        <v>624</v>
      </c>
      <c r="D98" t="s">
        <v>1268</v>
      </c>
      <c r="E98" t="s">
        <v>1277</v>
      </c>
      <c r="F98" t="s">
        <v>1304</v>
      </c>
      <c r="G98" t="s">
        <v>1266</v>
      </c>
      <c r="H98" t="s">
        <v>1305</v>
      </c>
      <c r="I98" t="s">
        <v>1303</v>
      </c>
      <c r="J98" t="s">
        <v>1267</v>
      </c>
      <c r="K98" t="s">
        <v>1275</v>
      </c>
      <c r="L98" s="2" t="s">
        <v>1274</v>
      </c>
      <c r="M98" t="str">
        <f t="shared" ref="M98:AB98" si="388">CONCATENATE("&lt;/li&gt;&lt;li&gt;&lt;a href=|http://",M1191,"/leviticus/8.htm","| ","title=|",M1190,"| target=|_top|&gt;",M1192,"&lt;/a&gt;")</f>
        <v>&lt;/li&gt;&lt;li&gt;&lt;a href=|http://niv.scripturetext.com/leviticus/8.htm| title=|New International Version| target=|_top|&gt;NIV&lt;/a&gt;</v>
      </c>
      <c r="N98" t="str">
        <f t="shared" si="388"/>
        <v>&lt;/li&gt;&lt;li&gt;&lt;a href=|http://nlt.scripturetext.com/leviticus/8.htm| title=|New Living Translation| target=|_top|&gt;NLT&lt;/a&gt;</v>
      </c>
      <c r="O98" t="str">
        <f t="shared" si="388"/>
        <v>&lt;/li&gt;&lt;li&gt;&lt;a href=|http://nasb.scripturetext.com/leviticus/8.htm| title=|New American Standard Bible| target=|_top|&gt;NAS&lt;/a&gt;</v>
      </c>
      <c r="P98" t="str">
        <f t="shared" si="388"/>
        <v>&lt;/li&gt;&lt;li&gt;&lt;a href=|http://gwt.scripturetext.com/leviticus/8.htm| title=|God's Word Translation| target=|_top|&gt;GWT&lt;/a&gt;</v>
      </c>
      <c r="Q98" t="str">
        <f t="shared" si="388"/>
        <v>&lt;/li&gt;&lt;li&gt;&lt;a href=|http://kingjbible.com/leviticus/8.htm| title=|King James Bible| target=|_top|&gt;KJV&lt;/a&gt;</v>
      </c>
      <c r="R98" t="str">
        <f t="shared" si="388"/>
        <v>&lt;/li&gt;&lt;li&gt;&lt;a href=|http://asvbible.com/leviticus/8.htm| title=|American Standard Version| target=|_top|&gt;ASV&lt;/a&gt;</v>
      </c>
      <c r="S98" t="str">
        <f t="shared" si="388"/>
        <v>&lt;/li&gt;&lt;li&gt;&lt;a href=|http://drb.scripturetext.com/leviticus/8.htm| title=|Douay-Rheims Bible| target=|_top|&gt;DRB&lt;/a&gt;</v>
      </c>
      <c r="T98" t="str">
        <f t="shared" si="388"/>
        <v>&lt;/li&gt;&lt;li&gt;&lt;a href=|http://erv.scripturetext.com/leviticus/8.htm| title=|English Revised Version| target=|_top|&gt;ERV&lt;/a&gt;</v>
      </c>
      <c r="V98" t="str">
        <f>CONCATENATE("&lt;/li&gt;&lt;li&gt;&lt;a href=|http://",V1191,"/leviticus/8.htm","| ","title=|",V1190,"| target=|_top|&gt;",V1192,"&lt;/a&gt;")</f>
        <v>&lt;/li&gt;&lt;li&gt;&lt;a href=|http://study.interlinearbible.org/leviticus/8.htm| title=|Hebrew Study Bible| target=|_top|&gt;Heb Study&lt;/a&gt;</v>
      </c>
      <c r="W98" t="str">
        <f t="shared" si="388"/>
        <v>&lt;/li&gt;&lt;li&gt;&lt;a href=|http://apostolic.interlinearbible.org/leviticus/8.htm| title=|Apostolic Bible Polyglot Interlinear| target=|_top|&gt;Polyglot&lt;/a&gt;</v>
      </c>
      <c r="X98" t="str">
        <f t="shared" si="388"/>
        <v>&lt;/li&gt;&lt;li&gt;&lt;a href=|http://interlinearbible.org/leviticus/8.htm| title=|Interlinear Bible| target=|_top|&gt;Interlin&lt;/a&gt;</v>
      </c>
      <c r="Y98" t="str">
        <f t="shared" ref="Y98" si="389">CONCATENATE("&lt;/li&gt;&lt;li&gt;&lt;a href=|http://",Y1191,"/leviticus/8.htm","| ","title=|",Y1190,"| target=|_top|&gt;",Y1192,"&lt;/a&gt;")</f>
        <v>&lt;/li&gt;&lt;li&gt;&lt;a href=|http://bibleoutline.org/leviticus/8.htm| title=|Outline with People and Places List| target=|_top|&gt;Outline&lt;/a&gt;</v>
      </c>
      <c r="Z98" t="str">
        <f t="shared" si="388"/>
        <v>&lt;/li&gt;&lt;li&gt;&lt;a href=|http://kjvs.scripturetext.com/leviticus/8.htm| title=|King James Bible with Strong's Numbers| target=|_top|&gt;Strong's&lt;/a&gt;</v>
      </c>
      <c r="AA98" t="str">
        <f t="shared" si="388"/>
        <v>&lt;/li&gt;&lt;li&gt;&lt;a href=|http://childrensbibleonline.com/leviticus/8.htm| title=|The Children's Bible| target=|_top|&gt;Children's&lt;/a&gt;</v>
      </c>
      <c r="AB98" s="2" t="str">
        <f t="shared" si="388"/>
        <v>&lt;/li&gt;&lt;li&gt;&lt;a href=|http://tsk.scripturetext.com/leviticus/8.htm| title=|Treasury of Scripture Knowledge| target=|_top|&gt;TSK&lt;/a&gt;</v>
      </c>
      <c r="AC98" t="str">
        <f>CONCATENATE("&lt;a href=|http://",AC1191,"/leviticus/8.htm","| ","title=|",AC1190,"| target=|_top|&gt;",AC1192,"&lt;/a&gt;")</f>
        <v>&lt;a href=|http://parallelbible.com/leviticus/8.htm| title=|Parallel Chapters| target=|_top|&gt;PAR&lt;/a&gt;</v>
      </c>
      <c r="AD98" s="2" t="str">
        <f t="shared" ref="AD98:AK98" si="390">CONCATENATE("&lt;/li&gt;&lt;li&gt;&lt;a href=|http://",AD1191,"/leviticus/8.htm","| ","title=|",AD1190,"| target=|_top|&gt;",AD1192,"&lt;/a&gt;")</f>
        <v>&lt;/li&gt;&lt;li&gt;&lt;a href=|http://gsb.biblecommenter.com/leviticus/8.htm| title=|Geneva Study Bible| target=|_top|&gt;GSB&lt;/a&gt;</v>
      </c>
      <c r="AE98" s="2" t="str">
        <f t="shared" si="390"/>
        <v>&lt;/li&gt;&lt;li&gt;&lt;a href=|http://jfb.biblecommenter.com/leviticus/8.htm| title=|Jamieson-Fausset-Brown Bible Commentary| target=|_top|&gt;JFB&lt;/a&gt;</v>
      </c>
      <c r="AF98" s="2" t="str">
        <f t="shared" si="390"/>
        <v>&lt;/li&gt;&lt;li&gt;&lt;a href=|http://kjt.biblecommenter.com/leviticus/8.htm| title=|King James Translators' Notes| target=|_top|&gt;KJT&lt;/a&gt;</v>
      </c>
      <c r="AG98" s="2" t="str">
        <f t="shared" si="390"/>
        <v>&lt;/li&gt;&lt;li&gt;&lt;a href=|http://mhc.biblecommenter.com/leviticus/8.htm| title=|Matthew Henry's Concise Commentary| target=|_top|&gt;MHC&lt;/a&gt;</v>
      </c>
      <c r="AH98" s="2" t="str">
        <f t="shared" si="390"/>
        <v>&lt;/li&gt;&lt;li&gt;&lt;a href=|http://sco.biblecommenter.com/leviticus/8.htm| title=|Scofield Reference Notes| target=|_top|&gt;SCO&lt;/a&gt;</v>
      </c>
      <c r="AI98" s="2" t="str">
        <f t="shared" si="390"/>
        <v>&lt;/li&gt;&lt;li&gt;&lt;a href=|http://wes.biblecommenter.com/leviticus/8.htm| title=|Wesley's Notes on the Bible| target=|_top|&gt;WES&lt;/a&gt;</v>
      </c>
      <c r="AJ98" t="str">
        <f t="shared" si="390"/>
        <v>&lt;/li&gt;&lt;li&gt;&lt;a href=|http://worldebible.com/leviticus/8.htm| title=|World English Bible| target=|_top|&gt;WEB&lt;/a&gt;</v>
      </c>
      <c r="AK98" t="str">
        <f t="shared" si="390"/>
        <v>&lt;/li&gt;&lt;li&gt;&lt;a href=|http://yltbible.com/leviticus/8.htm| title=|Young's Literal Translation| target=|_top|&gt;YLT&lt;/a&gt;</v>
      </c>
      <c r="AL98" t="str">
        <f>CONCATENATE("&lt;a href=|http://",AL1191,"/leviticus/8.htm","| ","title=|",AL1190,"| target=|_top|&gt;",AL1192,"&lt;/a&gt;")</f>
        <v>&lt;a href=|http://kjv.us/leviticus/8.htm| title=|American King James Version| target=|_top|&gt;AKJ&lt;/a&gt;</v>
      </c>
      <c r="AM98" t="str">
        <f t="shared" ref="AM98:AN98" si="391">CONCATENATE("&lt;/li&gt;&lt;li&gt;&lt;a href=|http://",AM1191,"/leviticus/8.htm","| ","title=|",AM1190,"| target=|_top|&gt;",AM1192,"&lt;/a&gt;")</f>
        <v>&lt;/li&gt;&lt;li&gt;&lt;a href=|http://basicenglishbible.com/leviticus/8.htm| title=|Bible in Basic English| target=|_top|&gt;BBE&lt;/a&gt;</v>
      </c>
      <c r="AN98" t="str">
        <f t="shared" si="391"/>
        <v>&lt;/li&gt;&lt;li&gt;&lt;a href=|http://darbybible.com/leviticus/8.htm| title=|Darby Bible Translation| target=|_top|&gt;DBY&lt;/a&gt;</v>
      </c>
      <c r="AO9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8" t="str">
        <f>CONCATENATE("&lt;/li&gt;&lt;li&gt;&lt;a href=|http://",AR1191,"/leviticus/8.htm","| ","title=|",AR1190,"| target=|_top|&gt;",AR1192,"&lt;/a&gt;")</f>
        <v>&lt;/li&gt;&lt;li&gt;&lt;a href=|http://websterbible.com/leviticus/8.htm| title=|Webster's Bible Translation| target=|_top|&gt;WBS&lt;/a&gt;</v>
      </c>
      <c r="AS9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8" t="str">
        <f>CONCATENATE("&lt;/li&gt;&lt;li&gt;&lt;a href=|http://",AT1191,"/leviticus/8-1.htm","| ","title=|",AT1190,"| target=|_top|&gt;",AT1192,"&lt;/a&gt;")</f>
        <v>&lt;/li&gt;&lt;li&gt;&lt;a href=|http://biblebrowser.com/leviticus/8-1.htm| title=|Split View| target=|_top|&gt;Split&lt;/a&gt;</v>
      </c>
      <c r="AU98" s="2" t="s">
        <v>1276</v>
      </c>
      <c r="AV98" t="s">
        <v>64</v>
      </c>
    </row>
    <row r="99" spans="1:48">
      <c r="A99" t="s">
        <v>622</v>
      </c>
      <c r="B99" t="s">
        <v>152</v>
      </c>
      <c r="C99" t="s">
        <v>624</v>
      </c>
      <c r="D99" t="s">
        <v>1268</v>
      </c>
      <c r="E99" t="s">
        <v>1277</v>
      </c>
      <c r="F99" t="s">
        <v>1304</v>
      </c>
      <c r="G99" t="s">
        <v>1266</v>
      </c>
      <c r="H99" t="s">
        <v>1305</v>
      </c>
      <c r="I99" t="s">
        <v>1303</v>
      </c>
      <c r="J99" t="s">
        <v>1267</v>
      </c>
      <c r="K99" t="s">
        <v>1275</v>
      </c>
      <c r="L99" s="2" t="s">
        <v>1274</v>
      </c>
      <c r="M99" t="str">
        <f t="shared" ref="M99:AB99" si="392">CONCATENATE("&lt;/li&gt;&lt;li&gt;&lt;a href=|http://",M1191,"/leviticus/9.htm","| ","title=|",M1190,"| target=|_top|&gt;",M1192,"&lt;/a&gt;")</f>
        <v>&lt;/li&gt;&lt;li&gt;&lt;a href=|http://niv.scripturetext.com/leviticus/9.htm| title=|New International Version| target=|_top|&gt;NIV&lt;/a&gt;</v>
      </c>
      <c r="N99" t="str">
        <f t="shared" si="392"/>
        <v>&lt;/li&gt;&lt;li&gt;&lt;a href=|http://nlt.scripturetext.com/leviticus/9.htm| title=|New Living Translation| target=|_top|&gt;NLT&lt;/a&gt;</v>
      </c>
      <c r="O99" t="str">
        <f t="shared" si="392"/>
        <v>&lt;/li&gt;&lt;li&gt;&lt;a href=|http://nasb.scripturetext.com/leviticus/9.htm| title=|New American Standard Bible| target=|_top|&gt;NAS&lt;/a&gt;</v>
      </c>
      <c r="P99" t="str">
        <f t="shared" si="392"/>
        <v>&lt;/li&gt;&lt;li&gt;&lt;a href=|http://gwt.scripturetext.com/leviticus/9.htm| title=|God's Word Translation| target=|_top|&gt;GWT&lt;/a&gt;</v>
      </c>
      <c r="Q99" t="str">
        <f t="shared" si="392"/>
        <v>&lt;/li&gt;&lt;li&gt;&lt;a href=|http://kingjbible.com/leviticus/9.htm| title=|King James Bible| target=|_top|&gt;KJV&lt;/a&gt;</v>
      </c>
      <c r="R99" t="str">
        <f t="shared" si="392"/>
        <v>&lt;/li&gt;&lt;li&gt;&lt;a href=|http://asvbible.com/leviticus/9.htm| title=|American Standard Version| target=|_top|&gt;ASV&lt;/a&gt;</v>
      </c>
      <c r="S99" t="str">
        <f t="shared" si="392"/>
        <v>&lt;/li&gt;&lt;li&gt;&lt;a href=|http://drb.scripturetext.com/leviticus/9.htm| title=|Douay-Rheims Bible| target=|_top|&gt;DRB&lt;/a&gt;</v>
      </c>
      <c r="T99" t="str">
        <f t="shared" si="392"/>
        <v>&lt;/li&gt;&lt;li&gt;&lt;a href=|http://erv.scripturetext.com/leviticus/9.htm| title=|English Revised Version| target=|_top|&gt;ERV&lt;/a&gt;</v>
      </c>
      <c r="V99" t="str">
        <f>CONCATENATE("&lt;/li&gt;&lt;li&gt;&lt;a href=|http://",V1191,"/leviticus/9.htm","| ","title=|",V1190,"| target=|_top|&gt;",V1192,"&lt;/a&gt;")</f>
        <v>&lt;/li&gt;&lt;li&gt;&lt;a href=|http://study.interlinearbible.org/leviticus/9.htm| title=|Hebrew Study Bible| target=|_top|&gt;Heb Study&lt;/a&gt;</v>
      </c>
      <c r="W99" t="str">
        <f t="shared" si="392"/>
        <v>&lt;/li&gt;&lt;li&gt;&lt;a href=|http://apostolic.interlinearbible.org/leviticus/9.htm| title=|Apostolic Bible Polyglot Interlinear| target=|_top|&gt;Polyglot&lt;/a&gt;</v>
      </c>
      <c r="X99" t="str">
        <f t="shared" si="392"/>
        <v>&lt;/li&gt;&lt;li&gt;&lt;a href=|http://interlinearbible.org/leviticus/9.htm| title=|Interlinear Bible| target=|_top|&gt;Interlin&lt;/a&gt;</v>
      </c>
      <c r="Y99" t="str">
        <f t="shared" ref="Y99" si="393">CONCATENATE("&lt;/li&gt;&lt;li&gt;&lt;a href=|http://",Y1191,"/leviticus/9.htm","| ","title=|",Y1190,"| target=|_top|&gt;",Y1192,"&lt;/a&gt;")</f>
        <v>&lt;/li&gt;&lt;li&gt;&lt;a href=|http://bibleoutline.org/leviticus/9.htm| title=|Outline with People and Places List| target=|_top|&gt;Outline&lt;/a&gt;</v>
      </c>
      <c r="Z99" t="str">
        <f t="shared" si="392"/>
        <v>&lt;/li&gt;&lt;li&gt;&lt;a href=|http://kjvs.scripturetext.com/leviticus/9.htm| title=|King James Bible with Strong's Numbers| target=|_top|&gt;Strong's&lt;/a&gt;</v>
      </c>
      <c r="AA99" t="str">
        <f t="shared" si="392"/>
        <v>&lt;/li&gt;&lt;li&gt;&lt;a href=|http://childrensbibleonline.com/leviticus/9.htm| title=|The Children's Bible| target=|_top|&gt;Children's&lt;/a&gt;</v>
      </c>
      <c r="AB99" s="2" t="str">
        <f t="shared" si="392"/>
        <v>&lt;/li&gt;&lt;li&gt;&lt;a href=|http://tsk.scripturetext.com/leviticus/9.htm| title=|Treasury of Scripture Knowledge| target=|_top|&gt;TSK&lt;/a&gt;</v>
      </c>
      <c r="AC99" t="str">
        <f>CONCATENATE("&lt;a href=|http://",AC1191,"/leviticus/9.htm","| ","title=|",AC1190,"| target=|_top|&gt;",AC1192,"&lt;/a&gt;")</f>
        <v>&lt;a href=|http://parallelbible.com/leviticus/9.htm| title=|Parallel Chapters| target=|_top|&gt;PAR&lt;/a&gt;</v>
      </c>
      <c r="AD99" s="2" t="str">
        <f t="shared" ref="AD99:AK99" si="394">CONCATENATE("&lt;/li&gt;&lt;li&gt;&lt;a href=|http://",AD1191,"/leviticus/9.htm","| ","title=|",AD1190,"| target=|_top|&gt;",AD1192,"&lt;/a&gt;")</f>
        <v>&lt;/li&gt;&lt;li&gt;&lt;a href=|http://gsb.biblecommenter.com/leviticus/9.htm| title=|Geneva Study Bible| target=|_top|&gt;GSB&lt;/a&gt;</v>
      </c>
      <c r="AE99" s="2" t="str">
        <f t="shared" si="394"/>
        <v>&lt;/li&gt;&lt;li&gt;&lt;a href=|http://jfb.biblecommenter.com/leviticus/9.htm| title=|Jamieson-Fausset-Brown Bible Commentary| target=|_top|&gt;JFB&lt;/a&gt;</v>
      </c>
      <c r="AF99" s="2" t="str">
        <f t="shared" si="394"/>
        <v>&lt;/li&gt;&lt;li&gt;&lt;a href=|http://kjt.biblecommenter.com/leviticus/9.htm| title=|King James Translators' Notes| target=|_top|&gt;KJT&lt;/a&gt;</v>
      </c>
      <c r="AG99" s="2" t="str">
        <f t="shared" si="394"/>
        <v>&lt;/li&gt;&lt;li&gt;&lt;a href=|http://mhc.biblecommenter.com/leviticus/9.htm| title=|Matthew Henry's Concise Commentary| target=|_top|&gt;MHC&lt;/a&gt;</v>
      </c>
      <c r="AH99" s="2" t="str">
        <f t="shared" si="394"/>
        <v>&lt;/li&gt;&lt;li&gt;&lt;a href=|http://sco.biblecommenter.com/leviticus/9.htm| title=|Scofield Reference Notes| target=|_top|&gt;SCO&lt;/a&gt;</v>
      </c>
      <c r="AI99" s="2" t="str">
        <f t="shared" si="394"/>
        <v>&lt;/li&gt;&lt;li&gt;&lt;a href=|http://wes.biblecommenter.com/leviticus/9.htm| title=|Wesley's Notes on the Bible| target=|_top|&gt;WES&lt;/a&gt;</v>
      </c>
      <c r="AJ99" t="str">
        <f t="shared" si="394"/>
        <v>&lt;/li&gt;&lt;li&gt;&lt;a href=|http://worldebible.com/leviticus/9.htm| title=|World English Bible| target=|_top|&gt;WEB&lt;/a&gt;</v>
      </c>
      <c r="AK99" t="str">
        <f t="shared" si="394"/>
        <v>&lt;/li&gt;&lt;li&gt;&lt;a href=|http://yltbible.com/leviticus/9.htm| title=|Young's Literal Translation| target=|_top|&gt;YLT&lt;/a&gt;</v>
      </c>
      <c r="AL99" t="str">
        <f>CONCATENATE("&lt;a href=|http://",AL1191,"/leviticus/9.htm","| ","title=|",AL1190,"| target=|_top|&gt;",AL1192,"&lt;/a&gt;")</f>
        <v>&lt;a href=|http://kjv.us/leviticus/9.htm| title=|American King James Version| target=|_top|&gt;AKJ&lt;/a&gt;</v>
      </c>
      <c r="AM99" t="str">
        <f t="shared" ref="AM99:AN99" si="395">CONCATENATE("&lt;/li&gt;&lt;li&gt;&lt;a href=|http://",AM1191,"/leviticus/9.htm","| ","title=|",AM1190,"| target=|_top|&gt;",AM1192,"&lt;/a&gt;")</f>
        <v>&lt;/li&gt;&lt;li&gt;&lt;a href=|http://basicenglishbible.com/leviticus/9.htm| title=|Bible in Basic English| target=|_top|&gt;BBE&lt;/a&gt;</v>
      </c>
      <c r="AN99" t="str">
        <f t="shared" si="395"/>
        <v>&lt;/li&gt;&lt;li&gt;&lt;a href=|http://darbybible.com/leviticus/9.htm| title=|Darby Bible Translation| target=|_top|&gt;DBY&lt;/a&gt;</v>
      </c>
      <c r="AO9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9" t="str">
        <f>CONCATENATE("&lt;/li&gt;&lt;li&gt;&lt;a href=|http://",AR1191,"/leviticus/9.htm","| ","title=|",AR1190,"| target=|_top|&gt;",AR1192,"&lt;/a&gt;")</f>
        <v>&lt;/li&gt;&lt;li&gt;&lt;a href=|http://websterbible.com/leviticus/9.htm| title=|Webster's Bible Translation| target=|_top|&gt;WBS&lt;/a&gt;</v>
      </c>
      <c r="AS9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9" t="str">
        <f>CONCATENATE("&lt;/li&gt;&lt;li&gt;&lt;a href=|http://",AT1191,"/leviticus/9-1.htm","| ","title=|",AT1190,"| target=|_top|&gt;",AT1192,"&lt;/a&gt;")</f>
        <v>&lt;/li&gt;&lt;li&gt;&lt;a href=|http://biblebrowser.com/leviticus/9-1.htm| title=|Split View| target=|_top|&gt;Split&lt;/a&gt;</v>
      </c>
      <c r="AU99" s="2" t="s">
        <v>1276</v>
      </c>
      <c r="AV99" t="s">
        <v>64</v>
      </c>
    </row>
    <row r="100" spans="1:48">
      <c r="A100" t="s">
        <v>622</v>
      </c>
      <c r="B100" t="s">
        <v>153</v>
      </c>
      <c r="C100" t="s">
        <v>624</v>
      </c>
      <c r="D100" t="s">
        <v>1268</v>
      </c>
      <c r="E100" t="s">
        <v>1277</v>
      </c>
      <c r="F100" t="s">
        <v>1304</v>
      </c>
      <c r="G100" t="s">
        <v>1266</v>
      </c>
      <c r="H100" t="s">
        <v>1305</v>
      </c>
      <c r="I100" t="s">
        <v>1303</v>
      </c>
      <c r="J100" t="s">
        <v>1267</v>
      </c>
      <c r="K100" t="s">
        <v>1275</v>
      </c>
      <c r="L100" s="2" t="s">
        <v>1274</v>
      </c>
      <c r="M100" t="str">
        <f t="shared" ref="M100:AB100" si="396">CONCATENATE("&lt;/li&gt;&lt;li&gt;&lt;a href=|http://",M1191,"/leviticus/10.htm","| ","title=|",M1190,"| target=|_top|&gt;",M1192,"&lt;/a&gt;")</f>
        <v>&lt;/li&gt;&lt;li&gt;&lt;a href=|http://niv.scripturetext.com/leviticus/10.htm| title=|New International Version| target=|_top|&gt;NIV&lt;/a&gt;</v>
      </c>
      <c r="N100" t="str">
        <f t="shared" si="396"/>
        <v>&lt;/li&gt;&lt;li&gt;&lt;a href=|http://nlt.scripturetext.com/leviticus/10.htm| title=|New Living Translation| target=|_top|&gt;NLT&lt;/a&gt;</v>
      </c>
      <c r="O100" t="str">
        <f t="shared" si="396"/>
        <v>&lt;/li&gt;&lt;li&gt;&lt;a href=|http://nasb.scripturetext.com/leviticus/10.htm| title=|New American Standard Bible| target=|_top|&gt;NAS&lt;/a&gt;</v>
      </c>
      <c r="P100" t="str">
        <f t="shared" si="396"/>
        <v>&lt;/li&gt;&lt;li&gt;&lt;a href=|http://gwt.scripturetext.com/leviticus/10.htm| title=|God's Word Translation| target=|_top|&gt;GWT&lt;/a&gt;</v>
      </c>
      <c r="Q100" t="str">
        <f t="shared" si="396"/>
        <v>&lt;/li&gt;&lt;li&gt;&lt;a href=|http://kingjbible.com/leviticus/10.htm| title=|King James Bible| target=|_top|&gt;KJV&lt;/a&gt;</v>
      </c>
      <c r="R100" t="str">
        <f t="shared" si="396"/>
        <v>&lt;/li&gt;&lt;li&gt;&lt;a href=|http://asvbible.com/leviticus/10.htm| title=|American Standard Version| target=|_top|&gt;ASV&lt;/a&gt;</v>
      </c>
      <c r="S100" t="str">
        <f t="shared" si="396"/>
        <v>&lt;/li&gt;&lt;li&gt;&lt;a href=|http://drb.scripturetext.com/leviticus/10.htm| title=|Douay-Rheims Bible| target=|_top|&gt;DRB&lt;/a&gt;</v>
      </c>
      <c r="T100" t="str">
        <f t="shared" si="396"/>
        <v>&lt;/li&gt;&lt;li&gt;&lt;a href=|http://erv.scripturetext.com/leviticus/10.htm| title=|English Revised Version| target=|_top|&gt;ERV&lt;/a&gt;</v>
      </c>
      <c r="V100" t="str">
        <f>CONCATENATE("&lt;/li&gt;&lt;li&gt;&lt;a href=|http://",V1191,"/leviticus/10.htm","| ","title=|",V1190,"| target=|_top|&gt;",V1192,"&lt;/a&gt;")</f>
        <v>&lt;/li&gt;&lt;li&gt;&lt;a href=|http://study.interlinearbible.org/leviticus/10.htm| title=|Hebrew Study Bible| target=|_top|&gt;Heb Study&lt;/a&gt;</v>
      </c>
      <c r="W100" t="str">
        <f t="shared" si="396"/>
        <v>&lt;/li&gt;&lt;li&gt;&lt;a href=|http://apostolic.interlinearbible.org/leviticus/10.htm| title=|Apostolic Bible Polyglot Interlinear| target=|_top|&gt;Polyglot&lt;/a&gt;</v>
      </c>
      <c r="X100" t="str">
        <f t="shared" si="396"/>
        <v>&lt;/li&gt;&lt;li&gt;&lt;a href=|http://interlinearbible.org/leviticus/10.htm| title=|Interlinear Bible| target=|_top|&gt;Interlin&lt;/a&gt;</v>
      </c>
      <c r="Y100" t="str">
        <f t="shared" ref="Y100" si="397">CONCATENATE("&lt;/li&gt;&lt;li&gt;&lt;a href=|http://",Y1191,"/leviticus/10.htm","| ","title=|",Y1190,"| target=|_top|&gt;",Y1192,"&lt;/a&gt;")</f>
        <v>&lt;/li&gt;&lt;li&gt;&lt;a href=|http://bibleoutline.org/leviticus/10.htm| title=|Outline with People and Places List| target=|_top|&gt;Outline&lt;/a&gt;</v>
      </c>
      <c r="Z100" t="str">
        <f t="shared" si="396"/>
        <v>&lt;/li&gt;&lt;li&gt;&lt;a href=|http://kjvs.scripturetext.com/leviticus/10.htm| title=|King James Bible with Strong's Numbers| target=|_top|&gt;Strong's&lt;/a&gt;</v>
      </c>
      <c r="AA100" t="str">
        <f t="shared" si="396"/>
        <v>&lt;/li&gt;&lt;li&gt;&lt;a href=|http://childrensbibleonline.com/leviticus/10.htm| title=|The Children's Bible| target=|_top|&gt;Children's&lt;/a&gt;</v>
      </c>
      <c r="AB100" s="2" t="str">
        <f t="shared" si="396"/>
        <v>&lt;/li&gt;&lt;li&gt;&lt;a href=|http://tsk.scripturetext.com/leviticus/10.htm| title=|Treasury of Scripture Knowledge| target=|_top|&gt;TSK&lt;/a&gt;</v>
      </c>
      <c r="AC100" t="str">
        <f>CONCATENATE("&lt;a href=|http://",AC1191,"/leviticus/10.htm","| ","title=|",AC1190,"| target=|_top|&gt;",AC1192,"&lt;/a&gt;")</f>
        <v>&lt;a href=|http://parallelbible.com/leviticus/10.htm| title=|Parallel Chapters| target=|_top|&gt;PAR&lt;/a&gt;</v>
      </c>
      <c r="AD100" s="2" t="str">
        <f t="shared" ref="AD100:AK100" si="398">CONCATENATE("&lt;/li&gt;&lt;li&gt;&lt;a href=|http://",AD1191,"/leviticus/10.htm","| ","title=|",AD1190,"| target=|_top|&gt;",AD1192,"&lt;/a&gt;")</f>
        <v>&lt;/li&gt;&lt;li&gt;&lt;a href=|http://gsb.biblecommenter.com/leviticus/10.htm| title=|Geneva Study Bible| target=|_top|&gt;GSB&lt;/a&gt;</v>
      </c>
      <c r="AE100" s="2" t="str">
        <f t="shared" si="398"/>
        <v>&lt;/li&gt;&lt;li&gt;&lt;a href=|http://jfb.biblecommenter.com/leviticus/10.htm| title=|Jamieson-Fausset-Brown Bible Commentary| target=|_top|&gt;JFB&lt;/a&gt;</v>
      </c>
      <c r="AF100" s="2" t="str">
        <f t="shared" si="398"/>
        <v>&lt;/li&gt;&lt;li&gt;&lt;a href=|http://kjt.biblecommenter.com/leviticus/10.htm| title=|King James Translators' Notes| target=|_top|&gt;KJT&lt;/a&gt;</v>
      </c>
      <c r="AG100" s="2" t="str">
        <f t="shared" si="398"/>
        <v>&lt;/li&gt;&lt;li&gt;&lt;a href=|http://mhc.biblecommenter.com/leviticus/10.htm| title=|Matthew Henry's Concise Commentary| target=|_top|&gt;MHC&lt;/a&gt;</v>
      </c>
      <c r="AH100" s="2" t="str">
        <f t="shared" si="398"/>
        <v>&lt;/li&gt;&lt;li&gt;&lt;a href=|http://sco.biblecommenter.com/leviticus/10.htm| title=|Scofield Reference Notes| target=|_top|&gt;SCO&lt;/a&gt;</v>
      </c>
      <c r="AI100" s="2" t="str">
        <f t="shared" si="398"/>
        <v>&lt;/li&gt;&lt;li&gt;&lt;a href=|http://wes.biblecommenter.com/leviticus/10.htm| title=|Wesley's Notes on the Bible| target=|_top|&gt;WES&lt;/a&gt;</v>
      </c>
      <c r="AJ100" t="str">
        <f t="shared" si="398"/>
        <v>&lt;/li&gt;&lt;li&gt;&lt;a href=|http://worldebible.com/leviticus/10.htm| title=|World English Bible| target=|_top|&gt;WEB&lt;/a&gt;</v>
      </c>
      <c r="AK100" t="str">
        <f t="shared" si="398"/>
        <v>&lt;/li&gt;&lt;li&gt;&lt;a href=|http://yltbible.com/leviticus/10.htm| title=|Young's Literal Translation| target=|_top|&gt;YLT&lt;/a&gt;</v>
      </c>
      <c r="AL100" t="str">
        <f>CONCATENATE("&lt;a href=|http://",AL1191,"/leviticus/10.htm","| ","title=|",AL1190,"| target=|_top|&gt;",AL1192,"&lt;/a&gt;")</f>
        <v>&lt;a href=|http://kjv.us/leviticus/10.htm| title=|American King James Version| target=|_top|&gt;AKJ&lt;/a&gt;</v>
      </c>
      <c r="AM100" t="str">
        <f t="shared" ref="AM100:AN100" si="399">CONCATENATE("&lt;/li&gt;&lt;li&gt;&lt;a href=|http://",AM1191,"/leviticus/10.htm","| ","title=|",AM1190,"| target=|_top|&gt;",AM1192,"&lt;/a&gt;")</f>
        <v>&lt;/li&gt;&lt;li&gt;&lt;a href=|http://basicenglishbible.com/leviticus/10.htm| title=|Bible in Basic English| target=|_top|&gt;BBE&lt;/a&gt;</v>
      </c>
      <c r="AN100" t="str">
        <f t="shared" si="399"/>
        <v>&lt;/li&gt;&lt;li&gt;&lt;a href=|http://darbybible.com/leviticus/10.htm| title=|Darby Bible Translation| target=|_top|&gt;DBY&lt;/a&gt;</v>
      </c>
      <c r="AO10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0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0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00" t="str">
        <f>CONCATENATE("&lt;/li&gt;&lt;li&gt;&lt;a href=|http://",AR1191,"/leviticus/10.htm","| ","title=|",AR1190,"| target=|_top|&gt;",AR1192,"&lt;/a&gt;")</f>
        <v>&lt;/li&gt;&lt;li&gt;&lt;a href=|http://websterbible.com/leviticus/10.htm| title=|Webster's Bible Translation| target=|_top|&gt;WBS&lt;/a&gt;</v>
      </c>
      <c r="AS10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00" t="str">
        <f>CONCATENATE("&lt;/li&gt;&lt;li&gt;&lt;a href=|http://",AT1191,"/leviticus/10-1.htm","| ","title=|",AT1190,"| target=|_top|&gt;",AT1192,"&lt;/a&gt;")</f>
        <v>&lt;/li&gt;&lt;li&gt;&lt;a href=|http://biblebrowser.com/leviticus/10-1.htm| title=|Split View| target=|_top|&gt;Split&lt;/a&gt;</v>
      </c>
      <c r="AU100" s="2" t="s">
        <v>1276</v>
      </c>
      <c r="AV100" t="s">
        <v>64</v>
      </c>
    </row>
    <row r="101" spans="1:48">
      <c r="A101" t="s">
        <v>622</v>
      </c>
      <c r="B101" t="s">
        <v>154</v>
      </c>
      <c r="C101" t="s">
        <v>624</v>
      </c>
      <c r="D101" t="s">
        <v>1268</v>
      </c>
      <c r="E101" t="s">
        <v>1277</v>
      </c>
      <c r="F101" t="s">
        <v>1304</v>
      </c>
      <c r="G101" t="s">
        <v>1266</v>
      </c>
      <c r="H101" t="s">
        <v>1305</v>
      </c>
      <c r="I101" t="s">
        <v>1303</v>
      </c>
      <c r="J101" t="s">
        <v>1267</v>
      </c>
      <c r="K101" t="s">
        <v>1275</v>
      </c>
      <c r="L101" s="2" t="s">
        <v>1274</v>
      </c>
      <c r="M101" t="str">
        <f t="shared" ref="M101:AB101" si="400">CONCATENATE("&lt;/li&gt;&lt;li&gt;&lt;a href=|http://",M1191,"/leviticus/11.htm","| ","title=|",M1190,"| target=|_top|&gt;",M1192,"&lt;/a&gt;")</f>
        <v>&lt;/li&gt;&lt;li&gt;&lt;a href=|http://niv.scripturetext.com/leviticus/11.htm| title=|New International Version| target=|_top|&gt;NIV&lt;/a&gt;</v>
      </c>
      <c r="N101" t="str">
        <f t="shared" si="400"/>
        <v>&lt;/li&gt;&lt;li&gt;&lt;a href=|http://nlt.scripturetext.com/leviticus/11.htm| title=|New Living Translation| target=|_top|&gt;NLT&lt;/a&gt;</v>
      </c>
      <c r="O101" t="str">
        <f t="shared" si="400"/>
        <v>&lt;/li&gt;&lt;li&gt;&lt;a href=|http://nasb.scripturetext.com/leviticus/11.htm| title=|New American Standard Bible| target=|_top|&gt;NAS&lt;/a&gt;</v>
      </c>
      <c r="P101" t="str">
        <f t="shared" si="400"/>
        <v>&lt;/li&gt;&lt;li&gt;&lt;a href=|http://gwt.scripturetext.com/leviticus/11.htm| title=|God's Word Translation| target=|_top|&gt;GWT&lt;/a&gt;</v>
      </c>
      <c r="Q101" t="str">
        <f t="shared" si="400"/>
        <v>&lt;/li&gt;&lt;li&gt;&lt;a href=|http://kingjbible.com/leviticus/11.htm| title=|King James Bible| target=|_top|&gt;KJV&lt;/a&gt;</v>
      </c>
      <c r="R101" t="str">
        <f t="shared" si="400"/>
        <v>&lt;/li&gt;&lt;li&gt;&lt;a href=|http://asvbible.com/leviticus/11.htm| title=|American Standard Version| target=|_top|&gt;ASV&lt;/a&gt;</v>
      </c>
      <c r="S101" t="str">
        <f t="shared" si="400"/>
        <v>&lt;/li&gt;&lt;li&gt;&lt;a href=|http://drb.scripturetext.com/leviticus/11.htm| title=|Douay-Rheims Bible| target=|_top|&gt;DRB&lt;/a&gt;</v>
      </c>
      <c r="T101" t="str">
        <f t="shared" si="400"/>
        <v>&lt;/li&gt;&lt;li&gt;&lt;a href=|http://erv.scripturetext.com/leviticus/11.htm| title=|English Revised Version| target=|_top|&gt;ERV&lt;/a&gt;</v>
      </c>
      <c r="V101" t="str">
        <f>CONCATENATE("&lt;/li&gt;&lt;li&gt;&lt;a href=|http://",V1191,"/leviticus/11.htm","| ","title=|",V1190,"| target=|_top|&gt;",V1192,"&lt;/a&gt;")</f>
        <v>&lt;/li&gt;&lt;li&gt;&lt;a href=|http://study.interlinearbible.org/leviticus/11.htm| title=|Hebrew Study Bible| target=|_top|&gt;Heb Study&lt;/a&gt;</v>
      </c>
      <c r="W101" t="str">
        <f t="shared" si="400"/>
        <v>&lt;/li&gt;&lt;li&gt;&lt;a href=|http://apostolic.interlinearbible.org/leviticus/11.htm| title=|Apostolic Bible Polyglot Interlinear| target=|_top|&gt;Polyglot&lt;/a&gt;</v>
      </c>
      <c r="X101" t="str">
        <f t="shared" si="400"/>
        <v>&lt;/li&gt;&lt;li&gt;&lt;a href=|http://interlinearbible.org/leviticus/11.htm| title=|Interlinear Bible| target=|_top|&gt;Interlin&lt;/a&gt;</v>
      </c>
      <c r="Y101" t="str">
        <f t="shared" ref="Y101" si="401">CONCATENATE("&lt;/li&gt;&lt;li&gt;&lt;a href=|http://",Y1191,"/leviticus/11.htm","| ","title=|",Y1190,"| target=|_top|&gt;",Y1192,"&lt;/a&gt;")</f>
        <v>&lt;/li&gt;&lt;li&gt;&lt;a href=|http://bibleoutline.org/leviticus/11.htm| title=|Outline with People and Places List| target=|_top|&gt;Outline&lt;/a&gt;</v>
      </c>
      <c r="Z101" t="str">
        <f t="shared" si="400"/>
        <v>&lt;/li&gt;&lt;li&gt;&lt;a href=|http://kjvs.scripturetext.com/leviticus/11.htm| title=|King James Bible with Strong's Numbers| target=|_top|&gt;Strong's&lt;/a&gt;</v>
      </c>
      <c r="AA101" t="str">
        <f t="shared" si="400"/>
        <v>&lt;/li&gt;&lt;li&gt;&lt;a href=|http://childrensbibleonline.com/leviticus/11.htm| title=|The Children's Bible| target=|_top|&gt;Children's&lt;/a&gt;</v>
      </c>
      <c r="AB101" s="2" t="str">
        <f t="shared" si="400"/>
        <v>&lt;/li&gt;&lt;li&gt;&lt;a href=|http://tsk.scripturetext.com/leviticus/11.htm| title=|Treasury of Scripture Knowledge| target=|_top|&gt;TSK&lt;/a&gt;</v>
      </c>
      <c r="AC101" t="str">
        <f>CONCATENATE("&lt;a href=|http://",AC1191,"/leviticus/11.htm","| ","title=|",AC1190,"| target=|_top|&gt;",AC1192,"&lt;/a&gt;")</f>
        <v>&lt;a href=|http://parallelbible.com/leviticus/11.htm| title=|Parallel Chapters| target=|_top|&gt;PAR&lt;/a&gt;</v>
      </c>
      <c r="AD101" s="2" t="str">
        <f t="shared" ref="AD101:AK101" si="402">CONCATENATE("&lt;/li&gt;&lt;li&gt;&lt;a href=|http://",AD1191,"/leviticus/11.htm","| ","title=|",AD1190,"| target=|_top|&gt;",AD1192,"&lt;/a&gt;")</f>
        <v>&lt;/li&gt;&lt;li&gt;&lt;a href=|http://gsb.biblecommenter.com/leviticus/11.htm| title=|Geneva Study Bible| target=|_top|&gt;GSB&lt;/a&gt;</v>
      </c>
      <c r="AE101" s="2" t="str">
        <f t="shared" si="402"/>
        <v>&lt;/li&gt;&lt;li&gt;&lt;a href=|http://jfb.biblecommenter.com/leviticus/11.htm| title=|Jamieson-Fausset-Brown Bible Commentary| target=|_top|&gt;JFB&lt;/a&gt;</v>
      </c>
      <c r="AF101" s="2" t="str">
        <f t="shared" si="402"/>
        <v>&lt;/li&gt;&lt;li&gt;&lt;a href=|http://kjt.biblecommenter.com/leviticus/11.htm| title=|King James Translators' Notes| target=|_top|&gt;KJT&lt;/a&gt;</v>
      </c>
      <c r="AG101" s="2" t="str">
        <f t="shared" si="402"/>
        <v>&lt;/li&gt;&lt;li&gt;&lt;a href=|http://mhc.biblecommenter.com/leviticus/11.htm| title=|Matthew Henry's Concise Commentary| target=|_top|&gt;MHC&lt;/a&gt;</v>
      </c>
      <c r="AH101" s="2" t="str">
        <f t="shared" si="402"/>
        <v>&lt;/li&gt;&lt;li&gt;&lt;a href=|http://sco.biblecommenter.com/leviticus/11.htm| title=|Scofield Reference Notes| target=|_top|&gt;SCO&lt;/a&gt;</v>
      </c>
      <c r="AI101" s="2" t="str">
        <f t="shared" si="402"/>
        <v>&lt;/li&gt;&lt;li&gt;&lt;a href=|http://wes.biblecommenter.com/leviticus/11.htm| title=|Wesley's Notes on the Bible| target=|_top|&gt;WES&lt;/a&gt;</v>
      </c>
      <c r="AJ101" t="str">
        <f t="shared" si="402"/>
        <v>&lt;/li&gt;&lt;li&gt;&lt;a href=|http://worldebible.com/leviticus/11.htm| title=|World English Bible| target=|_top|&gt;WEB&lt;/a&gt;</v>
      </c>
      <c r="AK101" t="str">
        <f t="shared" si="402"/>
        <v>&lt;/li&gt;&lt;li&gt;&lt;a href=|http://yltbible.com/leviticus/11.htm| title=|Young's Literal Translation| target=|_top|&gt;YLT&lt;/a&gt;</v>
      </c>
      <c r="AL101" t="str">
        <f>CONCATENATE("&lt;a href=|http://",AL1191,"/leviticus/11.htm","| ","title=|",AL1190,"| target=|_top|&gt;",AL1192,"&lt;/a&gt;")</f>
        <v>&lt;a href=|http://kjv.us/leviticus/11.htm| title=|American King James Version| target=|_top|&gt;AKJ&lt;/a&gt;</v>
      </c>
      <c r="AM101" t="str">
        <f t="shared" ref="AM101:AN101" si="403">CONCATENATE("&lt;/li&gt;&lt;li&gt;&lt;a href=|http://",AM1191,"/leviticus/11.htm","| ","title=|",AM1190,"| target=|_top|&gt;",AM1192,"&lt;/a&gt;")</f>
        <v>&lt;/li&gt;&lt;li&gt;&lt;a href=|http://basicenglishbible.com/leviticus/11.htm| title=|Bible in Basic English| target=|_top|&gt;BBE&lt;/a&gt;</v>
      </c>
      <c r="AN101" t="str">
        <f t="shared" si="403"/>
        <v>&lt;/li&gt;&lt;li&gt;&lt;a href=|http://darbybible.com/leviticus/11.htm| title=|Darby Bible Translation| target=|_top|&gt;DBY&lt;/a&gt;</v>
      </c>
      <c r="AO10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0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0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01" t="str">
        <f>CONCATENATE("&lt;/li&gt;&lt;li&gt;&lt;a href=|http://",AR1191,"/leviticus/11.htm","| ","title=|",AR1190,"| target=|_top|&gt;",AR1192,"&lt;/a&gt;")</f>
        <v>&lt;/li&gt;&lt;li&gt;&lt;a href=|http://websterbible.com/leviticus/11.htm| title=|Webster's Bible Translation| target=|_top|&gt;WBS&lt;/a&gt;</v>
      </c>
      <c r="AS10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01" t="str">
        <f>CONCATENATE("&lt;/li&gt;&lt;li&gt;&lt;a href=|http://",AT1191,"/leviticus/11-1.htm","| ","title=|",AT1190,"| target=|_top|&gt;",AT1192,"&lt;/a&gt;")</f>
        <v>&lt;/li&gt;&lt;li&gt;&lt;a href=|http://biblebrowser.com/leviticus/11-1.htm| title=|Split View| target=|_top|&gt;Split&lt;/a&gt;</v>
      </c>
      <c r="AU101" s="2" t="s">
        <v>1276</v>
      </c>
      <c r="AV101" t="s">
        <v>64</v>
      </c>
    </row>
    <row r="102" spans="1:48">
      <c r="A102" t="s">
        <v>622</v>
      </c>
      <c r="B102" t="s">
        <v>155</v>
      </c>
      <c r="C102" t="s">
        <v>624</v>
      </c>
      <c r="D102" t="s">
        <v>1268</v>
      </c>
      <c r="E102" t="s">
        <v>1277</v>
      </c>
      <c r="F102" t="s">
        <v>1304</v>
      </c>
      <c r="G102" t="s">
        <v>1266</v>
      </c>
      <c r="H102" t="s">
        <v>1305</v>
      </c>
      <c r="I102" t="s">
        <v>1303</v>
      </c>
      <c r="J102" t="s">
        <v>1267</v>
      </c>
      <c r="K102" t="s">
        <v>1275</v>
      </c>
      <c r="L102" s="2" t="s">
        <v>1274</v>
      </c>
      <c r="M102" t="str">
        <f t="shared" ref="M102:AB102" si="404">CONCATENATE("&lt;/li&gt;&lt;li&gt;&lt;a href=|http://",M1191,"/leviticus/12.htm","| ","title=|",M1190,"| target=|_top|&gt;",M1192,"&lt;/a&gt;")</f>
        <v>&lt;/li&gt;&lt;li&gt;&lt;a href=|http://niv.scripturetext.com/leviticus/12.htm| title=|New International Version| target=|_top|&gt;NIV&lt;/a&gt;</v>
      </c>
      <c r="N102" t="str">
        <f t="shared" si="404"/>
        <v>&lt;/li&gt;&lt;li&gt;&lt;a href=|http://nlt.scripturetext.com/leviticus/12.htm| title=|New Living Translation| target=|_top|&gt;NLT&lt;/a&gt;</v>
      </c>
      <c r="O102" t="str">
        <f t="shared" si="404"/>
        <v>&lt;/li&gt;&lt;li&gt;&lt;a href=|http://nasb.scripturetext.com/leviticus/12.htm| title=|New American Standard Bible| target=|_top|&gt;NAS&lt;/a&gt;</v>
      </c>
      <c r="P102" t="str">
        <f t="shared" si="404"/>
        <v>&lt;/li&gt;&lt;li&gt;&lt;a href=|http://gwt.scripturetext.com/leviticus/12.htm| title=|God's Word Translation| target=|_top|&gt;GWT&lt;/a&gt;</v>
      </c>
      <c r="Q102" t="str">
        <f t="shared" si="404"/>
        <v>&lt;/li&gt;&lt;li&gt;&lt;a href=|http://kingjbible.com/leviticus/12.htm| title=|King James Bible| target=|_top|&gt;KJV&lt;/a&gt;</v>
      </c>
      <c r="R102" t="str">
        <f t="shared" si="404"/>
        <v>&lt;/li&gt;&lt;li&gt;&lt;a href=|http://asvbible.com/leviticus/12.htm| title=|American Standard Version| target=|_top|&gt;ASV&lt;/a&gt;</v>
      </c>
      <c r="S102" t="str">
        <f t="shared" si="404"/>
        <v>&lt;/li&gt;&lt;li&gt;&lt;a href=|http://drb.scripturetext.com/leviticus/12.htm| title=|Douay-Rheims Bible| target=|_top|&gt;DRB&lt;/a&gt;</v>
      </c>
      <c r="T102" t="str">
        <f t="shared" si="404"/>
        <v>&lt;/li&gt;&lt;li&gt;&lt;a href=|http://erv.scripturetext.com/leviticus/12.htm| title=|English Revised Version| target=|_top|&gt;ERV&lt;/a&gt;</v>
      </c>
      <c r="V102" t="str">
        <f>CONCATENATE("&lt;/li&gt;&lt;li&gt;&lt;a href=|http://",V1191,"/leviticus/12.htm","| ","title=|",V1190,"| target=|_top|&gt;",V1192,"&lt;/a&gt;")</f>
        <v>&lt;/li&gt;&lt;li&gt;&lt;a href=|http://study.interlinearbible.org/leviticus/12.htm| title=|Hebrew Study Bible| target=|_top|&gt;Heb Study&lt;/a&gt;</v>
      </c>
      <c r="W102" t="str">
        <f t="shared" si="404"/>
        <v>&lt;/li&gt;&lt;li&gt;&lt;a href=|http://apostolic.interlinearbible.org/leviticus/12.htm| title=|Apostolic Bible Polyglot Interlinear| target=|_top|&gt;Polyglot&lt;/a&gt;</v>
      </c>
      <c r="X102" t="str">
        <f t="shared" si="404"/>
        <v>&lt;/li&gt;&lt;li&gt;&lt;a href=|http://interlinearbible.org/leviticus/12.htm| title=|Interlinear Bible| target=|_top|&gt;Interlin&lt;/a&gt;</v>
      </c>
      <c r="Y102" t="str">
        <f t="shared" ref="Y102" si="405">CONCATENATE("&lt;/li&gt;&lt;li&gt;&lt;a href=|http://",Y1191,"/leviticus/12.htm","| ","title=|",Y1190,"| target=|_top|&gt;",Y1192,"&lt;/a&gt;")</f>
        <v>&lt;/li&gt;&lt;li&gt;&lt;a href=|http://bibleoutline.org/leviticus/12.htm| title=|Outline with People and Places List| target=|_top|&gt;Outline&lt;/a&gt;</v>
      </c>
      <c r="Z102" t="str">
        <f t="shared" si="404"/>
        <v>&lt;/li&gt;&lt;li&gt;&lt;a href=|http://kjvs.scripturetext.com/leviticus/12.htm| title=|King James Bible with Strong's Numbers| target=|_top|&gt;Strong's&lt;/a&gt;</v>
      </c>
      <c r="AA102" t="str">
        <f t="shared" si="404"/>
        <v>&lt;/li&gt;&lt;li&gt;&lt;a href=|http://childrensbibleonline.com/leviticus/12.htm| title=|The Children's Bible| target=|_top|&gt;Children's&lt;/a&gt;</v>
      </c>
      <c r="AB102" s="2" t="str">
        <f t="shared" si="404"/>
        <v>&lt;/li&gt;&lt;li&gt;&lt;a href=|http://tsk.scripturetext.com/leviticus/12.htm| title=|Treasury of Scripture Knowledge| target=|_top|&gt;TSK&lt;/a&gt;</v>
      </c>
      <c r="AC102" t="str">
        <f>CONCATENATE("&lt;a href=|http://",AC1191,"/leviticus/12.htm","| ","title=|",AC1190,"| target=|_top|&gt;",AC1192,"&lt;/a&gt;")</f>
        <v>&lt;a href=|http://parallelbible.com/leviticus/12.htm| title=|Parallel Chapters| target=|_top|&gt;PAR&lt;/a&gt;</v>
      </c>
      <c r="AD102" s="2" t="str">
        <f t="shared" ref="AD102:AK102" si="406">CONCATENATE("&lt;/li&gt;&lt;li&gt;&lt;a href=|http://",AD1191,"/leviticus/12.htm","| ","title=|",AD1190,"| target=|_top|&gt;",AD1192,"&lt;/a&gt;")</f>
        <v>&lt;/li&gt;&lt;li&gt;&lt;a href=|http://gsb.biblecommenter.com/leviticus/12.htm| title=|Geneva Study Bible| target=|_top|&gt;GSB&lt;/a&gt;</v>
      </c>
      <c r="AE102" s="2" t="str">
        <f t="shared" si="406"/>
        <v>&lt;/li&gt;&lt;li&gt;&lt;a href=|http://jfb.biblecommenter.com/leviticus/12.htm| title=|Jamieson-Fausset-Brown Bible Commentary| target=|_top|&gt;JFB&lt;/a&gt;</v>
      </c>
      <c r="AF102" s="2" t="str">
        <f t="shared" si="406"/>
        <v>&lt;/li&gt;&lt;li&gt;&lt;a href=|http://kjt.biblecommenter.com/leviticus/12.htm| title=|King James Translators' Notes| target=|_top|&gt;KJT&lt;/a&gt;</v>
      </c>
      <c r="AG102" s="2" t="str">
        <f t="shared" si="406"/>
        <v>&lt;/li&gt;&lt;li&gt;&lt;a href=|http://mhc.biblecommenter.com/leviticus/12.htm| title=|Matthew Henry's Concise Commentary| target=|_top|&gt;MHC&lt;/a&gt;</v>
      </c>
      <c r="AH102" s="2" t="str">
        <f t="shared" si="406"/>
        <v>&lt;/li&gt;&lt;li&gt;&lt;a href=|http://sco.biblecommenter.com/leviticus/12.htm| title=|Scofield Reference Notes| target=|_top|&gt;SCO&lt;/a&gt;</v>
      </c>
      <c r="AI102" s="2" t="str">
        <f t="shared" si="406"/>
        <v>&lt;/li&gt;&lt;li&gt;&lt;a href=|http://wes.biblecommenter.com/leviticus/12.htm| title=|Wesley's Notes on the Bible| target=|_top|&gt;WES&lt;/a&gt;</v>
      </c>
      <c r="AJ102" t="str">
        <f t="shared" si="406"/>
        <v>&lt;/li&gt;&lt;li&gt;&lt;a href=|http://worldebible.com/leviticus/12.htm| title=|World English Bible| target=|_top|&gt;WEB&lt;/a&gt;</v>
      </c>
      <c r="AK102" t="str">
        <f t="shared" si="406"/>
        <v>&lt;/li&gt;&lt;li&gt;&lt;a href=|http://yltbible.com/leviticus/12.htm| title=|Young's Literal Translation| target=|_top|&gt;YLT&lt;/a&gt;</v>
      </c>
      <c r="AL102" t="str">
        <f>CONCATENATE("&lt;a href=|http://",AL1191,"/leviticus/12.htm","| ","title=|",AL1190,"| target=|_top|&gt;",AL1192,"&lt;/a&gt;")</f>
        <v>&lt;a href=|http://kjv.us/leviticus/12.htm| title=|American King James Version| target=|_top|&gt;AKJ&lt;/a&gt;</v>
      </c>
      <c r="AM102" t="str">
        <f t="shared" ref="AM102:AN102" si="407">CONCATENATE("&lt;/li&gt;&lt;li&gt;&lt;a href=|http://",AM1191,"/leviticus/12.htm","| ","title=|",AM1190,"| target=|_top|&gt;",AM1192,"&lt;/a&gt;")</f>
        <v>&lt;/li&gt;&lt;li&gt;&lt;a href=|http://basicenglishbible.com/leviticus/12.htm| title=|Bible in Basic English| target=|_top|&gt;BBE&lt;/a&gt;</v>
      </c>
      <c r="AN102" t="str">
        <f t="shared" si="407"/>
        <v>&lt;/li&gt;&lt;li&gt;&lt;a href=|http://darbybible.com/leviticus/12.htm| title=|Darby Bible Translation| target=|_top|&gt;DBY&lt;/a&gt;</v>
      </c>
      <c r="AO10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0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0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02" t="str">
        <f>CONCATENATE("&lt;/li&gt;&lt;li&gt;&lt;a href=|http://",AR1191,"/leviticus/12.htm","| ","title=|",AR1190,"| target=|_top|&gt;",AR1192,"&lt;/a&gt;")</f>
        <v>&lt;/li&gt;&lt;li&gt;&lt;a href=|http://websterbible.com/leviticus/12.htm| title=|Webster's Bible Translation| target=|_top|&gt;WBS&lt;/a&gt;</v>
      </c>
      <c r="AS10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02" t="str">
        <f>CONCATENATE("&lt;/li&gt;&lt;li&gt;&lt;a href=|http://",AT1191,"/leviticus/12-1.htm","| ","title=|",AT1190,"| target=|_top|&gt;",AT1192,"&lt;/a&gt;")</f>
        <v>&lt;/li&gt;&lt;li&gt;&lt;a href=|http://biblebrowser.com/leviticus/12-1.htm| title=|Split View| target=|_top|&gt;Split&lt;/a&gt;</v>
      </c>
      <c r="AU102" s="2" t="s">
        <v>1276</v>
      </c>
      <c r="AV102" t="s">
        <v>64</v>
      </c>
    </row>
    <row r="103" spans="1:48">
      <c r="A103" t="s">
        <v>622</v>
      </c>
      <c r="B103" t="s">
        <v>156</v>
      </c>
      <c r="C103" t="s">
        <v>624</v>
      </c>
      <c r="D103" t="s">
        <v>1268</v>
      </c>
      <c r="E103" t="s">
        <v>1277</v>
      </c>
      <c r="F103" t="s">
        <v>1304</v>
      </c>
      <c r="G103" t="s">
        <v>1266</v>
      </c>
      <c r="H103" t="s">
        <v>1305</v>
      </c>
      <c r="I103" t="s">
        <v>1303</v>
      </c>
      <c r="J103" t="s">
        <v>1267</v>
      </c>
      <c r="K103" t="s">
        <v>1275</v>
      </c>
      <c r="L103" s="2" t="s">
        <v>1274</v>
      </c>
      <c r="M103" t="str">
        <f t="shared" ref="M103:AB103" si="408">CONCATENATE("&lt;/li&gt;&lt;li&gt;&lt;a href=|http://",M1191,"/leviticus/13.htm","| ","title=|",M1190,"| target=|_top|&gt;",M1192,"&lt;/a&gt;")</f>
        <v>&lt;/li&gt;&lt;li&gt;&lt;a href=|http://niv.scripturetext.com/leviticus/13.htm| title=|New International Version| target=|_top|&gt;NIV&lt;/a&gt;</v>
      </c>
      <c r="N103" t="str">
        <f t="shared" si="408"/>
        <v>&lt;/li&gt;&lt;li&gt;&lt;a href=|http://nlt.scripturetext.com/leviticus/13.htm| title=|New Living Translation| target=|_top|&gt;NLT&lt;/a&gt;</v>
      </c>
      <c r="O103" t="str">
        <f t="shared" si="408"/>
        <v>&lt;/li&gt;&lt;li&gt;&lt;a href=|http://nasb.scripturetext.com/leviticus/13.htm| title=|New American Standard Bible| target=|_top|&gt;NAS&lt;/a&gt;</v>
      </c>
      <c r="P103" t="str">
        <f t="shared" si="408"/>
        <v>&lt;/li&gt;&lt;li&gt;&lt;a href=|http://gwt.scripturetext.com/leviticus/13.htm| title=|God's Word Translation| target=|_top|&gt;GWT&lt;/a&gt;</v>
      </c>
      <c r="Q103" t="str">
        <f t="shared" si="408"/>
        <v>&lt;/li&gt;&lt;li&gt;&lt;a href=|http://kingjbible.com/leviticus/13.htm| title=|King James Bible| target=|_top|&gt;KJV&lt;/a&gt;</v>
      </c>
      <c r="R103" t="str">
        <f t="shared" si="408"/>
        <v>&lt;/li&gt;&lt;li&gt;&lt;a href=|http://asvbible.com/leviticus/13.htm| title=|American Standard Version| target=|_top|&gt;ASV&lt;/a&gt;</v>
      </c>
      <c r="S103" t="str">
        <f t="shared" si="408"/>
        <v>&lt;/li&gt;&lt;li&gt;&lt;a href=|http://drb.scripturetext.com/leviticus/13.htm| title=|Douay-Rheims Bible| target=|_top|&gt;DRB&lt;/a&gt;</v>
      </c>
      <c r="T103" t="str">
        <f t="shared" si="408"/>
        <v>&lt;/li&gt;&lt;li&gt;&lt;a href=|http://erv.scripturetext.com/leviticus/13.htm| title=|English Revised Version| target=|_top|&gt;ERV&lt;/a&gt;</v>
      </c>
      <c r="V103" t="str">
        <f>CONCATENATE("&lt;/li&gt;&lt;li&gt;&lt;a href=|http://",V1191,"/leviticus/13.htm","| ","title=|",V1190,"| target=|_top|&gt;",V1192,"&lt;/a&gt;")</f>
        <v>&lt;/li&gt;&lt;li&gt;&lt;a href=|http://study.interlinearbible.org/leviticus/13.htm| title=|Hebrew Study Bible| target=|_top|&gt;Heb Study&lt;/a&gt;</v>
      </c>
      <c r="W103" t="str">
        <f t="shared" si="408"/>
        <v>&lt;/li&gt;&lt;li&gt;&lt;a href=|http://apostolic.interlinearbible.org/leviticus/13.htm| title=|Apostolic Bible Polyglot Interlinear| target=|_top|&gt;Polyglot&lt;/a&gt;</v>
      </c>
      <c r="X103" t="str">
        <f t="shared" si="408"/>
        <v>&lt;/li&gt;&lt;li&gt;&lt;a href=|http://interlinearbible.org/leviticus/13.htm| title=|Interlinear Bible| target=|_top|&gt;Interlin&lt;/a&gt;</v>
      </c>
      <c r="Y103" t="str">
        <f t="shared" ref="Y103" si="409">CONCATENATE("&lt;/li&gt;&lt;li&gt;&lt;a href=|http://",Y1191,"/leviticus/13.htm","| ","title=|",Y1190,"| target=|_top|&gt;",Y1192,"&lt;/a&gt;")</f>
        <v>&lt;/li&gt;&lt;li&gt;&lt;a href=|http://bibleoutline.org/leviticus/13.htm| title=|Outline with People and Places List| target=|_top|&gt;Outline&lt;/a&gt;</v>
      </c>
      <c r="Z103" t="str">
        <f t="shared" si="408"/>
        <v>&lt;/li&gt;&lt;li&gt;&lt;a href=|http://kjvs.scripturetext.com/leviticus/13.htm| title=|King James Bible with Strong's Numbers| target=|_top|&gt;Strong's&lt;/a&gt;</v>
      </c>
      <c r="AA103" t="str">
        <f t="shared" si="408"/>
        <v>&lt;/li&gt;&lt;li&gt;&lt;a href=|http://childrensbibleonline.com/leviticus/13.htm| title=|The Children's Bible| target=|_top|&gt;Children's&lt;/a&gt;</v>
      </c>
      <c r="AB103" s="2" t="str">
        <f t="shared" si="408"/>
        <v>&lt;/li&gt;&lt;li&gt;&lt;a href=|http://tsk.scripturetext.com/leviticus/13.htm| title=|Treasury of Scripture Knowledge| target=|_top|&gt;TSK&lt;/a&gt;</v>
      </c>
      <c r="AC103" t="str">
        <f>CONCATENATE("&lt;a href=|http://",AC1191,"/leviticus/13.htm","| ","title=|",AC1190,"| target=|_top|&gt;",AC1192,"&lt;/a&gt;")</f>
        <v>&lt;a href=|http://parallelbible.com/leviticus/13.htm| title=|Parallel Chapters| target=|_top|&gt;PAR&lt;/a&gt;</v>
      </c>
      <c r="AD103" s="2" t="str">
        <f t="shared" ref="AD103:AK103" si="410">CONCATENATE("&lt;/li&gt;&lt;li&gt;&lt;a href=|http://",AD1191,"/leviticus/13.htm","| ","title=|",AD1190,"| target=|_top|&gt;",AD1192,"&lt;/a&gt;")</f>
        <v>&lt;/li&gt;&lt;li&gt;&lt;a href=|http://gsb.biblecommenter.com/leviticus/13.htm| title=|Geneva Study Bible| target=|_top|&gt;GSB&lt;/a&gt;</v>
      </c>
      <c r="AE103" s="2" t="str">
        <f t="shared" si="410"/>
        <v>&lt;/li&gt;&lt;li&gt;&lt;a href=|http://jfb.biblecommenter.com/leviticus/13.htm| title=|Jamieson-Fausset-Brown Bible Commentary| target=|_top|&gt;JFB&lt;/a&gt;</v>
      </c>
      <c r="AF103" s="2" t="str">
        <f t="shared" si="410"/>
        <v>&lt;/li&gt;&lt;li&gt;&lt;a href=|http://kjt.biblecommenter.com/leviticus/13.htm| title=|King James Translators' Notes| target=|_top|&gt;KJT&lt;/a&gt;</v>
      </c>
      <c r="AG103" s="2" t="str">
        <f t="shared" si="410"/>
        <v>&lt;/li&gt;&lt;li&gt;&lt;a href=|http://mhc.biblecommenter.com/leviticus/13.htm| title=|Matthew Henry's Concise Commentary| target=|_top|&gt;MHC&lt;/a&gt;</v>
      </c>
      <c r="AH103" s="2" t="str">
        <f t="shared" si="410"/>
        <v>&lt;/li&gt;&lt;li&gt;&lt;a href=|http://sco.biblecommenter.com/leviticus/13.htm| title=|Scofield Reference Notes| target=|_top|&gt;SCO&lt;/a&gt;</v>
      </c>
      <c r="AI103" s="2" t="str">
        <f t="shared" si="410"/>
        <v>&lt;/li&gt;&lt;li&gt;&lt;a href=|http://wes.biblecommenter.com/leviticus/13.htm| title=|Wesley's Notes on the Bible| target=|_top|&gt;WES&lt;/a&gt;</v>
      </c>
      <c r="AJ103" t="str">
        <f t="shared" si="410"/>
        <v>&lt;/li&gt;&lt;li&gt;&lt;a href=|http://worldebible.com/leviticus/13.htm| title=|World English Bible| target=|_top|&gt;WEB&lt;/a&gt;</v>
      </c>
      <c r="AK103" t="str">
        <f t="shared" si="410"/>
        <v>&lt;/li&gt;&lt;li&gt;&lt;a href=|http://yltbible.com/leviticus/13.htm| title=|Young's Literal Translation| target=|_top|&gt;YLT&lt;/a&gt;</v>
      </c>
      <c r="AL103" t="str">
        <f>CONCATENATE("&lt;a href=|http://",AL1191,"/leviticus/13.htm","| ","title=|",AL1190,"| target=|_top|&gt;",AL1192,"&lt;/a&gt;")</f>
        <v>&lt;a href=|http://kjv.us/leviticus/13.htm| title=|American King James Version| target=|_top|&gt;AKJ&lt;/a&gt;</v>
      </c>
      <c r="AM103" t="str">
        <f t="shared" ref="AM103:AN103" si="411">CONCATENATE("&lt;/li&gt;&lt;li&gt;&lt;a href=|http://",AM1191,"/leviticus/13.htm","| ","title=|",AM1190,"| target=|_top|&gt;",AM1192,"&lt;/a&gt;")</f>
        <v>&lt;/li&gt;&lt;li&gt;&lt;a href=|http://basicenglishbible.com/leviticus/13.htm| title=|Bible in Basic English| target=|_top|&gt;BBE&lt;/a&gt;</v>
      </c>
      <c r="AN103" t="str">
        <f t="shared" si="411"/>
        <v>&lt;/li&gt;&lt;li&gt;&lt;a href=|http://darbybible.com/leviticus/13.htm| title=|Darby Bible Translation| target=|_top|&gt;DBY&lt;/a&gt;</v>
      </c>
      <c r="AO10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0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0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03" t="str">
        <f>CONCATENATE("&lt;/li&gt;&lt;li&gt;&lt;a href=|http://",AR1191,"/leviticus/13.htm","| ","title=|",AR1190,"| target=|_top|&gt;",AR1192,"&lt;/a&gt;")</f>
        <v>&lt;/li&gt;&lt;li&gt;&lt;a href=|http://websterbible.com/leviticus/13.htm| title=|Webster's Bible Translation| target=|_top|&gt;WBS&lt;/a&gt;</v>
      </c>
      <c r="AS10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03" t="str">
        <f>CONCATENATE("&lt;/li&gt;&lt;li&gt;&lt;a href=|http://",AT1191,"/leviticus/13-1.htm","| ","title=|",AT1190,"| target=|_top|&gt;",AT1192,"&lt;/a&gt;")</f>
        <v>&lt;/li&gt;&lt;li&gt;&lt;a href=|http://biblebrowser.com/leviticus/13-1.htm| title=|Split View| target=|_top|&gt;Split&lt;/a&gt;</v>
      </c>
      <c r="AU103" s="2" t="s">
        <v>1276</v>
      </c>
      <c r="AV103" t="s">
        <v>64</v>
      </c>
    </row>
    <row r="104" spans="1:48">
      <c r="A104" t="s">
        <v>622</v>
      </c>
      <c r="B104" t="s">
        <v>157</v>
      </c>
      <c r="C104" t="s">
        <v>624</v>
      </c>
      <c r="D104" t="s">
        <v>1268</v>
      </c>
      <c r="E104" t="s">
        <v>1277</v>
      </c>
      <c r="F104" t="s">
        <v>1304</v>
      </c>
      <c r="G104" t="s">
        <v>1266</v>
      </c>
      <c r="H104" t="s">
        <v>1305</v>
      </c>
      <c r="I104" t="s">
        <v>1303</v>
      </c>
      <c r="J104" t="s">
        <v>1267</v>
      </c>
      <c r="K104" t="s">
        <v>1275</v>
      </c>
      <c r="L104" s="2" t="s">
        <v>1274</v>
      </c>
      <c r="M104" t="str">
        <f t="shared" ref="M104:AB104" si="412">CONCATENATE("&lt;/li&gt;&lt;li&gt;&lt;a href=|http://",M1191,"/leviticus/14.htm","| ","title=|",M1190,"| target=|_top|&gt;",M1192,"&lt;/a&gt;")</f>
        <v>&lt;/li&gt;&lt;li&gt;&lt;a href=|http://niv.scripturetext.com/leviticus/14.htm| title=|New International Version| target=|_top|&gt;NIV&lt;/a&gt;</v>
      </c>
      <c r="N104" t="str">
        <f t="shared" si="412"/>
        <v>&lt;/li&gt;&lt;li&gt;&lt;a href=|http://nlt.scripturetext.com/leviticus/14.htm| title=|New Living Translation| target=|_top|&gt;NLT&lt;/a&gt;</v>
      </c>
      <c r="O104" t="str">
        <f t="shared" si="412"/>
        <v>&lt;/li&gt;&lt;li&gt;&lt;a href=|http://nasb.scripturetext.com/leviticus/14.htm| title=|New American Standard Bible| target=|_top|&gt;NAS&lt;/a&gt;</v>
      </c>
      <c r="P104" t="str">
        <f t="shared" si="412"/>
        <v>&lt;/li&gt;&lt;li&gt;&lt;a href=|http://gwt.scripturetext.com/leviticus/14.htm| title=|God's Word Translation| target=|_top|&gt;GWT&lt;/a&gt;</v>
      </c>
      <c r="Q104" t="str">
        <f t="shared" si="412"/>
        <v>&lt;/li&gt;&lt;li&gt;&lt;a href=|http://kingjbible.com/leviticus/14.htm| title=|King James Bible| target=|_top|&gt;KJV&lt;/a&gt;</v>
      </c>
      <c r="R104" t="str">
        <f t="shared" si="412"/>
        <v>&lt;/li&gt;&lt;li&gt;&lt;a href=|http://asvbible.com/leviticus/14.htm| title=|American Standard Version| target=|_top|&gt;ASV&lt;/a&gt;</v>
      </c>
      <c r="S104" t="str">
        <f t="shared" si="412"/>
        <v>&lt;/li&gt;&lt;li&gt;&lt;a href=|http://drb.scripturetext.com/leviticus/14.htm| title=|Douay-Rheims Bible| target=|_top|&gt;DRB&lt;/a&gt;</v>
      </c>
      <c r="T104" t="str">
        <f t="shared" si="412"/>
        <v>&lt;/li&gt;&lt;li&gt;&lt;a href=|http://erv.scripturetext.com/leviticus/14.htm| title=|English Revised Version| target=|_top|&gt;ERV&lt;/a&gt;</v>
      </c>
      <c r="V104" t="str">
        <f>CONCATENATE("&lt;/li&gt;&lt;li&gt;&lt;a href=|http://",V1191,"/leviticus/14.htm","| ","title=|",V1190,"| target=|_top|&gt;",V1192,"&lt;/a&gt;")</f>
        <v>&lt;/li&gt;&lt;li&gt;&lt;a href=|http://study.interlinearbible.org/leviticus/14.htm| title=|Hebrew Study Bible| target=|_top|&gt;Heb Study&lt;/a&gt;</v>
      </c>
      <c r="W104" t="str">
        <f t="shared" si="412"/>
        <v>&lt;/li&gt;&lt;li&gt;&lt;a href=|http://apostolic.interlinearbible.org/leviticus/14.htm| title=|Apostolic Bible Polyglot Interlinear| target=|_top|&gt;Polyglot&lt;/a&gt;</v>
      </c>
      <c r="X104" t="str">
        <f t="shared" si="412"/>
        <v>&lt;/li&gt;&lt;li&gt;&lt;a href=|http://interlinearbible.org/leviticus/14.htm| title=|Interlinear Bible| target=|_top|&gt;Interlin&lt;/a&gt;</v>
      </c>
      <c r="Y104" t="str">
        <f t="shared" ref="Y104" si="413">CONCATENATE("&lt;/li&gt;&lt;li&gt;&lt;a href=|http://",Y1191,"/leviticus/14.htm","| ","title=|",Y1190,"| target=|_top|&gt;",Y1192,"&lt;/a&gt;")</f>
        <v>&lt;/li&gt;&lt;li&gt;&lt;a href=|http://bibleoutline.org/leviticus/14.htm| title=|Outline with People and Places List| target=|_top|&gt;Outline&lt;/a&gt;</v>
      </c>
      <c r="Z104" t="str">
        <f t="shared" si="412"/>
        <v>&lt;/li&gt;&lt;li&gt;&lt;a href=|http://kjvs.scripturetext.com/leviticus/14.htm| title=|King James Bible with Strong's Numbers| target=|_top|&gt;Strong's&lt;/a&gt;</v>
      </c>
      <c r="AA104" t="str">
        <f t="shared" si="412"/>
        <v>&lt;/li&gt;&lt;li&gt;&lt;a href=|http://childrensbibleonline.com/leviticus/14.htm| title=|The Children's Bible| target=|_top|&gt;Children's&lt;/a&gt;</v>
      </c>
      <c r="AB104" s="2" t="str">
        <f t="shared" si="412"/>
        <v>&lt;/li&gt;&lt;li&gt;&lt;a href=|http://tsk.scripturetext.com/leviticus/14.htm| title=|Treasury of Scripture Knowledge| target=|_top|&gt;TSK&lt;/a&gt;</v>
      </c>
      <c r="AC104" t="str">
        <f>CONCATENATE("&lt;a href=|http://",AC1191,"/leviticus/14.htm","| ","title=|",AC1190,"| target=|_top|&gt;",AC1192,"&lt;/a&gt;")</f>
        <v>&lt;a href=|http://parallelbible.com/leviticus/14.htm| title=|Parallel Chapters| target=|_top|&gt;PAR&lt;/a&gt;</v>
      </c>
      <c r="AD104" s="2" t="str">
        <f t="shared" ref="AD104:AK104" si="414">CONCATENATE("&lt;/li&gt;&lt;li&gt;&lt;a href=|http://",AD1191,"/leviticus/14.htm","| ","title=|",AD1190,"| target=|_top|&gt;",AD1192,"&lt;/a&gt;")</f>
        <v>&lt;/li&gt;&lt;li&gt;&lt;a href=|http://gsb.biblecommenter.com/leviticus/14.htm| title=|Geneva Study Bible| target=|_top|&gt;GSB&lt;/a&gt;</v>
      </c>
      <c r="AE104" s="2" t="str">
        <f t="shared" si="414"/>
        <v>&lt;/li&gt;&lt;li&gt;&lt;a href=|http://jfb.biblecommenter.com/leviticus/14.htm| title=|Jamieson-Fausset-Brown Bible Commentary| target=|_top|&gt;JFB&lt;/a&gt;</v>
      </c>
      <c r="AF104" s="2" t="str">
        <f t="shared" si="414"/>
        <v>&lt;/li&gt;&lt;li&gt;&lt;a href=|http://kjt.biblecommenter.com/leviticus/14.htm| title=|King James Translators' Notes| target=|_top|&gt;KJT&lt;/a&gt;</v>
      </c>
      <c r="AG104" s="2" t="str">
        <f t="shared" si="414"/>
        <v>&lt;/li&gt;&lt;li&gt;&lt;a href=|http://mhc.biblecommenter.com/leviticus/14.htm| title=|Matthew Henry's Concise Commentary| target=|_top|&gt;MHC&lt;/a&gt;</v>
      </c>
      <c r="AH104" s="2" t="str">
        <f t="shared" si="414"/>
        <v>&lt;/li&gt;&lt;li&gt;&lt;a href=|http://sco.biblecommenter.com/leviticus/14.htm| title=|Scofield Reference Notes| target=|_top|&gt;SCO&lt;/a&gt;</v>
      </c>
      <c r="AI104" s="2" t="str">
        <f t="shared" si="414"/>
        <v>&lt;/li&gt;&lt;li&gt;&lt;a href=|http://wes.biblecommenter.com/leviticus/14.htm| title=|Wesley's Notes on the Bible| target=|_top|&gt;WES&lt;/a&gt;</v>
      </c>
      <c r="AJ104" t="str">
        <f t="shared" si="414"/>
        <v>&lt;/li&gt;&lt;li&gt;&lt;a href=|http://worldebible.com/leviticus/14.htm| title=|World English Bible| target=|_top|&gt;WEB&lt;/a&gt;</v>
      </c>
      <c r="AK104" t="str">
        <f t="shared" si="414"/>
        <v>&lt;/li&gt;&lt;li&gt;&lt;a href=|http://yltbible.com/leviticus/14.htm| title=|Young's Literal Translation| target=|_top|&gt;YLT&lt;/a&gt;</v>
      </c>
      <c r="AL104" t="str">
        <f>CONCATENATE("&lt;a href=|http://",AL1191,"/leviticus/14.htm","| ","title=|",AL1190,"| target=|_top|&gt;",AL1192,"&lt;/a&gt;")</f>
        <v>&lt;a href=|http://kjv.us/leviticus/14.htm| title=|American King James Version| target=|_top|&gt;AKJ&lt;/a&gt;</v>
      </c>
      <c r="AM104" t="str">
        <f t="shared" ref="AM104:AN104" si="415">CONCATENATE("&lt;/li&gt;&lt;li&gt;&lt;a href=|http://",AM1191,"/leviticus/14.htm","| ","title=|",AM1190,"| target=|_top|&gt;",AM1192,"&lt;/a&gt;")</f>
        <v>&lt;/li&gt;&lt;li&gt;&lt;a href=|http://basicenglishbible.com/leviticus/14.htm| title=|Bible in Basic English| target=|_top|&gt;BBE&lt;/a&gt;</v>
      </c>
      <c r="AN104" t="str">
        <f t="shared" si="415"/>
        <v>&lt;/li&gt;&lt;li&gt;&lt;a href=|http://darbybible.com/leviticus/14.htm| title=|Darby Bible Translation| target=|_top|&gt;DBY&lt;/a&gt;</v>
      </c>
      <c r="AO10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0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0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04" t="str">
        <f>CONCATENATE("&lt;/li&gt;&lt;li&gt;&lt;a href=|http://",AR1191,"/leviticus/14.htm","| ","title=|",AR1190,"| target=|_top|&gt;",AR1192,"&lt;/a&gt;")</f>
        <v>&lt;/li&gt;&lt;li&gt;&lt;a href=|http://websterbible.com/leviticus/14.htm| title=|Webster's Bible Translation| target=|_top|&gt;WBS&lt;/a&gt;</v>
      </c>
      <c r="AS10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04" t="str">
        <f>CONCATENATE("&lt;/li&gt;&lt;li&gt;&lt;a href=|http://",AT1191,"/leviticus/14-1.htm","| ","title=|",AT1190,"| target=|_top|&gt;",AT1192,"&lt;/a&gt;")</f>
        <v>&lt;/li&gt;&lt;li&gt;&lt;a href=|http://biblebrowser.com/leviticus/14-1.htm| title=|Split View| target=|_top|&gt;Split&lt;/a&gt;</v>
      </c>
      <c r="AU104" s="2" t="s">
        <v>1276</v>
      </c>
      <c r="AV104" t="s">
        <v>64</v>
      </c>
    </row>
    <row r="105" spans="1:48">
      <c r="A105" t="s">
        <v>622</v>
      </c>
      <c r="B105" t="s">
        <v>158</v>
      </c>
      <c r="C105" t="s">
        <v>624</v>
      </c>
      <c r="D105" t="s">
        <v>1268</v>
      </c>
      <c r="E105" t="s">
        <v>1277</v>
      </c>
      <c r="F105" t="s">
        <v>1304</v>
      </c>
      <c r="G105" t="s">
        <v>1266</v>
      </c>
      <c r="H105" t="s">
        <v>1305</v>
      </c>
      <c r="I105" t="s">
        <v>1303</v>
      </c>
      <c r="J105" t="s">
        <v>1267</v>
      </c>
      <c r="K105" t="s">
        <v>1275</v>
      </c>
      <c r="L105" s="2" t="s">
        <v>1274</v>
      </c>
      <c r="M105" t="str">
        <f t="shared" ref="M105:AB105" si="416">CONCATENATE("&lt;/li&gt;&lt;li&gt;&lt;a href=|http://",M1191,"/leviticus/15.htm","| ","title=|",M1190,"| target=|_top|&gt;",M1192,"&lt;/a&gt;")</f>
        <v>&lt;/li&gt;&lt;li&gt;&lt;a href=|http://niv.scripturetext.com/leviticus/15.htm| title=|New International Version| target=|_top|&gt;NIV&lt;/a&gt;</v>
      </c>
      <c r="N105" t="str">
        <f t="shared" si="416"/>
        <v>&lt;/li&gt;&lt;li&gt;&lt;a href=|http://nlt.scripturetext.com/leviticus/15.htm| title=|New Living Translation| target=|_top|&gt;NLT&lt;/a&gt;</v>
      </c>
      <c r="O105" t="str">
        <f t="shared" si="416"/>
        <v>&lt;/li&gt;&lt;li&gt;&lt;a href=|http://nasb.scripturetext.com/leviticus/15.htm| title=|New American Standard Bible| target=|_top|&gt;NAS&lt;/a&gt;</v>
      </c>
      <c r="P105" t="str">
        <f t="shared" si="416"/>
        <v>&lt;/li&gt;&lt;li&gt;&lt;a href=|http://gwt.scripturetext.com/leviticus/15.htm| title=|God's Word Translation| target=|_top|&gt;GWT&lt;/a&gt;</v>
      </c>
      <c r="Q105" t="str">
        <f t="shared" si="416"/>
        <v>&lt;/li&gt;&lt;li&gt;&lt;a href=|http://kingjbible.com/leviticus/15.htm| title=|King James Bible| target=|_top|&gt;KJV&lt;/a&gt;</v>
      </c>
      <c r="R105" t="str">
        <f t="shared" si="416"/>
        <v>&lt;/li&gt;&lt;li&gt;&lt;a href=|http://asvbible.com/leviticus/15.htm| title=|American Standard Version| target=|_top|&gt;ASV&lt;/a&gt;</v>
      </c>
      <c r="S105" t="str">
        <f t="shared" si="416"/>
        <v>&lt;/li&gt;&lt;li&gt;&lt;a href=|http://drb.scripturetext.com/leviticus/15.htm| title=|Douay-Rheims Bible| target=|_top|&gt;DRB&lt;/a&gt;</v>
      </c>
      <c r="T105" t="str">
        <f t="shared" si="416"/>
        <v>&lt;/li&gt;&lt;li&gt;&lt;a href=|http://erv.scripturetext.com/leviticus/15.htm| title=|English Revised Version| target=|_top|&gt;ERV&lt;/a&gt;</v>
      </c>
      <c r="V105" t="str">
        <f>CONCATENATE("&lt;/li&gt;&lt;li&gt;&lt;a href=|http://",V1191,"/leviticus/15.htm","| ","title=|",V1190,"| target=|_top|&gt;",V1192,"&lt;/a&gt;")</f>
        <v>&lt;/li&gt;&lt;li&gt;&lt;a href=|http://study.interlinearbible.org/leviticus/15.htm| title=|Hebrew Study Bible| target=|_top|&gt;Heb Study&lt;/a&gt;</v>
      </c>
      <c r="W105" t="str">
        <f t="shared" si="416"/>
        <v>&lt;/li&gt;&lt;li&gt;&lt;a href=|http://apostolic.interlinearbible.org/leviticus/15.htm| title=|Apostolic Bible Polyglot Interlinear| target=|_top|&gt;Polyglot&lt;/a&gt;</v>
      </c>
      <c r="X105" t="str">
        <f t="shared" si="416"/>
        <v>&lt;/li&gt;&lt;li&gt;&lt;a href=|http://interlinearbible.org/leviticus/15.htm| title=|Interlinear Bible| target=|_top|&gt;Interlin&lt;/a&gt;</v>
      </c>
      <c r="Y105" t="str">
        <f t="shared" ref="Y105" si="417">CONCATENATE("&lt;/li&gt;&lt;li&gt;&lt;a href=|http://",Y1191,"/leviticus/15.htm","| ","title=|",Y1190,"| target=|_top|&gt;",Y1192,"&lt;/a&gt;")</f>
        <v>&lt;/li&gt;&lt;li&gt;&lt;a href=|http://bibleoutline.org/leviticus/15.htm| title=|Outline with People and Places List| target=|_top|&gt;Outline&lt;/a&gt;</v>
      </c>
      <c r="Z105" t="str">
        <f t="shared" si="416"/>
        <v>&lt;/li&gt;&lt;li&gt;&lt;a href=|http://kjvs.scripturetext.com/leviticus/15.htm| title=|King James Bible with Strong's Numbers| target=|_top|&gt;Strong's&lt;/a&gt;</v>
      </c>
      <c r="AA105" t="str">
        <f t="shared" si="416"/>
        <v>&lt;/li&gt;&lt;li&gt;&lt;a href=|http://childrensbibleonline.com/leviticus/15.htm| title=|The Children's Bible| target=|_top|&gt;Children's&lt;/a&gt;</v>
      </c>
      <c r="AB105" s="2" t="str">
        <f t="shared" si="416"/>
        <v>&lt;/li&gt;&lt;li&gt;&lt;a href=|http://tsk.scripturetext.com/leviticus/15.htm| title=|Treasury of Scripture Knowledge| target=|_top|&gt;TSK&lt;/a&gt;</v>
      </c>
      <c r="AC105" t="str">
        <f>CONCATENATE("&lt;a href=|http://",AC1191,"/leviticus/15.htm","| ","title=|",AC1190,"| target=|_top|&gt;",AC1192,"&lt;/a&gt;")</f>
        <v>&lt;a href=|http://parallelbible.com/leviticus/15.htm| title=|Parallel Chapters| target=|_top|&gt;PAR&lt;/a&gt;</v>
      </c>
      <c r="AD105" s="2" t="str">
        <f t="shared" ref="AD105:AK105" si="418">CONCATENATE("&lt;/li&gt;&lt;li&gt;&lt;a href=|http://",AD1191,"/leviticus/15.htm","| ","title=|",AD1190,"| target=|_top|&gt;",AD1192,"&lt;/a&gt;")</f>
        <v>&lt;/li&gt;&lt;li&gt;&lt;a href=|http://gsb.biblecommenter.com/leviticus/15.htm| title=|Geneva Study Bible| target=|_top|&gt;GSB&lt;/a&gt;</v>
      </c>
      <c r="AE105" s="2" t="str">
        <f t="shared" si="418"/>
        <v>&lt;/li&gt;&lt;li&gt;&lt;a href=|http://jfb.biblecommenter.com/leviticus/15.htm| title=|Jamieson-Fausset-Brown Bible Commentary| target=|_top|&gt;JFB&lt;/a&gt;</v>
      </c>
      <c r="AF105" s="2" t="str">
        <f t="shared" si="418"/>
        <v>&lt;/li&gt;&lt;li&gt;&lt;a href=|http://kjt.biblecommenter.com/leviticus/15.htm| title=|King James Translators' Notes| target=|_top|&gt;KJT&lt;/a&gt;</v>
      </c>
      <c r="AG105" s="2" t="str">
        <f t="shared" si="418"/>
        <v>&lt;/li&gt;&lt;li&gt;&lt;a href=|http://mhc.biblecommenter.com/leviticus/15.htm| title=|Matthew Henry's Concise Commentary| target=|_top|&gt;MHC&lt;/a&gt;</v>
      </c>
      <c r="AH105" s="2" t="str">
        <f t="shared" si="418"/>
        <v>&lt;/li&gt;&lt;li&gt;&lt;a href=|http://sco.biblecommenter.com/leviticus/15.htm| title=|Scofield Reference Notes| target=|_top|&gt;SCO&lt;/a&gt;</v>
      </c>
      <c r="AI105" s="2" t="str">
        <f t="shared" si="418"/>
        <v>&lt;/li&gt;&lt;li&gt;&lt;a href=|http://wes.biblecommenter.com/leviticus/15.htm| title=|Wesley's Notes on the Bible| target=|_top|&gt;WES&lt;/a&gt;</v>
      </c>
      <c r="AJ105" t="str">
        <f t="shared" si="418"/>
        <v>&lt;/li&gt;&lt;li&gt;&lt;a href=|http://worldebible.com/leviticus/15.htm| title=|World English Bible| target=|_top|&gt;WEB&lt;/a&gt;</v>
      </c>
      <c r="AK105" t="str">
        <f t="shared" si="418"/>
        <v>&lt;/li&gt;&lt;li&gt;&lt;a href=|http://yltbible.com/leviticus/15.htm| title=|Young's Literal Translation| target=|_top|&gt;YLT&lt;/a&gt;</v>
      </c>
      <c r="AL105" t="str">
        <f>CONCATENATE("&lt;a href=|http://",AL1191,"/leviticus/15.htm","| ","title=|",AL1190,"| target=|_top|&gt;",AL1192,"&lt;/a&gt;")</f>
        <v>&lt;a href=|http://kjv.us/leviticus/15.htm| title=|American King James Version| target=|_top|&gt;AKJ&lt;/a&gt;</v>
      </c>
      <c r="AM105" t="str">
        <f t="shared" ref="AM105:AN105" si="419">CONCATENATE("&lt;/li&gt;&lt;li&gt;&lt;a href=|http://",AM1191,"/leviticus/15.htm","| ","title=|",AM1190,"| target=|_top|&gt;",AM1192,"&lt;/a&gt;")</f>
        <v>&lt;/li&gt;&lt;li&gt;&lt;a href=|http://basicenglishbible.com/leviticus/15.htm| title=|Bible in Basic English| target=|_top|&gt;BBE&lt;/a&gt;</v>
      </c>
      <c r="AN105" t="str">
        <f t="shared" si="419"/>
        <v>&lt;/li&gt;&lt;li&gt;&lt;a href=|http://darbybible.com/leviticus/15.htm| title=|Darby Bible Translation| target=|_top|&gt;DBY&lt;/a&gt;</v>
      </c>
      <c r="AO10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0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0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05" t="str">
        <f>CONCATENATE("&lt;/li&gt;&lt;li&gt;&lt;a href=|http://",AR1191,"/leviticus/15.htm","| ","title=|",AR1190,"| target=|_top|&gt;",AR1192,"&lt;/a&gt;")</f>
        <v>&lt;/li&gt;&lt;li&gt;&lt;a href=|http://websterbible.com/leviticus/15.htm| title=|Webster's Bible Translation| target=|_top|&gt;WBS&lt;/a&gt;</v>
      </c>
      <c r="AS10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05" t="str">
        <f>CONCATENATE("&lt;/li&gt;&lt;li&gt;&lt;a href=|http://",AT1191,"/leviticus/15-1.htm","| ","title=|",AT1190,"| target=|_top|&gt;",AT1192,"&lt;/a&gt;")</f>
        <v>&lt;/li&gt;&lt;li&gt;&lt;a href=|http://biblebrowser.com/leviticus/15-1.htm| title=|Split View| target=|_top|&gt;Split&lt;/a&gt;</v>
      </c>
      <c r="AU105" s="2" t="s">
        <v>1276</v>
      </c>
      <c r="AV105" t="s">
        <v>64</v>
      </c>
    </row>
    <row r="106" spans="1:48">
      <c r="A106" t="s">
        <v>622</v>
      </c>
      <c r="B106" t="s">
        <v>159</v>
      </c>
      <c r="C106" t="s">
        <v>624</v>
      </c>
      <c r="D106" t="s">
        <v>1268</v>
      </c>
      <c r="E106" t="s">
        <v>1277</v>
      </c>
      <c r="F106" t="s">
        <v>1304</v>
      </c>
      <c r="G106" t="s">
        <v>1266</v>
      </c>
      <c r="H106" t="s">
        <v>1305</v>
      </c>
      <c r="I106" t="s">
        <v>1303</v>
      </c>
      <c r="J106" t="s">
        <v>1267</v>
      </c>
      <c r="K106" t="s">
        <v>1275</v>
      </c>
      <c r="L106" s="2" t="s">
        <v>1274</v>
      </c>
      <c r="M106" t="str">
        <f t="shared" ref="M106:AB106" si="420">CONCATENATE("&lt;/li&gt;&lt;li&gt;&lt;a href=|http://",M1191,"/leviticus/16.htm","| ","title=|",M1190,"| target=|_top|&gt;",M1192,"&lt;/a&gt;")</f>
        <v>&lt;/li&gt;&lt;li&gt;&lt;a href=|http://niv.scripturetext.com/leviticus/16.htm| title=|New International Version| target=|_top|&gt;NIV&lt;/a&gt;</v>
      </c>
      <c r="N106" t="str">
        <f t="shared" si="420"/>
        <v>&lt;/li&gt;&lt;li&gt;&lt;a href=|http://nlt.scripturetext.com/leviticus/16.htm| title=|New Living Translation| target=|_top|&gt;NLT&lt;/a&gt;</v>
      </c>
      <c r="O106" t="str">
        <f t="shared" si="420"/>
        <v>&lt;/li&gt;&lt;li&gt;&lt;a href=|http://nasb.scripturetext.com/leviticus/16.htm| title=|New American Standard Bible| target=|_top|&gt;NAS&lt;/a&gt;</v>
      </c>
      <c r="P106" t="str">
        <f t="shared" si="420"/>
        <v>&lt;/li&gt;&lt;li&gt;&lt;a href=|http://gwt.scripturetext.com/leviticus/16.htm| title=|God's Word Translation| target=|_top|&gt;GWT&lt;/a&gt;</v>
      </c>
      <c r="Q106" t="str">
        <f t="shared" si="420"/>
        <v>&lt;/li&gt;&lt;li&gt;&lt;a href=|http://kingjbible.com/leviticus/16.htm| title=|King James Bible| target=|_top|&gt;KJV&lt;/a&gt;</v>
      </c>
      <c r="R106" t="str">
        <f t="shared" si="420"/>
        <v>&lt;/li&gt;&lt;li&gt;&lt;a href=|http://asvbible.com/leviticus/16.htm| title=|American Standard Version| target=|_top|&gt;ASV&lt;/a&gt;</v>
      </c>
      <c r="S106" t="str">
        <f t="shared" si="420"/>
        <v>&lt;/li&gt;&lt;li&gt;&lt;a href=|http://drb.scripturetext.com/leviticus/16.htm| title=|Douay-Rheims Bible| target=|_top|&gt;DRB&lt;/a&gt;</v>
      </c>
      <c r="T106" t="str">
        <f t="shared" si="420"/>
        <v>&lt;/li&gt;&lt;li&gt;&lt;a href=|http://erv.scripturetext.com/leviticus/16.htm| title=|English Revised Version| target=|_top|&gt;ERV&lt;/a&gt;</v>
      </c>
      <c r="V106" t="str">
        <f>CONCATENATE("&lt;/li&gt;&lt;li&gt;&lt;a href=|http://",V1191,"/leviticus/16.htm","| ","title=|",V1190,"| target=|_top|&gt;",V1192,"&lt;/a&gt;")</f>
        <v>&lt;/li&gt;&lt;li&gt;&lt;a href=|http://study.interlinearbible.org/leviticus/16.htm| title=|Hebrew Study Bible| target=|_top|&gt;Heb Study&lt;/a&gt;</v>
      </c>
      <c r="W106" t="str">
        <f t="shared" si="420"/>
        <v>&lt;/li&gt;&lt;li&gt;&lt;a href=|http://apostolic.interlinearbible.org/leviticus/16.htm| title=|Apostolic Bible Polyglot Interlinear| target=|_top|&gt;Polyglot&lt;/a&gt;</v>
      </c>
      <c r="X106" t="str">
        <f t="shared" si="420"/>
        <v>&lt;/li&gt;&lt;li&gt;&lt;a href=|http://interlinearbible.org/leviticus/16.htm| title=|Interlinear Bible| target=|_top|&gt;Interlin&lt;/a&gt;</v>
      </c>
      <c r="Y106" t="str">
        <f t="shared" ref="Y106" si="421">CONCATENATE("&lt;/li&gt;&lt;li&gt;&lt;a href=|http://",Y1191,"/leviticus/16.htm","| ","title=|",Y1190,"| target=|_top|&gt;",Y1192,"&lt;/a&gt;")</f>
        <v>&lt;/li&gt;&lt;li&gt;&lt;a href=|http://bibleoutline.org/leviticus/16.htm| title=|Outline with People and Places List| target=|_top|&gt;Outline&lt;/a&gt;</v>
      </c>
      <c r="Z106" t="str">
        <f t="shared" si="420"/>
        <v>&lt;/li&gt;&lt;li&gt;&lt;a href=|http://kjvs.scripturetext.com/leviticus/16.htm| title=|King James Bible with Strong's Numbers| target=|_top|&gt;Strong's&lt;/a&gt;</v>
      </c>
      <c r="AA106" t="str">
        <f t="shared" si="420"/>
        <v>&lt;/li&gt;&lt;li&gt;&lt;a href=|http://childrensbibleonline.com/leviticus/16.htm| title=|The Children's Bible| target=|_top|&gt;Children's&lt;/a&gt;</v>
      </c>
      <c r="AB106" s="2" t="str">
        <f t="shared" si="420"/>
        <v>&lt;/li&gt;&lt;li&gt;&lt;a href=|http://tsk.scripturetext.com/leviticus/16.htm| title=|Treasury of Scripture Knowledge| target=|_top|&gt;TSK&lt;/a&gt;</v>
      </c>
      <c r="AC106" t="str">
        <f>CONCATENATE("&lt;a href=|http://",AC1191,"/leviticus/16.htm","| ","title=|",AC1190,"| target=|_top|&gt;",AC1192,"&lt;/a&gt;")</f>
        <v>&lt;a href=|http://parallelbible.com/leviticus/16.htm| title=|Parallel Chapters| target=|_top|&gt;PAR&lt;/a&gt;</v>
      </c>
      <c r="AD106" s="2" t="str">
        <f t="shared" ref="AD106:AK106" si="422">CONCATENATE("&lt;/li&gt;&lt;li&gt;&lt;a href=|http://",AD1191,"/leviticus/16.htm","| ","title=|",AD1190,"| target=|_top|&gt;",AD1192,"&lt;/a&gt;")</f>
        <v>&lt;/li&gt;&lt;li&gt;&lt;a href=|http://gsb.biblecommenter.com/leviticus/16.htm| title=|Geneva Study Bible| target=|_top|&gt;GSB&lt;/a&gt;</v>
      </c>
      <c r="AE106" s="2" t="str">
        <f t="shared" si="422"/>
        <v>&lt;/li&gt;&lt;li&gt;&lt;a href=|http://jfb.biblecommenter.com/leviticus/16.htm| title=|Jamieson-Fausset-Brown Bible Commentary| target=|_top|&gt;JFB&lt;/a&gt;</v>
      </c>
      <c r="AF106" s="2" t="str">
        <f t="shared" si="422"/>
        <v>&lt;/li&gt;&lt;li&gt;&lt;a href=|http://kjt.biblecommenter.com/leviticus/16.htm| title=|King James Translators' Notes| target=|_top|&gt;KJT&lt;/a&gt;</v>
      </c>
      <c r="AG106" s="2" t="str">
        <f t="shared" si="422"/>
        <v>&lt;/li&gt;&lt;li&gt;&lt;a href=|http://mhc.biblecommenter.com/leviticus/16.htm| title=|Matthew Henry's Concise Commentary| target=|_top|&gt;MHC&lt;/a&gt;</v>
      </c>
      <c r="AH106" s="2" t="str">
        <f t="shared" si="422"/>
        <v>&lt;/li&gt;&lt;li&gt;&lt;a href=|http://sco.biblecommenter.com/leviticus/16.htm| title=|Scofield Reference Notes| target=|_top|&gt;SCO&lt;/a&gt;</v>
      </c>
      <c r="AI106" s="2" t="str">
        <f t="shared" si="422"/>
        <v>&lt;/li&gt;&lt;li&gt;&lt;a href=|http://wes.biblecommenter.com/leviticus/16.htm| title=|Wesley's Notes on the Bible| target=|_top|&gt;WES&lt;/a&gt;</v>
      </c>
      <c r="AJ106" t="str">
        <f t="shared" si="422"/>
        <v>&lt;/li&gt;&lt;li&gt;&lt;a href=|http://worldebible.com/leviticus/16.htm| title=|World English Bible| target=|_top|&gt;WEB&lt;/a&gt;</v>
      </c>
      <c r="AK106" t="str">
        <f t="shared" si="422"/>
        <v>&lt;/li&gt;&lt;li&gt;&lt;a href=|http://yltbible.com/leviticus/16.htm| title=|Young's Literal Translation| target=|_top|&gt;YLT&lt;/a&gt;</v>
      </c>
      <c r="AL106" t="str">
        <f>CONCATENATE("&lt;a href=|http://",AL1191,"/leviticus/16.htm","| ","title=|",AL1190,"| target=|_top|&gt;",AL1192,"&lt;/a&gt;")</f>
        <v>&lt;a href=|http://kjv.us/leviticus/16.htm| title=|American King James Version| target=|_top|&gt;AKJ&lt;/a&gt;</v>
      </c>
      <c r="AM106" t="str">
        <f t="shared" ref="AM106:AN106" si="423">CONCATENATE("&lt;/li&gt;&lt;li&gt;&lt;a href=|http://",AM1191,"/leviticus/16.htm","| ","title=|",AM1190,"| target=|_top|&gt;",AM1192,"&lt;/a&gt;")</f>
        <v>&lt;/li&gt;&lt;li&gt;&lt;a href=|http://basicenglishbible.com/leviticus/16.htm| title=|Bible in Basic English| target=|_top|&gt;BBE&lt;/a&gt;</v>
      </c>
      <c r="AN106" t="str">
        <f t="shared" si="423"/>
        <v>&lt;/li&gt;&lt;li&gt;&lt;a href=|http://darbybible.com/leviticus/16.htm| title=|Darby Bible Translation| target=|_top|&gt;DBY&lt;/a&gt;</v>
      </c>
      <c r="AO10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0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0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06" t="str">
        <f>CONCATENATE("&lt;/li&gt;&lt;li&gt;&lt;a href=|http://",AR1191,"/leviticus/16.htm","| ","title=|",AR1190,"| target=|_top|&gt;",AR1192,"&lt;/a&gt;")</f>
        <v>&lt;/li&gt;&lt;li&gt;&lt;a href=|http://websterbible.com/leviticus/16.htm| title=|Webster's Bible Translation| target=|_top|&gt;WBS&lt;/a&gt;</v>
      </c>
      <c r="AS10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06" t="str">
        <f>CONCATENATE("&lt;/li&gt;&lt;li&gt;&lt;a href=|http://",AT1191,"/leviticus/16-1.htm","| ","title=|",AT1190,"| target=|_top|&gt;",AT1192,"&lt;/a&gt;")</f>
        <v>&lt;/li&gt;&lt;li&gt;&lt;a href=|http://biblebrowser.com/leviticus/16-1.htm| title=|Split View| target=|_top|&gt;Split&lt;/a&gt;</v>
      </c>
      <c r="AU106" s="2" t="s">
        <v>1276</v>
      </c>
      <c r="AV106" t="s">
        <v>64</v>
      </c>
    </row>
    <row r="107" spans="1:48">
      <c r="A107" t="s">
        <v>622</v>
      </c>
      <c r="B107" t="s">
        <v>160</v>
      </c>
      <c r="C107" t="s">
        <v>624</v>
      </c>
      <c r="D107" t="s">
        <v>1268</v>
      </c>
      <c r="E107" t="s">
        <v>1277</v>
      </c>
      <c r="F107" t="s">
        <v>1304</v>
      </c>
      <c r="G107" t="s">
        <v>1266</v>
      </c>
      <c r="H107" t="s">
        <v>1305</v>
      </c>
      <c r="I107" t="s">
        <v>1303</v>
      </c>
      <c r="J107" t="s">
        <v>1267</v>
      </c>
      <c r="K107" t="s">
        <v>1275</v>
      </c>
      <c r="L107" s="2" t="s">
        <v>1274</v>
      </c>
      <c r="M107" t="str">
        <f t="shared" ref="M107:AB107" si="424">CONCATENATE("&lt;/li&gt;&lt;li&gt;&lt;a href=|http://",M1191,"/leviticus/17.htm","| ","title=|",M1190,"| target=|_top|&gt;",M1192,"&lt;/a&gt;")</f>
        <v>&lt;/li&gt;&lt;li&gt;&lt;a href=|http://niv.scripturetext.com/leviticus/17.htm| title=|New International Version| target=|_top|&gt;NIV&lt;/a&gt;</v>
      </c>
      <c r="N107" t="str">
        <f t="shared" si="424"/>
        <v>&lt;/li&gt;&lt;li&gt;&lt;a href=|http://nlt.scripturetext.com/leviticus/17.htm| title=|New Living Translation| target=|_top|&gt;NLT&lt;/a&gt;</v>
      </c>
      <c r="O107" t="str">
        <f t="shared" si="424"/>
        <v>&lt;/li&gt;&lt;li&gt;&lt;a href=|http://nasb.scripturetext.com/leviticus/17.htm| title=|New American Standard Bible| target=|_top|&gt;NAS&lt;/a&gt;</v>
      </c>
      <c r="P107" t="str">
        <f t="shared" si="424"/>
        <v>&lt;/li&gt;&lt;li&gt;&lt;a href=|http://gwt.scripturetext.com/leviticus/17.htm| title=|God's Word Translation| target=|_top|&gt;GWT&lt;/a&gt;</v>
      </c>
      <c r="Q107" t="str">
        <f t="shared" si="424"/>
        <v>&lt;/li&gt;&lt;li&gt;&lt;a href=|http://kingjbible.com/leviticus/17.htm| title=|King James Bible| target=|_top|&gt;KJV&lt;/a&gt;</v>
      </c>
      <c r="R107" t="str">
        <f t="shared" si="424"/>
        <v>&lt;/li&gt;&lt;li&gt;&lt;a href=|http://asvbible.com/leviticus/17.htm| title=|American Standard Version| target=|_top|&gt;ASV&lt;/a&gt;</v>
      </c>
      <c r="S107" t="str">
        <f t="shared" si="424"/>
        <v>&lt;/li&gt;&lt;li&gt;&lt;a href=|http://drb.scripturetext.com/leviticus/17.htm| title=|Douay-Rheims Bible| target=|_top|&gt;DRB&lt;/a&gt;</v>
      </c>
      <c r="T107" t="str">
        <f t="shared" si="424"/>
        <v>&lt;/li&gt;&lt;li&gt;&lt;a href=|http://erv.scripturetext.com/leviticus/17.htm| title=|English Revised Version| target=|_top|&gt;ERV&lt;/a&gt;</v>
      </c>
      <c r="V107" t="str">
        <f>CONCATENATE("&lt;/li&gt;&lt;li&gt;&lt;a href=|http://",V1191,"/leviticus/17.htm","| ","title=|",V1190,"| target=|_top|&gt;",V1192,"&lt;/a&gt;")</f>
        <v>&lt;/li&gt;&lt;li&gt;&lt;a href=|http://study.interlinearbible.org/leviticus/17.htm| title=|Hebrew Study Bible| target=|_top|&gt;Heb Study&lt;/a&gt;</v>
      </c>
      <c r="W107" t="str">
        <f t="shared" si="424"/>
        <v>&lt;/li&gt;&lt;li&gt;&lt;a href=|http://apostolic.interlinearbible.org/leviticus/17.htm| title=|Apostolic Bible Polyglot Interlinear| target=|_top|&gt;Polyglot&lt;/a&gt;</v>
      </c>
      <c r="X107" t="str">
        <f t="shared" si="424"/>
        <v>&lt;/li&gt;&lt;li&gt;&lt;a href=|http://interlinearbible.org/leviticus/17.htm| title=|Interlinear Bible| target=|_top|&gt;Interlin&lt;/a&gt;</v>
      </c>
      <c r="Y107" t="str">
        <f t="shared" ref="Y107" si="425">CONCATENATE("&lt;/li&gt;&lt;li&gt;&lt;a href=|http://",Y1191,"/leviticus/17.htm","| ","title=|",Y1190,"| target=|_top|&gt;",Y1192,"&lt;/a&gt;")</f>
        <v>&lt;/li&gt;&lt;li&gt;&lt;a href=|http://bibleoutline.org/leviticus/17.htm| title=|Outline with People and Places List| target=|_top|&gt;Outline&lt;/a&gt;</v>
      </c>
      <c r="Z107" t="str">
        <f t="shared" si="424"/>
        <v>&lt;/li&gt;&lt;li&gt;&lt;a href=|http://kjvs.scripturetext.com/leviticus/17.htm| title=|King James Bible with Strong's Numbers| target=|_top|&gt;Strong's&lt;/a&gt;</v>
      </c>
      <c r="AA107" t="str">
        <f t="shared" si="424"/>
        <v>&lt;/li&gt;&lt;li&gt;&lt;a href=|http://childrensbibleonline.com/leviticus/17.htm| title=|The Children's Bible| target=|_top|&gt;Children's&lt;/a&gt;</v>
      </c>
      <c r="AB107" s="2" t="str">
        <f t="shared" si="424"/>
        <v>&lt;/li&gt;&lt;li&gt;&lt;a href=|http://tsk.scripturetext.com/leviticus/17.htm| title=|Treasury of Scripture Knowledge| target=|_top|&gt;TSK&lt;/a&gt;</v>
      </c>
      <c r="AC107" t="str">
        <f>CONCATENATE("&lt;a href=|http://",AC1191,"/leviticus/17.htm","| ","title=|",AC1190,"| target=|_top|&gt;",AC1192,"&lt;/a&gt;")</f>
        <v>&lt;a href=|http://parallelbible.com/leviticus/17.htm| title=|Parallel Chapters| target=|_top|&gt;PAR&lt;/a&gt;</v>
      </c>
      <c r="AD107" s="2" t="str">
        <f t="shared" ref="AD107:AK107" si="426">CONCATENATE("&lt;/li&gt;&lt;li&gt;&lt;a href=|http://",AD1191,"/leviticus/17.htm","| ","title=|",AD1190,"| target=|_top|&gt;",AD1192,"&lt;/a&gt;")</f>
        <v>&lt;/li&gt;&lt;li&gt;&lt;a href=|http://gsb.biblecommenter.com/leviticus/17.htm| title=|Geneva Study Bible| target=|_top|&gt;GSB&lt;/a&gt;</v>
      </c>
      <c r="AE107" s="2" t="str">
        <f t="shared" si="426"/>
        <v>&lt;/li&gt;&lt;li&gt;&lt;a href=|http://jfb.biblecommenter.com/leviticus/17.htm| title=|Jamieson-Fausset-Brown Bible Commentary| target=|_top|&gt;JFB&lt;/a&gt;</v>
      </c>
      <c r="AF107" s="2" t="str">
        <f t="shared" si="426"/>
        <v>&lt;/li&gt;&lt;li&gt;&lt;a href=|http://kjt.biblecommenter.com/leviticus/17.htm| title=|King James Translators' Notes| target=|_top|&gt;KJT&lt;/a&gt;</v>
      </c>
      <c r="AG107" s="2" t="str">
        <f t="shared" si="426"/>
        <v>&lt;/li&gt;&lt;li&gt;&lt;a href=|http://mhc.biblecommenter.com/leviticus/17.htm| title=|Matthew Henry's Concise Commentary| target=|_top|&gt;MHC&lt;/a&gt;</v>
      </c>
      <c r="AH107" s="2" t="str">
        <f t="shared" si="426"/>
        <v>&lt;/li&gt;&lt;li&gt;&lt;a href=|http://sco.biblecommenter.com/leviticus/17.htm| title=|Scofield Reference Notes| target=|_top|&gt;SCO&lt;/a&gt;</v>
      </c>
      <c r="AI107" s="2" t="str">
        <f t="shared" si="426"/>
        <v>&lt;/li&gt;&lt;li&gt;&lt;a href=|http://wes.biblecommenter.com/leviticus/17.htm| title=|Wesley's Notes on the Bible| target=|_top|&gt;WES&lt;/a&gt;</v>
      </c>
      <c r="AJ107" t="str">
        <f t="shared" si="426"/>
        <v>&lt;/li&gt;&lt;li&gt;&lt;a href=|http://worldebible.com/leviticus/17.htm| title=|World English Bible| target=|_top|&gt;WEB&lt;/a&gt;</v>
      </c>
      <c r="AK107" t="str">
        <f t="shared" si="426"/>
        <v>&lt;/li&gt;&lt;li&gt;&lt;a href=|http://yltbible.com/leviticus/17.htm| title=|Young's Literal Translation| target=|_top|&gt;YLT&lt;/a&gt;</v>
      </c>
      <c r="AL107" t="str">
        <f>CONCATENATE("&lt;a href=|http://",AL1191,"/leviticus/17.htm","| ","title=|",AL1190,"| target=|_top|&gt;",AL1192,"&lt;/a&gt;")</f>
        <v>&lt;a href=|http://kjv.us/leviticus/17.htm| title=|American King James Version| target=|_top|&gt;AKJ&lt;/a&gt;</v>
      </c>
      <c r="AM107" t="str">
        <f t="shared" ref="AM107:AN107" si="427">CONCATENATE("&lt;/li&gt;&lt;li&gt;&lt;a href=|http://",AM1191,"/leviticus/17.htm","| ","title=|",AM1190,"| target=|_top|&gt;",AM1192,"&lt;/a&gt;")</f>
        <v>&lt;/li&gt;&lt;li&gt;&lt;a href=|http://basicenglishbible.com/leviticus/17.htm| title=|Bible in Basic English| target=|_top|&gt;BBE&lt;/a&gt;</v>
      </c>
      <c r="AN107" t="str">
        <f t="shared" si="427"/>
        <v>&lt;/li&gt;&lt;li&gt;&lt;a href=|http://darbybible.com/leviticus/17.htm| title=|Darby Bible Translation| target=|_top|&gt;DBY&lt;/a&gt;</v>
      </c>
      <c r="AO10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0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0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07" t="str">
        <f>CONCATENATE("&lt;/li&gt;&lt;li&gt;&lt;a href=|http://",AR1191,"/leviticus/17.htm","| ","title=|",AR1190,"| target=|_top|&gt;",AR1192,"&lt;/a&gt;")</f>
        <v>&lt;/li&gt;&lt;li&gt;&lt;a href=|http://websterbible.com/leviticus/17.htm| title=|Webster's Bible Translation| target=|_top|&gt;WBS&lt;/a&gt;</v>
      </c>
      <c r="AS10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07" t="str">
        <f>CONCATENATE("&lt;/li&gt;&lt;li&gt;&lt;a href=|http://",AT1191,"/leviticus/17-1.htm","| ","title=|",AT1190,"| target=|_top|&gt;",AT1192,"&lt;/a&gt;")</f>
        <v>&lt;/li&gt;&lt;li&gt;&lt;a href=|http://biblebrowser.com/leviticus/17-1.htm| title=|Split View| target=|_top|&gt;Split&lt;/a&gt;</v>
      </c>
      <c r="AU107" s="2" t="s">
        <v>1276</v>
      </c>
      <c r="AV107" t="s">
        <v>64</v>
      </c>
    </row>
    <row r="108" spans="1:48">
      <c r="A108" t="s">
        <v>622</v>
      </c>
      <c r="B108" t="s">
        <v>161</v>
      </c>
      <c r="C108" t="s">
        <v>624</v>
      </c>
      <c r="D108" t="s">
        <v>1268</v>
      </c>
      <c r="E108" t="s">
        <v>1277</v>
      </c>
      <c r="F108" t="s">
        <v>1304</v>
      </c>
      <c r="G108" t="s">
        <v>1266</v>
      </c>
      <c r="H108" t="s">
        <v>1305</v>
      </c>
      <c r="I108" t="s">
        <v>1303</v>
      </c>
      <c r="J108" t="s">
        <v>1267</v>
      </c>
      <c r="K108" t="s">
        <v>1275</v>
      </c>
      <c r="L108" s="2" t="s">
        <v>1274</v>
      </c>
      <c r="M108" t="str">
        <f t="shared" ref="M108:AB108" si="428">CONCATENATE("&lt;/li&gt;&lt;li&gt;&lt;a href=|http://",M1191,"/leviticus/18.htm","| ","title=|",M1190,"| target=|_top|&gt;",M1192,"&lt;/a&gt;")</f>
        <v>&lt;/li&gt;&lt;li&gt;&lt;a href=|http://niv.scripturetext.com/leviticus/18.htm| title=|New International Version| target=|_top|&gt;NIV&lt;/a&gt;</v>
      </c>
      <c r="N108" t="str">
        <f t="shared" si="428"/>
        <v>&lt;/li&gt;&lt;li&gt;&lt;a href=|http://nlt.scripturetext.com/leviticus/18.htm| title=|New Living Translation| target=|_top|&gt;NLT&lt;/a&gt;</v>
      </c>
      <c r="O108" t="str">
        <f t="shared" si="428"/>
        <v>&lt;/li&gt;&lt;li&gt;&lt;a href=|http://nasb.scripturetext.com/leviticus/18.htm| title=|New American Standard Bible| target=|_top|&gt;NAS&lt;/a&gt;</v>
      </c>
      <c r="P108" t="str">
        <f t="shared" si="428"/>
        <v>&lt;/li&gt;&lt;li&gt;&lt;a href=|http://gwt.scripturetext.com/leviticus/18.htm| title=|God's Word Translation| target=|_top|&gt;GWT&lt;/a&gt;</v>
      </c>
      <c r="Q108" t="str">
        <f t="shared" si="428"/>
        <v>&lt;/li&gt;&lt;li&gt;&lt;a href=|http://kingjbible.com/leviticus/18.htm| title=|King James Bible| target=|_top|&gt;KJV&lt;/a&gt;</v>
      </c>
      <c r="R108" t="str">
        <f t="shared" si="428"/>
        <v>&lt;/li&gt;&lt;li&gt;&lt;a href=|http://asvbible.com/leviticus/18.htm| title=|American Standard Version| target=|_top|&gt;ASV&lt;/a&gt;</v>
      </c>
      <c r="S108" t="str">
        <f t="shared" si="428"/>
        <v>&lt;/li&gt;&lt;li&gt;&lt;a href=|http://drb.scripturetext.com/leviticus/18.htm| title=|Douay-Rheims Bible| target=|_top|&gt;DRB&lt;/a&gt;</v>
      </c>
      <c r="T108" t="str">
        <f t="shared" si="428"/>
        <v>&lt;/li&gt;&lt;li&gt;&lt;a href=|http://erv.scripturetext.com/leviticus/18.htm| title=|English Revised Version| target=|_top|&gt;ERV&lt;/a&gt;</v>
      </c>
      <c r="V108" t="str">
        <f>CONCATENATE("&lt;/li&gt;&lt;li&gt;&lt;a href=|http://",V1191,"/leviticus/18.htm","| ","title=|",V1190,"| target=|_top|&gt;",V1192,"&lt;/a&gt;")</f>
        <v>&lt;/li&gt;&lt;li&gt;&lt;a href=|http://study.interlinearbible.org/leviticus/18.htm| title=|Hebrew Study Bible| target=|_top|&gt;Heb Study&lt;/a&gt;</v>
      </c>
      <c r="W108" t="str">
        <f t="shared" si="428"/>
        <v>&lt;/li&gt;&lt;li&gt;&lt;a href=|http://apostolic.interlinearbible.org/leviticus/18.htm| title=|Apostolic Bible Polyglot Interlinear| target=|_top|&gt;Polyglot&lt;/a&gt;</v>
      </c>
      <c r="X108" t="str">
        <f t="shared" si="428"/>
        <v>&lt;/li&gt;&lt;li&gt;&lt;a href=|http://interlinearbible.org/leviticus/18.htm| title=|Interlinear Bible| target=|_top|&gt;Interlin&lt;/a&gt;</v>
      </c>
      <c r="Y108" t="str">
        <f t="shared" ref="Y108" si="429">CONCATENATE("&lt;/li&gt;&lt;li&gt;&lt;a href=|http://",Y1191,"/leviticus/18.htm","| ","title=|",Y1190,"| target=|_top|&gt;",Y1192,"&lt;/a&gt;")</f>
        <v>&lt;/li&gt;&lt;li&gt;&lt;a href=|http://bibleoutline.org/leviticus/18.htm| title=|Outline with People and Places List| target=|_top|&gt;Outline&lt;/a&gt;</v>
      </c>
      <c r="Z108" t="str">
        <f t="shared" si="428"/>
        <v>&lt;/li&gt;&lt;li&gt;&lt;a href=|http://kjvs.scripturetext.com/leviticus/18.htm| title=|King James Bible with Strong's Numbers| target=|_top|&gt;Strong's&lt;/a&gt;</v>
      </c>
      <c r="AA108" t="str">
        <f t="shared" si="428"/>
        <v>&lt;/li&gt;&lt;li&gt;&lt;a href=|http://childrensbibleonline.com/leviticus/18.htm| title=|The Children's Bible| target=|_top|&gt;Children's&lt;/a&gt;</v>
      </c>
      <c r="AB108" s="2" t="str">
        <f t="shared" si="428"/>
        <v>&lt;/li&gt;&lt;li&gt;&lt;a href=|http://tsk.scripturetext.com/leviticus/18.htm| title=|Treasury of Scripture Knowledge| target=|_top|&gt;TSK&lt;/a&gt;</v>
      </c>
      <c r="AC108" t="str">
        <f>CONCATENATE("&lt;a href=|http://",AC1191,"/leviticus/18.htm","| ","title=|",AC1190,"| target=|_top|&gt;",AC1192,"&lt;/a&gt;")</f>
        <v>&lt;a href=|http://parallelbible.com/leviticus/18.htm| title=|Parallel Chapters| target=|_top|&gt;PAR&lt;/a&gt;</v>
      </c>
      <c r="AD108" s="2" t="str">
        <f t="shared" ref="AD108:AK108" si="430">CONCATENATE("&lt;/li&gt;&lt;li&gt;&lt;a href=|http://",AD1191,"/leviticus/18.htm","| ","title=|",AD1190,"| target=|_top|&gt;",AD1192,"&lt;/a&gt;")</f>
        <v>&lt;/li&gt;&lt;li&gt;&lt;a href=|http://gsb.biblecommenter.com/leviticus/18.htm| title=|Geneva Study Bible| target=|_top|&gt;GSB&lt;/a&gt;</v>
      </c>
      <c r="AE108" s="2" t="str">
        <f t="shared" si="430"/>
        <v>&lt;/li&gt;&lt;li&gt;&lt;a href=|http://jfb.biblecommenter.com/leviticus/18.htm| title=|Jamieson-Fausset-Brown Bible Commentary| target=|_top|&gt;JFB&lt;/a&gt;</v>
      </c>
      <c r="AF108" s="2" t="str">
        <f t="shared" si="430"/>
        <v>&lt;/li&gt;&lt;li&gt;&lt;a href=|http://kjt.biblecommenter.com/leviticus/18.htm| title=|King James Translators' Notes| target=|_top|&gt;KJT&lt;/a&gt;</v>
      </c>
      <c r="AG108" s="2" t="str">
        <f t="shared" si="430"/>
        <v>&lt;/li&gt;&lt;li&gt;&lt;a href=|http://mhc.biblecommenter.com/leviticus/18.htm| title=|Matthew Henry's Concise Commentary| target=|_top|&gt;MHC&lt;/a&gt;</v>
      </c>
      <c r="AH108" s="2" t="str">
        <f t="shared" si="430"/>
        <v>&lt;/li&gt;&lt;li&gt;&lt;a href=|http://sco.biblecommenter.com/leviticus/18.htm| title=|Scofield Reference Notes| target=|_top|&gt;SCO&lt;/a&gt;</v>
      </c>
      <c r="AI108" s="2" t="str">
        <f t="shared" si="430"/>
        <v>&lt;/li&gt;&lt;li&gt;&lt;a href=|http://wes.biblecommenter.com/leviticus/18.htm| title=|Wesley's Notes on the Bible| target=|_top|&gt;WES&lt;/a&gt;</v>
      </c>
      <c r="AJ108" t="str">
        <f t="shared" si="430"/>
        <v>&lt;/li&gt;&lt;li&gt;&lt;a href=|http://worldebible.com/leviticus/18.htm| title=|World English Bible| target=|_top|&gt;WEB&lt;/a&gt;</v>
      </c>
      <c r="AK108" t="str">
        <f t="shared" si="430"/>
        <v>&lt;/li&gt;&lt;li&gt;&lt;a href=|http://yltbible.com/leviticus/18.htm| title=|Young's Literal Translation| target=|_top|&gt;YLT&lt;/a&gt;</v>
      </c>
      <c r="AL108" t="str">
        <f>CONCATENATE("&lt;a href=|http://",AL1191,"/leviticus/18.htm","| ","title=|",AL1190,"| target=|_top|&gt;",AL1192,"&lt;/a&gt;")</f>
        <v>&lt;a href=|http://kjv.us/leviticus/18.htm| title=|American King James Version| target=|_top|&gt;AKJ&lt;/a&gt;</v>
      </c>
      <c r="AM108" t="str">
        <f t="shared" ref="AM108:AN108" si="431">CONCATENATE("&lt;/li&gt;&lt;li&gt;&lt;a href=|http://",AM1191,"/leviticus/18.htm","| ","title=|",AM1190,"| target=|_top|&gt;",AM1192,"&lt;/a&gt;")</f>
        <v>&lt;/li&gt;&lt;li&gt;&lt;a href=|http://basicenglishbible.com/leviticus/18.htm| title=|Bible in Basic English| target=|_top|&gt;BBE&lt;/a&gt;</v>
      </c>
      <c r="AN108" t="str">
        <f t="shared" si="431"/>
        <v>&lt;/li&gt;&lt;li&gt;&lt;a href=|http://darbybible.com/leviticus/18.htm| title=|Darby Bible Translation| target=|_top|&gt;DBY&lt;/a&gt;</v>
      </c>
      <c r="AO10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0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0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08" t="str">
        <f>CONCATENATE("&lt;/li&gt;&lt;li&gt;&lt;a href=|http://",AR1191,"/leviticus/18.htm","| ","title=|",AR1190,"| target=|_top|&gt;",AR1192,"&lt;/a&gt;")</f>
        <v>&lt;/li&gt;&lt;li&gt;&lt;a href=|http://websterbible.com/leviticus/18.htm| title=|Webster's Bible Translation| target=|_top|&gt;WBS&lt;/a&gt;</v>
      </c>
      <c r="AS10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08" t="str">
        <f>CONCATENATE("&lt;/li&gt;&lt;li&gt;&lt;a href=|http://",AT1191,"/leviticus/18-1.htm","| ","title=|",AT1190,"| target=|_top|&gt;",AT1192,"&lt;/a&gt;")</f>
        <v>&lt;/li&gt;&lt;li&gt;&lt;a href=|http://biblebrowser.com/leviticus/18-1.htm| title=|Split View| target=|_top|&gt;Split&lt;/a&gt;</v>
      </c>
      <c r="AU108" s="2" t="s">
        <v>1276</v>
      </c>
      <c r="AV108" t="s">
        <v>64</v>
      </c>
    </row>
    <row r="109" spans="1:48">
      <c r="A109" t="s">
        <v>622</v>
      </c>
      <c r="B109" t="s">
        <v>162</v>
      </c>
      <c r="C109" t="s">
        <v>624</v>
      </c>
      <c r="D109" t="s">
        <v>1268</v>
      </c>
      <c r="E109" t="s">
        <v>1277</v>
      </c>
      <c r="F109" t="s">
        <v>1304</v>
      </c>
      <c r="G109" t="s">
        <v>1266</v>
      </c>
      <c r="H109" t="s">
        <v>1305</v>
      </c>
      <c r="I109" t="s">
        <v>1303</v>
      </c>
      <c r="J109" t="s">
        <v>1267</v>
      </c>
      <c r="K109" t="s">
        <v>1275</v>
      </c>
      <c r="L109" s="2" t="s">
        <v>1274</v>
      </c>
      <c r="M109" t="str">
        <f t="shared" ref="M109:AB109" si="432">CONCATENATE("&lt;/li&gt;&lt;li&gt;&lt;a href=|http://",M1191,"/leviticus/19.htm","| ","title=|",M1190,"| target=|_top|&gt;",M1192,"&lt;/a&gt;")</f>
        <v>&lt;/li&gt;&lt;li&gt;&lt;a href=|http://niv.scripturetext.com/leviticus/19.htm| title=|New International Version| target=|_top|&gt;NIV&lt;/a&gt;</v>
      </c>
      <c r="N109" t="str">
        <f t="shared" si="432"/>
        <v>&lt;/li&gt;&lt;li&gt;&lt;a href=|http://nlt.scripturetext.com/leviticus/19.htm| title=|New Living Translation| target=|_top|&gt;NLT&lt;/a&gt;</v>
      </c>
      <c r="O109" t="str">
        <f t="shared" si="432"/>
        <v>&lt;/li&gt;&lt;li&gt;&lt;a href=|http://nasb.scripturetext.com/leviticus/19.htm| title=|New American Standard Bible| target=|_top|&gt;NAS&lt;/a&gt;</v>
      </c>
      <c r="P109" t="str">
        <f t="shared" si="432"/>
        <v>&lt;/li&gt;&lt;li&gt;&lt;a href=|http://gwt.scripturetext.com/leviticus/19.htm| title=|God's Word Translation| target=|_top|&gt;GWT&lt;/a&gt;</v>
      </c>
      <c r="Q109" t="str">
        <f t="shared" si="432"/>
        <v>&lt;/li&gt;&lt;li&gt;&lt;a href=|http://kingjbible.com/leviticus/19.htm| title=|King James Bible| target=|_top|&gt;KJV&lt;/a&gt;</v>
      </c>
      <c r="R109" t="str">
        <f t="shared" si="432"/>
        <v>&lt;/li&gt;&lt;li&gt;&lt;a href=|http://asvbible.com/leviticus/19.htm| title=|American Standard Version| target=|_top|&gt;ASV&lt;/a&gt;</v>
      </c>
      <c r="S109" t="str">
        <f t="shared" si="432"/>
        <v>&lt;/li&gt;&lt;li&gt;&lt;a href=|http://drb.scripturetext.com/leviticus/19.htm| title=|Douay-Rheims Bible| target=|_top|&gt;DRB&lt;/a&gt;</v>
      </c>
      <c r="T109" t="str">
        <f t="shared" si="432"/>
        <v>&lt;/li&gt;&lt;li&gt;&lt;a href=|http://erv.scripturetext.com/leviticus/19.htm| title=|English Revised Version| target=|_top|&gt;ERV&lt;/a&gt;</v>
      </c>
      <c r="V109" t="str">
        <f>CONCATENATE("&lt;/li&gt;&lt;li&gt;&lt;a href=|http://",V1191,"/leviticus/19.htm","| ","title=|",V1190,"| target=|_top|&gt;",V1192,"&lt;/a&gt;")</f>
        <v>&lt;/li&gt;&lt;li&gt;&lt;a href=|http://study.interlinearbible.org/leviticus/19.htm| title=|Hebrew Study Bible| target=|_top|&gt;Heb Study&lt;/a&gt;</v>
      </c>
      <c r="W109" t="str">
        <f t="shared" si="432"/>
        <v>&lt;/li&gt;&lt;li&gt;&lt;a href=|http://apostolic.interlinearbible.org/leviticus/19.htm| title=|Apostolic Bible Polyglot Interlinear| target=|_top|&gt;Polyglot&lt;/a&gt;</v>
      </c>
      <c r="X109" t="str">
        <f t="shared" si="432"/>
        <v>&lt;/li&gt;&lt;li&gt;&lt;a href=|http://interlinearbible.org/leviticus/19.htm| title=|Interlinear Bible| target=|_top|&gt;Interlin&lt;/a&gt;</v>
      </c>
      <c r="Y109" t="str">
        <f t="shared" ref="Y109" si="433">CONCATENATE("&lt;/li&gt;&lt;li&gt;&lt;a href=|http://",Y1191,"/leviticus/19.htm","| ","title=|",Y1190,"| target=|_top|&gt;",Y1192,"&lt;/a&gt;")</f>
        <v>&lt;/li&gt;&lt;li&gt;&lt;a href=|http://bibleoutline.org/leviticus/19.htm| title=|Outline with People and Places List| target=|_top|&gt;Outline&lt;/a&gt;</v>
      </c>
      <c r="Z109" t="str">
        <f t="shared" si="432"/>
        <v>&lt;/li&gt;&lt;li&gt;&lt;a href=|http://kjvs.scripturetext.com/leviticus/19.htm| title=|King James Bible with Strong's Numbers| target=|_top|&gt;Strong's&lt;/a&gt;</v>
      </c>
      <c r="AA109" t="str">
        <f t="shared" si="432"/>
        <v>&lt;/li&gt;&lt;li&gt;&lt;a href=|http://childrensbibleonline.com/leviticus/19.htm| title=|The Children's Bible| target=|_top|&gt;Children's&lt;/a&gt;</v>
      </c>
      <c r="AB109" s="2" t="str">
        <f t="shared" si="432"/>
        <v>&lt;/li&gt;&lt;li&gt;&lt;a href=|http://tsk.scripturetext.com/leviticus/19.htm| title=|Treasury of Scripture Knowledge| target=|_top|&gt;TSK&lt;/a&gt;</v>
      </c>
      <c r="AC109" t="str">
        <f>CONCATENATE("&lt;a href=|http://",AC1191,"/leviticus/19.htm","| ","title=|",AC1190,"| target=|_top|&gt;",AC1192,"&lt;/a&gt;")</f>
        <v>&lt;a href=|http://parallelbible.com/leviticus/19.htm| title=|Parallel Chapters| target=|_top|&gt;PAR&lt;/a&gt;</v>
      </c>
      <c r="AD109" s="2" t="str">
        <f t="shared" ref="AD109:AK109" si="434">CONCATENATE("&lt;/li&gt;&lt;li&gt;&lt;a href=|http://",AD1191,"/leviticus/19.htm","| ","title=|",AD1190,"| target=|_top|&gt;",AD1192,"&lt;/a&gt;")</f>
        <v>&lt;/li&gt;&lt;li&gt;&lt;a href=|http://gsb.biblecommenter.com/leviticus/19.htm| title=|Geneva Study Bible| target=|_top|&gt;GSB&lt;/a&gt;</v>
      </c>
      <c r="AE109" s="2" t="str">
        <f t="shared" si="434"/>
        <v>&lt;/li&gt;&lt;li&gt;&lt;a href=|http://jfb.biblecommenter.com/leviticus/19.htm| title=|Jamieson-Fausset-Brown Bible Commentary| target=|_top|&gt;JFB&lt;/a&gt;</v>
      </c>
      <c r="AF109" s="2" t="str">
        <f t="shared" si="434"/>
        <v>&lt;/li&gt;&lt;li&gt;&lt;a href=|http://kjt.biblecommenter.com/leviticus/19.htm| title=|King James Translators' Notes| target=|_top|&gt;KJT&lt;/a&gt;</v>
      </c>
      <c r="AG109" s="2" t="str">
        <f t="shared" si="434"/>
        <v>&lt;/li&gt;&lt;li&gt;&lt;a href=|http://mhc.biblecommenter.com/leviticus/19.htm| title=|Matthew Henry's Concise Commentary| target=|_top|&gt;MHC&lt;/a&gt;</v>
      </c>
      <c r="AH109" s="2" t="str">
        <f t="shared" si="434"/>
        <v>&lt;/li&gt;&lt;li&gt;&lt;a href=|http://sco.biblecommenter.com/leviticus/19.htm| title=|Scofield Reference Notes| target=|_top|&gt;SCO&lt;/a&gt;</v>
      </c>
      <c r="AI109" s="2" t="str">
        <f t="shared" si="434"/>
        <v>&lt;/li&gt;&lt;li&gt;&lt;a href=|http://wes.biblecommenter.com/leviticus/19.htm| title=|Wesley's Notes on the Bible| target=|_top|&gt;WES&lt;/a&gt;</v>
      </c>
      <c r="AJ109" t="str">
        <f t="shared" si="434"/>
        <v>&lt;/li&gt;&lt;li&gt;&lt;a href=|http://worldebible.com/leviticus/19.htm| title=|World English Bible| target=|_top|&gt;WEB&lt;/a&gt;</v>
      </c>
      <c r="AK109" t="str">
        <f t="shared" si="434"/>
        <v>&lt;/li&gt;&lt;li&gt;&lt;a href=|http://yltbible.com/leviticus/19.htm| title=|Young's Literal Translation| target=|_top|&gt;YLT&lt;/a&gt;</v>
      </c>
      <c r="AL109" t="str">
        <f>CONCATENATE("&lt;a href=|http://",AL1191,"/leviticus/19.htm","| ","title=|",AL1190,"| target=|_top|&gt;",AL1192,"&lt;/a&gt;")</f>
        <v>&lt;a href=|http://kjv.us/leviticus/19.htm| title=|American King James Version| target=|_top|&gt;AKJ&lt;/a&gt;</v>
      </c>
      <c r="AM109" t="str">
        <f t="shared" ref="AM109:AN109" si="435">CONCATENATE("&lt;/li&gt;&lt;li&gt;&lt;a href=|http://",AM1191,"/leviticus/19.htm","| ","title=|",AM1190,"| target=|_top|&gt;",AM1192,"&lt;/a&gt;")</f>
        <v>&lt;/li&gt;&lt;li&gt;&lt;a href=|http://basicenglishbible.com/leviticus/19.htm| title=|Bible in Basic English| target=|_top|&gt;BBE&lt;/a&gt;</v>
      </c>
      <c r="AN109" t="str">
        <f t="shared" si="435"/>
        <v>&lt;/li&gt;&lt;li&gt;&lt;a href=|http://darbybible.com/leviticus/19.htm| title=|Darby Bible Translation| target=|_top|&gt;DBY&lt;/a&gt;</v>
      </c>
      <c r="AO10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0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0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09" t="str">
        <f>CONCATENATE("&lt;/li&gt;&lt;li&gt;&lt;a href=|http://",AR1191,"/leviticus/19.htm","| ","title=|",AR1190,"| target=|_top|&gt;",AR1192,"&lt;/a&gt;")</f>
        <v>&lt;/li&gt;&lt;li&gt;&lt;a href=|http://websterbible.com/leviticus/19.htm| title=|Webster's Bible Translation| target=|_top|&gt;WBS&lt;/a&gt;</v>
      </c>
      <c r="AS10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09" t="str">
        <f>CONCATENATE("&lt;/li&gt;&lt;li&gt;&lt;a href=|http://",AT1191,"/leviticus/19-1.htm","| ","title=|",AT1190,"| target=|_top|&gt;",AT1192,"&lt;/a&gt;")</f>
        <v>&lt;/li&gt;&lt;li&gt;&lt;a href=|http://biblebrowser.com/leviticus/19-1.htm| title=|Split View| target=|_top|&gt;Split&lt;/a&gt;</v>
      </c>
      <c r="AU109" s="2" t="s">
        <v>1276</v>
      </c>
      <c r="AV109" t="s">
        <v>64</v>
      </c>
    </row>
    <row r="110" spans="1:48">
      <c r="A110" t="s">
        <v>622</v>
      </c>
      <c r="B110" t="s">
        <v>163</v>
      </c>
      <c r="C110" t="s">
        <v>624</v>
      </c>
      <c r="D110" t="s">
        <v>1268</v>
      </c>
      <c r="E110" t="s">
        <v>1277</v>
      </c>
      <c r="F110" t="s">
        <v>1304</v>
      </c>
      <c r="G110" t="s">
        <v>1266</v>
      </c>
      <c r="H110" t="s">
        <v>1305</v>
      </c>
      <c r="I110" t="s">
        <v>1303</v>
      </c>
      <c r="J110" t="s">
        <v>1267</v>
      </c>
      <c r="K110" t="s">
        <v>1275</v>
      </c>
      <c r="L110" s="2" t="s">
        <v>1274</v>
      </c>
      <c r="M110" t="str">
        <f t="shared" ref="M110:AB110" si="436">CONCATENATE("&lt;/li&gt;&lt;li&gt;&lt;a href=|http://",M1191,"/leviticus/20.htm","| ","title=|",M1190,"| target=|_top|&gt;",M1192,"&lt;/a&gt;")</f>
        <v>&lt;/li&gt;&lt;li&gt;&lt;a href=|http://niv.scripturetext.com/leviticus/20.htm| title=|New International Version| target=|_top|&gt;NIV&lt;/a&gt;</v>
      </c>
      <c r="N110" t="str">
        <f t="shared" si="436"/>
        <v>&lt;/li&gt;&lt;li&gt;&lt;a href=|http://nlt.scripturetext.com/leviticus/20.htm| title=|New Living Translation| target=|_top|&gt;NLT&lt;/a&gt;</v>
      </c>
      <c r="O110" t="str">
        <f t="shared" si="436"/>
        <v>&lt;/li&gt;&lt;li&gt;&lt;a href=|http://nasb.scripturetext.com/leviticus/20.htm| title=|New American Standard Bible| target=|_top|&gt;NAS&lt;/a&gt;</v>
      </c>
      <c r="P110" t="str">
        <f t="shared" si="436"/>
        <v>&lt;/li&gt;&lt;li&gt;&lt;a href=|http://gwt.scripturetext.com/leviticus/20.htm| title=|God's Word Translation| target=|_top|&gt;GWT&lt;/a&gt;</v>
      </c>
      <c r="Q110" t="str">
        <f t="shared" si="436"/>
        <v>&lt;/li&gt;&lt;li&gt;&lt;a href=|http://kingjbible.com/leviticus/20.htm| title=|King James Bible| target=|_top|&gt;KJV&lt;/a&gt;</v>
      </c>
      <c r="R110" t="str">
        <f t="shared" si="436"/>
        <v>&lt;/li&gt;&lt;li&gt;&lt;a href=|http://asvbible.com/leviticus/20.htm| title=|American Standard Version| target=|_top|&gt;ASV&lt;/a&gt;</v>
      </c>
      <c r="S110" t="str">
        <f t="shared" si="436"/>
        <v>&lt;/li&gt;&lt;li&gt;&lt;a href=|http://drb.scripturetext.com/leviticus/20.htm| title=|Douay-Rheims Bible| target=|_top|&gt;DRB&lt;/a&gt;</v>
      </c>
      <c r="T110" t="str">
        <f t="shared" si="436"/>
        <v>&lt;/li&gt;&lt;li&gt;&lt;a href=|http://erv.scripturetext.com/leviticus/20.htm| title=|English Revised Version| target=|_top|&gt;ERV&lt;/a&gt;</v>
      </c>
      <c r="V110" t="str">
        <f>CONCATENATE("&lt;/li&gt;&lt;li&gt;&lt;a href=|http://",V1191,"/leviticus/20.htm","| ","title=|",V1190,"| target=|_top|&gt;",V1192,"&lt;/a&gt;")</f>
        <v>&lt;/li&gt;&lt;li&gt;&lt;a href=|http://study.interlinearbible.org/leviticus/20.htm| title=|Hebrew Study Bible| target=|_top|&gt;Heb Study&lt;/a&gt;</v>
      </c>
      <c r="W110" t="str">
        <f t="shared" si="436"/>
        <v>&lt;/li&gt;&lt;li&gt;&lt;a href=|http://apostolic.interlinearbible.org/leviticus/20.htm| title=|Apostolic Bible Polyglot Interlinear| target=|_top|&gt;Polyglot&lt;/a&gt;</v>
      </c>
      <c r="X110" t="str">
        <f t="shared" si="436"/>
        <v>&lt;/li&gt;&lt;li&gt;&lt;a href=|http://interlinearbible.org/leviticus/20.htm| title=|Interlinear Bible| target=|_top|&gt;Interlin&lt;/a&gt;</v>
      </c>
      <c r="Y110" t="str">
        <f t="shared" ref="Y110" si="437">CONCATENATE("&lt;/li&gt;&lt;li&gt;&lt;a href=|http://",Y1191,"/leviticus/20.htm","| ","title=|",Y1190,"| target=|_top|&gt;",Y1192,"&lt;/a&gt;")</f>
        <v>&lt;/li&gt;&lt;li&gt;&lt;a href=|http://bibleoutline.org/leviticus/20.htm| title=|Outline with People and Places List| target=|_top|&gt;Outline&lt;/a&gt;</v>
      </c>
      <c r="Z110" t="str">
        <f t="shared" si="436"/>
        <v>&lt;/li&gt;&lt;li&gt;&lt;a href=|http://kjvs.scripturetext.com/leviticus/20.htm| title=|King James Bible with Strong's Numbers| target=|_top|&gt;Strong's&lt;/a&gt;</v>
      </c>
      <c r="AA110" t="str">
        <f t="shared" si="436"/>
        <v>&lt;/li&gt;&lt;li&gt;&lt;a href=|http://childrensbibleonline.com/leviticus/20.htm| title=|The Children's Bible| target=|_top|&gt;Children's&lt;/a&gt;</v>
      </c>
      <c r="AB110" s="2" t="str">
        <f t="shared" si="436"/>
        <v>&lt;/li&gt;&lt;li&gt;&lt;a href=|http://tsk.scripturetext.com/leviticus/20.htm| title=|Treasury of Scripture Knowledge| target=|_top|&gt;TSK&lt;/a&gt;</v>
      </c>
      <c r="AC110" t="str">
        <f>CONCATENATE("&lt;a href=|http://",AC1191,"/leviticus/20.htm","| ","title=|",AC1190,"| target=|_top|&gt;",AC1192,"&lt;/a&gt;")</f>
        <v>&lt;a href=|http://parallelbible.com/leviticus/20.htm| title=|Parallel Chapters| target=|_top|&gt;PAR&lt;/a&gt;</v>
      </c>
      <c r="AD110" s="2" t="str">
        <f t="shared" ref="AD110:AK110" si="438">CONCATENATE("&lt;/li&gt;&lt;li&gt;&lt;a href=|http://",AD1191,"/leviticus/20.htm","| ","title=|",AD1190,"| target=|_top|&gt;",AD1192,"&lt;/a&gt;")</f>
        <v>&lt;/li&gt;&lt;li&gt;&lt;a href=|http://gsb.biblecommenter.com/leviticus/20.htm| title=|Geneva Study Bible| target=|_top|&gt;GSB&lt;/a&gt;</v>
      </c>
      <c r="AE110" s="2" t="str">
        <f t="shared" si="438"/>
        <v>&lt;/li&gt;&lt;li&gt;&lt;a href=|http://jfb.biblecommenter.com/leviticus/20.htm| title=|Jamieson-Fausset-Brown Bible Commentary| target=|_top|&gt;JFB&lt;/a&gt;</v>
      </c>
      <c r="AF110" s="2" t="str">
        <f t="shared" si="438"/>
        <v>&lt;/li&gt;&lt;li&gt;&lt;a href=|http://kjt.biblecommenter.com/leviticus/20.htm| title=|King James Translators' Notes| target=|_top|&gt;KJT&lt;/a&gt;</v>
      </c>
      <c r="AG110" s="2" t="str">
        <f t="shared" si="438"/>
        <v>&lt;/li&gt;&lt;li&gt;&lt;a href=|http://mhc.biblecommenter.com/leviticus/20.htm| title=|Matthew Henry's Concise Commentary| target=|_top|&gt;MHC&lt;/a&gt;</v>
      </c>
      <c r="AH110" s="2" t="str">
        <f t="shared" si="438"/>
        <v>&lt;/li&gt;&lt;li&gt;&lt;a href=|http://sco.biblecommenter.com/leviticus/20.htm| title=|Scofield Reference Notes| target=|_top|&gt;SCO&lt;/a&gt;</v>
      </c>
      <c r="AI110" s="2" t="str">
        <f t="shared" si="438"/>
        <v>&lt;/li&gt;&lt;li&gt;&lt;a href=|http://wes.biblecommenter.com/leviticus/20.htm| title=|Wesley's Notes on the Bible| target=|_top|&gt;WES&lt;/a&gt;</v>
      </c>
      <c r="AJ110" t="str">
        <f t="shared" si="438"/>
        <v>&lt;/li&gt;&lt;li&gt;&lt;a href=|http://worldebible.com/leviticus/20.htm| title=|World English Bible| target=|_top|&gt;WEB&lt;/a&gt;</v>
      </c>
      <c r="AK110" t="str">
        <f t="shared" si="438"/>
        <v>&lt;/li&gt;&lt;li&gt;&lt;a href=|http://yltbible.com/leviticus/20.htm| title=|Young's Literal Translation| target=|_top|&gt;YLT&lt;/a&gt;</v>
      </c>
      <c r="AL110" t="str">
        <f>CONCATENATE("&lt;a href=|http://",AL1191,"/leviticus/20.htm","| ","title=|",AL1190,"| target=|_top|&gt;",AL1192,"&lt;/a&gt;")</f>
        <v>&lt;a href=|http://kjv.us/leviticus/20.htm| title=|American King James Version| target=|_top|&gt;AKJ&lt;/a&gt;</v>
      </c>
      <c r="AM110" t="str">
        <f t="shared" ref="AM110:AN110" si="439">CONCATENATE("&lt;/li&gt;&lt;li&gt;&lt;a href=|http://",AM1191,"/leviticus/20.htm","| ","title=|",AM1190,"| target=|_top|&gt;",AM1192,"&lt;/a&gt;")</f>
        <v>&lt;/li&gt;&lt;li&gt;&lt;a href=|http://basicenglishbible.com/leviticus/20.htm| title=|Bible in Basic English| target=|_top|&gt;BBE&lt;/a&gt;</v>
      </c>
      <c r="AN110" t="str">
        <f t="shared" si="439"/>
        <v>&lt;/li&gt;&lt;li&gt;&lt;a href=|http://darbybible.com/leviticus/20.htm| title=|Darby Bible Translation| target=|_top|&gt;DBY&lt;/a&gt;</v>
      </c>
      <c r="AO11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1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1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10" t="str">
        <f>CONCATENATE("&lt;/li&gt;&lt;li&gt;&lt;a href=|http://",AR1191,"/leviticus/20.htm","| ","title=|",AR1190,"| target=|_top|&gt;",AR1192,"&lt;/a&gt;")</f>
        <v>&lt;/li&gt;&lt;li&gt;&lt;a href=|http://websterbible.com/leviticus/20.htm| title=|Webster's Bible Translation| target=|_top|&gt;WBS&lt;/a&gt;</v>
      </c>
      <c r="AS11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10" t="str">
        <f>CONCATENATE("&lt;/li&gt;&lt;li&gt;&lt;a href=|http://",AT1191,"/leviticus/20-1.htm","| ","title=|",AT1190,"| target=|_top|&gt;",AT1192,"&lt;/a&gt;")</f>
        <v>&lt;/li&gt;&lt;li&gt;&lt;a href=|http://biblebrowser.com/leviticus/20-1.htm| title=|Split View| target=|_top|&gt;Split&lt;/a&gt;</v>
      </c>
      <c r="AU110" s="2" t="s">
        <v>1276</v>
      </c>
      <c r="AV110" t="s">
        <v>64</v>
      </c>
    </row>
    <row r="111" spans="1:48">
      <c r="A111" t="s">
        <v>622</v>
      </c>
      <c r="B111" t="s">
        <v>164</v>
      </c>
      <c r="C111" t="s">
        <v>624</v>
      </c>
      <c r="D111" t="s">
        <v>1268</v>
      </c>
      <c r="E111" t="s">
        <v>1277</v>
      </c>
      <c r="F111" t="s">
        <v>1304</v>
      </c>
      <c r="G111" t="s">
        <v>1266</v>
      </c>
      <c r="H111" t="s">
        <v>1305</v>
      </c>
      <c r="I111" t="s">
        <v>1303</v>
      </c>
      <c r="J111" t="s">
        <v>1267</v>
      </c>
      <c r="K111" t="s">
        <v>1275</v>
      </c>
      <c r="L111" s="2" t="s">
        <v>1274</v>
      </c>
      <c r="M111" t="str">
        <f t="shared" ref="M111:AB111" si="440">CONCATENATE("&lt;/li&gt;&lt;li&gt;&lt;a href=|http://",M1191,"/leviticus/21.htm","| ","title=|",M1190,"| target=|_top|&gt;",M1192,"&lt;/a&gt;")</f>
        <v>&lt;/li&gt;&lt;li&gt;&lt;a href=|http://niv.scripturetext.com/leviticus/21.htm| title=|New International Version| target=|_top|&gt;NIV&lt;/a&gt;</v>
      </c>
      <c r="N111" t="str">
        <f t="shared" si="440"/>
        <v>&lt;/li&gt;&lt;li&gt;&lt;a href=|http://nlt.scripturetext.com/leviticus/21.htm| title=|New Living Translation| target=|_top|&gt;NLT&lt;/a&gt;</v>
      </c>
      <c r="O111" t="str">
        <f t="shared" si="440"/>
        <v>&lt;/li&gt;&lt;li&gt;&lt;a href=|http://nasb.scripturetext.com/leviticus/21.htm| title=|New American Standard Bible| target=|_top|&gt;NAS&lt;/a&gt;</v>
      </c>
      <c r="P111" t="str">
        <f t="shared" si="440"/>
        <v>&lt;/li&gt;&lt;li&gt;&lt;a href=|http://gwt.scripturetext.com/leviticus/21.htm| title=|God's Word Translation| target=|_top|&gt;GWT&lt;/a&gt;</v>
      </c>
      <c r="Q111" t="str">
        <f t="shared" si="440"/>
        <v>&lt;/li&gt;&lt;li&gt;&lt;a href=|http://kingjbible.com/leviticus/21.htm| title=|King James Bible| target=|_top|&gt;KJV&lt;/a&gt;</v>
      </c>
      <c r="R111" t="str">
        <f t="shared" si="440"/>
        <v>&lt;/li&gt;&lt;li&gt;&lt;a href=|http://asvbible.com/leviticus/21.htm| title=|American Standard Version| target=|_top|&gt;ASV&lt;/a&gt;</v>
      </c>
      <c r="S111" t="str">
        <f t="shared" si="440"/>
        <v>&lt;/li&gt;&lt;li&gt;&lt;a href=|http://drb.scripturetext.com/leviticus/21.htm| title=|Douay-Rheims Bible| target=|_top|&gt;DRB&lt;/a&gt;</v>
      </c>
      <c r="T111" t="str">
        <f t="shared" si="440"/>
        <v>&lt;/li&gt;&lt;li&gt;&lt;a href=|http://erv.scripturetext.com/leviticus/21.htm| title=|English Revised Version| target=|_top|&gt;ERV&lt;/a&gt;</v>
      </c>
      <c r="V111" t="str">
        <f>CONCATENATE("&lt;/li&gt;&lt;li&gt;&lt;a href=|http://",V1191,"/leviticus/21.htm","| ","title=|",V1190,"| target=|_top|&gt;",V1192,"&lt;/a&gt;")</f>
        <v>&lt;/li&gt;&lt;li&gt;&lt;a href=|http://study.interlinearbible.org/leviticus/21.htm| title=|Hebrew Study Bible| target=|_top|&gt;Heb Study&lt;/a&gt;</v>
      </c>
      <c r="W111" t="str">
        <f t="shared" si="440"/>
        <v>&lt;/li&gt;&lt;li&gt;&lt;a href=|http://apostolic.interlinearbible.org/leviticus/21.htm| title=|Apostolic Bible Polyglot Interlinear| target=|_top|&gt;Polyglot&lt;/a&gt;</v>
      </c>
      <c r="X111" t="str">
        <f t="shared" si="440"/>
        <v>&lt;/li&gt;&lt;li&gt;&lt;a href=|http://interlinearbible.org/leviticus/21.htm| title=|Interlinear Bible| target=|_top|&gt;Interlin&lt;/a&gt;</v>
      </c>
      <c r="Y111" t="str">
        <f t="shared" ref="Y111" si="441">CONCATENATE("&lt;/li&gt;&lt;li&gt;&lt;a href=|http://",Y1191,"/leviticus/21.htm","| ","title=|",Y1190,"| target=|_top|&gt;",Y1192,"&lt;/a&gt;")</f>
        <v>&lt;/li&gt;&lt;li&gt;&lt;a href=|http://bibleoutline.org/leviticus/21.htm| title=|Outline with People and Places List| target=|_top|&gt;Outline&lt;/a&gt;</v>
      </c>
      <c r="Z111" t="str">
        <f t="shared" si="440"/>
        <v>&lt;/li&gt;&lt;li&gt;&lt;a href=|http://kjvs.scripturetext.com/leviticus/21.htm| title=|King James Bible with Strong's Numbers| target=|_top|&gt;Strong's&lt;/a&gt;</v>
      </c>
      <c r="AA111" t="str">
        <f t="shared" si="440"/>
        <v>&lt;/li&gt;&lt;li&gt;&lt;a href=|http://childrensbibleonline.com/leviticus/21.htm| title=|The Children's Bible| target=|_top|&gt;Children's&lt;/a&gt;</v>
      </c>
      <c r="AB111" s="2" t="str">
        <f t="shared" si="440"/>
        <v>&lt;/li&gt;&lt;li&gt;&lt;a href=|http://tsk.scripturetext.com/leviticus/21.htm| title=|Treasury of Scripture Knowledge| target=|_top|&gt;TSK&lt;/a&gt;</v>
      </c>
      <c r="AC111" t="str">
        <f>CONCATENATE("&lt;a href=|http://",AC1191,"/leviticus/21.htm","| ","title=|",AC1190,"| target=|_top|&gt;",AC1192,"&lt;/a&gt;")</f>
        <v>&lt;a href=|http://parallelbible.com/leviticus/21.htm| title=|Parallel Chapters| target=|_top|&gt;PAR&lt;/a&gt;</v>
      </c>
      <c r="AD111" s="2" t="str">
        <f t="shared" ref="AD111:AK111" si="442">CONCATENATE("&lt;/li&gt;&lt;li&gt;&lt;a href=|http://",AD1191,"/leviticus/21.htm","| ","title=|",AD1190,"| target=|_top|&gt;",AD1192,"&lt;/a&gt;")</f>
        <v>&lt;/li&gt;&lt;li&gt;&lt;a href=|http://gsb.biblecommenter.com/leviticus/21.htm| title=|Geneva Study Bible| target=|_top|&gt;GSB&lt;/a&gt;</v>
      </c>
      <c r="AE111" s="2" t="str">
        <f t="shared" si="442"/>
        <v>&lt;/li&gt;&lt;li&gt;&lt;a href=|http://jfb.biblecommenter.com/leviticus/21.htm| title=|Jamieson-Fausset-Brown Bible Commentary| target=|_top|&gt;JFB&lt;/a&gt;</v>
      </c>
      <c r="AF111" s="2" t="str">
        <f t="shared" si="442"/>
        <v>&lt;/li&gt;&lt;li&gt;&lt;a href=|http://kjt.biblecommenter.com/leviticus/21.htm| title=|King James Translators' Notes| target=|_top|&gt;KJT&lt;/a&gt;</v>
      </c>
      <c r="AG111" s="2" t="str">
        <f t="shared" si="442"/>
        <v>&lt;/li&gt;&lt;li&gt;&lt;a href=|http://mhc.biblecommenter.com/leviticus/21.htm| title=|Matthew Henry's Concise Commentary| target=|_top|&gt;MHC&lt;/a&gt;</v>
      </c>
      <c r="AH111" s="2" t="str">
        <f t="shared" si="442"/>
        <v>&lt;/li&gt;&lt;li&gt;&lt;a href=|http://sco.biblecommenter.com/leviticus/21.htm| title=|Scofield Reference Notes| target=|_top|&gt;SCO&lt;/a&gt;</v>
      </c>
      <c r="AI111" s="2" t="str">
        <f t="shared" si="442"/>
        <v>&lt;/li&gt;&lt;li&gt;&lt;a href=|http://wes.biblecommenter.com/leviticus/21.htm| title=|Wesley's Notes on the Bible| target=|_top|&gt;WES&lt;/a&gt;</v>
      </c>
      <c r="AJ111" t="str">
        <f t="shared" si="442"/>
        <v>&lt;/li&gt;&lt;li&gt;&lt;a href=|http://worldebible.com/leviticus/21.htm| title=|World English Bible| target=|_top|&gt;WEB&lt;/a&gt;</v>
      </c>
      <c r="AK111" t="str">
        <f t="shared" si="442"/>
        <v>&lt;/li&gt;&lt;li&gt;&lt;a href=|http://yltbible.com/leviticus/21.htm| title=|Young's Literal Translation| target=|_top|&gt;YLT&lt;/a&gt;</v>
      </c>
      <c r="AL111" t="str">
        <f>CONCATENATE("&lt;a href=|http://",AL1191,"/leviticus/21.htm","| ","title=|",AL1190,"| target=|_top|&gt;",AL1192,"&lt;/a&gt;")</f>
        <v>&lt;a href=|http://kjv.us/leviticus/21.htm| title=|American King James Version| target=|_top|&gt;AKJ&lt;/a&gt;</v>
      </c>
      <c r="AM111" t="str">
        <f t="shared" ref="AM111:AN111" si="443">CONCATENATE("&lt;/li&gt;&lt;li&gt;&lt;a href=|http://",AM1191,"/leviticus/21.htm","| ","title=|",AM1190,"| target=|_top|&gt;",AM1192,"&lt;/a&gt;")</f>
        <v>&lt;/li&gt;&lt;li&gt;&lt;a href=|http://basicenglishbible.com/leviticus/21.htm| title=|Bible in Basic English| target=|_top|&gt;BBE&lt;/a&gt;</v>
      </c>
      <c r="AN111" t="str">
        <f t="shared" si="443"/>
        <v>&lt;/li&gt;&lt;li&gt;&lt;a href=|http://darbybible.com/leviticus/21.htm| title=|Darby Bible Translation| target=|_top|&gt;DBY&lt;/a&gt;</v>
      </c>
      <c r="AO11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1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1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11" t="str">
        <f>CONCATENATE("&lt;/li&gt;&lt;li&gt;&lt;a href=|http://",AR1191,"/leviticus/21.htm","| ","title=|",AR1190,"| target=|_top|&gt;",AR1192,"&lt;/a&gt;")</f>
        <v>&lt;/li&gt;&lt;li&gt;&lt;a href=|http://websterbible.com/leviticus/21.htm| title=|Webster's Bible Translation| target=|_top|&gt;WBS&lt;/a&gt;</v>
      </c>
      <c r="AS11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11" t="str">
        <f>CONCATENATE("&lt;/li&gt;&lt;li&gt;&lt;a href=|http://",AT1191,"/leviticus/21-1.htm","| ","title=|",AT1190,"| target=|_top|&gt;",AT1192,"&lt;/a&gt;")</f>
        <v>&lt;/li&gt;&lt;li&gt;&lt;a href=|http://biblebrowser.com/leviticus/21-1.htm| title=|Split View| target=|_top|&gt;Split&lt;/a&gt;</v>
      </c>
      <c r="AU111" s="2" t="s">
        <v>1276</v>
      </c>
      <c r="AV111" t="s">
        <v>64</v>
      </c>
    </row>
    <row r="112" spans="1:48">
      <c r="A112" t="s">
        <v>622</v>
      </c>
      <c r="B112" t="s">
        <v>165</v>
      </c>
      <c r="C112" t="s">
        <v>624</v>
      </c>
      <c r="D112" t="s">
        <v>1268</v>
      </c>
      <c r="E112" t="s">
        <v>1277</v>
      </c>
      <c r="F112" t="s">
        <v>1304</v>
      </c>
      <c r="G112" t="s">
        <v>1266</v>
      </c>
      <c r="H112" t="s">
        <v>1305</v>
      </c>
      <c r="I112" t="s">
        <v>1303</v>
      </c>
      <c r="J112" t="s">
        <v>1267</v>
      </c>
      <c r="K112" t="s">
        <v>1275</v>
      </c>
      <c r="L112" s="2" t="s">
        <v>1274</v>
      </c>
      <c r="M112" t="str">
        <f t="shared" ref="M112:AB112" si="444">CONCATENATE("&lt;/li&gt;&lt;li&gt;&lt;a href=|http://",M1191,"/leviticus/22.htm","| ","title=|",M1190,"| target=|_top|&gt;",M1192,"&lt;/a&gt;")</f>
        <v>&lt;/li&gt;&lt;li&gt;&lt;a href=|http://niv.scripturetext.com/leviticus/22.htm| title=|New International Version| target=|_top|&gt;NIV&lt;/a&gt;</v>
      </c>
      <c r="N112" t="str">
        <f t="shared" si="444"/>
        <v>&lt;/li&gt;&lt;li&gt;&lt;a href=|http://nlt.scripturetext.com/leviticus/22.htm| title=|New Living Translation| target=|_top|&gt;NLT&lt;/a&gt;</v>
      </c>
      <c r="O112" t="str">
        <f t="shared" si="444"/>
        <v>&lt;/li&gt;&lt;li&gt;&lt;a href=|http://nasb.scripturetext.com/leviticus/22.htm| title=|New American Standard Bible| target=|_top|&gt;NAS&lt;/a&gt;</v>
      </c>
      <c r="P112" t="str">
        <f t="shared" si="444"/>
        <v>&lt;/li&gt;&lt;li&gt;&lt;a href=|http://gwt.scripturetext.com/leviticus/22.htm| title=|God's Word Translation| target=|_top|&gt;GWT&lt;/a&gt;</v>
      </c>
      <c r="Q112" t="str">
        <f t="shared" si="444"/>
        <v>&lt;/li&gt;&lt;li&gt;&lt;a href=|http://kingjbible.com/leviticus/22.htm| title=|King James Bible| target=|_top|&gt;KJV&lt;/a&gt;</v>
      </c>
      <c r="R112" t="str">
        <f t="shared" si="444"/>
        <v>&lt;/li&gt;&lt;li&gt;&lt;a href=|http://asvbible.com/leviticus/22.htm| title=|American Standard Version| target=|_top|&gt;ASV&lt;/a&gt;</v>
      </c>
      <c r="S112" t="str">
        <f t="shared" si="444"/>
        <v>&lt;/li&gt;&lt;li&gt;&lt;a href=|http://drb.scripturetext.com/leviticus/22.htm| title=|Douay-Rheims Bible| target=|_top|&gt;DRB&lt;/a&gt;</v>
      </c>
      <c r="T112" t="str">
        <f t="shared" si="444"/>
        <v>&lt;/li&gt;&lt;li&gt;&lt;a href=|http://erv.scripturetext.com/leviticus/22.htm| title=|English Revised Version| target=|_top|&gt;ERV&lt;/a&gt;</v>
      </c>
      <c r="V112" t="str">
        <f>CONCATENATE("&lt;/li&gt;&lt;li&gt;&lt;a href=|http://",V1191,"/leviticus/22.htm","| ","title=|",V1190,"| target=|_top|&gt;",V1192,"&lt;/a&gt;")</f>
        <v>&lt;/li&gt;&lt;li&gt;&lt;a href=|http://study.interlinearbible.org/leviticus/22.htm| title=|Hebrew Study Bible| target=|_top|&gt;Heb Study&lt;/a&gt;</v>
      </c>
      <c r="W112" t="str">
        <f t="shared" si="444"/>
        <v>&lt;/li&gt;&lt;li&gt;&lt;a href=|http://apostolic.interlinearbible.org/leviticus/22.htm| title=|Apostolic Bible Polyglot Interlinear| target=|_top|&gt;Polyglot&lt;/a&gt;</v>
      </c>
      <c r="X112" t="str">
        <f t="shared" si="444"/>
        <v>&lt;/li&gt;&lt;li&gt;&lt;a href=|http://interlinearbible.org/leviticus/22.htm| title=|Interlinear Bible| target=|_top|&gt;Interlin&lt;/a&gt;</v>
      </c>
      <c r="Y112" t="str">
        <f t="shared" ref="Y112" si="445">CONCATENATE("&lt;/li&gt;&lt;li&gt;&lt;a href=|http://",Y1191,"/leviticus/22.htm","| ","title=|",Y1190,"| target=|_top|&gt;",Y1192,"&lt;/a&gt;")</f>
        <v>&lt;/li&gt;&lt;li&gt;&lt;a href=|http://bibleoutline.org/leviticus/22.htm| title=|Outline with People and Places List| target=|_top|&gt;Outline&lt;/a&gt;</v>
      </c>
      <c r="Z112" t="str">
        <f t="shared" si="444"/>
        <v>&lt;/li&gt;&lt;li&gt;&lt;a href=|http://kjvs.scripturetext.com/leviticus/22.htm| title=|King James Bible with Strong's Numbers| target=|_top|&gt;Strong's&lt;/a&gt;</v>
      </c>
      <c r="AA112" t="str">
        <f t="shared" si="444"/>
        <v>&lt;/li&gt;&lt;li&gt;&lt;a href=|http://childrensbibleonline.com/leviticus/22.htm| title=|The Children's Bible| target=|_top|&gt;Children's&lt;/a&gt;</v>
      </c>
      <c r="AB112" s="2" t="str">
        <f t="shared" si="444"/>
        <v>&lt;/li&gt;&lt;li&gt;&lt;a href=|http://tsk.scripturetext.com/leviticus/22.htm| title=|Treasury of Scripture Knowledge| target=|_top|&gt;TSK&lt;/a&gt;</v>
      </c>
      <c r="AC112" t="str">
        <f>CONCATENATE("&lt;a href=|http://",AC1191,"/leviticus/22.htm","| ","title=|",AC1190,"| target=|_top|&gt;",AC1192,"&lt;/a&gt;")</f>
        <v>&lt;a href=|http://parallelbible.com/leviticus/22.htm| title=|Parallel Chapters| target=|_top|&gt;PAR&lt;/a&gt;</v>
      </c>
      <c r="AD112" s="2" t="str">
        <f t="shared" ref="AD112:AK112" si="446">CONCATENATE("&lt;/li&gt;&lt;li&gt;&lt;a href=|http://",AD1191,"/leviticus/22.htm","| ","title=|",AD1190,"| target=|_top|&gt;",AD1192,"&lt;/a&gt;")</f>
        <v>&lt;/li&gt;&lt;li&gt;&lt;a href=|http://gsb.biblecommenter.com/leviticus/22.htm| title=|Geneva Study Bible| target=|_top|&gt;GSB&lt;/a&gt;</v>
      </c>
      <c r="AE112" s="2" t="str">
        <f t="shared" si="446"/>
        <v>&lt;/li&gt;&lt;li&gt;&lt;a href=|http://jfb.biblecommenter.com/leviticus/22.htm| title=|Jamieson-Fausset-Brown Bible Commentary| target=|_top|&gt;JFB&lt;/a&gt;</v>
      </c>
      <c r="AF112" s="2" t="str">
        <f t="shared" si="446"/>
        <v>&lt;/li&gt;&lt;li&gt;&lt;a href=|http://kjt.biblecommenter.com/leviticus/22.htm| title=|King James Translators' Notes| target=|_top|&gt;KJT&lt;/a&gt;</v>
      </c>
      <c r="AG112" s="2" t="str">
        <f t="shared" si="446"/>
        <v>&lt;/li&gt;&lt;li&gt;&lt;a href=|http://mhc.biblecommenter.com/leviticus/22.htm| title=|Matthew Henry's Concise Commentary| target=|_top|&gt;MHC&lt;/a&gt;</v>
      </c>
      <c r="AH112" s="2" t="str">
        <f t="shared" si="446"/>
        <v>&lt;/li&gt;&lt;li&gt;&lt;a href=|http://sco.biblecommenter.com/leviticus/22.htm| title=|Scofield Reference Notes| target=|_top|&gt;SCO&lt;/a&gt;</v>
      </c>
      <c r="AI112" s="2" t="str">
        <f t="shared" si="446"/>
        <v>&lt;/li&gt;&lt;li&gt;&lt;a href=|http://wes.biblecommenter.com/leviticus/22.htm| title=|Wesley's Notes on the Bible| target=|_top|&gt;WES&lt;/a&gt;</v>
      </c>
      <c r="AJ112" t="str">
        <f t="shared" si="446"/>
        <v>&lt;/li&gt;&lt;li&gt;&lt;a href=|http://worldebible.com/leviticus/22.htm| title=|World English Bible| target=|_top|&gt;WEB&lt;/a&gt;</v>
      </c>
      <c r="AK112" t="str">
        <f t="shared" si="446"/>
        <v>&lt;/li&gt;&lt;li&gt;&lt;a href=|http://yltbible.com/leviticus/22.htm| title=|Young's Literal Translation| target=|_top|&gt;YLT&lt;/a&gt;</v>
      </c>
      <c r="AL112" t="str">
        <f>CONCATENATE("&lt;a href=|http://",AL1191,"/leviticus/22.htm","| ","title=|",AL1190,"| target=|_top|&gt;",AL1192,"&lt;/a&gt;")</f>
        <v>&lt;a href=|http://kjv.us/leviticus/22.htm| title=|American King James Version| target=|_top|&gt;AKJ&lt;/a&gt;</v>
      </c>
      <c r="AM112" t="str">
        <f t="shared" ref="AM112:AN112" si="447">CONCATENATE("&lt;/li&gt;&lt;li&gt;&lt;a href=|http://",AM1191,"/leviticus/22.htm","| ","title=|",AM1190,"| target=|_top|&gt;",AM1192,"&lt;/a&gt;")</f>
        <v>&lt;/li&gt;&lt;li&gt;&lt;a href=|http://basicenglishbible.com/leviticus/22.htm| title=|Bible in Basic English| target=|_top|&gt;BBE&lt;/a&gt;</v>
      </c>
      <c r="AN112" t="str">
        <f t="shared" si="447"/>
        <v>&lt;/li&gt;&lt;li&gt;&lt;a href=|http://darbybible.com/leviticus/22.htm| title=|Darby Bible Translation| target=|_top|&gt;DBY&lt;/a&gt;</v>
      </c>
      <c r="AO11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1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1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12" t="str">
        <f>CONCATENATE("&lt;/li&gt;&lt;li&gt;&lt;a href=|http://",AR1191,"/leviticus/22.htm","| ","title=|",AR1190,"| target=|_top|&gt;",AR1192,"&lt;/a&gt;")</f>
        <v>&lt;/li&gt;&lt;li&gt;&lt;a href=|http://websterbible.com/leviticus/22.htm| title=|Webster's Bible Translation| target=|_top|&gt;WBS&lt;/a&gt;</v>
      </c>
      <c r="AS11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12" t="str">
        <f>CONCATENATE("&lt;/li&gt;&lt;li&gt;&lt;a href=|http://",AT1191,"/leviticus/22-1.htm","| ","title=|",AT1190,"| target=|_top|&gt;",AT1192,"&lt;/a&gt;")</f>
        <v>&lt;/li&gt;&lt;li&gt;&lt;a href=|http://biblebrowser.com/leviticus/22-1.htm| title=|Split View| target=|_top|&gt;Split&lt;/a&gt;</v>
      </c>
      <c r="AU112" s="2" t="s">
        <v>1276</v>
      </c>
      <c r="AV112" t="s">
        <v>64</v>
      </c>
    </row>
    <row r="113" spans="1:48">
      <c r="A113" t="s">
        <v>622</v>
      </c>
      <c r="B113" t="s">
        <v>166</v>
      </c>
      <c r="C113" t="s">
        <v>624</v>
      </c>
      <c r="D113" t="s">
        <v>1268</v>
      </c>
      <c r="E113" t="s">
        <v>1277</v>
      </c>
      <c r="F113" t="s">
        <v>1304</v>
      </c>
      <c r="G113" t="s">
        <v>1266</v>
      </c>
      <c r="H113" t="s">
        <v>1305</v>
      </c>
      <c r="I113" t="s">
        <v>1303</v>
      </c>
      <c r="J113" t="s">
        <v>1267</v>
      </c>
      <c r="K113" t="s">
        <v>1275</v>
      </c>
      <c r="L113" s="2" t="s">
        <v>1274</v>
      </c>
      <c r="M113" t="str">
        <f t="shared" ref="M113:AB113" si="448">CONCATENATE("&lt;/li&gt;&lt;li&gt;&lt;a href=|http://",M1191,"/leviticus/23.htm","| ","title=|",M1190,"| target=|_top|&gt;",M1192,"&lt;/a&gt;")</f>
        <v>&lt;/li&gt;&lt;li&gt;&lt;a href=|http://niv.scripturetext.com/leviticus/23.htm| title=|New International Version| target=|_top|&gt;NIV&lt;/a&gt;</v>
      </c>
      <c r="N113" t="str">
        <f t="shared" si="448"/>
        <v>&lt;/li&gt;&lt;li&gt;&lt;a href=|http://nlt.scripturetext.com/leviticus/23.htm| title=|New Living Translation| target=|_top|&gt;NLT&lt;/a&gt;</v>
      </c>
      <c r="O113" t="str">
        <f t="shared" si="448"/>
        <v>&lt;/li&gt;&lt;li&gt;&lt;a href=|http://nasb.scripturetext.com/leviticus/23.htm| title=|New American Standard Bible| target=|_top|&gt;NAS&lt;/a&gt;</v>
      </c>
      <c r="P113" t="str">
        <f t="shared" si="448"/>
        <v>&lt;/li&gt;&lt;li&gt;&lt;a href=|http://gwt.scripturetext.com/leviticus/23.htm| title=|God's Word Translation| target=|_top|&gt;GWT&lt;/a&gt;</v>
      </c>
      <c r="Q113" t="str">
        <f t="shared" si="448"/>
        <v>&lt;/li&gt;&lt;li&gt;&lt;a href=|http://kingjbible.com/leviticus/23.htm| title=|King James Bible| target=|_top|&gt;KJV&lt;/a&gt;</v>
      </c>
      <c r="R113" t="str">
        <f t="shared" si="448"/>
        <v>&lt;/li&gt;&lt;li&gt;&lt;a href=|http://asvbible.com/leviticus/23.htm| title=|American Standard Version| target=|_top|&gt;ASV&lt;/a&gt;</v>
      </c>
      <c r="S113" t="str">
        <f t="shared" si="448"/>
        <v>&lt;/li&gt;&lt;li&gt;&lt;a href=|http://drb.scripturetext.com/leviticus/23.htm| title=|Douay-Rheims Bible| target=|_top|&gt;DRB&lt;/a&gt;</v>
      </c>
      <c r="T113" t="str">
        <f t="shared" si="448"/>
        <v>&lt;/li&gt;&lt;li&gt;&lt;a href=|http://erv.scripturetext.com/leviticus/23.htm| title=|English Revised Version| target=|_top|&gt;ERV&lt;/a&gt;</v>
      </c>
      <c r="V113" t="str">
        <f>CONCATENATE("&lt;/li&gt;&lt;li&gt;&lt;a href=|http://",V1191,"/leviticus/23.htm","| ","title=|",V1190,"| target=|_top|&gt;",V1192,"&lt;/a&gt;")</f>
        <v>&lt;/li&gt;&lt;li&gt;&lt;a href=|http://study.interlinearbible.org/leviticus/23.htm| title=|Hebrew Study Bible| target=|_top|&gt;Heb Study&lt;/a&gt;</v>
      </c>
      <c r="W113" t="str">
        <f t="shared" si="448"/>
        <v>&lt;/li&gt;&lt;li&gt;&lt;a href=|http://apostolic.interlinearbible.org/leviticus/23.htm| title=|Apostolic Bible Polyglot Interlinear| target=|_top|&gt;Polyglot&lt;/a&gt;</v>
      </c>
      <c r="X113" t="str">
        <f t="shared" si="448"/>
        <v>&lt;/li&gt;&lt;li&gt;&lt;a href=|http://interlinearbible.org/leviticus/23.htm| title=|Interlinear Bible| target=|_top|&gt;Interlin&lt;/a&gt;</v>
      </c>
      <c r="Y113" t="str">
        <f t="shared" ref="Y113" si="449">CONCATENATE("&lt;/li&gt;&lt;li&gt;&lt;a href=|http://",Y1191,"/leviticus/23.htm","| ","title=|",Y1190,"| target=|_top|&gt;",Y1192,"&lt;/a&gt;")</f>
        <v>&lt;/li&gt;&lt;li&gt;&lt;a href=|http://bibleoutline.org/leviticus/23.htm| title=|Outline with People and Places List| target=|_top|&gt;Outline&lt;/a&gt;</v>
      </c>
      <c r="Z113" t="str">
        <f t="shared" si="448"/>
        <v>&lt;/li&gt;&lt;li&gt;&lt;a href=|http://kjvs.scripturetext.com/leviticus/23.htm| title=|King James Bible with Strong's Numbers| target=|_top|&gt;Strong's&lt;/a&gt;</v>
      </c>
      <c r="AA113" t="str">
        <f t="shared" si="448"/>
        <v>&lt;/li&gt;&lt;li&gt;&lt;a href=|http://childrensbibleonline.com/leviticus/23.htm| title=|The Children's Bible| target=|_top|&gt;Children's&lt;/a&gt;</v>
      </c>
      <c r="AB113" s="2" t="str">
        <f t="shared" si="448"/>
        <v>&lt;/li&gt;&lt;li&gt;&lt;a href=|http://tsk.scripturetext.com/leviticus/23.htm| title=|Treasury of Scripture Knowledge| target=|_top|&gt;TSK&lt;/a&gt;</v>
      </c>
      <c r="AC113" t="str">
        <f>CONCATENATE("&lt;a href=|http://",AC1191,"/leviticus/23.htm","| ","title=|",AC1190,"| target=|_top|&gt;",AC1192,"&lt;/a&gt;")</f>
        <v>&lt;a href=|http://parallelbible.com/leviticus/23.htm| title=|Parallel Chapters| target=|_top|&gt;PAR&lt;/a&gt;</v>
      </c>
      <c r="AD113" s="2" t="str">
        <f t="shared" ref="AD113:AK113" si="450">CONCATENATE("&lt;/li&gt;&lt;li&gt;&lt;a href=|http://",AD1191,"/leviticus/23.htm","| ","title=|",AD1190,"| target=|_top|&gt;",AD1192,"&lt;/a&gt;")</f>
        <v>&lt;/li&gt;&lt;li&gt;&lt;a href=|http://gsb.biblecommenter.com/leviticus/23.htm| title=|Geneva Study Bible| target=|_top|&gt;GSB&lt;/a&gt;</v>
      </c>
      <c r="AE113" s="2" t="str">
        <f t="shared" si="450"/>
        <v>&lt;/li&gt;&lt;li&gt;&lt;a href=|http://jfb.biblecommenter.com/leviticus/23.htm| title=|Jamieson-Fausset-Brown Bible Commentary| target=|_top|&gt;JFB&lt;/a&gt;</v>
      </c>
      <c r="AF113" s="2" t="str">
        <f t="shared" si="450"/>
        <v>&lt;/li&gt;&lt;li&gt;&lt;a href=|http://kjt.biblecommenter.com/leviticus/23.htm| title=|King James Translators' Notes| target=|_top|&gt;KJT&lt;/a&gt;</v>
      </c>
      <c r="AG113" s="2" t="str">
        <f t="shared" si="450"/>
        <v>&lt;/li&gt;&lt;li&gt;&lt;a href=|http://mhc.biblecommenter.com/leviticus/23.htm| title=|Matthew Henry's Concise Commentary| target=|_top|&gt;MHC&lt;/a&gt;</v>
      </c>
      <c r="AH113" s="2" t="str">
        <f t="shared" si="450"/>
        <v>&lt;/li&gt;&lt;li&gt;&lt;a href=|http://sco.biblecommenter.com/leviticus/23.htm| title=|Scofield Reference Notes| target=|_top|&gt;SCO&lt;/a&gt;</v>
      </c>
      <c r="AI113" s="2" t="str">
        <f t="shared" si="450"/>
        <v>&lt;/li&gt;&lt;li&gt;&lt;a href=|http://wes.biblecommenter.com/leviticus/23.htm| title=|Wesley's Notes on the Bible| target=|_top|&gt;WES&lt;/a&gt;</v>
      </c>
      <c r="AJ113" t="str">
        <f t="shared" si="450"/>
        <v>&lt;/li&gt;&lt;li&gt;&lt;a href=|http://worldebible.com/leviticus/23.htm| title=|World English Bible| target=|_top|&gt;WEB&lt;/a&gt;</v>
      </c>
      <c r="AK113" t="str">
        <f t="shared" si="450"/>
        <v>&lt;/li&gt;&lt;li&gt;&lt;a href=|http://yltbible.com/leviticus/23.htm| title=|Young's Literal Translation| target=|_top|&gt;YLT&lt;/a&gt;</v>
      </c>
      <c r="AL113" t="str">
        <f>CONCATENATE("&lt;a href=|http://",AL1191,"/leviticus/23.htm","| ","title=|",AL1190,"| target=|_top|&gt;",AL1192,"&lt;/a&gt;")</f>
        <v>&lt;a href=|http://kjv.us/leviticus/23.htm| title=|American King James Version| target=|_top|&gt;AKJ&lt;/a&gt;</v>
      </c>
      <c r="AM113" t="str">
        <f t="shared" ref="AM113:AN113" si="451">CONCATENATE("&lt;/li&gt;&lt;li&gt;&lt;a href=|http://",AM1191,"/leviticus/23.htm","| ","title=|",AM1190,"| target=|_top|&gt;",AM1192,"&lt;/a&gt;")</f>
        <v>&lt;/li&gt;&lt;li&gt;&lt;a href=|http://basicenglishbible.com/leviticus/23.htm| title=|Bible in Basic English| target=|_top|&gt;BBE&lt;/a&gt;</v>
      </c>
      <c r="AN113" t="str">
        <f t="shared" si="451"/>
        <v>&lt;/li&gt;&lt;li&gt;&lt;a href=|http://darbybible.com/leviticus/23.htm| title=|Darby Bible Translation| target=|_top|&gt;DBY&lt;/a&gt;</v>
      </c>
      <c r="AO11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1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1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13" t="str">
        <f>CONCATENATE("&lt;/li&gt;&lt;li&gt;&lt;a href=|http://",AR1191,"/leviticus/23.htm","| ","title=|",AR1190,"| target=|_top|&gt;",AR1192,"&lt;/a&gt;")</f>
        <v>&lt;/li&gt;&lt;li&gt;&lt;a href=|http://websterbible.com/leviticus/23.htm| title=|Webster's Bible Translation| target=|_top|&gt;WBS&lt;/a&gt;</v>
      </c>
      <c r="AS11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13" t="str">
        <f>CONCATENATE("&lt;/li&gt;&lt;li&gt;&lt;a href=|http://",AT1191,"/leviticus/23-1.htm","| ","title=|",AT1190,"| target=|_top|&gt;",AT1192,"&lt;/a&gt;")</f>
        <v>&lt;/li&gt;&lt;li&gt;&lt;a href=|http://biblebrowser.com/leviticus/23-1.htm| title=|Split View| target=|_top|&gt;Split&lt;/a&gt;</v>
      </c>
      <c r="AU113" s="2" t="s">
        <v>1276</v>
      </c>
      <c r="AV113" t="s">
        <v>64</v>
      </c>
    </row>
    <row r="114" spans="1:48">
      <c r="A114" t="s">
        <v>622</v>
      </c>
      <c r="B114" t="s">
        <v>167</v>
      </c>
      <c r="C114" t="s">
        <v>624</v>
      </c>
      <c r="D114" t="s">
        <v>1268</v>
      </c>
      <c r="E114" t="s">
        <v>1277</v>
      </c>
      <c r="F114" t="s">
        <v>1304</v>
      </c>
      <c r="G114" t="s">
        <v>1266</v>
      </c>
      <c r="H114" t="s">
        <v>1305</v>
      </c>
      <c r="I114" t="s">
        <v>1303</v>
      </c>
      <c r="J114" t="s">
        <v>1267</v>
      </c>
      <c r="K114" t="s">
        <v>1275</v>
      </c>
      <c r="L114" s="2" t="s">
        <v>1274</v>
      </c>
      <c r="M114" t="str">
        <f t="shared" ref="M114:AB114" si="452">CONCATENATE("&lt;/li&gt;&lt;li&gt;&lt;a href=|http://",M1191,"/leviticus/24.htm","| ","title=|",M1190,"| target=|_top|&gt;",M1192,"&lt;/a&gt;")</f>
        <v>&lt;/li&gt;&lt;li&gt;&lt;a href=|http://niv.scripturetext.com/leviticus/24.htm| title=|New International Version| target=|_top|&gt;NIV&lt;/a&gt;</v>
      </c>
      <c r="N114" t="str">
        <f t="shared" si="452"/>
        <v>&lt;/li&gt;&lt;li&gt;&lt;a href=|http://nlt.scripturetext.com/leviticus/24.htm| title=|New Living Translation| target=|_top|&gt;NLT&lt;/a&gt;</v>
      </c>
      <c r="O114" t="str">
        <f t="shared" si="452"/>
        <v>&lt;/li&gt;&lt;li&gt;&lt;a href=|http://nasb.scripturetext.com/leviticus/24.htm| title=|New American Standard Bible| target=|_top|&gt;NAS&lt;/a&gt;</v>
      </c>
      <c r="P114" t="str">
        <f t="shared" si="452"/>
        <v>&lt;/li&gt;&lt;li&gt;&lt;a href=|http://gwt.scripturetext.com/leviticus/24.htm| title=|God's Word Translation| target=|_top|&gt;GWT&lt;/a&gt;</v>
      </c>
      <c r="Q114" t="str">
        <f t="shared" si="452"/>
        <v>&lt;/li&gt;&lt;li&gt;&lt;a href=|http://kingjbible.com/leviticus/24.htm| title=|King James Bible| target=|_top|&gt;KJV&lt;/a&gt;</v>
      </c>
      <c r="R114" t="str">
        <f t="shared" si="452"/>
        <v>&lt;/li&gt;&lt;li&gt;&lt;a href=|http://asvbible.com/leviticus/24.htm| title=|American Standard Version| target=|_top|&gt;ASV&lt;/a&gt;</v>
      </c>
      <c r="S114" t="str">
        <f t="shared" si="452"/>
        <v>&lt;/li&gt;&lt;li&gt;&lt;a href=|http://drb.scripturetext.com/leviticus/24.htm| title=|Douay-Rheims Bible| target=|_top|&gt;DRB&lt;/a&gt;</v>
      </c>
      <c r="T114" t="str">
        <f t="shared" si="452"/>
        <v>&lt;/li&gt;&lt;li&gt;&lt;a href=|http://erv.scripturetext.com/leviticus/24.htm| title=|English Revised Version| target=|_top|&gt;ERV&lt;/a&gt;</v>
      </c>
      <c r="V114" t="str">
        <f>CONCATENATE("&lt;/li&gt;&lt;li&gt;&lt;a href=|http://",V1191,"/leviticus/24.htm","| ","title=|",V1190,"| target=|_top|&gt;",V1192,"&lt;/a&gt;")</f>
        <v>&lt;/li&gt;&lt;li&gt;&lt;a href=|http://study.interlinearbible.org/leviticus/24.htm| title=|Hebrew Study Bible| target=|_top|&gt;Heb Study&lt;/a&gt;</v>
      </c>
      <c r="W114" t="str">
        <f t="shared" si="452"/>
        <v>&lt;/li&gt;&lt;li&gt;&lt;a href=|http://apostolic.interlinearbible.org/leviticus/24.htm| title=|Apostolic Bible Polyglot Interlinear| target=|_top|&gt;Polyglot&lt;/a&gt;</v>
      </c>
      <c r="X114" t="str">
        <f t="shared" si="452"/>
        <v>&lt;/li&gt;&lt;li&gt;&lt;a href=|http://interlinearbible.org/leviticus/24.htm| title=|Interlinear Bible| target=|_top|&gt;Interlin&lt;/a&gt;</v>
      </c>
      <c r="Y114" t="str">
        <f t="shared" ref="Y114" si="453">CONCATENATE("&lt;/li&gt;&lt;li&gt;&lt;a href=|http://",Y1191,"/leviticus/24.htm","| ","title=|",Y1190,"| target=|_top|&gt;",Y1192,"&lt;/a&gt;")</f>
        <v>&lt;/li&gt;&lt;li&gt;&lt;a href=|http://bibleoutline.org/leviticus/24.htm| title=|Outline with People and Places List| target=|_top|&gt;Outline&lt;/a&gt;</v>
      </c>
      <c r="Z114" t="str">
        <f t="shared" si="452"/>
        <v>&lt;/li&gt;&lt;li&gt;&lt;a href=|http://kjvs.scripturetext.com/leviticus/24.htm| title=|King James Bible with Strong's Numbers| target=|_top|&gt;Strong's&lt;/a&gt;</v>
      </c>
      <c r="AA114" t="str">
        <f t="shared" si="452"/>
        <v>&lt;/li&gt;&lt;li&gt;&lt;a href=|http://childrensbibleonline.com/leviticus/24.htm| title=|The Children's Bible| target=|_top|&gt;Children's&lt;/a&gt;</v>
      </c>
      <c r="AB114" s="2" t="str">
        <f t="shared" si="452"/>
        <v>&lt;/li&gt;&lt;li&gt;&lt;a href=|http://tsk.scripturetext.com/leviticus/24.htm| title=|Treasury of Scripture Knowledge| target=|_top|&gt;TSK&lt;/a&gt;</v>
      </c>
      <c r="AC114" t="str">
        <f>CONCATENATE("&lt;a href=|http://",AC1191,"/leviticus/24.htm","| ","title=|",AC1190,"| target=|_top|&gt;",AC1192,"&lt;/a&gt;")</f>
        <v>&lt;a href=|http://parallelbible.com/leviticus/24.htm| title=|Parallel Chapters| target=|_top|&gt;PAR&lt;/a&gt;</v>
      </c>
      <c r="AD114" s="2" t="str">
        <f t="shared" ref="AD114:AK114" si="454">CONCATENATE("&lt;/li&gt;&lt;li&gt;&lt;a href=|http://",AD1191,"/leviticus/24.htm","| ","title=|",AD1190,"| target=|_top|&gt;",AD1192,"&lt;/a&gt;")</f>
        <v>&lt;/li&gt;&lt;li&gt;&lt;a href=|http://gsb.biblecommenter.com/leviticus/24.htm| title=|Geneva Study Bible| target=|_top|&gt;GSB&lt;/a&gt;</v>
      </c>
      <c r="AE114" s="2" t="str">
        <f t="shared" si="454"/>
        <v>&lt;/li&gt;&lt;li&gt;&lt;a href=|http://jfb.biblecommenter.com/leviticus/24.htm| title=|Jamieson-Fausset-Brown Bible Commentary| target=|_top|&gt;JFB&lt;/a&gt;</v>
      </c>
      <c r="AF114" s="2" t="str">
        <f t="shared" si="454"/>
        <v>&lt;/li&gt;&lt;li&gt;&lt;a href=|http://kjt.biblecommenter.com/leviticus/24.htm| title=|King James Translators' Notes| target=|_top|&gt;KJT&lt;/a&gt;</v>
      </c>
      <c r="AG114" s="2" t="str">
        <f t="shared" si="454"/>
        <v>&lt;/li&gt;&lt;li&gt;&lt;a href=|http://mhc.biblecommenter.com/leviticus/24.htm| title=|Matthew Henry's Concise Commentary| target=|_top|&gt;MHC&lt;/a&gt;</v>
      </c>
      <c r="AH114" s="2" t="str">
        <f t="shared" si="454"/>
        <v>&lt;/li&gt;&lt;li&gt;&lt;a href=|http://sco.biblecommenter.com/leviticus/24.htm| title=|Scofield Reference Notes| target=|_top|&gt;SCO&lt;/a&gt;</v>
      </c>
      <c r="AI114" s="2" t="str">
        <f t="shared" si="454"/>
        <v>&lt;/li&gt;&lt;li&gt;&lt;a href=|http://wes.biblecommenter.com/leviticus/24.htm| title=|Wesley's Notes on the Bible| target=|_top|&gt;WES&lt;/a&gt;</v>
      </c>
      <c r="AJ114" t="str">
        <f t="shared" si="454"/>
        <v>&lt;/li&gt;&lt;li&gt;&lt;a href=|http://worldebible.com/leviticus/24.htm| title=|World English Bible| target=|_top|&gt;WEB&lt;/a&gt;</v>
      </c>
      <c r="AK114" t="str">
        <f t="shared" si="454"/>
        <v>&lt;/li&gt;&lt;li&gt;&lt;a href=|http://yltbible.com/leviticus/24.htm| title=|Young's Literal Translation| target=|_top|&gt;YLT&lt;/a&gt;</v>
      </c>
      <c r="AL114" t="str">
        <f>CONCATENATE("&lt;a href=|http://",AL1191,"/leviticus/24.htm","| ","title=|",AL1190,"| target=|_top|&gt;",AL1192,"&lt;/a&gt;")</f>
        <v>&lt;a href=|http://kjv.us/leviticus/24.htm| title=|American King James Version| target=|_top|&gt;AKJ&lt;/a&gt;</v>
      </c>
      <c r="AM114" t="str">
        <f t="shared" ref="AM114:AN114" si="455">CONCATENATE("&lt;/li&gt;&lt;li&gt;&lt;a href=|http://",AM1191,"/leviticus/24.htm","| ","title=|",AM1190,"| target=|_top|&gt;",AM1192,"&lt;/a&gt;")</f>
        <v>&lt;/li&gt;&lt;li&gt;&lt;a href=|http://basicenglishbible.com/leviticus/24.htm| title=|Bible in Basic English| target=|_top|&gt;BBE&lt;/a&gt;</v>
      </c>
      <c r="AN114" t="str">
        <f t="shared" si="455"/>
        <v>&lt;/li&gt;&lt;li&gt;&lt;a href=|http://darbybible.com/leviticus/24.htm| title=|Darby Bible Translation| target=|_top|&gt;DBY&lt;/a&gt;</v>
      </c>
      <c r="AO11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1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1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14" t="str">
        <f>CONCATENATE("&lt;/li&gt;&lt;li&gt;&lt;a href=|http://",AR1191,"/leviticus/24.htm","| ","title=|",AR1190,"| target=|_top|&gt;",AR1192,"&lt;/a&gt;")</f>
        <v>&lt;/li&gt;&lt;li&gt;&lt;a href=|http://websterbible.com/leviticus/24.htm| title=|Webster's Bible Translation| target=|_top|&gt;WBS&lt;/a&gt;</v>
      </c>
      <c r="AS11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14" t="str">
        <f>CONCATENATE("&lt;/li&gt;&lt;li&gt;&lt;a href=|http://",AT1191,"/leviticus/24-1.htm","| ","title=|",AT1190,"| target=|_top|&gt;",AT1192,"&lt;/a&gt;")</f>
        <v>&lt;/li&gt;&lt;li&gt;&lt;a href=|http://biblebrowser.com/leviticus/24-1.htm| title=|Split View| target=|_top|&gt;Split&lt;/a&gt;</v>
      </c>
      <c r="AU114" s="2" t="s">
        <v>1276</v>
      </c>
      <c r="AV114" t="s">
        <v>64</v>
      </c>
    </row>
    <row r="115" spans="1:48">
      <c r="A115" t="s">
        <v>622</v>
      </c>
      <c r="B115" t="s">
        <v>168</v>
      </c>
      <c r="C115" t="s">
        <v>624</v>
      </c>
      <c r="D115" t="s">
        <v>1268</v>
      </c>
      <c r="E115" t="s">
        <v>1277</v>
      </c>
      <c r="F115" t="s">
        <v>1304</v>
      </c>
      <c r="G115" t="s">
        <v>1266</v>
      </c>
      <c r="H115" t="s">
        <v>1305</v>
      </c>
      <c r="I115" t="s">
        <v>1303</v>
      </c>
      <c r="J115" t="s">
        <v>1267</v>
      </c>
      <c r="K115" t="s">
        <v>1275</v>
      </c>
      <c r="L115" s="2" t="s">
        <v>1274</v>
      </c>
      <c r="M115" t="str">
        <f t="shared" ref="M115:AB115" si="456">CONCATENATE("&lt;/li&gt;&lt;li&gt;&lt;a href=|http://",M1191,"/leviticus/25.htm","| ","title=|",M1190,"| target=|_top|&gt;",M1192,"&lt;/a&gt;")</f>
        <v>&lt;/li&gt;&lt;li&gt;&lt;a href=|http://niv.scripturetext.com/leviticus/25.htm| title=|New International Version| target=|_top|&gt;NIV&lt;/a&gt;</v>
      </c>
      <c r="N115" t="str">
        <f t="shared" si="456"/>
        <v>&lt;/li&gt;&lt;li&gt;&lt;a href=|http://nlt.scripturetext.com/leviticus/25.htm| title=|New Living Translation| target=|_top|&gt;NLT&lt;/a&gt;</v>
      </c>
      <c r="O115" t="str">
        <f t="shared" si="456"/>
        <v>&lt;/li&gt;&lt;li&gt;&lt;a href=|http://nasb.scripturetext.com/leviticus/25.htm| title=|New American Standard Bible| target=|_top|&gt;NAS&lt;/a&gt;</v>
      </c>
      <c r="P115" t="str">
        <f t="shared" si="456"/>
        <v>&lt;/li&gt;&lt;li&gt;&lt;a href=|http://gwt.scripturetext.com/leviticus/25.htm| title=|God's Word Translation| target=|_top|&gt;GWT&lt;/a&gt;</v>
      </c>
      <c r="Q115" t="str">
        <f t="shared" si="456"/>
        <v>&lt;/li&gt;&lt;li&gt;&lt;a href=|http://kingjbible.com/leviticus/25.htm| title=|King James Bible| target=|_top|&gt;KJV&lt;/a&gt;</v>
      </c>
      <c r="R115" t="str">
        <f t="shared" si="456"/>
        <v>&lt;/li&gt;&lt;li&gt;&lt;a href=|http://asvbible.com/leviticus/25.htm| title=|American Standard Version| target=|_top|&gt;ASV&lt;/a&gt;</v>
      </c>
      <c r="S115" t="str">
        <f t="shared" si="456"/>
        <v>&lt;/li&gt;&lt;li&gt;&lt;a href=|http://drb.scripturetext.com/leviticus/25.htm| title=|Douay-Rheims Bible| target=|_top|&gt;DRB&lt;/a&gt;</v>
      </c>
      <c r="T115" t="str">
        <f t="shared" si="456"/>
        <v>&lt;/li&gt;&lt;li&gt;&lt;a href=|http://erv.scripturetext.com/leviticus/25.htm| title=|English Revised Version| target=|_top|&gt;ERV&lt;/a&gt;</v>
      </c>
      <c r="V115" t="str">
        <f>CONCATENATE("&lt;/li&gt;&lt;li&gt;&lt;a href=|http://",V1191,"/leviticus/25.htm","| ","title=|",V1190,"| target=|_top|&gt;",V1192,"&lt;/a&gt;")</f>
        <v>&lt;/li&gt;&lt;li&gt;&lt;a href=|http://study.interlinearbible.org/leviticus/25.htm| title=|Hebrew Study Bible| target=|_top|&gt;Heb Study&lt;/a&gt;</v>
      </c>
      <c r="W115" t="str">
        <f t="shared" si="456"/>
        <v>&lt;/li&gt;&lt;li&gt;&lt;a href=|http://apostolic.interlinearbible.org/leviticus/25.htm| title=|Apostolic Bible Polyglot Interlinear| target=|_top|&gt;Polyglot&lt;/a&gt;</v>
      </c>
      <c r="X115" t="str">
        <f t="shared" si="456"/>
        <v>&lt;/li&gt;&lt;li&gt;&lt;a href=|http://interlinearbible.org/leviticus/25.htm| title=|Interlinear Bible| target=|_top|&gt;Interlin&lt;/a&gt;</v>
      </c>
      <c r="Y115" t="str">
        <f t="shared" ref="Y115" si="457">CONCATENATE("&lt;/li&gt;&lt;li&gt;&lt;a href=|http://",Y1191,"/leviticus/25.htm","| ","title=|",Y1190,"| target=|_top|&gt;",Y1192,"&lt;/a&gt;")</f>
        <v>&lt;/li&gt;&lt;li&gt;&lt;a href=|http://bibleoutline.org/leviticus/25.htm| title=|Outline with People and Places List| target=|_top|&gt;Outline&lt;/a&gt;</v>
      </c>
      <c r="Z115" t="str">
        <f t="shared" si="456"/>
        <v>&lt;/li&gt;&lt;li&gt;&lt;a href=|http://kjvs.scripturetext.com/leviticus/25.htm| title=|King James Bible with Strong's Numbers| target=|_top|&gt;Strong's&lt;/a&gt;</v>
      </c>
      <c r="AA115" t="str">
        <f t="shared" si="456"/>
        <v>&lt;/li&gt;&lt;li&gt;&lt;a href=|http://childrensbibleonline.com/leviticus/25.htm| title=|The Children's Bible| target=|_top|&gt;Children's&lt;/a&gt;</v>
      </c>
      <c r="AB115" s="2" t="str">
        <f t="shared" si="456"/>
        <v>&lt;/li&gt;&lt;li&gt;&lt;a href=|http://tsk.scripturetext.com/leviticus/25.htm| title=|Treasury of Scripture Knowledge| target=|_top|&gt;TSK&lt;/a&gt;</v>
      </c>
      <c r="AC115" t="str">
        <f>CONCATENATE("&lt;a href=|http://",AC1191,"/leviticus/25.htm","| ","title=|",AC1190,"| target=|_top|&gt;",AC1192,"&lt;/a&gt;")</f>
        <v>&lt;a href=|http://parallelbible.com/leviticus/25.htm| title=|Parallel Chapters| target=|_top|&gt;PAR&lt;/a&gt;</v>
      </c>
      <c r="AD115" s="2" t="str">
        <f t="shared" ref="AD115:AK115" si="458">CONCATENATE("&lt;/li&gt;&lt;li&gt;&lt;a href=|http://",AD1191,"/leviticus/25.htm","| ","title=|",AD1190,"| target=|_top|&gt;",AD1192,"&lt;/a&gt;")</f>
        <v>&lt;/li&gt;&lt;li&gt;&lt;a href=|http://gsb.biblecommenter.com/leviticus/25.htm| title=|Geneva Study Bible| target=|_top|&gt;GSB&lt;/a&gt;</v>
      </c>
      <c r="AE115" s="2" t="str">
        <f t="shared" si="458"/>
        <v>&lt;/li&gt;&lt;li&gt;&lt;a href=|http://jfb.biblecommenter.com/leviticus/25.htm| title=|Jamieson-Fausset-Brown Bible Commentary| target=|_top|&gt;JFB&lt;/a&gt;</v>
      </c>
      <c r="AF115" s="2" t="str">
        <f t="shared" si="458"/>
        <v>&lt;/li&gt;&lt;li&gt;&lt;a href=|http://kjt.biblecommenter.com/leviticus/25.htm| title=|King James Translators' Notes| target=|_top|&gt;KJT&lt;/a&gt;</v>
      </c>
      <c r="AG115" s="2" t="str">
        <f t="shared" si="458"/>
        <v>&lt;/li&gt;&lt;li&gt;&lt;a href=|http://mhc.biblecommenter.com/leviticus/25.htm| title=|Matthew Henry's Concise Commentary| target=|_top|&gt;MHC&lt;/a&gt;</v>
      </c>
      <c r="AH115" s="2" t="str">
        <f t="shared" si="458"/>
        <v>&lt;/li&gt;&lt;li&gt;&lt;a href=|http://sco.biblecommenter.com/leviticus/25.htm| title=|Scofield Reference Notes| target=|_top|&gt;SCO&lt;/a&gt;</v>
      </c>
      <c r="AI115" s="2" t="str">
        <f t="shared" si="458"/>
        <v>&lt;/li&gt;&lt;li&gt;&lt;a href=|http://wes.biblecommenter.com/leviticus/25.htm| title=|Wesley's Notes on the Bible| target=|_top|&gt;WES&lt;/a&gt;</v>
      </c>
      <c r="AJ115" t="str">
        <f t="shared" si="458"/>
        <v>&lt;/li&gt;&lt;li&gt;&lt;a href=|http://worldebible.com/leviticus/25.htm| title=|World English Bible| target=|_top|&gt;WEB&lt;/a&gt;</v>
      </c>
      <c r="AK115" t="str">
        <f t="shared" si="458"/>
        <v>&lt;/li&gt;&lt;li&gt;&lt;a href=|http://yltbible.com/leviticus/25.htm| title=|Young's Literal Translation| target=|_top|&gt;YLT&lt;/a&gt;</v>
      </c>
      <c r="AL115" t="str">
        <f>CONCATENATE("&lt;a href=|http://",AL1191,"/leviticus/25.htm","| ","title=|",AL1190,"| target=|_top|&gt;",AL1192,"&lt;/a&gt;")</f>
        <v>&lt;a href=|http://kjv.us/leviticus/25.htm| title=|American King James Version| target=|_top|&gt;AKJ&lt;/a&gt;</v>
      </c>
      <c r="AM115" t="str">
        <f t="shared" ref="AM115:AN115" si="459">CONCATENATE("&lt;/li&gt;&lt;li&gt;&lt;a href=|http://",AM1191,"/leviticus/25.htm","| ","title=|",AM1190,"| target=|_top|&gt;",AM1192,"&lt;/a&gt;")</f>
        <v>&lt;/li&gt;&lt;li&gt;&lt;a href=|http://basicenglishbible.com/leviticus/25.htm| title=|Bible in Basic English| target=|_top|&gt;BBE&lt;/a&gt;</v>
      </c>
      <c r="AN115" t="str">
        <f t="shared" si="459"/>
        <v>&lt;/li&gt;&lt;li&gt;&lt;a href=|http://darbybible.com/leviticus/25.htm| title=|Darby Bible Translation| target=|_top|&gt;DBY&lt;/a&gt;</v>
      </c>
      <c r="AO11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1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1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15" t="str">
        <f>CONCATENATE("&lt;/li&gt;&lt;li&gt;&lt;a href=|http://",AR1191,"/leviticus/25.htm","| ","title=|",AR1190,"| target=|_top|&gt;",AR1192,"&lt;/a&gt;")</f>
        <v>&lt;/li&gt;&lt;li&gt;&lt;a href=|http://websterbible.com/leviticus/25.htm| title=|Webster's Bible Translation| target=|_top|&gt;WBS&lt;/a&gt;</v>
      </c>
      <c r="AS11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15" t="str">
        <f>CONCATENATE("&lt;/li&gt;&lt;li&gt;&lt;a href=|http://",AT1191,"/leviticus/25-1.htm","| ","title=|",AT1190,"| target=|_top|&gt;",AT1192,"&lt;/a&gt;")</f>
        <v>&lt;/li&gt;&lt;li&gt;&lt;a href=|http://biblebrowser.com/leviticus/25-1.htm| title=|Split View| target=|_top|&gt;Split&lt;/a&gt;</v>
      </c>
      <c r="AU115" s="2" t="s">
        <v>1276</v>
      </c>
      <c r="AV115" t="s">
        <v>64</v>
      </c>
    </row>
    <row r="116" spans="1:48">
      <c r="A116" t="s">
        <v>622</v>
      </c>
      <c r="B116" t="s">
        <v>169</v>
      </c>
      <c r="C116" t="s">
        <v>624</v>
      </c>
      <c r="D116" t="s">
        <v>1268</v>
      </c>
      <c r="E116" t="s">
        <v>1277</v>
      </c>
      <c r="F116" t="s">
        <v>1304</v>
      </c>
      <c r="G116" t="s">
        <v>1266</v>
      </c>
      <c r="H116" t="s">
        <v>1305</v>
      </c>
      <c r="I116" t="s">
        <v>1303</v>
      </c>
      <c r="J116" t="s">
        <v>1267</v>
      </c>
      <c r="K116" t="s">
        <v>1275</v>
      </c>
      <c r="L116" s="2" t="s">
        <v>1274</v>
      </c>
      <c r="M116" t="str">
        <f t="shared" ref="M116:AB116" si="460">CONCATENATE("&lt;/li&gt;&lt;li&gt;&lt;a href=|http://",M1191,"/leviticus/26.htm","| ","title=|",M1190,"| target=|_top|&gt;",M1192,"&lt;/a&gt;")</f>
        <v>&lt;/li&gt;&lt;li&gt;&lt;a href=|http://niv.scripturetext.com/leviticus/26.htm| title=|New International Version| target=|_top|&gt;NIV&lt;/a&gt;</v>
      </c>
      <c r="N116" t="str">
        <f t="shared" si="460"/>
        <v>&lt;/li&gt;&lt;li&gt;&lt;a href=|http://nlt.scripturetext.com/leviticus/26.htm| title=|New Living Translation| target=|_top|&gt;NLT&lt;/a&gt;</v>
      </c>
      <c r="O116" t="str">
        <f t="shared" si="460"/>
        <v>&lt;/li&gt;&lt;li&gt;&lt;a href=|http://nasb.scripturetext.com/leviticus/26.htm| title=|New American Standard Bible| target=|_top|&gt;NAS&lt;/a&gt;</v>
      </c>
      <c r="P116" t="str">
        <f t="shared" si="460"/>
        <v>&lt;/li&gt;&lt;li&gt;&lt;a href=|http://gwt.scripturetext.com/leviticus/26.htm| title=|God's Word Translation| target=|_top|&gt;GWT&lt;/a&gt;</v>
      </c>
      <c r="Q116" t="str">
        <f t="shared" si="460"/>
        <v>&lt;/li&gt;&lt;li&gt;&lt;a href=|http://kingjbible.com/leviticus/26.htm| title=|King James Bible| target=|_top|&gt;KJV&lt;/a&gt;</v>
      </c>
      <c r="R116" t="str">
        <f t="shared" si="460"/>
        <v>&lt;/li&gt;&lt;li&gt;&lt;a href=|http://asvbible.com/leviticus/26.htm| title=|American Standard Version| target=|_top|&gt;ASV&lt;/a&gt;</v>
      </c>
      <c r="S116" t="str">
        <f t="shared" si="460"/>
        <v>&lt;/li&gt;&lt;li&gt;&lt;a href=|http://drb.scripturetext.com/leviticus/26.htm| title=|Douay-Rheims Bible| target=|_top|&gt;DRB&lt;/a&gt;</v>
      </c>
      <c r="T116" t="str">
        <f t="shared" si="460"/>
        <v>&lt;/li&gt;&lt;li&gt;&lt;a href=|http://erv.scripturetext.com/leviticus/26.htm| title=|English Revised Version| target=|_top|&gt;ERV&lt;/a&gt;</v>
      </c>
      <c r="V116" t="str">
        <f>CONCATENATE("&lt;/li&gt;&lt;li&gt;&lt;a href=|http://",V1191,"/leviticus/26.htm","| ","title=|",V1190,"| target=|_top|&gt;",V1192,"&lt;/a&gt;")</f>
        <v>&lt;/li&gt;&lt;li&gt;&lt;a href=|http://study.interlinearbible.org/leviticus/26.htm| title=|Hebrew Study Bible| target=|_top|&gt;Heb Study&lt;/a&gt;</v>
      </c>
      <c r="W116" t="str">
        <f t="shared" si="460"/>
        <v>&lt;/li&gt;&lt;li&gt;&lt;a href=|http://apostolic.interlinearbible.org/leviticus/26.htm| title=|Apostolic Bible Polyglot Interlinear| target=|_top|&gt;Polyglot&lt;/a&gt;</v>
      </c>
      <c r="X116" t="str">
        <f t="shared" si="460"/>
        <v>&lt;/li&gt;&lt;li&gt;&lt;a href=|http://interlinearbible.org/leviticus/26.htm| title=|Interlinear Bible| target=|_top|&gt;Interlin&lt;/a&gt;</v>
      </c>
      <c r="Y116" t="str">
        <f t="shared" ref="Y116" si="461">CONCATENATE("&lt;/li&gt;&lt;li&gt;&lt;a href=|http://",Y1191,"/leviticus/26.htm","| ","title=|",Y1190,"| target=|_top|&gt;",Y1192,"&lt;/a&gt;")</f>
        <v>&lt;/li&gt;&lt;li&gt;&lt;a href=|http://bibleoutline.org/leviticus/26.htm| title=|Outline with People and Places List| target=|_top|&gt;Outline&lt;/a&gt;</v>
      </c>
      <c r="Z116" t="str">
        <f t="shared" si="460"/>
        <v>&lt;/li&gt;&lt;li&gt;&lt;a href=|http://kjvs.scripturetext.com/leviticus/26.htm| title=|King James Bible with Strong's Numbers| target=|_top|&gt;Strong's&lt;/a&gt;</v>
      </c>
      <c r="AA116" t="str">
        <f t="shared" si="460"/>
        <v>&lt;/li&gt;&lt;li&gt;&lt;a href=|http://childrensbibleonline.com/leviticus/26.htm| title=|The Children's Bible| target=|_top|&gt;Children's&lt;/a&gt;</v>
      </c>
      <c r="AB116" s="2" t="str">
        <f t="shared" si="460"/>
        <v>&lt;/li&gt;&lt;li&gt;&lt;a href=|http://tsk.scripturetext.com/leviticus/26.htm| title=|Treasury of Scripture Knowledge| target=|_top|&gt;TSK&lt;/a&gt;</v>
      </c>
      <c r="AC116" t="str">
        <f>CONCATENATE("&lt;a href=|http://",AC1191,"/leviticus/26.htm","| ","title=|",AC1190,"| target=|_top|&gt;",AC1192,"&lt;/a&gt;")</f>
        <v>&lt;a href=|http://parallelbible.com/leviticus/26.htm| title=|Parallel Chapters| target=|_top|&gt;PAR&lt;/a&gt;</v>
      </c>
      <c r="AD116" s="2" t="str">
        <f t="shared" ref="AD116:AK116" si="462">CONCATENATE("&lt;/li&gt;&lt;li&gt;&lt;a href=|http://",AD1191,"/leviticus/26.htm","| ","title=|",AD1190,"| target=|_top|&gt;",AD1192,"&lt;/a&gt;")</f>
        <v>&lt;/li&gt;&lt;li&gt;&lt;a href=|http://gsb.biblecommenter.com/leviticus/26.htm| title=|Geneva Study Bible| target=|_top|&gt;GSB&lt;/a&gt;</v>
      </c>
      <c r="AE116" s="2" t="str">
        <f t="shared" si="462"/>
        <v>&lt;/li&gt;&lt;li&gt;&lt;a href=|http://jfb.biblecommenter.com/leviticus/26.htm| title=|Jamieson-Fausset-Brown Bible Commentary| target=|_top|&gt;JFB&lt;/a&gt;</v>
      </c>
      <c r="AF116" s="2" t="str">
        <f t="shared" si="462"/>
        <v>&lt;/li&gt;&lt;li&gt;&lt;a href=|http://kjt.biblecommenter.com/leviticus/26.htm| title=|King James Translators' Notes| target=|_top|&gt;KJT&lt;/a&gt;</v>
      </c>
      <c r="AG116" s="2" t="str">
        <f t="shared" si="462"/>
        <v>&lt;/li&gt;&lt;li&gt;&lt;a href=|http://mhc.biblecommenter.com/leviticus/26.htm| title=|Matthew Henry's Concise Commentary| target=|_top|&gt;MHC&lt;/a&gt;</v>
      </c>
      <c r="AH116" s="2" t="str">
        <f t="shared" si="462"/>
        <v>&lt;/li&gt;&lt;li&gt;&lt;a href=|http://sco.biblecommenter.com/leviticus/26.htm| title=|Scofield Reference Notes| target=|_top|&gt;SCO&lt;/a&gt;</v>
      </c>
      <c r="AI116" s="2" t="str">
        <f t="shared" si="462"/>
        <v>&lt;/li&gt;&lt;li&gt;&lt;a href=|http://wes.biblecommenter.com/leviticus/26.htm| title=|Wesley's Notes on the Bible| target=|_top|&gt;WES&lt;/a&gt;</v>
      </c>
      <c r="AJ116" t="str">
        <f t="shared" si="462"/>
        <v>&lt;/li&gt;&lt;li&gt;&lt;a href=|http://worldebible.com/leviticus/26.htm| title=|World English Bible| target=|_top|&gt;WEB&lt;/a&gt;</v>
      </c>
      <c r="AK116" t="str">
        <f t="shared" si="462"/>
        <v>&lt;/li&gt;&lt;li&gt;&lt;a href=|http://yltbible.com/leviticus/26.htm| title=|Young's Literal Translation| target=|_top|&gt;YLT&lt;/a&gt;</v>
      </c>
      <c r="AL116" t="str">
        <f>CONCATENATE("&lt;a href=|http://",AL1191,"/leviticus/26.htm","| ","title=|",AL1190,"| target=|_top|&gt;",AL1192,"&lt;/a&gt;")</f>
        <v>&lt;a href=|http://kjv.us/leviticus/26.htm| title=|American King James Version| target=|_top|&gt;AKJ&lt;/a&gt;</v>
      </c>
      <c r="AM116" t="str">
        <f t="shared" ref="AM116:AN116" si="463">CONCATENATE("&lt;/li&gt;&lt;li&gt;&lt;a href=|http://",AM1191,"/leviticus/26.htm","| ","title=|",AM1190,"| target=|_top|&gt;",AM1192,"&lt;/a&gt;")</f>
        <v>&lt;/li&gt;&lt;li&gt;&lt;a href=|http://basicenglishbible.com/leviticus/26.htm| title=|Bible in Basic English| target=|_top|&gt;BBE&lt;/a&gt;</v>
      </c>
      <c r="AN116" t="str">
        <f t="shared" si="463"/>
        <v>&lt;/li&gt;&lt;li&gt;&lt;a href=|http://darbybible.com/leviticus/26.htm| title=|Darby Bible Translation| target=|_top|&gt;DBY&lt;/a&gt;</v>
      </c>
      <c r="AO11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1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1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16" t="str">
        <f>CONCATENATE("&lt;/li&gt;&lt;li&gt;&lt;a href=|http://",AR1191,"/leviticus/26.htm","| ","title=|",AR1190,"| target=|_top|&gt;",AR1192,"&lt;/a&gt;")</f>
        <v>&lt;/li&gt;&lt;li&gt;&lt;a href=|http://websterbible.com/leviticus/26.htm| title=|Webster's Bible Translation| target=|_top|&gt;WBS&lt;/a&gt;</v>
      </c>
      <c r="AS11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16" t="str">
        <f>CONCATENATE("&lt;/li&gt;&lt;li&gt;&lt;a href=|http://",AT1191,"/leviticus/26-1.htm","| ","title=|",AT1190,"| target=|_top|&gt;",AT1192,"&lt;/a&gt;")</f>
        <v>&lt;/li&gt;&lt;li&gt;&lt;a href=|http://biblebrowser.com/leviticus/26-1.htm| title=|Split View| target=|_top|&gt;Split&lt;/a&gt;</v>
      </c>
      <c r="AU116" s="2" t="s">
        <v>1276</v>
      </c>
      <c r="AV116" t="s">
        <v>64</v>
      </c>
    </row>
    <row r="117" spans="1:48">
      <c r="A117" t="s">
        <v>622</v>
      </c>
      <c r="B117" t="s">
        <v>170</v>
      </c>
      <c r="C117" t="s">
        <v>624</v>
      </c>
      <c r="D117" t="s">
        <v>1268</v>
      </c>
      <c r="E117" t="s">
        <v>1277</v>
      </c>
      <c r="F117" t="s">
        <v>1304</v>
      </c>
      <c r="G117" t="s">
        <v>1266</v>
      </c>
      <c r="H117" t="s">
        <v>1305</v>
      </c>
      <c r="I117" t="s">
        <v>1303</v>
      </c>
      <c r="J117" t="s">
        <v>1267</v>
      </c>
      <c r="K117" t="s">
        <v>1275</v>
      </c>
      <c r="L117" s="2" t="s">
        <v>1274</v>
      </c>
      <c r="M117" t="str">
        <f t="shared" ref="M117:AB117" si="464">CONCATENATE("&lt;/li&gt;&lt;li&gt;&lt;a href=|http://",M1191,"/leviticus/27.htm","| ","title=|",M1190,"| target=|_top|&gt;",M1192,"&lt;/a&gt;")</f>
        <v>&lt;/li&gt;&lt;li&gt;&lt;a href=|http://niv.scripturetext.com/leviticus/27.htm| title=|New International Version| target=|_top|&gt;NIV&lt;/a&gt;</v>
      </c>
      <c r="N117" t="str">
        <f t="shared" si="464"/>
        <v>&lt;/li&gt;&lt;li&gt;&lt;a href=|http://nlt.scripturetext.com/leviticus/27.htm| title=|New Living Translation| target=|_top|&gt;NLT&lt;/a&gt;</v>
      </c>
      <c r="O117" t="str">
        <f t="shared" si="464"/>
        <v>&lt;/li&gt;&lt;li&gt;&lt;a href=|http://nasb.scripturetext.com/leviticus/27.htm| title=|New American Standard Bible| target=|_top|&gt;NAS&lt;/a&gt;</v>
      </c>
      <c r="P117" t="str">
        <f t="shared" si="464"/>
        <v>&lt;/li&gt;&lt;li&gt;&lt;a href=|http://gwt.scripturetext.com/leviticus/27.htm| title=|God's Word Translation| target=|_top|&gt;GWT&lt;/a&gt;</v>
      </c>
      <c r="Q117" t="str">
        <f t="shared" si="464"/>
        <v>&lt;/li&gt;&lt;li&gt;&lt;a href=|http://kingjbible.com/leviticus/27.htm| title=|King James Bible| target=|_top|&gt;KJV&lt;/a&gt;</v>
      </c>
      <c r="R117" t="str">
        <f t="shared" si="464"/>
        <v>&lt;/li&gt;&lt;li&gt;&lt;a href=|http://asvbible.com/leviticus/27.htm| title=|American Standard Version| target=|_top|&gt;ASV&lt;/a&gt;</v>
      </c>
      <c r="S117" t="str">
        <f t="shared" si="464"/>
        <v>&lt;/li&gt;&lt;li&gt;&lt;a href=|http://drb.scripturetext.com/leviticus/27.htm| title=|Douay-Rheims Bible| target=|_top|&gt;DRB&lt;/a&gt;</v>
      </c>
      <c r="T117" t="str">
        <f t="shared" si="464"/>
        <v>&lt;/li&gt;&lt;li&gt;&lt;a href=|http://erv.scripturetext.com/leviticus/27.htm| title=|English Revised Version| target=|_top|&gt;ERV&lt;/a&gt;</v>
      </c>
      <c r="V117" t="str">
        <f>CONCATENATE("&lt;/li&gt;&lt;li&gt;&lt;a href=|http://",V1191,"/leviticus/27.htm","| ","title=|",V1190,"| target=|_top|&gt;",V1192,"&lt;/a&gt;")</f>
        <v>&lt;/li&gt;&lt;li&gt;&lt;a href=|http://study.interlinearbible.org/leviticus/27.htm| title=|Hebrew Study Bible| target=|_top|&gt;Heb Study&lt;/a&gt;</v>
      </c>
      <c r="W117" t="str">
        <f t="shared" si="464"/>
        <v>&lt;/li&gt;&lt;li&gt;&lt;a href=|http://apostolic.interlinearbible.org/leviticus/27.htm| title=|Apostolic Bible Polyglot Interlinear| target=|_top|&gt;Polyglot&lt;/a&gt;</v>
      </c>
      <c r="X117" t="str">
        <f t="shared" si="464"/>
        <v>&lt;/li&gt;&lt;li&gt;&lt;a href=|http://interlinearbible.org/leviticus/27.htm| title=|Interlinear Bible| target=|_top|&gt;Interlin&lt;/a&gt;</v>
      </c>
      <c r="Y117" t="str">
        <f t="shared" ref="Y117" si="465">CONCATENATE("&lt;/li&gt;&lt;li&gt;&lt;a href=|http://",Y1191,"/leviticus/27.htm","| ","title=|",Y1190,"| target=|_top|&gt;",Y1192,"&lt;/a&gt;")</f>
        <v>&lt;/li&gt;&lt;li&gt;&lt;a href=|http://bibleoutline.org/leviticus/27.htm| title=|Outline with People and Places List| target=|_top|&gt;Outline&lt;/a&gt;</v>
      </c>
      <c r="Z117" t="str">
        <f t="shared" si="464"/>
        <v>&lt;/li&gt;&lt;li&gt;&lt;a href=|http://kjvs.scripturetext.com/leviticus/27.htm| title=|King James Bible with Strong's Numbers| target=|_top|&gt;Strong's&lt;/a&gt;</v>
      </c>
      <c r="AA117" t="str">
        <f t="shared" si="464"/>
        <v>&lt;/li&gt;&lt;li&gt;&lt;a href=|http://childrensbibleonline.com/leviticus/27.htm| title=|The Children's Bible| target=|_top|&gt;Children's&lt;/a&gt;</v>
      </c>
      <c r="AB117" s="2" t="str">
        <f t="shared" si="464"/>
        <v>&lt;/li&gt;&lt;li&gt;&lt;a href=|http://tsk.scripturetext.com/leviticus/27.htm| title=|Treasury of Scripture Knowledge| target=|_top|&gt;TSK&lt;/a&gt;</v>
      </c>
      <c r="AC117" t="str">
        <f>CONCATENATE("&lt;a href=|http://",AC1191,"/leviticus/27.htm","| ","title=|",AC1190,"| target=|_top|&gt;",AC1192,"&lt;/a&gt;")</f>
        <v>&lt;a href=|http://parallelbible.com/leviticus/27.htm| title=|Parallel Chapters| target=|_top|&gt;PAR&lt;/a&gt;</v>
      </c>
      <c r="AD117" s="2" t="str">
        <f t="shared" ref="AD117:AK117" si="466">CONCATENATE("&lt;/li&gt;&lt;li&gt;&lt;a href=|http://",AD1191,"/leviticus/27.htm","| ","title=|",AD1190,"| target=|_top|&gt;",AD1192,"&lt;/a&gt;")</f>
        <v>&lt;/li&gt;&lt;li&gt;&lt;a href=|http://gsb.biblecommenter.com/leviticus/27.htm| title=|Geneva Study Bible| target=|_top|&gt;GSB&lt;/a&gt;</v>
      </c>
      <c r="AE117" s="2" t="str">
        <f t="shared" si="466"/>
        <v>&lt;/li&gt;&lt;li&gt;&lt;a href=|http://jfb.biblecommenter.com/leviticus/27.htm| title=|Jamieson-Fausset-Brown Bible Commentary| target=|_top|&gt;JFB&lt;/a&gt;</v>
      </c>
      <c r="AF117" s="2" t="str">
        <f t="shared" si="466"/>
        <v>&lt;/li&gt;&lt;li&gt;&lt;a href=|http://kjt.biblecommenter.com/leviticus/27.htm| title=|King James Translators' Notes| target=|_top|&gt;KJT&lt;/a&gt;</v>
      </c>
      <c r="AG117" s="2" t="str">
        <f t="shared" si="466"/>
        <v>&lt;/li&gt;&lt;li&gt;&lt;a href=|http://mhc.biblecommenter.com/leviticus/27.htm| title=|Matthew Henry's Concise Commentary| target=|_top|&gt;MHC&lt;/a&gt;</v>
      </c>
      <c r="AH117" s="2" t="str">
        <f t="shared" si="466"/>
        <v>&lt;/li&gt;&lt;li&gt;&lt;a href=|http://sco.biblecommenter.com/leviticus/27.htm| title=|Scofield Reference Notes| target=|_top|&gt;SCO&lt;/a&gt;</v>
      </c>
      <c r="AI117" s="2" t="str">
        <f t="shared" si="466"/>
        <v>&lt;/li&gt;&lt;li&gt;&lt;a href=|http://wes.biblecommenter.com/leviticus/27.htm| title=|Wesley's Notes on the Bible| target=|_top|&gt;WES&lt;/a&gt;</v>
      </c>
      <c r="AJ117" t="str">
        <f t="shared" si="466"/>
        <v>&lt;/li&gt;&lt;li&gt;&lt;a href=|http://worldebible.com/leviticus/27.htm| title=|World English Bible| target=|_top|&gt;WEB&lt;/a&gt;</v>
      </c>
      <c r="AK117" t="str">
        <f t="shared" si="466"/>
        <v>&lt;/li&gt;&lt;li&gt;&lt;a href=|http://yltbible.com/leviticus/27.htm| title=|Young's Literal Translation| target=|_top|&gt;YLT&lt;/a&gt;</v>
      </c>
      <c r="AL117" t="str">
        <f>CONCATENATE("&lt;a href=|http://",AL1191,"/leviticus/27.htm","| ","title=|",AL1190,"| target=|_top|&gt;",AL1192,"&lt;/a&gt;")</f>
        <v>&lt;a href=|http://kjv.us/leviticus/27.htm| title=|American King James Version| target=|_top|&gt;AKJ&lt;/a&gt;</v>
      </c>
      <c r="AM117" t="str">
        <f t="shared" ref="AM117:AN117" si="467">CONCATENATE("&lt;/li&gt;&lt;li&gt;&lt;a href=|http://",AM1191,"/leviticus/27.htm","| ","title=|",AM1190,"| target=|_top|&gt;",AM1192,"&lt;/a&gt;")</f>
        <v>&lt;/li&gt;&lt;li&gt;&lt;a href=|http://basicenglishbible.com/leviticus/27.htm| title=|Bible in Basic English| target=|_top|&gt;BBE&lt;/a&gt;</v>
      </c>
      <c r="AN117" t="str">
        <f t="shared" si="467"/>
        <v>&lt;/li&gt;&lt;li&gt;&lt;a href=|http://darbybible.com/leviticus/27.htm| title=|Darby Bible Translation| target=|_top|&gt;DBY&lt;/a&gt;</v>
      </c>
      <c r="AO11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1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1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17" t="str">
        <f>CONCATENATE("&lt;/li&gt;&lt;li&gt;&lt;a href=|http://",AR1191,"/leviticus/27.htm","| ","title=|",AR1190,"| target=|_top|&gt;",AR1192,"&lt;/a&gt;")</f>
        <v>&lt;/li&gt;&lt;li&gt;&lt;a href=|http://websterbible.com/leviticus/27.htm| title=|Webster's Bible Translation| target=|_top|&gt;WBS&lt;/a&gt;</v>
      </c>
      <c r="AS11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17" t="str">
        <f>CONCATENATE("&lt;/li&gt;&lt;li&gt;&lt;a href=|http://",AT1191,"/leviticus/27-1.htm","| ","title=|",AT1190,"| target=|_top|&gt;",AT1192,"&lt;/a&gt;")</f>
        <v>&lt;/li&gt;&lt;li&gt;&lt;a href=|http://biblebrowser.com/leviticus/27-1.htm| title=|Split View| target=|_top|&gt;Split&lt;/a&gt;</v>
      </c>
      <c r="AU117" s="2" t="s">
        <v>1276</v>
      </c>
      <c r="AV117" t="s">
        <v>64</v>
      </c>
    </row>
    <row r="118" spans="1:48">
      <c r="A118" t="s">
        <v>622</v>
      </c>
      <c r="B118" t="s">
        <v>171</v>
      </c>
      <c r="C118" t="s">
        <v>624</v>
      </c>
      <c r="D118" t="s">
        <v>1268</v>
      </c>
      <c r="E118" t="s">
        <v>1277</v>
      </c>
      <c r="F118" t="s">
        <v>1304</v>
      </c>
      <c r="G118" t="s">
        <v>1266</v>
      </c>
      <c r="H118" t="s">
        <v>1305</v>
      </c>
      <c r="I118" t="s">
        <v>1303</v>
      </c>
      <c r="J118" t="s">
        <v>1267</v>
      </c>
      <c r="K118" t="s">
        <v>1275</v>
      </c>
      <c r="L118" s="2" t="s">
        <v>1274</v>
      </c>
      <c r="M118" t="str">
        <f t="shared" ref="M118:AB118" si="468">CONCATENATE("&lt;/li&gt;&lt;li&gt;&lt;a href=|http://",M1191,"/numbers/1.htm","| ","title=|",M1190,"| target=|_top|&gt;",M1192,"&lt;/a&gt;")</f>
        <v>&lt;/li&gt;&lt;li&gt;&lt;a href=|http://niv.scripturetext.com/numbers/1.htm| title=|New International Version| target=|_top|&gt;NIV&lt;/a&gt;</v>
      </c>
      <c r="N118" t="str">
        <f t="shared" si="468"/>
        <v>&lt;/li&gt;&lt;li&gt;&lt;a href=|http://nlt.scripturetext.com/numbers/1.htm| title=|New Living Translation| target=|_top|&gt;NLT&lt;/a&gt;</v>
      </c>
      <c r="O118" t="str">
        <f t="shared" si="468"/>
        <v>&lt;/li&gt;&lt;li&gt;&lt;a href=|http://nasb.scripturetext.com/numbers/1.htm| title=|New American Standard Bible| target=|_top|&gt;NAS&lt;/a&gt;</v>
      </c>
      <c r="P118" t="str">
        <f t="shared" si="468"/>
        <v>&lt;/li&gt;&lt;li&gt;&lt;a href=|http://gwt.scripturetext.com/numbers/1.htm| title=|God's Word Translation| target=|_top|&gt;GWT&lt;/a&gt;</v>
      </c>
      <c r="Q118" t="str">
        <f t="shared" si="468"/>
        <v>&lt;/li&gt;&lt;li&gt;&lt;a href=|http://kingjbible.com/numbers/1.htm| title=|King James Bible| target=|_top|&gt;KJV&lt;/a&gt;</v>
      </c>
      <c r="R118" t="str">
        <f t="shared" si="468"/>
        <v>&lt;/li&gt;&lt;li&gt;&lt;a href=|http://asvbible.com/numbers/1.htm| title=|American Standard Version| target=|_top|&gt;ASV&lt;/a&gt;</v>
      </c>
      <c r="S118" t="str">
        <f t="shared" si="468"/>
        <v>&lt;/li&gt;&lt;li&gt;&lt;a href=|http://drb.scripturetext.com/numbers/1.htm| title=|Douay-Rheims Bible| target=|_top|&gt;DRB&lt;/a&gt;</v>
      </c>
      <c r="T118" t="str">
        <f t="shared" si="468"/>
        <v>&lt;/li&gt;&lt;li&gt;&lt;a href=|http://erv.scripturetext.com/numbers/1.htm| title=|English Revised Version| target=|_top|&gt;ERV&lt;/a&gt;</v>
      </c>
      <c r="V118" t="str">
        <f>CONCATENATE("&lt;/li&gt;&lt;li&gt;&lt;a href=|http://",V1191,"/numbers/1.htm","| ","title=|",V1190,"| target=|_top|&gt;",V1192,"&lt;/a&gt;")</f>
        <v>&lt;/li&gt;&lt;li&gt;&lt;a href=|http://study.interlinearbible.org/numbers/1.htm| title=|Hebrew Study Bible| target=|_top|&gt;Heb Study&lt;/a&gt;</v>
      </c>
      <c r="W118" t="str">
        <f t="shared" si="468"/>
        <v>&lt;/li&gt;&lt;li&gt;&lt;a href=|http://apostolic.interlinearbible.org/numbers/1.htm| title=|Apostolic Bible Polyglot Interlinear| target=|_top|&gt;Polyglot&lt;/a&gt;</v>
      </c>
      <c r="X118" t="str">
        <f t="shared" si="468"/>
        <v>&lt;/li&gt;&lt;li&gt;&lt;a href=|http://interlinearbible.org/numbers/1.htm| title=|Interlinear Bible| target=|_top|&gt;Interlin&lt;/a&gt;</v>
      </c>
      <c r="Y118" t="str">
        <f t="shared" ref="Y118" si="469">CONCATENATE("&lt;/li&gt;&lt;li&gt;&lt;a href=|http://",Y1191,"/numbers/1.htm","| ","title=|",Y1190,"| target=|_top|&gt;",Y1192,"&lt;/a&gt;")</f>
        <v>&lt;/li&gt;&lt;li&gt;&lt;a href=|http://bibleoutline.org/numbers/1.htm| title=|Outline with People and Places List| target=|_top|&gt;Outline&lt;/a&gt;</v>
      </c>
      <c r="Z118" t="str">
        <f t="shared" si="468"/>
        <v>&lt;/li&gt;&lt;li&gt;&lt;a href=|http://kjvs.scripturetext.com/numbers/1.htm| title=|King James Bible with Strong's Numbers| target=|_top|&gt;Strong's&lt;/a&gt;</v>
      </c>
      <c r="AA118" t="str">
        <f t="shared" si="468"/>
        <v>&lt;/li&gt;&lt;li&gt;&lt;a href=|http://childrensbibleonline.com/numbers/1.htm| title=|The Children's Bible| target=|_top|&gt;Children's&lt;/a&gt;</v>
      </c>
      <c r="AB118" s="2" t="str">
        <f t="shared" si="468"/>
        <v>&lt;/li&gt;&lt;li&gt;&lt;a href=|http://tsk.scripturetext.com/numbers/1.htm| title=|Treasury of Scripture Knowledge| target=|_top|&gt;TSK&lt;/a&gt;</v>
      </c>
      <c r="AC118" t="str">
        <f>CONCATENATE("&lt;a href=|http://",AC1191,"/numbers/1.htm","| ","title=|",AC1190,"| target=|_top|&gt;",AC1192,"&lt;/a&gt;")</f>
        <v>&lt;a href=|http://parallelbible.com/numbers/1.htm| title=|Parallel Chapters| target=|_top|&gt;PAR&lt;/a&gt;</v>
      </c>
      <c r="AD118" s="2" t="str">
        <f t="shared" ref="AD118:AK118" si="470">CONCATENATE("&lt;/li&gt;&lt;li&gt;&lt;a href=|http://",AD1191,"/numbers/1.htm","| ","title=|",AD1190,"| target=|_top|&gt;",AD1192,"&lt;/a&gt;")</f>
        <v>&lt;/li&gt;&lt;li&gt;&lt;a href=|http://gsb.biblecommenter.com/numbers/1.htm| title=|Geneva Study Bible| target=|_top|&gt;GSB&lt;/a&gt;</v>
      </c>
      <c r="AE118" s="2" t="str">
        <f t="shared" si="470"/>
        <v>&lt;/li&gt;&lt;li&gt;&lt;a href=|http://jfb.biblecommenter.com/numbers/1.htm| title=|Jamieson-Fausset-Brown Bible Commentary| target=|_top|&gt;JFB&lt;/a&gt;</v>
      </c>
      <c r="AF118" s="2" t="str">
        <f t="shared" si="470"/>
        <v>&lt;/li&gt;&lt;li&gt;&lt;a href=|http://kjt.biblecommenter.com/numbers/1.htm| title=|King James Translators' Notes| target=|_top|&gt;KJT&lt;/a&gt;</v>
      </c>
      <c r="AG118" s="2" t="str">
        <f t="shared" si="470"/>
        <v>&lt;/li&gt;&lt;li&gt;&lt;a href=|http://mhc.biblecommenter.com/numbers/1.htm| title=|Matthew Henry's Concise Commentary| target=|_top|&gt;MHC&lt;/a&gt;</v>
      </c>
      <c r="AH118" s="2" t="str">
        <f t="shared" si="470"/>
        <v>&lt;/li&gt;&lt;li&gt;&lt;a href=|http://sco.biblecommenter.com/numbers/1.htm| title=|Scofield Reference Notes| target=|_top|&gt;SCO&lt;/a&gt;</v>
      </c>
      <c r="AI118" s="2" t="str">
        <f t="shared" si="470"/>
        <v>&lt;/li&gt;&lt;li&gt;&lt;a href=|http://wes.biblecommenter.com/numbers/1.htm| title=|Wesley's Notes on the Bible| target=|_top|&gt;WES&lt;/a&gt;</v>
      </c>
      <c r="AJ118" t="str">
        <f t="shared" si="470"/>
        <v>&lt;/li&gt;&lt;li&gt;&lt;a href=|http://worldebible.com/numbers/1.htm| title=|World English Bible| target=|_top|&gt;WEB&lt;/a&gt;</v>
      </c>
      <c r="AK118" t="str">
        <f t="shared" si="470"/>
        <v>&lt;/li&gt;&lt;li&gt;&lt;a href=|http://yltbible.com/numbers/1.htm| title=|Young's Literal Translation| target=|_top|&gt;YLT&lt;/a&gt;</v>
      </c>
      <c r="AL118" t="str">
        <f>CONCATENATE("&lt;a href=|http://",AL1191,"/numbers/1.htm","| ","title=|",AL1190,"| target=|_top|&gt;",AL1192,"&lt;/a&gt;")</f>
        <v>&lt;a href=|http://kjv.us/numbers/1.htm| title=|American King James Version| target=|_top|&gt;AKJ&lt;/a&gt;</v>
      </c>
      <c r="AM118" t="str">
        <f t="shared" ref="AM118:AN118" si="471">CONCATENATE("&lt;/li&gt;&lt;li&gt;&lt;a href=|http://",AM1191,"/numbers/1.htm","| ","title=|",AM1190,"| target=|_top|&gt;",AM1192,"&lt;/a&gt;")</f>
        <v>&lt;/li&gt;&lt;li&gt;&lt;a href=|http://basicenglishbible.com/numbers/1.htm| title=|Bible in Basic English| target=|_top|&gt;BBE&lt;/a&gt;</v>
      </c>
      <c r="AN118" t="str">
        <f t="shared" si="471"/>
        <v>&lt;/li&gt;&lt;li&gt;&lt;a href=|http://darbybible.com/numbers/1.htm| title=|Darby Bible Translation| target=|_top|&gt;DBY&lt;/a&gt;</v>
      </c>
      <c r="AO11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1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1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18" t="str">
        <f>CONCATENATE("&lt;/li&gt;&lt;li&gt;&lt;a href=|http://",AR1191,"/numbers/1.htm","| ","title=|",AR1190,"| target=|_top|&gt;",AR1192,"&lt;/a&gt;")</f>
        <v>&lt;/li&gt;&lt;li&gt;&lt;a href=|http://websterbible.com/numbers/1.htm| title=|Webster's Bible Translation| target=|_top|&gt;WBS&lt;/a&gt;</v>
      </c>
      <c r="AS11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18" t="str">
        <f>CONCATENATE("&lt;/li&gt;&lt;li&gt;&lt;a href=|http://",AT1191,"/numbers/1-1.htm","| ","title=|",AT1190,"| target=|_top|&gt;",AT1192,"&lt;/a&gt;")</f>
        <v>&lt;/li&gt;&lt;li&gt;&lt;a href=|http://biblebrowser.com/numbers/1-1.htm| title=|Split View| target=|_top|&gt;Split&lt;/a&gt;</v>
      </c>
      <c r="AU118" s="2" t="s">
        <v>1276</v>
      </c>
      <c r="AV118" t="s">
        <v>64</v>
      </c>
    </row>
    <row r="119" spans="1:48">
      <c r="A119" t="s">
        <v>622</v>
      </c>
      <c r="B119" t="s">
        <v>172</v>
      </c>
      <c r="C119" t="s">
        <v>624</v>
      </c>
      <c r="D119" t="s">
        <v>1268</v>
      </c>
      <c r="E119" t="s">
        <v>1277</v>
      </c>
      <c r="F119" t="s">
        <v>1304</v>
      </c>
      <c r="G119" t="s">
        <v>1266</v>
      </c>
      <c r="H119" t="s">
        <v>1305</v>
      </c>
      <c r="I119" t="s">
        <v>1303</v>
      </c>
      <c r="J119" t="s">
        <v>1267</v>
      </c>
      <c r="K119" t="s">
        <v>1275</v>
      </c>
      <c r="L119" s="2" t="s">
        <v>1274</v>
      </c>
      <c r="M119" t="str">
        <f t="shared" ref="M119:AB119" si="472">CONCATENATE("&lt;/li&gt;&lt;li&gt;&lt;a href=|http://",M1191,"/numbers/2.htm","| ","title=|",M1190,"| target=|_top|&gt;",M1192,"&lt;/a&gt;")</f>
        <v>&lt;/li&gt;&lt;li&gt;&lt;a href=|http://niv.scripturetext.com/numbers/2.htm| title=|New International Version| target=|_top|&gt;NIV&lt;/a&gt;</v>
      </c>
      <c r="N119" t="str">
        <f t="shared" si="472"/>
        <v>&lt;/li&gt;&lt;li&gt;&lt;a href=|http://nlt.scripturetext.com/numbers/2.htm| title=|New Living Translation| target=|_top|&gt;NLT&lt;/a&gt;</v>
      </c>
      <c r="O119" t="str">
        <f t="shared" si="472"/>
        <v>&lt;/li&gt;&lt;li&gt;&lt;a href=|http://nasb.scripturetext.com/numbers/2.htm| title=|New American Standard Bible| target=|_top|&gt;NAS&lt;/a&gt;</v>
      </c>
      <c r="P119" t="str">
        <f t="shared" si="472"/>
        <v>&lt;/li&gt;&lt;li&gt;&lt;a href=|http://gwt.scripturetext.com/numbers/2.htm| title=|God's Word Translation| target=|_top|&gt;GWT&lt;/a&gt;</v>
      </c>
      <c r="Q119" t="str">
        <f t="shared" si="472"/>
        <v>&lt;/li&gt;&lt;li&gt;&lt;a href=|http://kingjbible.com/numbers/2.htm| title=|King James Bible| target=|_top|&gt;KJV&lt;/a&gt;</v>
      </c>
      <c r="R119" t="str">
        <f t="shared" si="472"/>
        <v>&lt;/li&gt;&lt;li&gt;&lt;a href=|http://asvbible.com/numbers/2.htm| title=|American Standard Version| target=|_top|&gt;ASV&lt;/a&gt;</v>
      </c>
      <c r="S119" t="str">
        <f t="shared" si="472"/>
        <v>&lt;/li&gt;&lt;li&gt;&lt;a href=|http://drb.scripturetext.com/numbers/2.htm| title=|Douay-Rheims Bible| target=|_top|&gt;DRB&lt;/a&gt;</v>
      </c>
      <c r="T119" t="str">
        <f t="shared" si="472"/>
        <v>&lt;/li&gt;&lt;li&gt;&lt;a href=|http://erv.scripturetext.com/numbers/2.htm| title=|English Revised Version| target=|_top|&gt;ERV&lt;/a&gt;</v>
      </c>
      <c r="V119" t="str">
        <f>CONCATENATE("&lt;/li&gt;&lt;li&gt;&lt;a href=|http://",V1191,"/numbers/2.htm","| ","title=|",V1190,"| target=|_top|&gt;",V1192,"&lt;/a&gt;")</f>
        <v>&lt;/li&gt;&lt;li&gt;&lt;a href=|http://study.interlinearbible.org/numbers/2.htm| title=|Hebrew Study Bible| target=|_top|&gt;Heb Study&lt;/a&gt;</v>
      </c>
      <c r="W119" t="str">
        <f t="shared" si="472"/>
        <v>&lt;/li&gt;&lt;li&gt;&lt;a href=|http://apostolic.interlinearbible.org/numbers/2.htm| title=|Apostolic Bible Polyglot Interlinear| target=|_top|&gt;Polyglot&lt;/a&gt;</v>
      </c>
      <c r="X119" t="str">
        <f t="shared" si="472"/>
        <v>&lt;/li&gt;&lt;li&gt;&lt;a href=|http://interlinearbible.org/numbers/2.htm| title=|Interlinear Bible| target=|_top|&gt;Interlin&lt;/a&gt;</v>
      </c>
      <c r="Y119" t="str">
        <f t="shared" ref="Y119" si="473">CONCATENATE("&lt;/li&gt;&lt;li&gt;&lt;a href=|http://",Y1191,"/numbers/2.htm","| ","title=|",Y1190,"| target=|_top|&gt;",Y1192,"&lt;/a&gt;")</f>
        <v>&lt;/li&gt;&lt;li&gt;&lt;a href=|http://bibleoutline.org/numbers/2.htm| title=|Outline with People and Places List| target=|_top|&gt;Outline&lt;/a&gt;</v>
      </c>
      <c r="Z119" t="str">
        <f t="shared" si="472"/>
        <v>&lt;/li&gt;&lt;li&gt;&lt;a href=|http://kjvs.scripturetext.com/numbers/2.htm| title=|King James Bible with Strong's Numbers| target=|_top|&gt;Strong's&lt;/a&gt;</v>
      </c>
      <c r="AA119" t="str">
        <f t="shared" si="472"/>
        <v>&lt;/li&gt;&lt;li&gt;&lt;a href=|http://childrensbibleonline.com/numbers/2.htm| title=|The Children's Bible| target=|_top|&gt;Children's&lt;/a&gt;</v>
      </c>
      <c r="AB119" s="2" t="str">
        <f t="shared" si="472"/>
        <v>&lt;/li&gt;&lt;li&gt;&lt;a href=|http://tsk.scripturetext.com/numbers/2.htm| title=|Treasury of Scripture Knowledge| target=|_top|&gt;TSK&lt;/a&gt;</v>
      </c>
      <c r="AC119" t="str">
        <f>CONCATENATE("&lt;a href=|http://",AC1191,"/numbers/2.htm","| ","title=|",AC1190,"| target=|_top|&gt;",AC1192,"&lt;/a&gt;")</f>
        <v>&lt;a href=|http://parallelbible.com/numbers/2.htm| title=|Parallel Chapters| target=|_top|&gt;PAR&lt;/a&gt;</v>
      </c>
      <c r="AD119" s="2" t="str">
        <f t="shared" ref="AD119:AK119" si="474">CONCATENATE("&lt;/li&gt;&lt;li&gt;&lt;a href=|http://",AD1191,"/numbers/2.htm","| ","title=|",AD1190,"| target=|_top|&gt;",AD1192,"&lt;/a&gt;")</f>
        <v>&lt;/li&gt;&lt;li&gt;&lt;a href=|http://gsb.biblecommenter.com/numbers/2.htm| title=|Geneva Study Bible| target=|_top|&gt;GSB&lt;/a&gt;</v>
      </c>
      <c r="AE119" s="2" t="str">
        <f t="shared" si="474"/>
        <v>&lt;/li&gt;&lt;li&gt;&lt;a href=|http://jfb.biblecommenter.com/numbers/2.htm| title=|Jamieson-Fausset-Brown Bible Commentary| target=|_top|&gt;JFB&lt;/a&gt;</v>
      </c>
      <c r="AF119" s="2" t="str">
        <f t="shared" si="474"/>
        <v>&lt;/li&gt;&lt;li&gt;&lt;a href=|http://kjt.biblecommenter.com/numbers/2.htm| title=|King James Translators' Notes| target=|_top|&gt;KJT&lt;/a&gt;</v>
      </c>
      <c r="AG119" s="2" t="str">
        <f t="shared" si="474"/>
        <v>&lt;/li&gt;&lt;li&gt;&lt;a href=|http://mhc.biblecommenter.com/numbers/2.htm| title=|Matthew Henry's Concise Commentary| target=|_top|&gt;MHC&lt;/a&gt;</v>
      </c>
      <c r="AH119" s="2" t="str">
        <f t="shared" si="474"/>
        <v>&lt;/li&gt;&lt;li&gt;&lt;a href=|http://sco.biblecommenter.com/numbers/2.htm| title=|Scofield Reference Notes| target=|_top|&gt;SCO&lt;/a&gt;</v>
      </c>
      <c r="AI119" s="2" t="str">
        <f t="shared" si="474"/>
        <v>&lt;/li&gt;&lt;li&gt;&lt;a href=|http://wes.biblecommenter.com/numbers/2.htm| title=|Wesley's Notes on the Bible| target=|_top|&gt;WES&lt;/a&gt;</v>
      </c>
      <c r="AJ119" t="str">
        <f t="shared" si="474"/>
        <v>&lt;/li&gt;&lt;li&gt;&lt;a href=|http://worldebible.com/numbers/2.htm| title=|World English Bible| target=|_top|&gt;WEB&lt;/a&gt;</v>
      </c>
      <c r="AK119" t="str">
        <f t="shared" si="474"/>
        <v>&lt;/li&gt;&lt;li&gt;&lt;a href=|http://yltbible.com/numbers/2.htm| title=|Young's Literal Translation| target=|_top|&gt;YLT&lt;/a&gt;</v>
      </c>
      <c r="AL119" t="str">
        <f>CONCATENATE("&lt;a href=|http://",AL1191,"/numbers/2.htm","| ","title=|",AL1190,"| target=|_top|&gt;",AL1192,"&lt;/a&gt;")</f>
        <v>&lt;a href=|http://kjv.us/numbers/2.htm| title=|American King James Version| target=|_top|&gt;AKJ&lt;/a&gt;</v>
      </c>
      <c r="AM119" t="str">
        <f t="shared" ref="AM119:AN119" si="475">CONCATENATE("&lt;/li&gt;&lt;li&gt;&lt;a href=|http://",AM1191,"/numbers/2.htm","| ","title=|",AM1190,"| target=|_top|&gt;",AM1192,"&lt;/a&gt;")</f>
        <v>&lt;/li&gt;&lt;li&gt;&lt;a href=|http://basicenglishbible.com/numbers/2.htm| title=|Bible in Basic English| target=|_top|&gt;BBE&lt;/a&gt;</v>
      </c>
      <c r="AN119" t="str">
        <f t="shared" si="475"/>
        <v>&lt;/li&gt;&lt;li&gt;&lt;a href=|http://darbybible.com/numbers/2.htm| title=|Darby Bible Translation| target=|_top|&gt;DBY&lt;/a&gt;</v>
      </c>
      <c r="AO11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1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1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19" t="str">
        <f>CONCATENATE("&lt;/li&gt;&lt;li&gt;&lt;a href=|http://",AR1191,"/numbers/2.htm","| ","title=|",AR1190,"| target=|_top|&gt;",AR1192,"&lt;/a&gt;")</f>
        <v>&lt;/li&gt;&lt;li&gt;&lt;a href=|http://websterbible.com/numbers/2.htm| title=|Webster's Bible Translation| target=|_top|&gt;WBS&lt;/a&gt;</v>
      </c>
      <c r="AS11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19" t="str">
        <f>CONCATENATE("&lt;/li&gt;&lt;li&gt;&lt;a href=|http://",AT1191,"/numbers/2-1.htm","| ","title=|",AT1190,"| target=|_top|&gt;",AT1192,"&lt;/a&gt;")</f>
        <v>&lt;/li&gt;&lt;li&gt;&lt;a href=|http://biblebrowser.com/numbers/2-1.htm| title=|Split View| target=|_top|&gt;Split&lt;/a&gt;</v>
      </c>
      <c r="AU119" s="2" t="s">
        <v>1276</v>
      </c>
      <c r="AV119" t="s">
        <v>64</v>
      </c>
    </row>
    <row r="120" spans="1:48">
      <c r="A120" t="s">
        <v>622</v>
      </c>
      <c r="B120" t="s">
        <v>173</v>
      </c>
      <c r="C120" t="s">
        <v>624</v>
      </c>
      <c r="D120" t="s">
        <v>1268</v>
      </c>
      <c r="E120" t="s">
        <v>1277</v>
      </c>
      <c r="F120" t="s">
        <v>1304</v>
      </c>
      <c r="G120" t="s">
        <v>1266</v>
      </c>
      <c r="H120" t="s">
        <v>1305</v>
      </c>
      <c r="I120" t="s">
        <v>1303</v>
      </c>
      <c r="J120" t="s">
        <v>1267</v>
      </c>
      <c r="K120" t="s">
        <v>1275</v>
      </c>
      <c r="L120" s="2" t="s">
        <v>1274</v>
      </c>
      <c r="M120" t="str">
        <f t="shared" ref="M120:AB120" si="476">CONCATENATE("&lt;/li&gt;&lt;li&gt;&lt;a href=|http://",M1191,"/numbers/3.htm","| ","title=|",M1190,"| target=|_top|&gt;",M1192,"&lt;/a&gt;")</f>
        <v>&lt;/li&gt;&lt;li&gt;&lt;a href=|http://niv.scripturetext.com/numbers/3.htm| title=|New International Version| target=|_top|&gt;NIV&lt;/a&gt;</v>
      </c>
      <c r="N120" t="str">
        <f t="shared" si="476"/>
        <v>&lt;/li&gt;&lt;li&gt;&lt;a href=|http://nlt.scripturetext.com/numbers/3.htm| title=|New Living Translation| target=|_top|&gt;NLT&lt;/a&gt;</v>
      </c>
      <c r="O120" t="str">
        <f t="shared" si="476"/>
        <v>&lt;/li&gt;&lt;li&gt;&lt;a href=|http://nasb.scripturetext.com/numbers/3.htm| title=|New American Standard Bible| target=|_top|&gt;NAS&lt;/a&gt;</v>
      </c>
      <c r="P120" t="str">
        <f t="shared" si="476"/>
        <v>&lt;/li&gt;&lt;li&gt;&lt;a href=|http://gwt.scripturetext.com/numbers/3.htm| title=|God's Word Translation| target=|_top|&gt;GWT&lt;/a&gt;</v>
      </c>
      <c r="Q120" t="str">
        <f t="shared" si="476"/>
        <v>&lt;/li&gt;&lt;li&gt;&lt;a href=|http://kingjbible.com/numbers/3.htm| title=|King James Bible| target=|_top|&gt;KJV&lt;/a&gt;</v>
      </c>
      <c r="R120" t="str">
        <f t="shared" si="476"/>
        <v>&lt;/li&gt;&lt;li&gt;&lt;a href=|http://asvbible.com/numbers/3.htm| title=|American Standard Version| target=|_top|&gt;ASV&lt;/a&gt;</v>
      </c>
      <c r="S120" t="str">
        <f t="shared" si="476"/>
        <v>&lt;/li&gt;&lt;li&gt;&lt;a href=|http://drb.scripturetext.com/numbers/3.htm| title=|Douay-Rheims Bible| target=|_top|&gt;DRB&lt;/a&gt;</v>
      </c>
      <c r="T120" t="str">
        <f t="shared" si="476"/>
        <v>&lt;/li&gt;&lt;li&gt;&lt;a href=|http://erv.scripturetext.com/numbers/3.htm| title=|English Revised Version| target=|_top|&gt;ERV&lt;/a&gt;</v>
      </c>
      <c r="V120" t="str">
        <f>CONCATENATE("&lt;/li&gt;&lt;li&gt;&lt;a href=|http://",V1191,"/numbers/3.htm","| ","title=|",V1190,"| target=|_top|&gt;",V1192,"&lt;/a&gt;")</f>
        <v>&lt;/li&gt;&lt;li&gt;&lt;a href=|http://study.interlinearbible.org/numbers/3.htm| title=|Hebrew Study Bible| target=|_top|&gt;Heb Study&lt;/a&gt;</v>
      </c>
      <c r="W120" t="str">
        <f t="shared" si="476"/>
        <v>&lt;/li&gt;&lt;li&gt;&lt;a href=|http://apostolic.interlinearbible.org/numbers/3.htm| title=|Apostolic Bible Polyglot Interlinear| target=|_top|&gt;Polyglot&lt;/a&gt;</v>
      </c>
      <c r="X120" t="str">
        <f t="shared" si="476"/>
        <v>&lt;/li&gt;&lt;li&gt;&lt;a href=|http://interlinearbible.org/numbers/3.htm| title=|Interlinear Bible| target=|_top|&gt;Interlin&lt;/a&gt;</v>
      </c>
      <c r="Y120" t="str">
        <f t="shared" ref="Y120" si="477">CONCATENATE("&lt;/li&gt;&lt;li&gt;&lt;a href=|http://",Y1191,"/numbers/3.htm","| ","title=|",Y1190,"| target=|_top|&gt;",Y1192,"&lt;/a&gt;")</f>
        <v>&lt;/li&gt;&lt;li&gt;&lt;a href=|http://bibleoutline.org/numbers/3.htm| title=|Outline with People and Places List| target=|_top|&gt;Outline&lt;/a&gt;</v>
      </c>
      <c r="Z120" t="str">
        <f t="shared" si="476"/>
        <v>&lt;/li&gt;&lt;li&gt;&lt;a href=|http://kjvs.scripturetext.com/numbers/3.htm| title=|King James Bible with Strong's Numbers| target=|_top|&gt;Strong's&lt;/a&gt;</v>
      </c>
      <c r="AA120" t="str">
        <f t="shared" si="476"/>
        <v>&lt;/li&gt;&lt;li&gt;&lt;a href=|http://childrensbibleonline.com/numbers/3.htm| title=|The Children's Bible| target=|_top|&gt;Children's&lt;/a&gt;</v>
      </c>
      <c r="AB120" s="2" t="str">
        <f t="shared" si="476"/>
        <v>&lt;/li&gt;&lt;li&gt;&lt;a href=|http://tsk.scripturetext.com/numbers/3.htm| title=|Treasury of Scripture Knowledge| target=|_top|&gt;TSK&lt;/a&gt;</v>
      </c>
      <c r="AC120" t="str">
        <f>CONCATENATE("&lt;a href=|http://",AC1191,"/numbers/3.htm","| ","title=|",AC1190,"| target=|_top|&gt;",AC1192,"&lt;/a&gt;")</f>
        <v>&lt;a href=|http://parallelbible.com/numbers/3.htm| title=|Parallel Chapters| target=|_top|&gt;PAR&lt;/a&gt;</v>
      </c>
      <c r="AD120" s="2" t="str">
        <f t="shared" ref="AD120:AK120" si="478">CONCATENATE("&lt;/li&gt;&lt;li&gt;&lt;a href=|http://",AD1191,"/numbers/3.htm","| ","title=|",AD1190,"| target=|_top|&gt;",AD1192,"&lt;/a&gt;")</f>
        <v>&lt;/li&gt;&lt;li&gt;&lt;a href=|http://gsb.biblecommenter.com/numbers/3.htm| title=|Geneva Study Bible| target=|_top|&gt;GSB&lt;/a&gt;</v>
      </c>
      <c r="AE120" s="2" t="str">
        <f t="shared" si="478"/>
        <v>&lt;/li&gt;&lt;li&gt;&lt;a href=|http://jfb.biblecommenter.com/numbers/3.htm| title=|Jamieson-Fausset-Brown Bible Commentary| target=|_top|&gt;JFB&lt;/a&gt;</v>
      </c>
      <c r="AF120" s="2" t="str">
        <f t="shared" si="478"/>
        <v>&lt;/li&gt;&lt;li&gt;&lt;a href=|http://kjt.biblecommenter.com/numbers/3.htm| title=|King James Translators' Notes| target=|_top|&gt;KJT&lt;/a&gt;</v>
      </c>
      <c r="AG120" s="2" t="str">
        <f t="shared" si="478"/>
        <v>&lt;/li&gt;&lt;li&gt;&lt;a href=|http://mhc.biblecommenter.com/numbers/3.htm| title=|Matthew Henry's Concise Commentary| target=|_top|&gt;MHC&lt;/a&gt;</v>
      </c>
      <c r="AH120" s="2" t="str">
        <f t="shared" si="478"/>
        <v>&lt;/li&gt;&lt;li&gt;&lt;a href=|http://sco.biblecommenter.com/numbers/3.htm| title=|Scofield Reference Notes| target=|_top|&gt;SCO&lt;/a&gt;</v>
      </c>
      <c r="AI120" s="2" t="str">
        <f t="shared" si="478"/>
        <v>&lt;/li&gt;&lt;li&gt;&lt;a href=|http://wes.biblecommenter.com/numbers/3.htm| title=|Wesley's Notes on the Bible| target=|_top|&gt;WES&lt;/a&gt;</v>
      </c>
      <c r="AJ120" t="str">
        <f t="shared" si="478"/>
        <v>&lt;/li&gt;&lt;li&gt;&lt;a href=|http://worldebible.com/numbers/3.htm| title=|World English Bible| target=|_top|&gt;WEB&lt;/a&gt;</v>
      </c>
      <c r="AK120" t="str">
        <f t="shared" si="478"/>
        <v>&lt;/li&gt;&lt;li&gt;&lt;a href=|http://yltbible.com/numbers/3.htm| title=|Young's Literal Translation| target=|_top|&gt;YLT&lt;/a&gt;</v>
      </c>
      <c r="AL120" t="str">
        <f>CONCATENATE("&lt;a href=|http://",AL1191,"/numbers/3.htm","| ","title=|",AL1190,"| target=|_top|&gt;",AL1192,"&lt;/a&gt;")</f>
        <v>&lt;a href=|http://kjv.us/numbers/3.htm| title=|American King James Version| target=|_top|&gt;AKJ&lt;/a&gt;</v>
      </c>
      <c r="AM120" t="str">
        <f t="shared" ref="AM120:AN120" si="479">CONCATENATE("&lt;/li&gt;&lt;li&gt;&lt;a href=|http://",AM1191,"/numbers/3.htm","| ","title=|",AM1190,"| target=|_top|&gt;",AM1192,"&lt;/a&gt;")</f>
        <v>&lt;/li&gt;&lt;li&gt;&lt;a href=|http://basicenglishbible.com/numbers/3.htm| title=|Bible in Basic English| target=|_top|&gt;BBE&lt;/a&gt;</v>
      </c>
      <c r="AN120" t="str">
        <f t="shared" si="479"/>
        <v>&lt;/li&gt;&lt;li&gt;&lt;a href=|http://darbybible.com/numbers/3.htm| title=|Darby Bible Translation| target=|_top|&gt;DBY&lt;/a&gt;</v>
      </c>
      <c r="AO12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2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2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20" t="str">
        <f>CONCATENATE("&lt;/li&gt;&lt;li&gt;&lt;a href=|http://",AR1191,"/numbers/3.htm","| ","title=|",AR1190,"| target=|_top|&gt;",AR1192,"&lt;/a&gt;")</f>
        <v>&lt;/li&gt;&lt;li&gt;&lt;a href=|http://websterbible.com/numbers/3.htm| title=|Webster's Bible Translation| target=|_top|&gt;WBS&lt;/a&gt;</v>
      </c>
      <c r="AS12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20" t="str">
        <f>CONCATENATE("&lt;/li&gt;&lt;li&gt;&lt;a href=|http://",AT1191,"/numbers/3-1.htm","| ","title=|",AT1190,"| target=|_top|&gt;",AT1192,"&lt;/a&gt;")</f>
        <v>&lt;/li&gt;&lt;li&gt;&lt;a href=|http://biblebrowser.com/numbers/3-1.htm| title=|Split View| target=|_top|&gt;Split&lt;/a&gt;</v>
      </c>
      <c r="AU120" s="2" t="s">
        <v>1276</v>
      </c>
      <c r="AV120" t="s">
        <v>64</v>
      </c>
    </row>
    <row r="121" spans="1:48">
      <c r="A121" t="s">
        <v>622</v>
      </c>
      <c r="B121" t="s">
        <v>174</v>
      </c>
      <c r="C121" t="s">
        <v>624</v>
      </c>
      <c r="D121" t="s">
        <v>1268</v>
      </c>
      <c r="E121" t="s">
        <v>1277</v>
      </c>
      <c r="F121" t="s">
        <v>1304</v>
      </c>
      <c r="G121" t="s">
        <v>1266</v>
      </c>
      <c r="H121" t="s">
        <v>1305</v>
      </c>
      <c r="I121" t="s">
        <v>1303</v>
      </c>
      <c r="J121" t="s">
        <v>1267</v>
      </c>
      <c r="K121" t="s">
        <v>1275</v>
      </c>
      <c r="L121" s="2" t="s">
        <v>1274</v>
      </c>
      <c r="M121" t="str">
        <f t="shared" ref="M121:AB121" si="480">CONCATENATE("&lt;/li&gt;&lt;li&gt;&lt;a href=|http://",M1191,"/numbers/4.htm","| ","title=|",M1190,"| target=|_top|&gt;",M1192,"&lt;/a&gt;")</f>
        <v>&lt;/li&gt;&lt;li&gt;&lt;a href=|http://niv.scripturetext.com/numbers/4.htm| title=|New International Version| target=|_top|&gt;NIV&lt;/a&gt;</v>
      </c>
      <c r="N121" t="str">
        <f t="shared" si="480"/>
        <v>&lt;/li&gt;&lt;li&gt;&lt;a href=|http://nlt.scripturetext.com/numbers/4.htm| title=|New Living Translation| target=|_top|&gt;NLT&lt;/a&gt;</v>
      </c>
      <c r="O121" t="str">
        <f t="shared" si="480"/>
        <v>&lt;/li&gt;&lt;li&gt;&lt;a href=|http://nasb.scripturetext.com/numbers/4.htm| title=|New American Standard Bible| target=|_top|&gt;NAS&lt;/a&gt;</v>
      </c>
      <c r="P121" t="str">
        <f t="shared" si="480"/>
        <v>&lt;/li&gt;&lt;li&gt;&lt;a href=|http://gwt.scripturetext.com/numbers/4.htm| title=|God's Word Translation| target=|_top|&gt;GWT&lt;/a&gt;</v>
      </c>
      <c r="Q121" t="str">
        <f t="shared" si="480"/>
        <v>&lt;/li&gt;&lt;li&gt;&lt;a href=|http://kingjbible.com/numbers/4.htm| title=|King James Bible| target=|_top|&gt;KJV&lt;/a&gt;</v>
      </c>
      <c r="R121" t="str">
        <f t="shared" si="480"/>
        <v>&lt;/li&gt;&lt;li&gt;&lt;a href=|http://asvbible.com/numbers/4.htm| title=|American Standard Version| target=|_top|&gt;ASV&lt;/a&gt;</v>
      </c>
      <c r="S121" t="str">
        <f t="shared" si="480"/>
        <v>&lt;/li&gt;&lt;li&gt;&lt;a href=|http://drb.scripturetext.com/numbers/4.htm| title=|Douay-Rheims Bible| target=|_top|&gt;DRB&lt;/a&gt;</v>
      </c>
      <c r="T121" t="str">
        <f t="shared" si="480"/>
        <v>&lt;/li&gt;&lt;li&gt;&lt;a href=|http://erv.scripturetext.com/numbers/4.htm| title=|English Revised Version| target=|_top|&gt;ERV&lt;/a&gt;</v>
      </c>
      <c r="V121" t="str">
        <f>CONCATENATE("&lt;/li&gt;&lt;li&gt;&lt;a href=|http://",V1191,"/numbers/4.htm","| ","title=|",V1190,"| target=|_top|&gt;",V1192,"&lt;/a&gt;")</f>
        <v>&lt;/li&gt;&lt;li&gt;&lt;a href=|http://study.interlinearbible.org/numbers/4.htm| title=|Hebrew Study Bible| target=|_top|&gt;Heb Study&lt;/a&gt;</v>
      </c>
      <c r="W121" t="str">
        <f t="shared" si="480"/>
        <v>&lt;/li&gt;&lt;li&gt;&lt;a href=|http://apostolic.interlinearbible.org/numbers/4.htm| title=|Apostolic Bible Polyglot Interlinear| target=|_top|&gt;Polyglot&lt;/a&gt;</v>
      </c>
      <c r="X121" t="str">
        <f t="shared" si="480"/>
        <v>&lt;/li&gt;&lt;li&gt;&lt;a href=|http://interlinearbible.org/numbers/4.htm| title=|Interlinear Bible| target=|_top|&gt;Interlin&lt;/a&gt;</v>
      </c>
      <c r="Y121" t="str">
        <f t="shared" ref="Y121" si="481">CONCATENATE("&lt;/li&gt;&lt;li&gt;&lt;a href=|http://",Y1191,"/numbers/4.htm","| ","title=|",Y1190,"| target=|_top|&gt;",Y1192,"&lt;/a&gt;")</f>
        <v>&lt;/li&gt;&lt;li&gt;&lt;a href=|http://bibleoutline.org/numbers/4.htm| title=|Outline with People and Places List| target=|_top|&gt;Outline&lt;/a&gt;</v>
      </c>
      <c r="Z121" t="str">
        <f t="shared" si="480"/>
        <v>&lt;/li&gt;&lt;li&gt;&lt;a href=|http://kjvs.scripturetext.com/numbers/4.htm| title=|King James Bible with Strong's Numbers| target=|_top|&gt;Strong's&lt;/a&gt;</v>
      </c>
      <c r="AA121" t="str">
        <f t="shared" si="480"/>
        <v>&lt;/li&gt;&lt;li&gt;&lt;a href=|http://childrensbibleonline.com/numbers/4.htm| title=|The Children's Bible| target=|_top|&gt;Children's&lt;/a&gt;</v>
      </c>
      <c r="AB121" s="2" t="str">
        <f t="shared" si="480"/>
        <v>&lt;/li&gt;&lt;li&gt;&lt;a href=|http://tsk.scripturetext.com/numbers/4.htm| title=|Treasury of Scripture Knowledge| target=|_top|&gt;TSK&lt;/a&gt;</v>
      </c>
      <c r="AC121" t="str">
        <f>CONCATENATE("&lt;a href=|http://",AC1191,"/numbers/4.htm","| ","title=|",AC1190,"| target=|_top|&gt;",AC1192,"&lt;/a&gt;")</f>
        <v>&lt;a href=|http://parallelbible.com/numbers/4.htm| title=|Parallel Chapters| target=|_top|&gt;PAR&lt;/a&gt;</v>
      </c>
      <c r="AD121" s="2" t="str">
        <f t="shared" ref="AD121:AK121" si="482">CONCATENATE("&lt;/li&gt;&lt;li&gt;&lt;a href=|http://",AD1191,"/numbers/4.htm","| ","title=|",AD1190,"| target=|_top|&gt;",AD1192,"&lt;/a&gt;")</f>
        <v>&lt;/li&gt;&lt;li&gt;&lt;a href=|http://gsb.biblecommenter.com/numbers/4.htm| title=|Geneva Study Bible| target=|_top|&gt;GSB&lt;/a&gt;</v>
      </c>
      <c r="AE121" s="2" t="str">
        <f t="shared" si="482"/>
        <v>&lt;/li&gt;&lt;li&gt;&lt;a href=|http://jfb.biblecommenter.com/numbers/4.htm| title=|Jamieson-Fausset-Brown Bible Commentary| target=|_top|&gt;JFB&lt;/a&gt;</v>
      </c>
      <c r="AF121" s="2" t="str">
        <f t="shared" si="482"/>
        <v>&lt;/li&gt;&lt;li&gt;&lt;a href=|http://kjt.biblecommenter.com/numbers/4.htm| title=|King James Translators' Notes| target=|_top|&gt;KJT&lt;/a&gt;</v>
      </c>
      <c r="AG121" s="2" t="str">
        <f t="shared" si="482"/>
        <v>&lt;/li&gt;&lt;li&gt;&lt;a href=|http://mhc.biblecommenter.com/numbers/4.htm| title=|Matthew Henry's Concise Commentary| target=|_top|&gt;MHC&lt;/a&gt;</v>
      </c>
      <c r="AH121" s="2" t="str">
        <f t="shared" si="482"/>
        <v>&lt;/li&gt;&lt;li&gt;&lt;a href=|http://sco.biblecommenter.com/numbers/4.htm| title=|Scofield Reference Notes| target=|_top|&gt;SCO&lt;/a&gt;</v>
      </c>
      <c r="AI121" s="2" t="str">
        <f t="shared" si="482"/>
        <v>&lt;/li&gt;&lt;li&gt;&lt;a href=|http://wes.biblecommenter.com/numbers/4.htm| title=|Wesley's Notes on the Bible| target=|_top|&gt;WES&lt;/a&gt;</v>
      </c>
      <c r="AJ121" t="str">
        <f t="shared" si="482"/>
        <v>&lt;/li&gt;&lt;li&gt;&lt;a href=|http://worldebible.com/numbers/4.htm| title=|World English Bible| target=|_top|&gt;WEB&lt;/a&gt;</v>
      </c>
      <c r="AK121" t="str">
        <f t="shared" si="482"/>
        <v>&lt;/li&gt;&lt;li&gt;&lt;a href=|http://yltbible.com/numbers/4.htm| title=|Young's Literal Translation| target=|_top|&gt;YLT&lt;/a&gt;</v>
      </c>
      <c r="AL121" t="str">
        <f>CONCATENATE("&lt;a href=|http://",AL1191,"/numbers/4.htm","| ","title=|",AL1190,"| target=|_top|&gt;",AL1192,"&lt;/a&gt;")</f>
        <v>&lt;a href=|http://kjv.us/numbers/4.htm| title=|American King James Version| target=|_top|&gt;AKJ&lt;/a&gt;</v>
      </c>
      <c r="AM121" t="str">
        <f t="shared" ref="AM121:AN121" si="483">CONCATENATE("&lt;/li&gt;&lt;li&gt;&lt;a href=|http://",AM1191,"/numbers/4.htm","| ","title=|",AM1190,"| target=|_top|&gt;",AM1192,"&lt;/a&gt;")</f>
        <v>&lt;/li&gt;&lt;li&gt;&lt;a href=|http://basicenglishbible.com/numbers/4.htm| title=|Bible in Basic English| target=|_top|&gt;BBE&lt;/a&gt;</v>
      </c>
      <c r="AN121" t="str">
        <f t="shared" si="483"/>
        <v>&lt;/li&gt;&lt;li&gt;&lt;a href=|http://darbybible.com/numbers/4.htm| title=|Darby Bible Translation| target=|_top|&gt;DBY&lt;/a&gt;</v>
      </c>
      <c r="AO12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2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2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21" t="str">
        <f>CONCATENATE("&lt;/li&gt;&lt;li&gt;&lt;a href=|http://",AR1191,"/numbers/4.htm","| ","title=|",AR1190,"| target=|_top|&gt;",AR1192,"&lt;/a&gt;")</f>
        <v>&lt;/li&gt;&lt;li&gt;&lt;a href=|http://websterbible.com/numbers/4.htm| title=|Webster's Bible Translation| target=|_top|&gt;WBS&lt;/a&gt;</v>
      </c>
      <c r="AS12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21" t="str">
        <f>CONCATENATE("&lt;/li&gt;&lt;li&gt;&lt;a href=|http://",AT1191,"/numbers/4-1.htm","| ","title=|",AT1190,"| target=|_top|&gt;",AT1192,"&lt;/a&gt;")</f>
        <v>&lt;/li&gt;&lt;li&gt;&lt;a href=|http://biblebrowser.com/numbers/4-1.htm| title=|Split View| target=|_top|&gt;Split&lt;/a&gt;</v>
      </c>
      <c r="AU121" s="2" t="s">
        <v>1276</v>
      </c>
      <c r="AV121" t="s">
        <v>64</v>
      </c>
    </row>
    <row r="122" spans="1:48">
      <c r="A122" t="s">
        <v>622</v>
      </c>
      <c r="B122" t="s">
        <v>175</v>
      </c>
      <c r="C122" t="s">
        <v>624</v>
      </c>
      <c r="D122" t="s">
        <v>1268</v>
      </c>
      <c r="E122" t="s">
        <v>1277</v>
      </c>
      <c r="F122" t="s">
        <v>1304</v>
      </c>
      <c r="G122" t="s">
        <v>1266</v>
      </c>
      <c r="H122" t="s">
        <v>1305</v>
      </c>
      <c r="I122" t="s">
        <v>1303</v>
      </c>
      <c r="J122" t="s">
        <v>1267</v>
      </c>
      <c r="K122" t="s">
        <v>1275</v>
      </c>
      <c r="L122" s="2" t="s">
        <v>1274</v>
      </c>
      <c r="M122" t="str">
        <f t="shared" ref="M122:AB122" si="484">CONCATENATE("&lt;/li&gt;&lt;li&gt;&lt;a href=|http://",M1191,"/numbers/5.htm","| ","title=|",M1190,"| target=|_top|&gt;",M1192,"&lt;/a&gt;")</f>
        <v>&lt;/li&gt;&lt;li&gt;&lt;a href=|http://niv.scripturetext.com/numbers/5.htm| title=|New International Version| target=|_top|&gt;NIV&lt;/a&gt;</v>
      </c>
      <c r="N122" t="str">
        <f t="shared" si="484"/>
        <v>&lt;/li&gt;&lt;li&gt;&lt;a href=|http://nlt.scripturetext.com/numbers/5.htm| title=|New Living Translation| target=|_top|&gt;NLT&lt;/a&gt;</v>
      </c>
      <c r="O122" t="str">
        <f t="shared" si="484"/>
        <v>&lt;/li&gt;&lt;li&gt;&lt;a href=|http://nasb.scripturetext.com/numbers/5.htm| title=|New American Standard Bible| target=|_top|&gt;NAS&lt;/a&gt;</v>
      </c>
      <c r="P122" t="str">
        <f t="shared" si="484"/>
        <v>&lt;/li&gt;&lt;li&gt;&lt;a href=|http://gwt.scripturetext.com/numbers/5.htm| title=|God's Word Translation| target=|_top|&gt;GWT&lt;/a&gt;</v>
      </c>
      <c r="Q122" t="str">
        <f t="shared" si="484"/>
        <v>&lt;/li&gt;&lt;li&gt;&lt;a href=|http://kingjbible.com/numbers/5.htm| title=|King James Bible| target=|_top|&gt;KJV&lt;/a&gt;</v>
      </c>
      <c r="R122" t="str">
        <f t="shared" si="484"/>
        <v>&lt;/li&gt;&lt;li&gt;&lt;a href=|http://asvbible.com/numbers/5.htm| title=|American Standard Version| target=|_top|&gt;ASV&lt;/a&gt;</v>
      </c>
      <c r="S122" t="str">
        <f t="shared" si="484"/>
        <v>&lt;/li&gt;&lt;li&gt;&lt;a href=|http://drb.scripturetext.com/numbers/5.htm| title=|Douay-Rheims Bible| target=|_top|&gt;DRB&lt;/a&gt;</v>
      </c>
      <c r="T122" t="str">
        <f t="shared" si="484"/>
        <v>&lt;/li&gt;&lt;li&gt;&lt;a href=|http://erv.scripturetext.com/numbers/5.htm| title=|English Revised Version| target=|_top|&gt;ERV&lt;/a&gt;</v>
      </c>
      <c r="V122" t="str">
        <f>CONCATENATE("&lt;/li&gt;&lt;li&gt;&lt;a href=|http://",V1191,"/numbers/5.htm","| ","title=|",V1190,"| target=|_top|&gt;",V1192,"&lt;/a&gt;")</f>
        <v>&lt;/li&gt;&lt;li&gt;&lt;a href=|http://study.interlinearbible.org/numbers/5.htm| title=|Hebrew Study Bible| target=|_top|&gt;Heb Study&lt;/a&gt;</v>
      </c>
      <c r="W122" t="str">
        <f t="shared" si="484"/>
        <v>&lt;/li&gt;&lt;li&gt;&lt;a href=|http://apostolic.interlinearbible.org/numbers/5.htm| title=|Apostolic Bible Polyglot Interlinear| target=|_top|&gt;Polyglot&lt;/a&gt;</v>
      </c>
      <c r="X122" t="str">
        <f t="shared" si="484"/>
        <v>&lt;/li&gt;&lt;li&gt;&lt;a href=|http://interlinearbible.org/numbers/5.htm| title=|Interlinear Bible| target=|_top|&gt;Interlin&lt;/a&gt;</v>
      </c>
      <c r="Y122" t="str">
        <f t="shared" ref="Y122" si="485">CONCATENATE("&lt;/li&gt;&lt;li&gt;&lt;a href=|http://",Y1191,"/numbers/5.htm","| ","title=|",Y1190,"| target=|_top|&gt;",Y1192,"&lt;/a&gt;")</f>
        <v>&lt;/li&gt;&lt;li&gt;&lt;a href=|http://bibleoutline.org/numbers/5.htm| title=|Outline with People and Places List| target=|_top|&gt;Outline&lt;/a&gt;</v>
      </c>
      <c r="Z122" t="str">
        <f t="shared" si="484"/>
        <v>&lt;/li&gt;&lt;li&gt;&lt;a href=|http://kjvs.scripturetext.com/numbers/5.htm| title=|King James Bible with Strong's Numbers| target=|_top|&gt;Strong's&lt;/a&gt;</v>
      </c>
      <c r="AA122" t="str">
        <f t="shared" si="484"/>
        <v>&lt;/li&gt;&lt;li&gt;&lt;a href=|http://childrensbibleonline.com/numbers/5.htm| title=|The Children's Bible| target=|_top|&gt;Children's&lt;/a&gt;</v>
      </c>
      <c r="AB122" s="2" t="str">
        <f t="shared" si="484"/>
        <v>&lt;/li&gt;&lt;li&gt;&lt;a href=|http://tsk.scripturetext.com/numbers/5.htm| title=|Treasury of Scripture Knowledge| target=|_top|&gt;TSK&lt;/a&gt;</v>
      </c>
      <c r="AC122" t="str">
        <f>CONCATENATE("&lt;a href=|http://",AC1191,"/numbers/5.htm","| ","title=|",AC1190,"| target=|_top|&gt;",AC1192,"&lt;/a&gt;")</f>
        <v>&lt;a href=|http://parallelbible.com/numbers/5.htm| title=|Parallel Chapters| target=|_top|&gt;PAR&lt;/a&gt;</v>
      </c>
      <c r="AD122" s="2" t="str">
        <f t="shared" ref="AD122:AK122" si="486">CONCATENATE("&lt;/li&gt;&lt;li&gt;&lt;a href=|http://",AD1191,"/numbers/5.htm","| ","title=|",AD1190,"| target=|_top|&gt;",AD1192,"&lt;/a&gt;")</f>
        <v>&lt;/li&gt;&lt;li&gt;&lt;a href=|http://gsb.biblecommenter.com/numbers/5.htm| title=|Geneva Study Bible| target=|_top|&gt;GSB&lt;/a&gt;</v>
      </c>
      <c r="AE122" s="2" t="str">
        <f t="shared" si="486"/>
        <v>&lt;/li&gt;&lt;li&gt;&lt;a href=|http://jfb.biblecommenter.com/numbers/5.htm| title=|Jamieson-Fausset-Brown Bible Commentary| target=|_top|&gt;JFB&lt;/a&gt;</v>
      </c>
      <c r="AF122" s="2" t="str">
        <f t="shared" si="486"/>
        <v>&lt;/li&gt;&lt;li&gt;&lt;a href=|http://kjt.biblecommenter.com/numbers/5.htm| title=|King James Translators' Notes| target=|_top|&gt;KJT&lt;/a&gt;</v>
      </c>
      <c r="AG122" s="2" t="str">
        <f t="shared" si="486"/>
        <v>&lt;/li&gt;&lt;li&gt;&lt;a href=|http://mhc.biblecommenter.com/numbers/5.htm| title=|Matthew Henry's Concise Commentary| target=|_top|&gt;MHC&lt;/a&gt;</v>
      </c>
      <c r="AH122" s="2" t="str">
        <f t="shared" si="486"/>
        <v>&lt;/li&gt;&lt;li&gt;&lt;a href=|http://sco.biblecommenter.com/numbers/5.htm| title=|Scofield Reference Notes| target=|_top|&gt;SCO&lt;/a&gt;</v>
      </c>
      <c r="AI122" s="2" t="str">
        <f t="shared" si="486"/>
        <v>&lt;/li&gt;&lt;li&gt;&lt;a href=|http://wes.biblecommenter.com/numbers/5.htm| title=|Wesley's Notes on the Bible| target=|_top|&gt;WES&lt;/a&gt;</v>
      </c>
      <c r="AJ122" t="str">
        <f t="shared" si="486"/>
        <v>&lt;/li&gt;&lt;li&gt;&lt;a href=|http://worldebible.com/numbers/5.htm| title=|World English Bible| target=|_top|&gt;WEB&lt;/a&gt;</v>
      </c>
      <c r="AK122" t="str">
        <f t="shared" si="486"/>
        <v>&lt;/li&gt;&lt;li&gt;&lt;a href=|http://yltbible.com/numbers/5.htm| title=|Young's Literal Translation| target=|_top|&gt;YLT&lt;/a&gt;</v>
      </c>
      <c r="AL122" t="str">
        <f>CONCATENATE("&lt;a href=|http://",AL1191,"/numbers/5.htm","| ","title=|",AL1190,"| target=|_top|&gt;",AL1192,"&lt;/a&gt;")</f>
        <v>&lt;a href=|http://kjv.us/numbers/5.htm| title=|American King James Version| target=|_top|&gt;AKJ&lt;/a&gt;</v>
      </c>
      <c r="AM122" t="str">
        <f t="shared" ref="AM122:AN122" si="487">CONCATENATE("&lt;/li&gt;&lt;li&gt;&lt;a href=|http://",AM1191,"/numbers/5.htm","| ","title=|",AM1190,"| target=|_top|&gt;",AM1192,"&lt;/a&gt;")</f>
        <v>&lt;/li&gt;&lt;li&gt;&lt;a href=|http://basicenglishbible.com/numbers/5.htm| title=|Bible in Basic English| target=|_top|&gt;BBE&lt;/a&gt;</v>
      </c>
      <c r="AN122" t="str">
        <f t="shared" si="487"/>
        <v>&lt;/li&gt;&lt;li&gt;&lt;a href=|http://darbybible.com/numbers/5.htm| title=|Darby Bible Translation| target=|_top|&gt;DBY&lt;/a&gt;</v>
      </c>
      <c r="AO12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2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2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22" t="str">
        <f>CONCATENATE("&lt;/li&gt;&lt;li&gt;&lt;a href=|http://",AR1191,"/numbers/5.htm","| ","title=|",AR1190,"| target=|_top|&gt;",AR1192,"&lt;/a&gt;")</f>
        <v>&lt;/li&gt;&lt;li&gt;&lt;a href=|http://websterbible.com/numbers/5.htm| title=|Webster's Bible Translation| target=|_top|&gt;WBS&lt;/a&gt;</v>
      </c>
      <c r="AS12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22" t="str">
        <f>CONCATENATE("&lt;/li&gt;&lt;li&gt;&lt;a href=|http://",AT1191,"/numbers/5-1.htm","| ","title=|",AT1190,"| target=|_top|&gt;",AT1192,"&lt;/a&gt;")</f>
        <v>&lt;/li&gt;&lt;li&gt;&lt;a href=|http://biblebrowser.com/numbers/5-1.htm| title=|Split View| target=|_top|&gt;Split&lt;/a&gt;</v>
      </c>
      <c r="AU122" s="2" t="s">
        <v>1276</v>
      </c>
      <c r="AV122" t="s">
        <v>64</v>
      </c>
    </row>
    <row r="123" spans="1:48">
      <c r="A123" t="s">
        <v>622</v>
      </c>
      <c r="B123" t="s">
        <v>176</v>
      </c>
      <c r="C123" t="s">
        <v>624</v>
      </c>
      <c r="D123" t="s">
        <v>1268</v>
      </c>
      <c r="E123" t="s">
        <v>1277</v>
      </c>
      <c r="F123" t="s">
        <v>1304</v>
      </c>
      <c r="G123" t="s">
        <v>1266</v>
      </c>
      <c r="H123" t="s">
        <v>1305</v>
      </c>
      <c r="I123" t="s">
        <v>1303</v>
      </c>
      <c r="J123" t="s">
        <v>1267</v>
      </c>
      <c r="K123" t="s">
        <v>1275</v>
      </c>
      <c r="L123" s="2" t="s">
        <v>1274</v>
      </c>
      <c r="M123" t="str">
        <f t="shared" ref="M123:AB123" si="488">CONCATENATE("&lt;/li&gt;&lt;li&gt;&lt;a href=|http://",M1191,"/numbers/6.htm","| ","title=|",M1190,"| target=|_top|&gt;",M1192,"&lt;/a&gt;")</f>
        <v>&lt;/li&gt;&lt;li&gt;&lt;a href=|http://niv.scripturetext.com/numbers/6.htm| title=|New International Version| target=|_top|&gt;NIV&lt;/a&gt;</v>
      </c>
      <c r="N123" t="str">
        <f t="shared" si="488"/>
        <v>&lt;/li&gt;&lt;li&gt;&lt;a href=|http://nlt.scripturetext.com/numbers/6.htm| title=|New Living Translation| target=|_top|&gt;NLT&lt;/a&gt;</v>
      </c>
      <c r="O123" t="str">
        <f t="shared" si="488"/>
        <v>&lt;/li&gt;&lt;li&gt;&lt;a href=|http://nasb.scripturetext.com/numbers/6.htm| title=|New American Standard Bible| target=|_top|&gt;NAS&lt;/a&gt;</v>
      </c>
      <c r="P123" t="str">
        <f t="shared" si="488"/>
        <v>&lt;/li&gt;&lt;li&gt;&lt;a href=|http://gwt.scripturetext.com/numbers/6.htm| title=|God's Word Translation| target=|_top|&gt;GWT&lt;/a&gt;</v>
      </c>
      <c r="Q123" t="str">
        <f t="shared" si="488"/>
        <v>&lt;/li&gt;&lt;li&gt;&lt;a href=|http://kingjbible.com/numbers/6.htm| title=|King James Bible| target=|_top|&gt;KJV&lt;/a&gt;</v>
      </c>
      <c r="R123" t="str">
        <f t="shared" si="488"/>
        <v>&lt;/li&gt;&lt;li&gt;&lt;a href=|http://asvbible.com/numbers/6.htm| title=|American Standard Version| target=|_top|&gt;ASV&lt;/a&gt;</v>
      </c>
      <c r="S123" t="str">
        <f t="shared" si="488"/>
        <v>&lt;/li&gt;&lt;li&gt;&lt;a href=|http://drb.scripturetext.com/numbers/6.htm| title=|Douay-Rheims Bible| target=|_top|&gt;DRB&lt;/a&gt;</v>
      </c>
      <c r="T123" t="str">
        <f t="shared" si="488"/>
        <v>&lt;/li&gt;&lt;li&gt;&lt;a href=|http://erv.scripturetext.com/numbers/6.htm| title=|English Revised Version| target=|_top|&gt;ERV&lt;/a&gt;</v>
      </c>
      <c r="V123" t="str">
        <f>CONCATENATE("&lt;/li&gt;&lt;li&gt;&lt;a href=|http://",V1191,"/numbers/6.htm","| ","title=|",V1190,"| target=|_top|&gt;",V1192,"&lt;/a&gt;")</f>
        <v>&lt;/li&gt;&lt;li&gt;&lt;a href=|http://study.interlinearbible.org/numbers/6.htm| title=|Hebrew Study Bible| target=|_top|&gt;Heb Study&lt;/a&gt;</v>
      </c>
      <c r="W123" t="str">
        <f t="shared" si="488"/>
        <v>&lt;/li&gt;&lt;li&gt;&lt;a href=|http://apostolic.interlinearbible.org/numbers/6.htm| title=|Apostolic Bible Polyglot Interlinear| target=|_top|&gt;Polyglot&lt;/a&gt;</v>
      </c>
      <c r="X123" t="str">
        <f t="shared" si="488"/>
        <v>&lt;/li&gt;&lt;li&gt;&lt;a href=|http://interlinearbible.org/numbers/6.htm| title=|Interlinear Bible| target=|_top|&gt;Interlin&lt;/a&gt;</v>
      </c>
      <c r="Y123" t="str">
        <f t="shared" ref="Y123" si="489">CONCATENATE("&lt;/li&gt;&lt;li&gt;&lt;a href=|http://",Y1191,"/numbers/6.htm","| ","title=|",Y1190,"| target=|_top|&gt;",Y1192,"&lt;/a&gt;")</f>
        <v>&lt;/li&gt;&lt;li&gt;&lt;a href=|http://bibleoutline.org/numbers/6.htm| title=|Outline with People and Places List| target=|_top|&gt;Outline&lt;/a&gt;</v>
      </c>
      <c r="Z123" t="str">
        <f t="shared" si="488"/>
        <v>&lt;/li&gt;&lt;li&gt;&lt;a href=|http://kjvs.scripturetext.com/numbers/6.htm| title=|King James Bible with Strong's Numbers| target=|_top|&gt;Strong's&lt;/a&gt;</v>
      </c>
      <c r="AA123" t="str">
        <f t="shared" si="488"/>
        <v>&lt;/li&gt;&lt;li&gt;&lt;a href=|http://childrensbibleonline.com/numbers/6.htm| title=|The Children's Bible| target=|_top|&gt;Children's&lt;/a&gt;</v>
      </c>
      <c r="AB123" s="2" t="str">
        <f t="shared" si="488"/>
        <v>&lt;/li&gt;&lt;li&gt;&lt;a href=|http://tsk.scripturetext.com/numbers/6.htm| title=|Treasury of Scripture Knowledge| target=|_top|&gt;TSK&lt;/a&gt;</v>
      </c>
      <c r="AC123" t="str">
        <f>CONCATENATE("&lt;a href=|http://",AC1191,"/numbers/6.htm","| ","title=|",AC1190,"| target=|_top|&gt;",AC1192,"&lt;/a&gt;")</f>
        <v>&lt;a href=|http://parallelbible.com/numbers/6.htm| title=|Parallel Chapters| target=|_top|&gt;PAR&lt;/a&gt;</v>
      </c>
      <c r="AD123" s="2" t="str">
        <f t="shared" ref="AD123:AK123" si="490">CONCATENATE("&lt;/li&gt;&lt;li&gt;&lt;a href=|http://",AD1191,"/numbers/6.htm","| ","title=|",AD1190,"| target=|_top|&gt;",AD1192,"&lt;/a&gt;")</f>
        <v>&lt;/li&gt;&lt;li&gt;&lt;a href=|http://gsb.biblecommenter.com/numbers/6.htm| title=|Geneva Study Bible| target=|_top|&gt;GSB&lt;/a&gt;</v>
      </c>
      <c r="AE123" s="2" t="str">
        <f t="shared" si="490"/>
        <v>&lt;/li&gt;&lt;li&gt;&lt;a href=|http://jfb.biblecommenter.com/numbers/6.htm| title=|Jamieson-Fausset-Brown Bible Commentary| target=|_top|&gt;JFB&lt;/a&gt;</v>
      </c>
      <c r="AF123" s="2" t="str">
        <f t="shared" si="490"/>
        <v>&lt;/li&gt;&lt;li&gt;&lt;a href=|http://kjt.biblecommenter.com/numbers/6.htm| title=|King James Translators' Notes| target=|_top|&gt;KJT&lt;/a&gt;</v>
      </c>
      <c r="AG123" s="2" t="str">
        <f t="shared" si="490"/>
        <v>&lt;/li&gt;&lt;li&gt;&lt;a href=|http://mhc.biblecommenter.com/numbers/6.htm| title=|Matthew Henry's Concise Commentary| target=|_top|&gt;MHC&lt;/a&gt;</v>
      </c>
      <c r="AH123" s="2" t="str">
        <f t="shared" si="490"/>
        <v>&lt;/li&gt;&lt;li&gt;&lt;a href=|http://sco.biblecommenter.com/numbers/6.htm| title=|Scofield Reference Notes| target=|_top|&gt;SCO&lt;/a&gt;</v>
      </c>
      <c r="AI123" s="2" t="str">
        <f t="shared" si="490"/>
        <v>&lt;/li&gt;&lt;li&gt;&lt;a href=|http://wes.biblecommenter.com/numbers/6.htm| title=|Wesley's Notes on the Bible| target=|_top|&gt;WES&lt;/a&gt;</v>
      </c>
      <c r="AJ123" t="str">
        <f t="shared" si="490"/>
        <v>&lt;/li&gt;&lt;li&gt;&lt;a href=|http://worldebible.com/numbers/6.htm| title=|World English Bible| target=|_top|&gt;WEB&lt;/a&gt;</v>
      </c>
      <c r="AK123" t="str">
        <f t="shared" si="490"/>
        <v>&lt;/li&gt;&lt;li&gt;&lt;a href=|http://yltbible.com/numbers/6.htm| title=|Young's Literal Translation| target=|_top|&gt;YLT&lt;/a&gt;</v>
      </c>
      <c r="AL123" t="str">
        <f>CONCATENATE("&lt;a href=|http://",AL1191,"/numbers/6.htm","| ","title=|",AL1190,"| target=|_top|&gt;",AL1192,"&lt;/a&gt;")</f>
        <v>&lt;a href=|http://kjv.us/numbers/6.htm| title=|American King James Version| target=|_top|&gt;AKJ&lt;/a&gt;</v>
      </c>
      <c r="AM123" t="str">
        <f t="shared" ref="AM123:AN123" si="491">CONCATENATE("&lt;/li&gt;&lt;li&gt;&lt;a href=|http://",AM1191,"/numbers/6.htm","| ","title=|",AM1190,"| target=|_top|&gt;",AM1192,"&lt;/a&gt;")</f>
        <v>&lt;/li&gt;&lt;li&gt;&lt;a href=|http://basicenglishbible.com/numbers/6.htm| title=|Bible in Basic English| target=|_top|&gt;BBE&lt;/a&gt;</v>
      </c>
      <c r="AN123" t="str">
        <f t="shared" si="491"/>
        <v>&lt;/li&gt;&lt;li&gt;&lt;a href=|http://darbybible.com/numbers/6.htm| title=|Darby Bible Translation| target=|_top|&gt;DBY&lt;/a&gt;</v>
      </c>
      <c r="AO12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2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2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23" t="str">
        <f>CONCATENATE("&lt;/li&gt;&lt;li&gt;&lt;a href=|http://",AR1191,"/numbers/6.htm","| ","title=|",AR1190,"| target=|_top|&gt;",AR1192,"&lt;/a&gt;")</f>
        <v>&lt;/li&gt;&lt;li&gt;&lt;a href=|http://websterbible.com/numbers/6.htm| title=|Webster's Bible Translation| target=|_top|&gt;WBS&lt;/a&gt;</v>
      </c>
      <c r="AS12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23" t="str">
        <f>CONCATENATE("&lt;/li&gt;&lt;li&gt;&lt;a href=|http://",AT1191,"/numbers/6-1.htm","| ","title=|",AT1190,"| target=|_top|&gt;",AT1192,"&lt;/a&gt;")</f>
        <v>&lt;/li&gt;&lt;li&gt;&lt;a href=|http://biblebrowser.com/numbers/6-1.htm| title=|Split View| target=|_top|&gt;Split&lt;/a&gt;</v>
      </c>
      <c r="AU123" s="2" t="s">
        <v>1276</v>
      </c>
      <c r="AV123" t="s">
        <v>64</v>
      </c>
    </row>
    <row r="124" spans="1:48">
      <c r="A124" t="s">
        <v>622</v>
      </c>
      <c r="B124" t="s">
        <v>177</v>
      </c>
      <c r="C124" t="s">
        <v>624</v>
      </c>
      <c r="D124" t="s">
        <v>1268</v>
      </c>
      <c r="E124" t="s">
        <v>1277</v>
      </c>
      <c r="F124" t="s">
        <v>1304</v>
      </c>
      <c r="G124" t="s">
        <v>1266</v>
      </c>
      <c r="H124" t="s">
        <v>1305</v>
      </c>
      <c r="I124" t="s">
        <v>1303</v>
      </c>
      <c r="J124" t="s">
        <v>1267</v>
      </c>
      <c r="K124" t="s">
        <v>1275</v>
      </c>
      <c r="L124" s="2" t="s">
        <v>1274</v>
      </c>
      <c r="M124" t="str">
        <f t="shared" ref="M124:AB124" si="492">CONCATENATE("&lt;/li&gt;&lt;li&gt;&lt;a href=|http://",M1191,"/numbers/7.htm","| ","title=|",M1190,"| target=|_top|&gt;",M1192,"&lt;/a&gt;")</f>
        <v>&lt;/li&gt;&lt;li&gt;&lt;a href=|http://niv.scripturetext.com/numbers/7.htm| title=|New International Version| target=|_top|&gt;NIV&lt;/a&gt;</v>
      </c>
      <c r="N124" t="str">
        <f t="shared" si="492"/>
        <v>&lt;/li&gt;&lt;li&gt;&lt;a href=|http://nlt.scripturetext.com/numbers/7.htm| title=|New Living Translation| target=|_top|&gt;NLT&lt;/a&gt;</v>
      </c>
      <c r="O124" t="str">
        <f t="shared" si="492"/>
        <v>&lt;/li&gt;&lt;li&gt;&lt;a href=|http://nasb.scripturetext.com/numbers/7.htm| title=|New American Standard Bible| target=|_top|&gt;NAS&lt;/a&gt;</v>
      </c>
      <c r="P124" t="str">
        <f t="shared" si="492"/>
        <v>&lt;/li&gt;&lt;li&gt;&lt;a href=|http://gwt.scripturetext.com/numbers/7.htm| title=|God's Word Translation| target=|_top|&gt;GWT&lt;/a&gt;</v>
      </c>
      <c r="Q124" t="str">
        <f t="shared" si="492"/>
        <v>&lt;/li&gt;&lt;li&gt;&lt;a href=|http://kingjbible.com/numbers/7.htm| title=|King James Bible| target=|_top|&gt;KJV&lt;/a&gt;</v>
      </c>
      <c r="R124" t="str">
        <f t="shared" si="492"/>
        <v>&lt;/li&gt;&lt;li&gt;&lt;a href=|http://asvbible.com/numbers/7.htm| title=|American Standard Version| target=|_top|&gt;ASV&lt;/a&gt;</v>
      </c>
      <c r="S124" t="str">
        <f t="shared" si="492"/>
        <v>&lt;/li&gt;&lt;li&gt;&lt;a href=|http://drb.scripturetext.com/numbers/7.htm| title=|Douay-Rheims Bible| target=|_top|&gt;DRB&lt;/a&gt;</v>
      </c>
      <c r="T124" t="str">
        <f t="shared" si="492"/>
        <v>&lt;/li&gt;&lt;li&gt;&lt;a href=|http://erv.scripturetext.com/numbers/7.htm| title=|English Revised Version| target=|_top|&gt;ERV&lt;/a&gt;</v>
      </c>
      <c r="V124" t="str">
        <f>CONCATENATE("&lt;/li&gt;&lt;li&gt;&lt;a href=|http://",V1191,"/numbers/7.htm","| ","title=|",V1190,"| target=|_top|&gt;",V1192,"&lt;/a&gt;")</f>
        <v>&lt;/li&gt;&lt;li&gt;&lt;a href=|http://study.interlinearbible.org/numbers/7.htm| title=|Hebrew Study Bible| target=|_top|&gt;Heb Study&lt;/a&gt;</v>
      </c>
      <c r="W124" t="str">
        <f t="shared" si="492"/>
        <v>&lt;/li&gt;&lt;li&gt;&lt;a href=|http://apostolic.interlinearbible.org/numbers/7.htm| title=|Apostolic Bible Polyglot Interlinear| target=|_top|&gt;Polyglot&lt;/a&gt;</v>
      </c>
      <c r="X124" t="str">
        <f t="shared" si="492"/>
        <v>&lt;/li&gt;&lt;li&gt;&lt;a href=|http://interlinearbible.org/numbers/7.htm| title=|Interlinear Bible| target=|_top|&gt;Interlin&lt;/a&gt;</v>
      </c>
      <c r="Y124" t="str">
        <f t="shared" ref="Y124" si="493">CONCATENATE("&lt;/li&gt;&lt;li&gt;&lt;a href=|http://",Y1191,"/numbers/7.htm","| ","title=|",Y1190,"| target=|_top|&gt;",Y1192,"&lt;/a&gt;")</f>
        <v>&lt;/li&gt;&lt;li&gt;&lt;a href=|http://bibleoutline.org/numbers/7.htm| title=|Outline with People and Places List| target=|_top|&gt;Outline&lt;/a&gt;</v>
      </c>
      <c r="Z124" t="str">
        <f t="shared" si="492"/>
        <v>&lt;/li&gt;&lt;li&gt;&lt;a href=|http://kjvs.scripturetext.com/numbers/7.htm| title=|King James Bible with Strong's Numbers| target=|_top|&gt;Strong's&lt;/a&gt;</v>
      </c>
      <c r="AA124" t="str">
        <f t="shared" si="492"/>
        <v>&lt;/li&gt;&lt;li&gt;&lt;a href=|http://childrensbibleonline.com/numbers/7.htm| title=|The Children's Bible| target=|_top|&gt;Children's&lt;/a&gt;</v>
      </c>
      <c r="AB124" s="2" t="str">
        <f t="shared" si="492"/>
        <v>&lt;/li&gt;&lt;li&gt;&lt;a href=|http://tsk.scripturetext.com/numbers/7.htm| title=|Treasury of Scripture Knowledge| target=|_top|&gt;TSK&lt;/a&gt;</v>
      </c>
      <c r="AC124" t="str">
        <f>CONCATENATE("&lt;a href=|http://",AC1191,"/numbers/7.htm","| ","title=|",AC1190,"| target=|_top|&gt;",AC1192,"&lt;/a&gt;")</f>
        <v>&lt;a href=|http://parallelbible.com/numbers/7.htm| title=|Parallel Chapters| target=|_top|&gt;PAR&lt;/a&gt;</v>
      </c>
      <c r="AD124" s="2" t="str">
        <f t="shared" ref="AD124:AK124" si="494">CONCATENATE("&lt;/li&gt;&lt;li&gt;&lt;a href=|http://",AD1191,"/numbers/7.htm","| ","title=|",AD1190,"| target=|_top|&gt;",AD1192,"&lt;/a&gt;")</f>
        <v>&lt;/li&gt;&lt;li&gt;&lt;a href=|http://gsb.biblecommenter.com/numbers/7.htm| title=|Geneva Study Bible| target=|_top|&gt;GSB&lt;/a&gt;</v>
      </c>
      <c r="AE124" s="2" t="str">
        <f t="shared" si="494"/>
        <v>&lt;/li&gt;&lt;li&gt;&lt;a href=|http://jfb.biblecommenter.com/numbers/7.htm| title=|Jamieson-Fausset-Brown Bible Commentary| target=|_top|&gt;JFB&lt;/a&gt;</v>
      </c>
      <c r="AF124" s="2" t="str">
        <f t="shared" si="494"/>
        <v>&lt;/li&gt;&lt;li&gt;&lt;a href=|http://kjt.biblecommenter.com/numbers/7.htm| title=|King James Translators' Notes| target=|_top|&gt;KJT&lt;/a&gt;</v>
      </c>
      <c r="AG124" s="2" t="str">
        <f t="shared" si="494"/>
        <v>&lt;/li&gt;&lt;li&gt;&lt;a href=|http://mhc.biblecommenter.com/numbers/7.htm| title=|Matthew Henry's Concise Commentary| target=|_top|&gt;MHC&lt;/a&gt;</v>
      </c>
      <c r="AH124" s="2" t="str">
        <f t="shared" si="494"/>
        <v>&lt;/li&gt;&lt;li&gt;&lt;a href=|http://sco.biblecommenter.com/numbers/7.htm| title=|Scofield Reference Notes| target=|_top|&gt;SCO&lt;/a&gt;</v>
      </c>
      <c r="AI124" s="2" t="str">
        <f t="shared" si="494"/>
        <v>&lt;/li&gt;&lt;li&gt;&lt;a href=|http://wes.biblecommenter.com/numbers/7.htm| title=|Wesley's Notes on the Bible| target=|_top|&gt;WES&lt;/a&gt;</v>
      </c>
      <c r="AJ124" t="str">
        <f t="shared" si="494"/>
        <v>&lt;/li&gt;&lt;li&gt;&lt;a href=|http://worldebible.com/numbers/7.htm| title=|World English Bible| target=|_top|&gt;WEB&lt;/a&gt;</v>
      </c>
      <c r="AK124" t="str">
        <f t="shared" si="494"/>
        <v>&lt;/li&gt;&lt;li&gt;&lt;a href=|http://yltbible.com/numbers/7.htm| title=|Young's Literal Translation| target=|_top|&gt;YLT&lt;/a&gt;</v>
      </c>
      <c r="AL124" t="str">
        <f>CONCATENATE("&lt;a href=|http://",AL1191,"/numbers/7.htm","| ","title=|",AL1190,"| target=|_top|&gt;",AL1192,"&lt;/a&gt;")</f>
        <v>&lt;a href=|http://kjv.us/numbers/7.htm| title=|American King James Version| target=|_top|&gt;AKJ&lt;/a&gt;</v>
      </c>
      <c r="AM124" t="str">
        <f t="shared" ref="AM124:AN124" si="495">CONCATENATE("&lt;/li&gt;&lt;li&gt;&lt;a href=|http://",AM1191,"/numbers/7.htm","| ","title=|",AM1190,"| target=|_top|&gt;",AM1192,"&lt;/a&gt;")</f>
        <v>&lt;/li&gt;&lt;li&gt;&lt;a href=|http://basicenglishbible.com/numbers/7.htm| title=|Bible in Basic English| target=|_top|&gt;BBE&lt;/a&gt;</v>
      </c>
      <c r="AN124" t="str">
        <f t="shared" si="495"/>
        <v>&lt;/li&gt;&lt;li&gt;&lt;a href=|http://darbybible.com/numbers/7.htm| title=|Darby Bible Translation| target=|_top|&gt;DBY&lt;/a&gt;</v>
      </c>
      <c r="AO12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2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2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24" t="str">
        <f>CONCATENATE("&lt;/li&gt;&lt;li&gt;&lt;a href=|http://",AR1191,"/numbers/7.htm","| ","title=|",AR1190,"| target=|_top|&gt;",AR1192,"&lt;/a&gt;")</f>
        <v>&lt;/li&gt;&lt;li&gt;&lt;a href=|http://websterbible.com/numbers/7.htm| title=|Webster's Bible Translation| target=|_top|&gt;WBS&lt;/a&gt;</v>
      </c>
      <c r="AS12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24" t="str">
        <f>CONCATENATE("&lt;/li&gt;&lt;li&gt;&lt;a href=|http://",AT1191,"/numbers/7-1.htm","| ","title=|",AT1190,"| target=|_top|&gt;",AT1192,"&lt;/a&gt;")</f>
        <v>&lt;/li&gt;&lt;li&gt;&lt;a href=|http://biblebrowser.com/numbers/7-1.htm| title=|Split View| target=|_top|&gt;Split&lt;/a&gt;</v>
      </c>
      <c r="AU124" s="2" t="s">
        <v>1276</v>
      </c>
      <c r="AV124" t="s">
        <v>64</v>
      </c>
    </row>
    <row r="125" spans="1:48">
      <c r="A125" t="s">
        <v>622</v>
      </c>
      <c r="B125" t="s">
        <v>178</v>
      </c>
      <c r="C125" t="s">
        <v>624</v>
      </c>
      <c r="D125" t="s">
        <v>1268</v>
      </c>
      <c r="E125" t="s">
        <v>1277</v>
      </c>
      <c r="F125" t="s">
        <v>1304</v>
      </c>
      <c r="G125" t="s">
        <v>1266</v>
      </c>
      <c r="H125" t="s">
        <v>1305</v>
      </c>
      <c r="I125" t="s">
        <v>1303</v>
      </c>
      <c r="J125" t="s">
        <v>1267</v>
      </c>
      <c r="K125" t="s">
        <v>1275</v>
      </c>
      <c r="L125" s="2" t="s">
        <v>1274</v>
      </c>
      <c r="M125" t="str">
        <f t="shared" ref="M125:AB125" si="496">CONCATENATE("&lt;/li&gt;&lt;li&gt;&lt;a href=|http://",M1191,"/numbers/8.htm","| ","title=|",M1190,"| target=|_top|&gt;",M1192,"&lt;/a&gt;")</f>
        <v>&lt;/li&gt;&lt;li&gt;&lt;a href=|http://niv.scripturetext.com/numbers/8.htm| title=|New International Version| target=|_top|&gt;NIV&lt;/a&gt;</v>
      </c>
      <c r="N125" t="str">
        <f t="shared" si="496"/>
        <v>&lt;/li&gt;&lt;li&gt;&lt;a href=|http://nlt.scripturetext.com/numbers/8.htm| title=|New Living Translation| target=|_top|&gt;NLT&lt;/a&gt;</v>
      </c>
      <c r="O125" t="str">
        <f t="shared" si="496"/>
        <v>&lt;/li&gt;&lt;li&gt;&lt;a href=|http://nasb.scripturetext.com/numbers/8.htm| title=|New American Standard Bible| target=|_top|&gt;NAS&lt;/a&gt;</v>
      </c>
      <c r="P125" t="str">
        <f t="shared" si="496"/>
        <v>&lt;/li&gt;&lt;li&gt;&lt;a href=|http://gwt.scripturetext.com/numbers/8.htm| title=|God's Word Translation| target=|_top|&gt;GWT&lt;/a&gt;</v>
      </c>
      <c r="Q125" t="str">
        <f t="shared" si="496"/>
        <v>&lt;/li&gt;&lt;li&gt;&lt;a href=|http://kingjbible.com/numbers/8.htm| title=|King James Bible| target=|_top|&gt;KJV&lt;/a&gt;</v>
      </c>
      <c r="R125" t="str">
        <f t="shared" si="496"/>
        <v>&lt;/li&gt;&lt;li&gt;&lt;a href=|http://asvbible.com/numbers/8.htm| title=|American Standard Version| target=|_top|&gt;ASV&lt;/a&gt;</v>
      </c>
      <c r="S125" t="str">
        <f t="shared" si="496"/>
        <v>&lt;/li&gt;&lt;li&gt;&lt;a href=|http://drb.scripturetext.com/numbers/8.htm| title=|Douay-Rheims Bible| target=|_top|&gt;DRB&lt;/a&gt;</v>
      </c>
      <c r="T125" t="str">
        <f t="shared" si="496"/>
        <v>&lt;/li&gt;&lt;li&gt;&lt;a href=|http://erv.scripturetext.com/numbers/8.htm| title=|English Revised Version| target=|_top|&gt;ERV&lt;/a&gt;</v>
      </c>
      <c r="V125" t="str">
        <f>CONCATENATE("&lt;/li&gt;&lt;li&gt;&lt;a href=|http://",V1191,"/numbers/8.htm","| ","title=|",V1190,"| target=|_top|&gt;",V1192,"&lt;/a&gt;")</f>
        <v>&lt;/li&gt;&lt;li&gt;&lt;a href=|http://study.interlinearbible.org/numbers/8.htm| title=|Hebrew Study Bible| target=|_top|&gt;Heb Study&lt;/a&gt;</v>
      </c>
      <c r="W125" t="str">
        <f t="shared" si="496"/>
        <v>&lt;/li&gt;&lt;li&gt;&lt;a href=|http://apostolic.interlinearbible.org/numbers/8.htm| title=|Apostolic Bible Polyglot Interlinear| target=|_top|&gt;Polyglot&lt;/a&gt;</v>
      </c>
      <c r="X125" t="str">
        <f t="shared" si="496"/>
        <v>&lt;/li&gt;&lt;li&gt;&lt;a href=|http://interlinearbible.org/numbers/8.htm| title=|Interlinear Bible| target=|_top|&gt;Interlin&lt;/a&gt;</v>
      </c>
      <c r="Y125" t="str">
        <f t="shared" ref="Y125" si="497">CONCATENATE("&lt;/li&gt;&lt;li&gt;&lt;a href=|http://",Y1191,"/numbers/8.htm","| ","title=|",Y1190,"| target=|_top|&gt;",Y1192,"&lt;/a&gt;")</f>
        <v>&lt;/li&gt;&lt;li&gt;&lt;a href=|http://bibleoutline.org/numbers/8.htm| title=|Outline with People and Places List| target=|_top|&gt;Outline&lt;/a&gt;</v>
      </c>
      <c r="Z125" t="str">
        <f t="shared" si="496"/>
        <v>&lt;/li&gt;&lt;li&gt;&lt;a href=|http://kjvs.scripturetext.com/numbers/8.htm| title=|King James Bible with Strong's Numbers| target=|_top|&gt;Strong's&lt;/a&gt;</v>
      </c>
      <c r="AA125" t="str">
        <f t="shared" si="496"/>
        <v>&lt;/li&gt;&lt;li&gt;&lt;a href=|http://childrensbibleonline.com/numbers/8.htm| title=|The Children's Bible| target=|_top|&gt;Children's&lt;/a&gt;</v>
      </c>
      <c r="AB125" s="2" t="str">
        <f t="shared" si="496"/>
        <v>&lt;/li&gt;&lt;li&gt;&lt;a href=|http://tsk.scripturetext.com/numbers/8.htm| title=|Treasury of Scripture Knowledge| target=|_top|&gt;TSK&lt;/a&gt;</v>
      </c>
      <c r="AC125" t="str">
        <f>CONCATENATE("&lt;a href=|http://",AC1191,"/numbers/8.htm","| ","title=|",AC1190,"| target=|_top|&gt;",AC1192,"&lt;/a&gt;")</f>
        <v>&lt;a href=|http://parallelbible.com/numbers/8.htm| title=|Parallel Chapters| target=|_top|&gt;PAR&lt;/a&gt;</v>
      </c>
      <c r="AD125" s="2" t="str">
        <f t="shared" ref="AD125:AK125" si="498">CONCATENATE("&lt;/li&gt;&lt;li&gt;&lt;a href=|http://",AD1191,"/numbers/8.htm","| ","title=|",AD1190,"| target=|_top|&gt;",AD1192,"&lt;/a&gt;")</f>
        <v>&lt;/li&gt;&lt;li&gt;&lt;a href=|http://gsb.biblecommenter.com/numbers/8.htm| title=|Geneva Study Bible| target=|_top|&gt;GSB&lt;/a&gt;</v>
      </c>
      <c r="AE125" s="2" t="str">
        <f t="shared" si="498"/>
        <v>&lt;/li&gt;&lt;li&gt;&lt;a href=|http://jfb.biblecommenter.com/numbers/8.htm| title=|Jamieson-Fausset-Brown Bible Commentary| target=|_top|&gt;JFB&lt;/a&gt;</v>
      </c>
      <c r="AF125" s="2" t="str">
        <f t="shared" si="498"/>
        <v>&lt;/li&gt;&lt;li&gt;&lt;a href=|http://kjt.biblecommenter.com/numbers/8.htm| title=|King James Translators' Notes| target=|_top|&gt;KJT&lt;/a&gt;</v>
      </c>
      <c r="AG125" s="2" t="str">
        <f t="shared" si="498"/>
        <v>&lt;/li&gt;&lt;li&gt;&lt;a href=|http://mhc.biblecommenter.com/numbers/8.htm| title=|Matthew Henry's Concise Commentary| target=|_top|&gt;MHC&lt;/a&gt;</v>
      </c>
      <c r="AH125" s="2" t="str">
        <f t="shared" si="498"/>
        <v>&lt;/li&gt;&lt;li&gt;&lt;a href=|http://sco.biblecommenter.com/numbers/8.htm| title=|Scofield Reference Notes| target=|_top|&gt;SCO&lt;/a&gt;</v>
      </c>
      <c r="AI125" s="2" t="str">
        <f t="shared" si="498"/>
        <v>&lt;/li&gt;&lt;li&gt;&lt;a href=|http://wes.biblecommenter.com/numbers/8.htm| title=|Wesley's Notes on the Bible| target=|_top|&gt;WES&lt;/a&gt;</v>
      </c>
      <c r="AJ125" t="str">
        <f t="shared" si="498"/>
        <v>&lt;/li&gt;&lt;li&gt;&lt;a href=|http://worldebible.com/numbers/8.htm| title=|World English Bible| target=|_top|&gt;WEB&lt;/a&gt;</v>
      </c>
      <c r="AK125" t="str">
        <f t="shared" si="498"/>
        <v>&lt;/li&gt;&lt;li&gt;&lt;a href=|http://yltbible.com/numbers/8.htm| title=|Young's Literal Translation| target=|_top|&gt;YLT&lt;/a&gt;</v>
      </c>
      <c r="AL125" t="str">
        <f>CONCATENATE("&lt;a href=|http://",AL1191,"/numbers/8.htm","| ","title=|",AL1190,"| target=|_top|&gt;",AL1192,"&lt;/a&gt;")</f>
        <v>&lt;a href=|http://kjv.us/numbers/8.htm| title=|American King James Version| target=|_top|&gt;AKJ&lt;/a&gt;</v>
      </c>
      <c r="AM125" t="str">
        <f t="shared" ref="AM125:AN125" si="499">CONCATENATE("&lt;/li&gt;&lt;li&gt;&lt;a href=|http://",AM1191,"/numbers/8.htm","| ","title=|",AM1190,"| target=|_top|&gt;",AM1192,"&lt;/a&gt;")</f>
        <v>&lt;/li&gt;&lt;li&gt;&lt;a href=|http://basicenglishbible.com/numbers/8.htm| title=|Bible in Basic English| target=|_top|&gt;BBE&lt;/a&gt;</v>
      </c>
      <c r="AN125" t="str">
        <f t="shared" si="499"/>
        <v>&lt;/li&gt;&lt;li&gt;&lt;a href=|http://darbybible.com/numbers/8.htm| title=|Darby Bible Translation| target=|_top|&gt;DBY&lt;/a&gt;</v>
      </c>
      <c r="AO12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2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2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25" t="str">
        <f>CONCATENATE("&lt;/li&gt;&lt;li&gt;&lt;a href=|http://",AR1191,"/numbers/8.htm","| ","title=|",AR1190,"| target=|_top|&gt;",AR1192,"&lt;/a&gt;")</f>
        <v>&lt;/li&gt;&lt;li&gt;&lt;a href=|http://websterbible.com/numbers/8.htm| title=|Webster's Bible Translation| target=|_top|&gt;WBS&lt;/a&gt;</v>
      </c>
      <c r="AS12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25" t="str">
        <f>CONCATENATE("&lt;/li&gt;&lt;li&gt;&lt;a href=|http://",AT1191,"/numbers/8-1.htm","| ","title=|",AT1190,"| target=|_top|&gt;",AT1192,"&lt;/a&gt;")</f>
        <v>&lt;/li&gt;&lt;li&gt;&lt;a href=|http://biblebrowser.com/numbers/8-1.htm| title=|Split View| target=|_top|&gt;Split&lt;/a&gt;</v>
      </c>
      <c r="AU125" s="2" t="s">
        <v>1276</v>
      </c>
      <c r="AV125" t="s">
        <v>64</v>
      </c>
    </row>
    <row r="126" spans="1:48">
      <c r="A126" t="s">
        <v>622</v>
      </c>
      <c r="B126" t="s">
        <v>179</v>
      </c>
      <c r="C126" t="s">
        <v>624</v>
      </c>
      <c r="D126" t="s">
        <v>1268</v>
      </c>
      <c r="E126" t="s">
        <v>1277</v>
      </c>
      <c r="F126" t="s">
        <v>1304</v>
      </c>
      <c r="G126" t="s">
        <v>1266</v>
      </c>
      <c r="H126" t="s">
        <v>1305</v>
      </c>
      <c r="I126" t="s">
        <v>1303</v>
      </c>
      <c r="J126" t="s">
        <v>1267</v>
      </c>
      <c r="K126" t="s">
        <v>1275</v>
      </c>
      <c r="L126" s="2" t="s">
        <v>1274</v>
      </c>
      <c r="M126" t="str">
        <f t="shared" ref="M126:AB126" si="500">CONCATENATE("&lt;/li&gt;&lt;li&gt;&lt;a href=|http://",M1191,"/numbers/9.htm","| ","title=|",M1190,"| target=|_top|&gt;",M1192,"&lt;/a&gt;")</f>
        <v>&lt;/li&gt;&lt;li&gt;&lt;a href=|http://niv.scripturetext.com/numbers/9.htm| title=|New International Version| target=|_top|&gt;NIV&lt;/a&gt;</v>
      </c>
      <c r="N126" t="str">
        <f t="shared" si="500"/>
        <v>&lt;/li&gt;&lt;li&gt;&lt;a href=|http://nlt.scripturetext.com/numbers/9.htm| title=|New Living Translation| target=|_top|&gt;NLT&lt;/a&gt;</v>
      </c>
      <c r="O126" t="str">
        <f t="shared" si="500"/>
        <v>&lt;/li&gt;&lt;li&gt;&lt;a href=|http://nasb.scripturetext.com/numbers/9.htm| title=|New American Standard Bible| target=|_top|&gt;NAS&lt;/a&gt;</v>
      </c>
      <c r="P126" t="str">
        <f t="shared" si="500"/>
        <v>&lt;/li&gt;&lt;li&gt;&lt;a href=|http://gwt.scripturetext.com/numbers/9.htm| title=|God's Word Translation| target=|_top|&gt;GWT&lt;/a&gt;</v>
      </c>
      <c r="Q126" t="str">
        <f t="shared" si="500"/>
        <v>&lt;/li&gt;&lt;li&gt;&lt;a href=|http://kingjbible.com/numbers/9.htm| title=|King James Bible| target=|_top|&gt;KJV&lt;/a&gt;</v>
      </c>
      <c r="R126" t="str">
        <f t="shared" si="500"/>
        <v>&lt;/li&gt;&lt;li&gt;&lt;a href=|http://asvbible.com/numbers/9.htm| title=|American Standard Version| target=|_top|&gt;ASV&lt;/a&gt;</v>
      </c>
      <c r="S126" t="str">
        <f t="shared" si="500"/>
        <v>&lt;/li&gt;&lt;li&gt;&lt;a href=|http://drb.scripturetext.com/numbers/9.htm| title=|Douay-Rheims Bible| target=|_top|&gt;DRB&lt;/a&gt;</v>
      </c>
      <c r="T126" t="str">
        <f t="shared" si="500"/>
        <v>&lt;/li&gt;&lt;li&gt;&lt;a href=|http://erv.scripturetext.com/numbers/9.htm| title=|English Revised Version| target=|_top|&gt;ERV&lt;/a&gt;</v>
      </c>
      <c r="V126" t="str">
        <f>CONCATENATE("&lt;/li&gt;&lt;li&gt;&lt;a href=|http://",V1191,"/numbers/9.htm","| ","title=|",V1190,"| target=|_top|&gt;",V1192,"&lt;/a&gt;")</f>
        <v>&lt;/li&gt;&lt;li&gt;&lt;a href=|http://study.interlinearbible.org/numbers/9.htm| title=|Hebrew Study Bible| target=|_top|&gt;Heb Study&lt;/a&gt;</v>
      </c>
      <c r="W126" t="str">
        <f t="shared" si="500"/>
        <v>&lt;/li&gt;&lt;li&gt;&lt;a href=|http://apostolic.interlinearbible.org/numbers/9.htm| title=|Apostolic Bible Polyglot Interlinear| target=|_top|&gt;Polyglot&lt;/a&gt;</v>
      </c>
      <c r="X126" t="str">
        <f t="shared" si="500"/>
        <v>&lt;/li&gt;&lt;li&gt;&lt;a href=|http://interlinearbible.org/numbers/9.htm| title=|Interlinear Bible| target=|_top|&gt;Interlin&lt;/a&gt;</v>
      </c>
      <c r="Y126" t="str">
        <f t="shared" ref="Y126" si="501">CONCATENATE("&lt;/li&gt;&lt;li&gt;&lt;a href=|http://",Y1191,"/numbers/9.htm","| ","title=|",Y1190,"| target=|_top|&gt;",Y1192,"&lt;/a&gt;")</f>
        <v>&lt;/li&gt;&lt;li&gt;&lt;a href=|http://bibleoutline.org/numbers/9.htm| title=|Outline with People and Places List| target=|_top|&gt;Outline&lt;/a&gt;</v>
      </c>
      <c r="Z126" t="str">
        <f t="shared" si="500"/>
        <v>&lt;/li&gt;&lt;li&gt;&lt;a href=|http://kjvs.scripturetext.com/numbers/9.htm| title=|King James Bible with Strong's Numbers| target=|_top|&gt;Strong's&lt;/a&gt;</v>
      </c>
      <c r="AA126" t="str">
        <f t="shared" si="500"/>
        <v>&lt;/li&gt;&lt;li&gt;&lt;a href=|http://childrensbibleonline.com/numbers/9.htm| title=|The Children's Bible| target=|_top|&gt;Children's&lt;/a&gt;</v>
      </c>
      <c r="AB126" s="2" t="str">
        <f t="shared" si="500"/>
        <v>&lt;/li&gt;&lt;li&gt;&lt;a href=|http://tsk.scripturetext.com/numbers/9.htm| title=|Treasury of Scripture Knowledge| target=|_top|&gt;TSK&lt;/a&gt;</v>
      </c>
      <c r="AC126" t="str">
        <f>CONCATENATE("&lt;a href=|http://",AC1191,"/numbers/9.htm","| ","title=|",AC1190,"| target=|_top|&gt;",AC1192,"&lt;/a&gt;")</f>
        <v>&lt;a href=|http://parallelbible.com/numbers/9.htm| title=|Parallel Chapters| target=|_top|&gt;PAR&lt;/a&gt;</v>
      </c>
      <c r="AD126" s="2" t="str">
        <f t="shared" ref="AD126:AK126" si="502">CONCATENATE("&lt;/li&gt;&lt;li&gt;&lt;a href=|http://",AD1191,"/numbers/9.htm","| ","title=|",AD1190,"| target=|_top|&gt;",AD1192,"&lt;/a&gt;")</f>
        <v>&lt;/li&gt;&lt;li&gt;&lt;a href=|http://gsb.biblecommenter.com/numbers/9.htm| title=|Geneva Study Bible| target=|_top|&gt;GSB&lt;/a&gt;</v>
      </c>
      <c r="AE126" s="2" t="str">
        <f t="shared" si="502"/>
        <v>&lt;/li&gt;&lt;li&gt;&lt;a href=|http://jfb.biblecommenter.com/numbers/9.htm| title=|Jamieson-Fausset-Brown Bible Commentary| target=|_top|&gt;JFB&lt;/a&gt;</v>
      </c>
      <c r="AF126" s="2" t="str">
        <f t="shared" si="502"/>
        <v>&lt;/li&gt;&lt;li&gt;&lt;a href=|http://kjt.biblecommenter.com/numbers/9.htm| title=|King James Translators' Notes| target=|_top|&gt;KJT&lt;/a&gt;</v>
      </c>
      <c r="AG126" s="2" t="str">
        <f t="shared" si="502"/>
        <v>&lt;/li&gt;&lt;li&gt;&lt;a href=|http://mhc.biblecommenter.com/numbers/9.htm| title=|Matthew Henry's Concise Commentary| target=|_top|&gt;MHC&lt;/a&gt;</v>
      </c>
      <c r="AH126" s="2" t="str">
        <f t="shared" si="502"/>
        <v>&lt;/li&gt;&lt;li&gt;&lt;a href=|http://sco.biblecommenter.com/numbers/9.htm| title=|Scofield Reference Notes| target=|_top|&gt;SCO&lt;/a&gt;</v>
      </c>
      <c r="AI126" s="2" t="str">
        <f t="shared" si="502"/>
        <v>&lt;/li&gt;&lt;li&gt;&lt;a href=|http://wes.biblecommenter.com/numbers/9.htm| title=|Wesley's Notes on the Bible| target=|_top|&gt;WES&lt;/a&gt;</v>
      </c>
      <c r="AJ126" t="str">
        <f t="shared" si="502"/>
        <v>&lt;/li&gt;&lt;li&gt;&lt;a href=|http://worldebible.com/numbers/9.htm| title=|World English Bible| target=|_top|&gt;WEB&lt;/a&gt;</v>
      </c>
      <c r="AK126" t="str">
        <f t="shared" si="502"/>
        <v>&lt;/li&gt;&lt;li&gt;&lt;a href=|http://yltbible.com/numbers/9.htm| title=|Young's Literal Translation| target=|_top|&gt;YLT&lt;/a&gt;</v>
      </c>
      <c r="AL126" t="str">
        <f>CONCATENATE("&lt;a href=|http://",AL1191,"/numbers/9.htm","| ","title=|",AL1190,"| target=|_top|&gt;",AL1192,"&lt;/a&gt;")</f>
        <v>&lt;a href=|http://kjv.us/numbers/9.htm| title=|American King James Version| target=|_top|&gt;AKJ&lt;/a&gt;</v>
      </c>
      <c r="AM126" t="str">
        <f t="shared" ref="AM126:AN126" si="503">CONCATENATE("&lt;/li&gt;&lt;li&gt;&lt;a href=|http://",AM1191,"/numbers/9.htm","| ","title=|",AM1190,"| target=|_top|&gt;",AM1192,"&lt;/a&gt;")</f>
        <v>&lt;/li&gt;&lt;li&gt;&lt;a href=|http://basicenglishbible.com/numbers/9.htm| title=|Bible in Basic English| target=|_top|&gt;BBE&lt;/a&gt;</v>
      </c>
      <c r="AN126" t="str">
        <f t="shared" si="503"/>
        <v>&lt;/li&gt;&lt;li&gt;&lt;a href=|http://darbybible.com/numbers/9.htm| title=|Darby Bible Translation| target=|_top|&gt;DBY&lt;/a&gt;</v>
      </c>
      <c r="AO12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2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2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26" t="str">
        <f>CONCATENATE("&lt;/li&gt;&lt;li&gt;&lt;a href=|http://",AR1191,"/numbers/9.htm","| ","title=|",AR1190,"| target=|_top|&gt;",AR1192,"&lt;/a&gt;")</f>
        <v>&lt;/li&gt;&lt;li&gt;&lt;a href=|http://websterbible.com/numbers/9.htm| title=|Webster's Bible Translation| target=|_top|&gt;WBS&lt;/a&gt;</v>
      </c>
      <c r="AS12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26" t="str">
        <f>CONCATENATE("&lt;/li&gt;&lt;li&gt;&lt;a href=|http://",AT1191,"/numbers/9-1.htm","| ","title=|",AT1190,"| target=|_top|&gt;",AT1192,"&lt;/a&gt;")</f>
        <v>&lt;/li&gt;&lt;li&gt;&lt;a href=|http://biblebrowser.com/numbers/9-1.htm| title=|Split View| target=|_top|&gt;Split&lt;/a&gt;</v>
      </c>
      <c r="AU126" s="2" t="s">
        <v>1276</v>
      </c>
      <c r="AV126" t="s">
        <v>64</v>
      </c>
    </row>
    <row r="127" spans="1:48">
      <c r="A127" t="s">
        <v>622</v>
      </c>
      <c r="B127" t="s">
        <v>180</v>
      </c>
      <c r="C127" t="s">
        <v>624</v>
      </c>
      <c r="D127" t="s">
        <v>1268</v>
      </c>
      <c r="E127" t="s">
        <v>1277</v>
      </c>
      <c r="F127" t="s">
        <v>1304</v>
      </c>
      <c r="G127" t="s">
        <v>1266</v>
      </c>
      <c r="H127" t="s">
        <v>1305</v>
      </c>
      <c r="I127" t="s">
        <v>1303</v>
      </c>
      <c r="J127" t="s">
        <v>1267</v>
      </c>
      <c r="K127" t="s">
        <v>1275</v>
      </c>
      <c r="L127" s="2" t="s">
        <v>1274</v>
      </c>
      <c r="M127" t="str">
        <f t="shared" ref="M127:AB127" si="504">CONCATENATE("&lt;/li&gt;&lt;li&gt;&lt;a href=|http://",M1191,"/numbers/10.htm","| ","title=|",M1190,"| target=|_top|&gt;",M1192,"&lt;/a&gt;")</f>
        <v>&lt;/li&gt;&lt;li&gt;&lt;a href=|http://niv.scripturetext.com/numbers/10.htm| title=|New International Version| target=|_top|&gt;NIV&lt;/a&gt;</v>
      </c>
      <c r="N127" t="str">
        <f t="shared" si="504"/>
        <v>&lt;/li&gt;&lt;li&gt;&lt;a href=|http://nlt.scripturetext.com/numbers/10.htm| title=|New Living Translation| target=|_top|&gt;NLT&lt;/a&gt;</v>
      </c>
      <c r="O127" t="str">
        <f t="shared" si="504"/>
        <v>&lt;/li&gt;&lt;li&gt;&lt;a href=|http://nasb.scripturetext.com/numbers/10.htm| title=|New American Standard Bible| target=|_top|&gt;NAS&lt;/a&gt;</v>
      </c>
      <c r="P127" t="str">
        <f t="shared" si="504"/>
        <v>&lt;/li&gt;&lt;li&gt;&lt;a href=|http://gwt.scripturetext.com/numbers/10.htm| title=|God's Word Translation| target=|_top|&gt;GWT&lt;/a&gt;</v>
      </c>
      <c r="Q127" t="str">
        <f t="shared" si="504"/>
        <v>&lt;/li&gt;&lt;li&gt;&lt;a href=|http://kingjbible.com/numbers/10.htm| title=|King James Bible| target=|_top|&gt;KJV&lt;/a&gt;</v>
      </c>
      <c r="R127" t="str">
        <f t="shared" si="504"/>
        <v>&lt;/li&gt;&lt;li&gt;&lt;a href=|http://asvbible.com/numbers/10.htm| title=|American Standard Version| target=|_top|&gt;ASV&lt;/a&gt;</v>
      </c>
      <c r="S127" t="str">
        <f t="shared" si="504"/>
        <v>&lt;/li&gt;&lt;li&gt;&lt;a href=|http://drb.scripturetext.com/numbers/10.htm| title=|Douay-Rheims Bible| target=|_top|&gt;DRB&lt;/a&gt;</v>
      </c>
      <c r="T127" t="str">
        <f t="shared" si="504"/>
        <v>&lt;/li&gt;&lt;li&gt;&lt;a href=|http://erv.scripturetext.com/numbers/10.htm| title=|English Revised Version| target=|_top|&gt;ERV&lt;/a&gt;</v>
      </c>
      <c r="V127" t="str">
        <f>CONCATENATE("&lt;/li&gt;&lt;li&gt;&lt;a href=|http://",V1191,"/numbers/10.htm","| ","title=|",V1190,"| target=|_top|&gt;",V1192,"&lt;/a&gt;")</f>
        <v>&lt;/li&gt;&lt;li&gt;&lt;a href=|http://study.interlinearbible.org/numbers/10.htm| title=|Hebrew Study Bible| target=|_top|&gt;Heb Study&lt;/a&gt;</v>
      </c>
      <c r="W127" t="str">
        <f t="shared" si="504"/>
        <v>&lt;/li&gt;&lt;li&gt;&lt;a href=|http://apostolic.interlinearbible.org/numbers/10.htm| title=|Apostolic Bible Polyglot Interlinear| target=|_top|&gt;Polyglot&lt;/a&gt;</v>
      </c>
      <c r="X127" t="str">
        <f t="shared" si="504"/>
        <v>&lt;/li&gt;&lt;li&gt;&lt;a href=|http://interlinearbible.org/numbers/10.htm| title=|Interlinear Bible| target=|_top|&gt;Interlin&lt;/a&gt;</v>
      </c>
      <c r="Y127" t="str">
        <f t="shared" ref="Y127" si="505">CONCATENATE("&lt;/li&gt;&lt;li&gt;&lt;a href=|http://",Y1191,"/numbers/10.htm","| ","title=|",Y1190,"| target=|_top|&gt;",Y1192,"&lt;/a&gt;")</f>
        <v>&lt;/li&gt;&lt;li&gt;&lt;a href=|http://bibleoutline.org/numbers/10.htm| title=|Outline with People and Places List| target=|_top|&gt;Outline&lt;/a&gt;</v>
      </c>
      <c r="Z127" t="str">
        <f t="shared" si="504"/>
        <v>&lt;/li&gt;&lt;li&gt;&lt;a href=|http://kjvs.scripturetext.com/numbers/10.htm| title=|King James Bible with Strong's Numbers| target=|_top|&gt;Strong's&lt;/a&gt;</v>
      </c>
      <c r="AA127" t="str">
        <f t="shared" si="504"/>
        <v>&lt;/li&gt;&lt;li&gt;&lt;a href=|http://childrensbibleonline.com/numbers/10.htm| title=|The Children's Bible| target=|_top|&gt;Children's&lt;/a&gt;</v>
      </c>
      <c r="AB127" s="2" t="str">
        <f t="shared" si="504"/>
        <v>&lt;/li&gt;&lt;li&gt;&lt;a href=|http://tsk.scripturetext.com/numbers/10.htm| title=|Treasury of Scripture Knowledge| target=|_top|&gt;TSK&lt;/a&gt;</v>
      </c>
      <c r="AC127" t="str">
        <f>CONCATENATE("&lt;a href=|http://",AC1191,"/numbers/10.htm","| ","title=|",AC1190,"| target=|_top|&gt;",AC1192,"&lt;/a&gt;")</f>
        <v>&lt;a href=|http://parallelbible.com/numbers/10.htm| title=|Parallel Chapters| target=|_top|&gt;PAR&lt;/a&gt;</v>
      </c>
      <c r="AD127" s="2" t="str">
        <f t="shared" ref="AD127:AK127" si="506">CONCATENATE("&lt;/li&gt;&lt;li&gt;&lt;a href=|http://",AD1191,"/numbers/10.htm","| ","title=|",AD1190,"| target=|_top|&gt;",AD1192,"&lt;/a&gt;")</f>
        <v>&lt;/li&gt;&lt;li&gt;&lt;a href=|http://gsb.biblecommenter.com/numbers/10.htm| title=|Geneva Study Bible| target=|_top|&gt;GSB&lt;/a&gt;</v>
      </c>
      <c r="AE127" s="2" t="str">
        <f t="shared" si="506"/>
        <v>&lt;/li&gt;&lt;li&gt;&lt;a href=|http://jfb.biblecommenter.com/numbers/10.htm| title=|Jamieson-Fausset-Brown Bible Commentary| target=|_top|&gt;JFB&lt;/a&gt;</v>
      </c>
      <c r="AF127" s="2" t="str">
        <f t="shared" si="506"/>
        <v>&lt;/li&gt;&lt;li&gt;&lt;a href=|http://kjt.biblecommenter.com/numbers/10.htm| title=|King James Translators' Notes| target=|_top|&gt;KJT&lt;/a&gt;</v>
      </c>
      <c r="AG127" s="2" t="str">
        <f t="shared" si="506"/>
        <v>&lt;/li&gt;&lt;li&gt;&lt;a href=|http://mhc.biblecommenter.com/numbers/10.htm| title=|Matthew Henry's Concise Commentary| target=|_top|&gt;MHC&lt;/a&gt;</v>
      </c>
      <c r="AH127" s="2" t="str">
        <f t="shared" si="506"/>
        <v>&lt;/li&gt;&lt;li&gt;&lt;a href=|http://sco.biblecommenter.com/numbers/10.htm| title=|Scofield Reference Notes| target=|_top|&gt;SCO&lt;/a&gt;</v>
      </c>
      <c r="AI127" s="2" t="str">
        <f t="shared" si="506"/>
        <v>&lt;/li&gt;&lt;li&gt;&lt;a href=|http://wes.biblecommenter.com/numbers/10.htm| title=|Wesley's Notes on the Bible| target=|_top|&gt;WES&lt;/a&gt;</v>
      </c>
      <c r="AJ127" t="str">
        <f t="shared" si="506"/>
        <v>&lt;/li&gt;&lt;li&gt;&lt;a href=|http://worldebible.com/numbers/10.htm| title=|World English Bible| target=|_top|&gt;WEB&lt;/a&gt;</v>
      </c>
      <c r="AK127" t="str">
        <f t="shared" si="506"/>
        <v>&lt;/li&gt;&lt;li&gt;&lt;a href=|http://yltbible.com/numbers/10.htm| title=|Young's Literal Translation| target=|_top|&gt;YLT&lt;/a&gt;</v>
      </c>
      <c r="AL127" t="str">
        <f>CONCATENATE("&lt;a href=|http://",AL1191,"/numbers/10.htm","| ","title=|",AL1190,"| target=|_top|&gt;",AL1192,"&lt;/a&gt;")</f>
        <v>&lt;a href=|http://kjv.us/numbers/10.htm| title=|American King James Version| target=|_top|&gt;AKJ&lt;/a&gt;</v>
      </c>
      <c r="AM127" t="str">
        <f t="shared" ref="AM127:AN127" si="507">CONCATENATE("&lt;/li&gt;&lt;li&gt;&lt;a href=|http://",AM1191,"/numbers/10.htm","| ","title=|",AM1190,"| target=|_top|&gt;",AM1192,"&lt;/a&gt;")</f>
        <v>&lt;/li&gt;&lt;li&gt;&lt;a href=|http://basicenglishbible.com/numbers/10.htm| title=|Bible in Basic English| target=|_top|&gt;BBE&lt;/a&gt;</v>
      </c>
      <c r="AN127" t="str">
        <f t="shared" si="507"/>
        <v>&lt;/li&gt;&lt;li&gt;&lt;a href=|http://darbybible.com/numbers/10.htm| title=|Darby Bible Translation| target=|_top|&gt;DBY&lt;/a&gt;</v>
      </c>
      <c r="AO12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2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2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27" t="str">
        <f>CONCATENATE("&lt;/li&gt;&lt;li&gt;&lt;a href=|http://",AR1191,"/numbers/10.htm","| ","title=|",AR1190,"| target=|_top|&gt;",AR1192,"&lt;/a&gt;")</f>
        <v>&lt;/li&gt;&lt;li&gt;&lt;a href=|http://websterbible.com/numbers/10.htm| title=|Webster's Bible Translation| target=|_top|&gt;WBS&lt;/a&gt;</v>
      </c>
      <c r="AS12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27" t="str">
        <f>CONCATENATE("&lt;/li&gt;&lt;li&gt;&lt;a href=|http://",AT1191,"/numbers/10-1.htm","| ","title=|",AT1190,"| target=|_top|&gt;",AT1192,"&lt;/a&gt;")</f>
        <v>&lt;/li&gt;&lt;li&gt;&lt;a href=|http://biblebrowser.com/numbers/10-1.htm| title=|Split View| target=|_top|&gt;Split&lt;/a&gt;</v>
      </c>
      <c r="AU127" s="2" t="s">
        <v>1276</v>
      </c>
      <c r="AV127" t="s">
        <v>64</v>
      </c>
    </row>
    <row r="128" spans="1:48">
      <c r="A128" t="s">
        <v>622</v>
      </c>
      <c r="B128" t="s">
        <v>181</v>
      </c>
      <c r="C128" t="s">
        <v>624</v>
      </c>
      <c r="D128" t="s">
        <v>1268</v>
      </c>
      <c r="E128" t="s">
        <v>1277</v>
      </c>
      <c r="F128" t="s">
        <v>1304</v>
      </c>
      <c r="G128" t="s">
        <v>1266</v>
      </c>
      <c r="H128" t="s">
        <v>1305</v>
      </c>
      <c r="I128" t="s">
        <v>1303</v>
      </c>
      <c r="J128" t="s">
        <v>1267</v>
      </c>
      <c r="K128" t="s">
        <v>1275</v>
      </c>
      <c r="L128" s="2" t="s">
        <v>1274</v>
      </c>
      <c r="M128" t="str">
        <f t="shared" ref="M128:AB128" si="508">CONCATENATE("&lt;/li&gt;&lt;li&gt;&lt;a href=|http://",M1191,"/numbers/11.htm","| ","title=|",M1190,"| target=|_top|&gt;",M1192,"&lt;/a&gt;")</f>
        <v>&lt;/li&gt;&lt;li&gt;&lt;a href=|http://niv.scripturetext.com/numbers/11.htm| title=|New International Version| target=|_top|&gt;NIV&lt;/a&gt;</v>
      </c>
      <c r="N128" t="str">
        <f t="shared" si="508"/>
        <v>&lt;/li&gt;&lt;li&gt;&lt;a href=|http://nlt.scripturetext.com/numbers/11.htm| title=|New Living Translation| target=|_top|&gt;NLT&lt;/a&gt;</v>
      </c>
      <c r="O128" t="str">
        <f t="shared" si="508"/>
        <v>&lt;/li&gt;&lt;li&gt;&lt;a href=|http://nasb.scripturetext.com/numbers/11.htm| title=|New American Standard Bible| target=|_top|&gt;NAS&lt;/a&gt;</v>
      </c>
      <c r="P128" t="str">
        <f t="shared" si="508"/>
        <v>&lt;/li&gt;&lt;li&gt;&lt;a href=|http://gwt.scripturetext.com/numbers/11.htm| title=|God's Word Translation| target=|_top|&gt;GWT&lt;/a&gt;</v>
      </c>
      <c r="Q128" t="str">
        <f t="shared" si="508"/>
        <v>&lt;/li&gt;&lt;li&gt;&lt;a href=|http://kingjbible.com/numbers/11.htm| title=|King James Bible| target=|_top|&gt;KJV&lt;/a&gt;</v>
      </c>
      <c r="R128" t="str">
        <f t="shared" si="508"/>
        <v>&lt;/li&gt;&lt;li&gt;&lt;a href=|http://asvbible.com/numbers/11.htm| title=|American Standard Version| target=|_top|&gt;ASV&lt;/a&gt;</v>
      </c>
      <c r="S128" t="str">
        <f t="shared" si="508"/>
        <v>&lt;/li&gt;&lt;li&gt;&lt;a href=|http://drb.scripturetext.com/numbers/11.htm| title=|Douay-Rheims Bible| target=|_top|&gt;DRB&lt;/a&gt;</v>
      </c>
      <c r="T128" t="str">
        <f t="shared" si="508"/>
        <v>&lt;/li&gt;&lt;li&gt;&lt;a href=|http://erv.scripturetext.com/numbers/11.htm| title=|English Revised Version| target=|_top|&gt;ERV&lt;/a&gt;</v>
      </c>
      <c r="V128" t="str">
        <f>CONCATENATE("&lt;/li&gt;&lt;li&gt;&lt;a href=|http://",V1191,"/numbers/11.htm","| ","title=|",V1190,"| target=|_top|&gt;",V1192,"&lt;/a&gt;")</f>
        <v>&lt;/li&gt;&lt;li&gt;&lt;a href=|http://study.interlinearbible.org/numbers/11.htm| title=|Hebrew Study Bible| target=|_top|&gt;Heb Study&lt;/a&gt;</v>
      </c>
      <c r="W128" t="str">
        <f t="shared" si="508"/>
        <v>&lt;/li&gt;&lt;li&gt;&lt;a href=|http://apostolic.interlinearbible.org/numbers/11.htm| title=|Apostolic Bible Polyglot Interlinear| target=|_top|&gt;Polyglot&lt;/a&gt;</v>
      </c>
      <c r="X128" t="str">
        <f t="shared" si="508"/>
        <v>&lt;/li&gt;&lt;li&gt;&lt;a href=|http://interlinearbible.org/numbers/11.htm| title=|Interlinear Bible| target=|_top|&gt;Interlin&lt;/a&gt;</v>
      </c>
      <c r="Y128" t="str">
        <f t="shared" ref="Y128" si="509">CONCATENATE("&lt;/li&gt;&lt;li&gt;&lt;a href=|http://",Y1191,"/numbers/11.htm","| ","title=|",Y1190,"| target=|_top|&gt;",Y1192,"&lt;/a&gt;")</f>
        <v>&lt;/li&gt;&lt;li&gt;&lt;a href=|http://bibleoutline.org/numbers/11.htm| title=|Outline with People and Places List| target=|_top|&gt;Outline&lt;/a&gt;</v>
      </c>
      <c r="Z128" t="str">
        <f t="shared" si="508"/>
        <v>&lt;/li&gt;&lt;li&gt;&lt;a href=|http://kjvs.scripturetext.com/numbers/11.htm| title=|King James Bible with Strong's Numbers| target=|_top|&gt;Strong's&lt;/a&gt;</v>
      </c>
      <c r="AA128" t="str">
        <f t="shared" si="508"/>
        <v>&lt;/li&gt;&lt;li&gt;&lt;a href=|http://childrensbibleonline.com/numbers/11.htm| title=|The Children's Bible| target=|_top|&gt;Children's&lt;/a&gt;</v>
      </c>
      <c r="AB128" s="2" t="str">
        <f t="shared" si="508"/>
        <v>&lt;/li&gt;&lt;li&gt;&lt;a href=|http://tsk.scripturetext.com/numbers/11.htm| title=|Treasury of Scripture Knowledge| target=|_top|&gt;TSK&lt;/a&gt;</v>
      </c>
      <c r="AC128" t="str">
        <f>CONCATENATE("&lt;a href=|http://",AC1191,"/numbers/11.htm","| ","title=|",AC1190,"| target=|_top|&gt;",AC1192,"&lt;/a&gt;")</f>
        <v>&lt;a href=|http://parallelbible.com/numbers/11.htm| title=|Parallel Chapters| target=|_top|&gt;PAR&lt;/a&gt;</v>
      </c>
      <c r="AD128" s="2" t="str">
        <f t="shared" ref="AD128:AK128" si="510">CONCATENATE("&lt;/li&gt;&lt;li&gt;&lt;a href=|http://",AD1191,"/numbers/11.htm","| ","title=|",AD1190,"| target=|_top|&gt;",AD1192,"&lt;/a&gt;")</f>
        <v>&lt;/li&gt;&lt;li&gt;&lt;a href=|http://gsb.biblecommenter.com/numbers/11.htm| title=|Geneva Study Bible| target=|_top|&gt;GSB&lt;/a&gt;</v>
      </c>
      <c r="AE128" s="2" t="str">
        <f t="shared" si="510"/>
        <v>&lt;/li&gt;&lt;li&gt;&lt;a href=|http://jfb.biblecommenter.com/numbers/11.htm| title=|Jamieson-Fausset-Brown Bible Commentary| target=|_top|&gt;JFB&lt;/a&gt;</v>
      </c>
      <c r="AF128" s="2" t="str">
        <f t="shared" si="510"/>
        <v>&lt;/li&gt;&lt;li&gt;&lt;a href=|http://kjt.biblecommenter.com/numbers/11.htm| title=|King James Translators' Notes| target=|_top|&gt;KJT&lt;/a&gt;</v>
      </c>
      <c r="AG128" s="2" t="str">
        <f t="shared" si="510"/>
        <v>&lt;/li&gt;&lt;li&gt;&lt;a href=|http://mhc.biblecommenter.com/numbers/11.htm| title=|Matthew Henry's Concise Commentary| target=|_top|&gt;MHC&lt;/a&gt;</v>
      </c>
      <c r="AH128" s="2" t="str">
        <f t="shared" si="510"/>
        <v>&lt;/li&gt;&lt;li&gt;&lt;a href=|http://sco.biblecommenter.com/numbers/11.htm| title=|Scofield Reference Notes| target=|_top|&gt;SCO&lt;/a&gt;</v>
      </c>
      <c r="AI128" s="2" t="str">
        <f t="shared" si="510"/>
        <v>&lt;/li&gt;&lt;li&gt;&lt;a href=|http://wes.biblecommenter.com/numbers/11.htm| title=|Wesley's Notes on the Bible| target=|_top|&gt;WES&lt;/a&gt;</v>
      </c>
      <c r="AJ128" t="str">
        <f t="shared" si="510"/>
        <v>&lt;/li&gt;&lt;li&gt;&lt;a href=|http://worldebible.com/numbers/11.htm| title=|World English Bible| target=|_top|&gt;WEB&lt;/a&gt;</v>
      </c>
      <c r="AK128" t="str">
        <f t="shared" si="510"/>
        <v>&lt;/li&gt;&lt;li&gt;&lt;a href=|http://yltbible.com/numbers/11.htm| title=|Young's Literal Translation| target=|_top|&gt;YLT&lt;/a&gt;</v>
      </c>
      <c r="AL128" t="str">
        <f>CONCATENATE("&lt;a href=|http://",AL1191,"/numbers/11.htm","| ","title=|",AL1190,"| target=|_top|&gt;",AL1192,"&lt;/a&gt;")</f>
        <v>&lt;a href=|http://kjv.us/numbers/11.htm| title=|American King James Version| target=|_top|&gt;AKJ&lt;/a&gt;</v>
      </c>
      <c r="AM128" t="str">
        <f t="shared" ref="AM128:AN128" si="511">CONCATENATE("&lt;/li&gt;&lt;li&gt;&lt;a href=|http://",AM1191,"/numbers/11.htm","| ","title=|",AM1190,"| target=|_top|&gt;",AM1192,"&lt;/a&gt;")</f>
        <v>&lt;/li&gt;&lt;li&gt;&lt;a href=|http://basicenglishbible.com/numbers/11.htm| title=|Bible in Basic English| target=|_top|&gt;BBE&lt;/a&gt;</v>
      </c>
      <c r="AN128" t="str">
        <f t="shared" si="511"/>
        <v>&lt;/li&gt;&lt;li&gt;&lt;a href=|http://darbybible.com/numbers/11.htm| title=|Darby Bible Translation| target=|_top|&gt;DBY&lt;/a&gt;</v>
      </c>
      <c r="AO12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2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2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28" t="str">
        <f>CONCATENATE("&lt;/li&gt;&lt;li&gt;&lt;a href=|http://",AR1191,"/numbers/11.htm","| ","title=|",AR1190,"| target=|_top|&gt;",AR1192,"&lt;/a&gt;")</f>
        <v>&lt;/li&gt;&lt;li&gt;&lt;a href=|http://websterbible.com/numbers/11.htm| title=|Webster's Bible Translation| target=|_top|&gt;WBS&lt;/a&gt;</v>
      </c>
      <c r="AS12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28" t="str">
        <f>CONCATENATE("&lt;/li&gt;&lt;li&gt;&lt;a href=|http://",AT1191,"/numbers/11-1.htm","| ","title=|",AT1190,"| target=|_top|&gt;",AT1192,"&lt;/a&gt;")</f>
        <v>&lt;/li&gt;&lt;li&gt;&lt;a href=|http://biblebrowser.com/numbers/11-1.htm| title=|Split View| target=|_top|&gt;Split&lt;/a&gt;</v>
      </c>
      <c r="AU128" s="2" t="s">
        <v>1276</v>
      </c>
      <c r="AV128" t="s">
        <v>64</v>
      </c>
    </row>
    <row r="129" spans="1:48">
      <c r="A129" t="s">
        <v>622</v>
      </c>
      <c r="B129" t="s">
        <v>182</v>
      </c>
      <c r="C129" t="s">
        <v>624</v>
      </c>
      <c r="D129" t="s">
        <v>1268</v>
      </c>
      <c r="E129" t="s">
        <v>1277</v>
      </c>
      <c r="F129" t="s">
        <v>1304</v>
      </c>
      <c r="G129" t="s">
        <v>1266</v>
      </c>
      <c r="H129" t="s">
        <v>1305</v>
      </c>
      <c r="I129" t="s">
        <v>1303</v>
      </c>
      <c r="J129" t="s">
        <v>1267</v>
      </c>
      <c r="K129" t="s">
        <v>1275</v>
      </c>
      <c r="L129" s="2" t="s">
        <v>1274</v>
      </c>
      <c r="M129" t="str">
        <f t="shared" ref="M129:AB129" si="512">CONCATENATE("&lt;/li&gt;&lt;li&gt;&lt;a href=|http://",M1191,"/numbers/12.htm","| ","title=|",M1190,"| target=|_top|&gt;",M1192,"&lt;/a&gt;")</f>
        <v>&lt;/li&gt;&lt;li&gt;&lt;a href=|http://niv.scripturetext.com/numbers/12.htm| title=|New International Version| target=|_top|&gt;NIV&lt;/a&gt;</v>
      </c>
      <c r="N129" t="str">
        <f t="shared" si="512"/>
        <v>&lt;/li&gt;&lt;li&gt;&lt;a href=|http://nlt.scripturetext.com/numbers/12.htm| title=|New Living Translation| target=|_top|&gt;NLT&lt;/a&gt;</v>
      </c>
      <c r="O129" t="str">
        <f t="shared" si="512"/>
        <v>&lt;/li&gt;&lt;li&gt;&lt;a href=|http://nasb.scripturetext.com/numbers/12.htm| title=|New American Standard Bible| target=|_top|&gt;NAS&lt;/a&gt;</v>
      </c>
      <c r="P129" t="str">
        <f t="shared" si="512"/>
        <v>&lt;/li&gt;&lt;li&gt;&lt;a href=|http://gwt.scripturetext.com/numbers/12.htm| title=|God's Word Translation| target=|_top|&gt;GWT&lt;/a&gt;</v>
      </c>
      <c r="Q129" t="str">
        <f t="shared" si="512"/>
        <v>&lt;/li&gt;&lt;li&gt;&lt;a href=|http://kingjbible.com/numbers/12.htm| title=|King James Bible| target=|_top|&gt;KJV&lt;/a&gt;</v>
      </c>
      <c r="R129" t="str">
        <f t="shared" si="512"/>
        <v>&lt;/li&gt;&lt;li&gt;&lt;a href=|http://asvbible.com/numbers/12.htm| title=|American Standard Version| target=|_top|&gt;ASV&lt;/a&gt;</v>
      </c>
      <c r="S129" t="str">
        <f t="shared" si="512"/>
        <v>&lt;/li&gt;&lt;li&gt;&lt;a href=|http://drb.scripturetext.com/numbers/12.htm| title=|Douay-Rheims Bible| target=|_top|&gt;DRB&lt;/a&gt;</v>
      </c>
      <c r="T129" t="str">
        <f t="shared" si="512"/>
        <v>&lt;/li&gt;&lt;li&gt;&lt;a href=|http://erv.scripturetext.com/numbers/12.htm| title=|English Revised Version| target=|_top|&gt;ERV&lt;/a&gt;</v>
      </c>
      <c r="V129" t="str">
        <f>CONCATENATE("&lt;/li&gt;&lt;li&gt;&lt;a href=|http://",V1191,"/numbers/12.htm","| ","title=|",V1190,"| target=|_top|&gt;",V1192,"&lt;/a&gt;")</f>
        <v>&lt;/li&gt;&lt;li&gt;&lt;a href=|http://study.interlinearbible.org/numbers/12.htm| title=|Hebrew Study Bible| target=|_top|&gt;Heb Study&lt;/a&gt;</v>
      </c>
      <c r="W129" t="str">
        <f t="shared" si="512"/>
        <v>&lt;/li&gt;&lt;li&gt;&lt;a href=|http://apostolic.interlinearbible.org/numbers/12.htm| title=|Apostolic Bible Polyglot Interlinear| target=|_top|&gt;Polyglot&lt;/a&gt;</v>
      </c>
      <c r="X129" t="str">
        <f t="shared" si="512"/>
        <v>&lt;/li&gt;&lt;li&gt;&lt;a href=|http://interlinearbible.org/numbers/12.htm| title=|Interlinear Bible| target=|_top|&gt;Interlin&lt;/a&gt;</v>
      </c>
      <c r="Y129" t="str">
        <f t="shared" ref="Y129" si="513">CONCATENATE("&lt;/li&gt;&lt;li&gt;&lt;a href=|http://",Y1191,"/numbers/12.htm","| ","title=|",Y1190,"| target=|_top|&gt;",Y1192,"&lt;/a&gt;")</f>
        <v>&lt;/li&gt;&lt;li&gt;&lt;a href=|http://bibleoutline.org/numbers/12.htm| title=|Outline with People and Places List| target=|_top|&gt;Outline&lt;/a&gt;</v>
      </c>
      <c r="Z129" t="str">
        <f t="shared" si="512"/>
        <v>&lt;/li&gt;&lt;li&gt;&lt;a href=|http://kjvs.scripturetext.com/numbers/12.htm| title=|King James Bible with Strong's Numbers| target=|_top|&gt;Strong's&lt;/a&gt;</v>
      </c>
      <c r="AA129" t="str">
        <f t="shared" si="512"/>
        <v>&lt;/li&gt;&lt;li&gt;&lt;a href=|http://childrensbibleonline.com/numbers/12.htm| title=|The Children's Bible| target=|_top|&gt;Children's&lt;/a&gt;</v>
      </c>
      <c r="AB129" s="2" t="str">
        <f t="shared" si="512"/>
        <v>&lt;/li&gt;&lt;li&gt;&lt;a href=|http://tsk.scripturetext.com/numbers/12.htm| title=|Treasury of Scripture Knowledge| target=|_top|&gt;TSK&lt;/a&gt;</v>
      </c>
      <c r="AC129" t="str">
        <f>CONCATENATE("&lt;a href=|http://",AC1191,"/numbers/12.htm","| ","title=|",AC1190,"| target=|_top|&gt;",AC1192,"&lt;/a&gt;")</f>
        <v>&lt;a href=|http://parallelbible.com/numbers/12.htm| title=|Parallel Chapters| target=|_top|&gt;PAR&lt;/a&gt;</v>
      </c>
      <c r="AD129" s="2" t="str">
        <f t="shared" ref="AD129:AK129" si="514">CONCATENATE("&lt;/li&gt;&lt;li&gt;&lt;a href=|http://",AD1191,"/numbers/12.htm","| ","title=|",AD1190,"| target=|_top|&gt;",AD1192,"&lt;/a&gt;")</f>
        <v>&lt;/li&gt;&lt;li&gt;&lt;a href=|http://gsb.biblecommenter.com/numbers/12.htm| title=|Geneva Study Bible| target=|_top|&gt;GSB&lt;/a&gt;</v>
      </c>
      <c r="AE129" s="2" t="str">
        <f t="shared" si="514"/>
        <v>&lt;/li&gt;&lt;li&gt;&lt;a href=|http://jfb.biblecommenter.com/numbers/12.htm| title=|Jamieson-Fausset-Brown Bible Commentary| target=|_top|&gt;JFB&lt;/a&gt;</v>
      </c>
      <c r="AF129" s="2" t="str">
        <f t="shared" si="514"/>
        <v>&lt;/li&gt;&lt;li&gt;&lt;a href=|http://kjt.biblecommenter.com/numbers/12.htm| title=|King James Translators' Notes| target=|_top|&gt;KJT&lt;/a&gt;</v>
      </c>
      <c r="AG129" s="2" t="str">
        <f t="shared" si="514"/>
        <v>&lt;/li&gt;&lt;li&gt;&lt;a href=|http://mhc.biblecommenter.com/numbers/12.htm| title=|Matthew Henry's Concise Commentary| target=|_top|&gt;MHC&lt;/a&gt;</v>
      </c>
      <c r="AH129" s="2" t="str">
        <f t="shared" si="514"/>
        <v>&lt;/li&gt;&lt;li&gt;&lt;a href=|http://sco.biblecommenter.com/numbers/12.htm| title=|Scofield Reference Notes| target=|_top|&gt;SCO&lt;/a&gt;</v>
      </c>
      <c r="AI129" s="2" t="str">
        <f t="shared" si="514"/>
        <v>&lt;/li&gt;&lt;li&gt;&lt;a href=|http://wes.biblecommenter.com/numbers/12.htm| title=|Wesley's Notes on the Bible| target=|_top|&gt;WES&lt;/a&gt;</v>
      </c>
      <c r="AJ129" t="str">
        <f t="shared" si="514"/>
        <v>&lt;/li&gt;&lt;li&gt;&lt;a href=|http://worldebible.com/numbers/12.htm| title=|World English Bible| target=|_top|&gt;WEB&lt;/a&gt;</v>
      </c>
      <c r="AK129" t="str">
        <f t="shared" si="514"/>
        <v>&lt;/li&gt;&lt;li&gt;&lt;a href=|http://yltbible.com/numbers/12.htm| title=|Young's Literal Translation| target=|_top|&gt;YLT&lt;/a&gt;</v>
      </c>
      <c r="AL129" t="str">
        <f>CONCATENATE("&lt;a href=|http://",AL1191,"/numbers/12.htm","| ","title=|",AL1190,"| target=|_top|&gt;",AL1192,"&lt;/a&gt;")</f>
        <v>&lt;a href=|http://kjv.us/numbers/12.htm| title=|American King James Version| target=|_top|&gt;AKJ&lt;/a&gt;</v>
      </c>
      <c r="AM129" t="str">
        <f t="shared" ref="AM129:AN129" si="515">CONCATENATE("&lt;/li&gt;&lt;li&gt;&lt;a href=|http://",AM1191,"/numbers/12.htm","| ","title=|",AM1190,"| target=|_top|&gt;",AM1192,"&lt;/a&gt;")</f>
        <v>&lt;/li&gt;&lt;li&gt;&lt;a href=|http://basicenglishbible.com/numbers/12.htm| title=|Bible in Basic English| target=|_top|&gt;BBE&lt;/a&gt;</v>
      </c>
      <c r="AN129" t="str">
        <f t="shared" si="515"/>
        <v>&lt;/li&gt;&lt;li&gt;&lt;a href=|http://darbybible.com/numbers/12.htm| title=|Darby Bible Translation| target=|_top|&gt;DBY&lt;/a&gt;</v>
      </c>
      <c r="AO12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2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2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29" t="str">
        <f>CONCATENATE("&lt;/li&gt;&lt;li&gt;&lt;a href=|http://",AR1191,"/numbers/12.htm","| ","title=|",AR1190,"| target=|_top|&gt;",AR1192,"&lt;/a&gt;")</f>
        <v>&lt;/li&gt;&lt;li&gt;&lt;a href=|http://websterbible.com/numbers/12.htm| title=|Webster's Bible Translation| target=|_top|&gt;WBS&lt;/a&gt;</v>
      </c>
      <c r="AS12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29" t="str">
        <f>CONCATENATE("&lt;/li&gt;&lt;li&gt;&lt;a href=|http://",AT1191,"/numbers/12-1.htm","| ","title=|",AT1190,"| target=|_top|&gt;",AT1192,"&lt;/a&gt;")</f>
        <v>&lt;/li&gt;&lt;li&gt;&lt;a href=|http://biblebrowser.com/numbers/12-1.htm| title=|Split View| target=|_top|&gt;Split&lt;/a&gt;</v>
      </c>
      <c r="AU129" s="2" t="s">
        <v>1276</v>
      </c>
      <c r="AV129" t="s">
        <v>64</v>
      </c>
    </row>
    <row r="130" spans="1:48">
      <c r="A130" t="s">
        <v>622</v>
      </c>
      <c r="B130" t="s">
        <v>183</v>
      </c>
      <c r="C130" t="s">
        <v>624</v>
      </c>
      <c r="D130" t="s">
        <v>1268</v>
      </c>
      <c r="E130" t="s">
        <v>1277</v>
      </c>
      <c r="F130" t="s">
        <v>1304</v>
      </c>
      <c r="G130" t="s">
        <v>1266</v>
      </c>
      <c r="H130" t="s">
        <v>1305</v>
      </c>
      <c r="I130" t="s">
        <v>1303</v>
      </c>
      <c r="J130" t="s">
        <v>1267</v>
      </c>
      <c r="K130" t="s">
        <v>1275</v>
      </c>
      <c r="L130" s="2" t="s">
        <v>1274</v>
      </c>
      <c r="M130" t="str">
        <f t="shared" ref="M130:AB130" si="516">CONCATENATE("&lt;/li&gt;&lt;li&gt;&lt;a href=|http://",M1191,"/numbers/13.htm","| ","title=|",M1190,"| target=|_top|&gt;",M1192,"&lt;/a&gt;")</f>
        <v>&lt;/li&gt;&lt;li&gt;&lt;a href=|http://niv.scripturetext.com/numbers/13.htm| title=|New International Version| target=|_top|&gt;NIV&lt;/a&gt;</v>
      </c>
      <c r="N130" t="str">
        <f t="shared" si="516"/>
        <v>&lt;/li&gt;&lt;li&gt;&lt;a href=|http://nlt.scripturetext.com/numbers/13.htm| title=|New Living Translation| target=|_top|&gt;NLT&lt;/a&gt;</v>
      </c>
      <c r="O130" t="str">
        <f t="shared" si="516"/>
        <v>&lt;/li&gt;&lt;li&gt;&lt;a href=|http://nasb.scripturetext.com/numbers/13.htm| title=|New American Standard Bible| target=|_top|&gt;NAS&lt;/a&gt;</v>
      </c>
      <c r="P130" t="str">
        <f t="shared" si="516"/>
        <v>&lt;/li&gt;&lt;li&gt;&lt;a href=|http://gwt.scripturetext.com/numbers/13.htm| title=|God's Word Translation| target=|_top|&gt;GWT&lt;/a&gt;</v>
      </c>
      <c r="Q130" t="str">
        <f t="shared" si="516"/>
        <v>&lt;/li&gt;&lt;li&gt;&lt;a href=|http://kingjbible.com/numbers/13.htm| title=|King James Bible| target=|_top|&gt;KJV&lt;/a&gt;</v>
      </c>
      <c r="R130" t="str">
        <f t="shared" si="516"/>
        <v>&lt;/li&gt;&lt;li&gt;&lt;a href=|http://asvbible.com/numbers/13.htm| title=|American Standard Version| target=|_top|&gt;ASV&lt;/a&gt;</v>
      </c>
      <c r="S130" t="str">
        <f t="shared" si="516"/>
        <v>&lt;/li&gt;&lt;li&gt;&lt;a href=|http://drb.scripturetext.com/numbers/13.htm| title=|Douay-Rheims Bible| target=|_top|&gt;DRB&lt;/a&gt;</v>
      </c>
      <c r="T130" t="str">
        <f t="shared" si="516"/>
        <v>&lt;/li&gt;&lt;li&gt;&lt;a href=|http://erv.scripturetext.com/numbers/13.htm| title=|English Revised Version| target=|_top|&gt;ERV&lt;/a&gt;</v>
      </c>
      <c r="V130" t="str">
        <f>CONCATENATE("&lt;/li&gt;&lt;li&gt;&lt;a href=|http://",V1191,"/numbers/13.htm","| ","title=|",V1190,"| target=|_top|&gt;",V1192,"&lt;/a&gt;")</f>
        <v>&lt;/li&gt;&lt;li&gt;&lt;a href=|http://study.interlinearbible.org/numbers/13.htm| title=|Hebrew Study Bible| target=|_top|&gt;Heb Study&lt;/a&gt;</v>
      </c>
      <c r="W130" t="str">
        <f t="shared" si="516"/>
        <v>&lt;/li&gt;&lt;li&gt;&lt;a href=|http://apostolic.interlinearbible.org/numbers/13.htm| title=|Apostolic Bible Polyglot Interlinear| target=|_top|&gt;Polyglot&lt;/a&gt;</v>
      </c>
      <c r="X130" t="str">
        <f t="shared" si="516"/>
        <v>&lt;/li&gt;&lt;li&gt;&lt;a href=|http://interlinearbible.org/numbers/13.htm| title=|Interlinear Bible| target=|_top|&gt;Interlin&lt;/a&gt;</v>
      </c>
      <c r="Y130" t="str">
        <f t="shared" ref="Y130" si="517">CONCATENATE("&lt;/li&gt;&lt;li&gt;&lt;a href=|http://",Y1191,"/numbers/13.htm","| ","title=|",Y1190,"| target=|_top|&gt;",Y1192,"&lt;/a&gt;")</f>
        <v>&lt;/li&gt;&lt;li&gt;&lt;a href=|http://bibleoutline.org/numbers/13.htm| title=|Outline with People and Places List| target=|_top|&gt;Outline&lt;/a&gt;</v>
      </c>
      <c r="Z130" t="str">
        <f t="shared" si="516"/>
        <v>&lt;/li&gt;&lt;li&gt;&lt;a href=|http://kjvs.scripturetext.com/numbers/13.htm| title=|King James Bible with Strong's Numbers| target=|_top|&gt;Strong's&lt;/a&gt;</v>
      </c>
      <c r="AA130" t="str">
        <f t="shared" si="516"/>
        <v>&lt;/li&gt;&lt;li&gt;&lt;a href=|http://childrensbibleonline.com/numbers/13.htm| title=|The Children's Bible| target=|_top|&gt;Children's&lt;/a&gt;</v>
      </c>
      <c r="AB130" s="2" t="str">
        <f t="shared" si="516"/>
        <v>&lt;/li&gt;&lt;li&gt;&lt;a href=|http://tsk.scripturetext.com/numbers/13.htm| title=|Treasury of Scripture Knowledge| target=|_top|&gt;TSK&lt;/a&gt;</v>
      </c>
      <c r="AC130" t="str">
        <f>CONCATENATE("&lt;a href=|http://",AC1191,"/numbers/13.htm","| ","title=|",AC1190,"| target=|_top|&gt;",AC1192,"&lt;/a&gt;")</f>
        <v>&lt;a href=|http://parallelbible.com/numbers/13.htm| title=|Parallel Chapters| target=|_top|&gt;PAR&lt;/a&gt;</v>
      </c>
      <c r="AD130" s="2" t="str">
        <f t="shared" ref="AD130:AK130" si="518">CONCATENATE("&lt;/li&gt;&lt;li&gt;&lt;a href=|http://",AD1191,"/numbers/13.htm","| ","title=|",AD1190,"| target=|_top|&gt;",AD1192,"&lt;/a&gt;")</f>
        <v>&lt;/li&gt;&lt;li&gt;&lt;a href=|http://gsb.biblecommenter.com/numbers/13.htm| title=|Geneva Study Bible| target=|_top|&gt;GSB&lt;/a&gt;</v>
      </c>
      <c r="AE130" s="2" t="str">
        <f t="shared" si="518"/>
        <v>&lt;/li&gt;&lt;li&gt;&lt;a href=|http://jfb.biblecommenter.com/numbers/13.htm| title=|Jamieson-Fausset-Brown Bible Commentary| target=|_top|&gt;JFB&lt;/a&gt;</v>
      </c>
      <c r="AF130" s="2" t="str">
        <f t="shared" si="518"/>
        <v>&lt;/li&gt;&lt;li&gt;&lt;a href=|http://kjt.biblecommenter.com/numbers/13.htm| title=|King James Translators' Notes| target=|_top|&gt;KJT&lt;/a&gt;</v>
      </c>
      <c r="AG130" s="2" t="str">
        <f t="shared" si="518"/>
        <v>&lt;/li&gt;&lt;li&gt;&lt;a href=|http://mhc.biblecommenter.com/numbers/13.htm| title=|Matthew Henry's Concise Commentary| target=|_top|&gt;MHC&lt;/a&gt;</v>
      </c>
      <c r="AH130" s="2" t="str">
        <f t="shared" si="518"/>
        <v>&lt;/li&gt;&lt;li&gt;&lt;a href=|http://sco.biblecommenter.com/numbers/13.htm| title=|Scofield Reference Notes| target=|_top|&gt;SCO&lt;/a&gt;</v>
      </c>
      <c r="AI130" s="2" t="str">
        <f t="shared" si="518"/>
        <v>&lt;/li&gt;&lt;li&gt;&lt;a href=|http://wes.biblecommenter.com/numbers/13.htm| title=|Wesley's Notes on the Bible| target=|_top|&gt;WES&lt;/a&gt;</v>
      </c>
      <c r="AJ130" t="str">
        <f t="shared" si="518"/>
        <v>&lt;/li&gt;&lt;li&gt;&lt;a href=|http://worldebible.com/numbers/13.htm| title=|World English Bible| target=|_top|&gt;WEB&lt;/a&gt;</v>
      </c>
      <c r="AK130" t="str">
        <f t="shared" si="518"/>
        <v>&lt;/li&gt;&lt;li&gt;&lt;a href=|http://yltbible.com/numbers/13.htm| title=|Young's Literal Translation| target=|_top|&gt;YLT&lt;/a&gt;</v>
      </c>
      <c r="AL130" t="str">
        <f>CONCATENATE("&lt;a href=|http://",AL1191,"/numbers/13.htm","| ","title=|",AL1190,"| target=|_top|&gt;",AL1192,"&lt;/a&gt;")</f>
        <v>&lt;a href=|http://kjv.us/numbers/13.htm| title=|American King James Version| target=|_top|&gt;AKJ&lt;/a&gt;</v>
      </c>
      <c r="AM130" t="str">
        <f t="shared" ref="AM130:AN130" si="519">CONCATENATE("&lt;/li&gt;&lt;li&gt;&lt;a href=|http://",AM1191,"/numbers/13.htm","| ","title=|",AM1190,"| target=|_top|&gt;",AM1192,"&lt;/a&gt;")</f>
        <v>&lt;/li&gt;&lt;li&gt;&lt;a href=|http://basicenglishbible.com/numbers/13.htm| title=|Bible in Basic English| target=|_top|&gt;BBE&lt;/a&gt;</v>
      </c>
      <c r="AN130" t="str">
        <f t="shared" si="519"/>
        <v>&lt;/li&gt;&lt;li&gt;&lt;a href=|http://darbybible.com/numbers/13.htm| title=|Darby Bible Translation| target=|_top|&gt;DBY&lt;/a&gt;</v>
      </c>
      <c r="AO13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3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3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30" t="str">
        <f>CONCATENATE("&lt;/li&gt;&lt;li&gt;&lt;a href=|http://",AR1191,"/numbers/13.htm","| ","title=|",AR1190,"| target=|_top|&gt;",AR1192,"&lt;/a&gt;")</f>
        <v>&lt;/li&gt;&lt;li&gt;&lt;a href=|http://websterbible.com/numbers/13.htm| title=|Webster's Bible Translation| target=|_top|&gt;WBS&lt;/a&gt;</v>
      </c>
      <c r="AS13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30" t="str">
        <f>CONCATENATE("&lt;/li&gt;&lt;li&gt;&lt;a href=|http://",AT1191,"/numbers/13-1.htm","| ","title=|",AT1190,"| target=|_top|&gt;",AT1192,"&lt;/a&gt;")</f>
        <v>&lt;/li&gt;&lt;li&gt;&lt;a href=|http://biblebrowser.com/numbers/13-1.htm| title=|Split View| target=|_top|&gt;Split&lt;/a&gt;</v>
      </c>
      <c r="AU130" s="2" t="s">
        <v>1276</v>
      </c>
      <c r="AV130" t="s">
        <v>64</v>
      </c>
    </row>
    <row r="131" spans="1:48">
      <c r="A131" t="s">
        <v>622</v>
      </c>
      <c r="B131" t="s">
        <v>184</v>
      </c>
      <c r="C131" t="s">
        <v>624</v>
      </c>
      <c r="D131" t="s">
        <v>1268</v>
      </c>
      <c r="E131" t="s">
        <v>1277</v>
      </c>
      <c r="F131" t="s">
        <v>1304</v>
      </c>
      <c r="G131" t="s">
        <v>1266</v>
      </c>
      <c r="H131" t="s">
        <v>1305</v>
      </c>
      <c r="I131" t="s">
        <v>1303</v>
      </c>
      <c r="J131" t="s">
        <v>1267</v>
      </c>
      <c r="K131" t="s">
        <v>1275</v>
      </c>
      <c r="L131" s="2" t="s">
        <v>1274</v>
      </c>
      <c r="M131" t="str">
        <f t="shared" ref="M131:AB131" si="520">CONCATENATE("&lt;/li&gt;&lt;li&gt;&lt;a href=|http://",M1191,"/numbers/14.htm","| ","title=|",M1190,"| target=|_top|&gt;",M1192,"&lt;/a&gt;")</f>
        <v>&lt;/li&gt;&lt;li&gt;&lt;a href=|http://niv.scripturetext.com/numbers/14.htm| title=|New International Version| target=|_top|&gt;NIV&lt;/a&gt;</v>
      </c>
      <c r="N131" t="str">
        <f t="shared" si="520"/>
        <v>&lt;/li&gt;&lt;li&gt;&lt;a href=|http://nlt.scripturetext.com/numbers/14.htm| title=|New Living Translation| target=|_top|&gt;NLT&lt;/a&gt;</v>
      </c>
      <c r="O131" t="str">
        <f t="shared" si="520"/>
        <v>&lt;/li&gt;&lt;li&gt;&lt;a href=|http://nasb.scripturetext.com/numbers/14.htm| title=|New American Standard Bible| target=|_top|&gt;NAS&lt;/a&gt;</v>
      </c>
      <c r="P131" t="str">
        <f t="shared" si="520"/>
        <v>&lt;/li&gt;&lt;li&gt;&lt;a href=|http://gwt.scripturetext.com/numbers/14.htm| title=|God's Word Translation| target=|_top|&gt;GWT&lt;/a&gt;</v>
      </c>
      <c r="Q131" t="str">
        <f t="shared" si="520"/>
        <v>&lt;/li&gt;&lt;li&gt;&lt;a href=|http://kingjbible.com/numbers/14.htm| title=|King James Bible| target=|_top|&gt;KJV&lt;/a&gt;</v>
      </c>
      <c r="R131" t="str">
        <f t="shared" si="520"/>
        <v>&lt;/li&gt;&lt;li&gt;&lt;a href=|http://asvbible.com/numbers/14.htm| title=|American Standard Version| target=|_top|&gt;ASV&lt;/a&gt;</v>
      </c>
      <c r="S131" t="str">
        <f t="shared" si="520"/>
        <v>&lt;/li&gt;&lt;li&gt;&lt;a href=|http://drb.scripturetext.com/numbers/14.htm| title=|Douay-Rheims Bible| target=|_top|&gt;DRB&lt;/a&gt;</v>
      </c>
      <c r="T131" t="str">
        <f t="shared" si="520"/>
        <v>&lt;/li&gt;&lt;li&gt;&lt;a href=|http://erv.scripturetext.com/numbers/14.htm| title=|English Revised Version| target=|_top|&gt;ERV&lt;/a&gt;</v>
      </c>
      <c r="V131" t="str">
        <f>CONCATENATE("&lt;/li&gt;&lt;li&gt;&lt;a href=|http://",V1191,"/numbers/14.htm","| ","title=|",V1190,"| target=|_top|&gt;",V1192,"&lt;/a&gt;")</f>
        <v>&lt;/li&gt;&lt;li&gt;&lt;a href=|http://study.interlinearbible.org/numbers/14.htm| title=|Hebrew Study Bible| target=|_top|&gt;Heb Study&lt;/a&gt;</v>
      </c>
      <c r="W131" t="str">
        <f t="shared" si="520"/>
        <v>&lt;/li&gt;&lt;li&gt;&lt;a href=|http://apostolic.interlinearbible.org/numbers/14.htm| title=|Apostolic Bible Polyglot Interlinear| target=|_top|&gt;Polyglot&lt;/a&gt;</v>
      </c>
      <c r="X131" t="str">
        <f t="shared" si="520"/>
        <v>&lt;/li&gt;&lt;li&gt;&lt;a href=|http://interlinearbible.org/numbers/14.htm| title=|Interlinear Bible| target=|_top|&gt;Interlin&lt;/a&gt;</v>
      </c>
      <c r="Y131" t="str">
        <f t="shared" ref="Y131" si="521">CONCATENATE("&lt;/li&gt;&lt;li&gt;&lt;a href=|http://",Y1191,"/numbers/14.htm","| ","title=|",Y1190,"| target=|_top|&gt;",Y1192,"&lt;/a&gt;")</f>
        <v>&lt;/li&gt;&lt;li&gt;&lt;a href=|http://bibleoutline.org/numbers/14.htm| title=|Outline with People and Places List| target=|_top|&gt;Outline&lt;/a&gt;</v>
      </c>
      <c r="Z131" t="str">
        <f t="shared" si="520"/>
        <v>&lt;/li&gt;&lt;li&gt;&lt;a href=|http://kjvs.scripturetext.com/numbers/14.htm| title=|King James Bible with Strong's Numbers| target=|_top|&gt;Strong's&lt;/a&gt;</v>
      </c>
      <c r="AA131" t="str">
        <f t="shared" si="520"/>
        <v>&lt;/li&gt;&lt;li&gt;&lt;a href=|http://childrensbibleonline.com/numbers/14.htm| title=|The Children's Bible| target=|_top|&gt;Children's&lt;/a&gt;</v>
      </c>
      <c r="AB131" s="2" t="str">
        <f t="shared" si="520"/>
        <v>&lt;/li&gt;&lt;li&gt;&lt;a href=|http://tsk.scripturetext.com/numbers/14.htm| title=|Treasury of Scripture Knowledge| target=|_top|&gt;TSK&lt;/a&gt;</v>
      </c>
      <c r="AC131" t="str">
        <f>CONCATENATE("&lt;a href=|http://",AC1191,"/numbers/14.htm","| ","title=|",AC1190,"| target=|_top|&gt;",AC1192,"&lt;/a&gt;")</f>
        <v>&lt;a href=|http://parallelbible.com/numbers/14.htm| title=|Parallel Chapters| target=|_top|&gt;PAR&lt;/a&gt;</v>
      </c>
      <c r="AD131" s="2" t="str">
        <f t="shared" ref="AD131:AK131" si="522">CONCATENATE("&lt;/li&gt;&lt;li&gt;&lt;a href=|http://",AD1191,"/numbers/14.htm","| ","title=|",AD1190,"| target=|_top|&gt;",AD1192,"&lt;/a&gt;")</f>
        <v>&lt;/li&gt;&lt;li&gt;&lt;a href=|http://gsb.biblecommenter.com/numbers/14.htm| title=|Geneva Study Bible| target=|_top|&gt;GSB&lt;/a&gt;</v>
      </c>
      <c r="AE131" s="2" t="str">
        <f t="shared" si="522"/>
        <v>&lt;/li&gt;&lt;li&gt;&lt;a href=|http://jfb.biblecommenter.com/numbers/14.htm| title=|Jamieson-Fausset-Brown Bible Commentary| target=|_top|&gt;JFB&lt;/a&gt;</v>
      </c>
      <c r="AF131" s="2" t="str">
        <f t="shared" si="522"/>
        <v>&lt;/li&gt;&lt;li&gt;&lt;a href=|http://kjt.biblecommenter.com/numbers/14.htm| title=|King James Translators' Notes| target=|_top|&gt;KJT&lt;/a&gt;</v>
      </c>
      <c r="AG131" s="2" t="str">
        <f t="shared" si="522"/>
        <v>&lt;/li&gt;&lt;li&gt;&lt;a href=|http://mhc.biblecommenter.com/numbers/14.htm| title=|Matthew Henry's Concise Commentary| target=|_top|&gt;MHC&lt;/a&gt;</v>
      </c>
      <c r="AH131" s="2" t="str">
        <f t="shared" si="522"/>
        <v>&lt;/li&gt;&lt;li&gt;&lt;a href=|http://sco.biblecommenter.com/numbers/14.htm| title=|Scofield Reference Notes| target=|_top|&gt;SCO&lt;/a&gt;</v>
      </c>
      <c r="AI131" s="2" t="str">
        <f t="shared" si="522"/>
        <v>&lt;/li&gt;&lt;li&gt;&lt;a href=|http://wes.biblecommenter.com/numbers/14.htm| title=|Wesley's Notes on the Bible| target=|_top|&gt;WES&lt;/a&gt;</v>
      </c>
      <c r="AJ131" t="str">
        <f t="shared" si="522"/>
        <v>&lt;/li&gt;&lt;li&gt;&lt;a href=|http://worldebible.com/numbers/14.htm| title=|World English Bible| target=|_top|&gt;WEB&lt;/a&gt;</v>
      </c>
      <c r="AK131" t="str">
        <f t="shared" si="522"/>
        <v>&lt;/li&gt;&lt;li&gt;&lt;a href=|http://yltbible.com/numbers/14.htm| title=|Young's Literal Translation| target=|_top|&gt;YLT&lt;/a&gt;</v>
      </c>
      <c r="AL131" t="str">
        <f>CONCATENATE("&lt;a href=|http://",AL1191,"/numbers/14.htm","| ","title=|",AL1190,"| target=|_top|&gt;",AL1192,"&lt;/a&gt;")</f>
        <v>&lt;a href=|http://kjv.us/numbers/14.htm| title=|American King James Version| target=|_top|&gt;AKJ&lt;/a&gt;</v>
      </c>
      <c r="AM131" t="str">
        <f t="shared" ref="AM131:AN131" si="523">CONCATENATE("&lt;/li&gt;&lt;li&gt;&lt;a href=|http://",AM1191,"/numbers/14.htm","| ","title=|",AM1190,"| target=|_top|&gt;",AM1192,"&lt;/a&gt;")</f>
        <v>&lt;/li&gt;&lt;li&gt;&lt;a href=|http://basicenglishbible.com/numbers/14.htm| title=|Bible in Basic English| target=|_top|&gt;BBE&lt;/a&gt;</v>
      </c>
      <c r="AN131" t="str">
        <f t="shared" si="523"/>
        <v>&lt;/li&gt;&lt;li&gt;&lt;a href=|http://darbybible.com/numbers/14.htm| title=|Darby Bible Translation| target=|_top|&gt;DBY&lt;/a&gt;</v>
      </c>
      <c r="AO13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3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3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31" t="str">
        <f>CONCATENATE("&lt;/li&gt;&lt;li&gt;&lt;a href=|http://",AR1191,"/numbers/14.htm","| ","title=|",AR1190,"| target=|_top|&gt;",AR1192,"&lt;/a&gt;")</f>
        <v>&lt;/li&gt;&lt;li&gt;&lt;a href=|http://websterbible.com/numbers/14.htm| title=|Webster's Bible Translation| target=|_top|&gt;WBS&lt;/a&gt;</v>
      </c>
      <c r="AS13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31" t="str">
        <f>CONCATENATE("&lt;/li&gt;&lt;li&gt;&lt;a href=|http://",AT1191,"/numbers/14-1.htm","| ","title=|",AT1190,"| target=|_top|&gt;",AT1192,"&lt;/a&gt;")</f>
        <v>&lt;/li&gt;&lt;li&gt;&lt;a href=|http://biblebrowser.com/numbers/14-1.htm| title=|Split View| target=|_top|&gt;Split&lt;/a&gt;</v>
      </c>
      <c r="AU131" s="2" t="s">
        <v>1276</v>
      </c>
      <c r="AV131" t="s">
        <v>64</v>
      </c>
    </row>
    <row r="132" spans="1:48">
      <c r="A132" t="s">
        <v>622</v>
      </c>
      <c r="B132" t="s">
        <v>185</v>
      </c>
      <c r="C132" t="s">
        <v>624</v>
      </c>
      <c r="D132" t="s">
        <v>1268</v>
      </c>
      <c r="E132" t="s">
        <v>1277</v>
      </c>
      <c r="F132" t="s">
        <v>1304</v>
      </c>
      <c r="G132" t="s">
        <v>1266</v>
      </c>
      <c r="H132" t="s">
        <v>1305</v>
      </c>
      <c r="I132" t="s">
        <v>1303</v>
      </c>
      <c r="J132" t="s">
        <v>1267</v>
      </c>
      <c r="K132" t="s">
        <v>1275</v>
      </c>
      <c r="L132" s="2" t="s">
        <v>1274</v>
      </c>
      <c r="M132" t="str">
        <f t="shared" ref="M132:AB132" si="524">CONCATENATE("&lt;/li&gt;&lt;li&gt;&lt;a href=|http://",M1191,"/numbers/15.htm","| ","title=|",M1190,"| target=|_top|&gt;",M1192,"&lt;/a&gt;")</f>
        <v>&lt;/li&gt;&lt;li&gt;&lt;a href=|http://niv.scripturetext.com/numbers/15.htm| title=|New International Version| target=|_top|&gt;NIV&lt;/a&gt;</v>
      </c>
      <c r="N132" t="str">
        <f t="shared" si="524"/>
        <v>&lt;/li&gt;&lt;li&gt;&lt;a href=|http://nlt.scripturetext.com/numbers/15.htm| title=|New Living Translation| target=|_top|&gt;NLT&lt;/a&gt;</v>
      </c>
      <c r="O132" t="str">
        <f t="shared" si="524"/>
        <v>&lt;/li&gt;&lt;li&gt;&lt;a href=|http://nasb.scripturetext.com/numbers/15.htm| title=|New American Standard Bible| target=|_top|&gt;NAS&lt;/a&gt;</v>
      </c>
      <c r="P132" t="str">
        <f t="shared" si="524"/>
        <v>&lt;/li&gt;&lt;li&gt;&lt;a href=|http://gwt.scripturetext.com/numbers/15.htm| title=|God's Word Translation| target=|_top|&gt;GWT&lt;/a&gt;</v>
      </c>
      <c r="Q132" t="str">
        <f t="shared" si="524"/>
        <v>&lt;/li&gt;&lt;li&gt;&lt;a href=|http://kingjbible.com/numbers/15.htm| title=|King James Bible| target=|_top|&gt;KJV&lt;/a&gt;</v>
      </c>
      <c r="R132" t="str">
        <f t="shared" si="524"/>
        <v>&lt;/li&gt;&lt;li&gt;&lt;a href=|http://asvbible.com/numbers/15.htm| title=|American Standard Version| target=|_top|&gt;ASV&lt;/a&gt;</v>
      </c>
      <c r="S132" t="str">
        <f t="shared" si="524"/>
        <v>&lt;/li&gt;&lt;li&gt;&lt;a href=|http://drb.scripturetext.com/numbers/15.htm| title=|Douay-Rheims Bible| target=|_top|&gt;DRB&lt;/a&gt;</v>
      </c>
      <c r="T132" t="str">
        <f t="shared" si="524"/>
        <v>&lt;/li&gt;&lt;li&gt;&lt;a href=|http://erv.scripturetext.com/numbers/15.htm| title=|English Revised Version| target=|_top|&gt;ERV&lt;/a&gt;</v>
      </c>
      <c r="V132" t="str">
        <f>CONCATENATE("&lt;/li&gt;&lt;li&gt;&lt;a href=|http://",V1191,"/numbers/15.htm","| ","title=|",V1190,"| target=|_top|&gt;",V1192,"&lt;/a&gt;")</f>
        <v>&lt;/li&gt;&lt;li&gt;&lt;a href=|http://study.interlinearbible.org/numbers/15.htm| title=|Hebrew Study Bible| target=|_top|&gt;Heb Study&lt;/a&gt;</v>
      </c>
      <c r="W132" t="str">
        <f t="shared" si="524"/>
        <v>&lt;/li&gt;&lt;li&gt;&lt;a href=|http://apostolic.interlinearbible.org/numbers/15.htm| title=|Apostolic Bible Polyglot Interlinear| target=|_top|&gt;Polyglot&lt;/a&gt;</v>
      </c>
      <c r="X132" t="str">
        <f t="shared" si="524"/>
        <v>&lt;/li&gt;&lt;li&gt;&lt;a href=|http://interlinearbible.org/numbers/15.htm| title=|Interlinear Bible| target=|_top|&gt;Interlin&lt;/a&gt;</v>
      </c>
      <c r="Y132" t="str">
        <f t="shared" ref="Y132" si="525">CONCATENATE("&lt;/li&gt;&lt;li&gt;&lt;a href=|http://",Y1191,"/numbers/15.htm","| ","title=|",Y1190,"| target=|_top|&gt;",Y1192,"&lt;/a&gt;")</f>
        <v>&lt;/li&gt;&lt;li&gt;&lt;a href=|http://bibleoutline.org/numbers/15.htm| title=|Outline with People and Places List| target=|_top|&gt;Outline&lt;/a&gt;</v>
      </c>
      <c r="Z132" t="str">
        <f t="shared" si="524"/>
        <v>&lt;/li&gt;&lt;li&gt;&lt;a href=|http://kjvs.scripturetext.com/numbers/15.htm| title=|King James Bible with Strong's Numbers| target=|_top|&gt;Strong's&lt;/a&gt;</v>
      </c>
      <c r="AA132" t="str">
        <f t="shared" si="524"/>
        <v>&lt;/li&gt;&lt;li&gt;&lt;a href=|http://childrensbibleonline.com/numbers/15.htm| title=|The Children's Bible| target=|_top|&gt;Children's&lt;/a&gt;</v>
      </c>
      <c r="AB132" s="2" t="str">
        <f t="shared" si="524"/>
        <v>&lt;/li&gt;&lt;li&gt;&lt;a href=|http://tsk.scripturetext.com/numbers/15.htm| title=|Treasury of Scripture Knowledge| target=|_top|&gt;TSK&lt;/a&gt;</v>
      </c>
      <c r="AC132" t="str">
        <f>CONCATENATE("&lt;a href=|http://",AC1191,"/numbers/15.htm","| ","title=|",AC1190,"| target=|_top|&gt;",AC1192,"&lt;/a&gt;")</f>
        <v>&lt;a href=|http://parallelbible.com/numbers/15.htm| title=|Parallel Chapters| target=|_top|&gt;PAR&lt;/a&gt;</v>
      </c>
      <c r="AD132" s="2" t="str">
        <f t="shared" ref="AD132:AK132" si="526">CONCATENATE("&lt;/li&gt;&lt;li&gt;&lt;a href=|http://",AD1191,"/numbers/15.htm","| ","title=|",AD1190,"| target=|_top|&gt;",AD1192,"&lt;/a&gt;")</f>
        <v>&lt;/li&gt;&lt;li&gt;&lt;a href=|http://gsb.biblecommenter.com/numbers/15.htm| title=|Geneva Study Bible| target=|_top|&gt;GSB&lt;/a&gt;</v>
      </c>
      <c r="AE132" s="2" t="str">
        <f t="shared" si="526"/>
        <v>&lt;/li&gt;&lt;li&gt;&lt;a href=|http://jfb.biblecommenter.com/numbers/15.htm| title=|Jamieson-Fausset-Brown Bible Commentary| target=|_top|&gt;JFB&lt;/a&gt;</v>
      </c>
      <c r="AF132" s="2" t="str">
        <f t="shared" si="526"/>
        <v>&lt;/li&gt;&lt;li&gt;&lt;a href=|http://kjt.biblecommenter.com/numbers/15.htm| title=|King James Translators' Notes| target=|_top|&gt;KJT&lt;/a&gt;</v>
      </c>
      <c r="AG132" s="2" t="str">
        <f t="shared" si="526"/>
        <v>&lt;/li&gt;&lt;li&gt;&lt;a href=|http://mhc.biblecommenter.com/numbers/15.htm| title=|Matthew Henry's Concise Commentary| target=|_top|&gt;MHC&lt;/a&gt;</v>
      </c>
      <c r="AH132" s="2" t="str">
        <f t="shared" si="526"/>
        <v>&lt;/li&gt;&lt;li&gt;&lt;a href=|http://sco.biblecommenter.com/numbers/15.htm| title=|Scofield Reference Notes| target=|_top|&gt;SCO&lt;/a&gt;</v>
      </c>
      <c r="AI132" s="2" t="str">
        <f t="shared" si="526"/>
        <v>&lt;/li&gt;&lt;li&gt;&lt;a href=|http://wes.biblecommenter.com/numbers/15.htm| title=|Wesley's Notes on the Bible| target=|_top|&gt;WES&lt;/a&gt;</v>
      </c>
      <c r="AJ132" t="str">
        <f t="shared" si="526"/>
        <v>&lt;/li&gt;&lt;li&gt;&lt;a href=|http://worldebible.com/numbers/15.htm| title=|World English Bible| target=|_top|&gt;WEB&lt;/a&gt;</v>
      </c>
      <c r="AK132" t="str">
        <f t="shared" si="526"/>
        <v>&lt;/li&gt;&lt;li&gt;&lt;a href=|http://yltbible.com/numbers/15.htm| title=|Young's Literal Translation| target=|_top|&gt;YLT&lt;/a&gt;</v>
      </c>
      <c r="AL132" t="str">
        <f>CONCATENATE("&lt;a href=|http://",AL1191,"/numbers/15.htm","| ","title=|",AL1190,"| target=|_top|&gt;",AL1192,"&lt;/a&gt;")</f>
        <v>&lt;a href=|http://kjv.us/numbers/15.htm| title=|American King James Version| target=|_top|&gt;AKJ&lt;/a&gt;</v>
      </c>
      <c r="AM132" t="str">
        <f t="shared" ref="AM132:AN132" si="527">CONCATENATE("&lt;/li&gt;&lt;li&gt;&lt;a href=|http://",AM1191,"/numbers/15.htm","| ","title=|",AM1190,"| target=|_top|&gt;",AM1192,"&lt;/a&gt;")</f>
        <v>&lt;/li&gt;&lt;li&gt;&lt;a href=|http://basicenglishbible.com/numbers/15.htm| title=|Bible in Basic English| target=|_top|&gt;BBE&lt;/a&gt;</v>
      </c>
      <c r="AN132" t="str">
        <f t="shared" si="527"/>
        <v>&lt;/li&gt;&lt;li&gt;&lt;a href=|http://darbybible.com/numbers/15.htm| title=|Darby Bible Translation| target=|_top|&gt;DBY&lt;/a&gt;</v>
      </c>
      <c r="AO13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3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3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32" t="str">
        <f>CONCATENATE("&lt;/li&gt;&lt;li&gt;&lt;a href=|http://",AR1191,"/numbers/15.htm","| ","title=|",AR1190,"| target=|_top|&gt;",AR1192,"&lt;/a&gt;")</f>
        <v>&lt;/li&gt;&lt;li&gt;&lt;a href=|http://websterbible.com/numbers/15.htm| title=|Webster's Bible Translation| target=|_top|&gt;WBS&lt;/a&gt;</v>
      </c>
      <c r="AS13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32" t="str">
        <f>CONCATENATE("&lt;/li&gt;&lt;li&gt;&lt;a href=|http://",AT1191,"/numbers/15-1.htm","| ","title=|",AT1190,"| target=|_top|&gt;",AT1192,"&lt;/a&gt;")</f>
        <v>&lt;/li&gt;&lt;li&gt;&lt;a href=|http://biblebrowser.com/numbers/15-1.htm| title=|Split View| target=|_top|&gt;Split&lt;/a&gt;</v>
      </c>
      <c r="AU132" s="2" t="s">
        <v>1276</v>
      </c>
      <c r="AV132" t="s">
        <v>64</v>
      </c>
    </row>
    <row r="133" spans="1:48">
      <c r="A133" t="s">
        <v>622</v>
      </c>
      <c r="B133" t="s">
        <v>186</v>
      </c>
      <c r="C133" t="s">
        <v>624</v>
      </c>
      <c r="D133" t="s">
        <v>1268</v>
      </c>
      <c r="E133" t="s">
        <v>1277</v>
      </c>
      <c r="F133" t="s">
        <v>1304</v>
      </c>
      <c r="G133" t="s">
        <v>1266</v>
      </c>
      <c r="H133" t="s">
        <v>1305</v>
      </c>
      <c r="I133" t="s">
        <v>1303</v>
      </c>
      <c r="J133" t="s">
        <v>1267</v>
      </c>
      <c r="K133" t="s">
        <v>1275</v>
      </c>
      <c r="L133" s="2" t="s">
        <v>1274</v>
      </c>
      <c r="M133" t="str">
        <f t="shared" ref="M133:AB133" si="528">CONCATENATE("&lt;/li&gt;&lt;li&gt;&lt;a href=|http://",M1191,"/numbers/16.htm","| ","title=|",M1190,"| target=|_top|&gt;",M1192,"&lt;/a&gt;")</f>
        <v>&lt;/li&gt;&lt;li&gt;&lt;a href=|http://niv.scripturetext.com/numbers/16.htm| title=|New International Version| target=|_top|&gt;NIV&lt;/a&gt;</v>
      </c>
      <c r="N133" t="str">
        <f t="shared" si="528"/>
        <v>&lt;/li&gt;&lt;li&gt;&lt;a href=|http://nlt.scripturetext.com/numbers/16.htm| title=|New Living Translation| target=|_top|&gt;NLT&lt;/a&gt;</v>
      </c>
      <c r="O133" t="str">
        <f t="shared" si="528"/>
        <v>&lt;/li&gt;&lt;li&gt;&lt;a href=|http://nasb.scripturetext.com/numbers/16.htm| title=|New American Standard Bible| target=|_top|&gt;NAS&lt;/a&gt;</v>
      </c>
      <c r="P133" t="str">
        <f t="shared" si="528"/>
        <v>&lt;/li&gt;&lt;li&gt;&lt;a href=|http://gwt.scripturetext.com/numbers/16.htm| title=|God's Word Translation| target=|_top|&gt;GWT&lt;/a&gt;</v>
      </c>
      <c r="Q133" t="str">
        <f t="shared" si="528"/>
        <v>&lt;/li&gt;&lt;li&gt;&lt;a href=|http://kingjbible.com/numbers/16.htm| title=|King James Bible| target=|_top|&gt;KJV&lt;/a&gt;</v>
      </c>
      <c r="R133" t="str">
        <f t="shared" si="528"/>
        <v>&lt;/li&gt;&lt;li&gt;&lt;a href=|http://asvbible.com/numbers/16.htm| title=|American Standard Version| target=|_top|&gt;ASV&lt;/a&gt;</v>
      </c>
      <c r="S133" t="str">
        <f t="shared" si="528"/>
        <v>&lt;/li&gt;&lt;li&gt;&lt;a href=|http://drb.scripturetext.com/numbers/16.htm| title=|Douay-Rheims Bible| target=|_top|&gt;DRB&lt;/a&gt;</v>
      </c>
      <c r="T133" t="str">
        <f t="shared" si="528"/>
        <v>&lt;/li&gt;&lt;li&gt;&lt;a href=|http://erv.scripturetext.com/numbers/16.htm| title=|English Revised Version| target=|_top|&gt;ERV&lt;/a&gt;</v>
      </c>
      <c r="V133" t="str">
        <f>CONCATENATE("&lt;/li&gt;&lt;li&gt;&lt;a href=|http://",V1191,"/numbers/16.htm","| ","title=|",V1190,"| target=|_top|&gt;",V1192,"&lt;/a&gt;")</f>
        <v>&lt;/li&gt;&lt;li&gt;&lt;a href=|http://study.interlinearbible.org/numbers/16.htm| title=|Hebrew Study Bible| target=|_top|&gt;Heb Study&lt;/a&gt;</v>
      </c>
      <c r="W133" t="str">
        <f t="shared" si="528"/>
        <v>&lt;/li&gt;&lt;li&gt;&lt;a href=|http://apostolic.interlinearbible.org/numbers/16.htm| title=|Apostolic Bible Polyglot Interlinear| target=|_top|&gt;Polyglot&lt;/a&gt;</v>
      </c>
      <c r="X133" t="str">
        <f t="shared" si="528"/>
        <v>&lt;/li&gt;&lt;li&gt;&lt;a href=|http://interlinearbible.org/numbers/16.htm| title=|Interlinear Bible| target=|_top|&gt;Interlin&lt;/a&gt;</v>
      </c>
      <c r="Y133" t="str">
        <f t="shared" ref="Y133" si="529">CONCATENATE("&lt;/li&gt;&lt;li&gt;&lt;a href=|http://",Y1191,"/numbers/16.htm","| ","title=|",Y1190,"| target=|_top|&gt;",Y1192,"&lt;/a&gt;")</f>
        <v>&lt;/li&gt;&lt;li&gt;&lt;a href=|http://bibleoutline.org/numbers/16.htm| title=|Outline with People and Places List| target=|_top|&gt;Outline&lt;/a&gt;</v>
      </c>
      <c r="Z133" t="str">
        <f t="shared" si="528"/>
        <v>&lt;/li&gt;&lt;li&gt;&lt;a href=|http://kjvs.scripturetext.com/numbers/16.htm| title=|King James Bible with Strong's Numbers| target=|_top|&gt;Strong's&lt;/a&gt;</v>
      </c>
      <c r="AA133" t="str">
        <f t="shared" si="528"/>
        <v>&lt;/li&gt;&lt;li&gt;&lt;a href=|http://childrensbibleonline.com/numbers/16.htm| title=|The Children's Bible| target=|_top|&gt;Children's&lt;/a&gt;</v>
      </c>
      <c r="AB133" s="2" t="str">
        <f t="shared" si="528"/>
        <v>&lt;/li&gt;&lt;li&gt;&lt;a href=|http://tsk.scripturetext.com/numbers/16.htm| title=|Treasury of Scripture Knowledge| target=|_top|&gt;TSK&lt;/a&gt;</v>
      </c>
      <c r="AC133" t="str">
        <f>CONCATENATE("&lt;a href=|http://",AC1191,"/numbers/16.htm","| ","title=|",AC1190,"| target=|_top|&gt;",AC1192,"&lt;/a&gt;")</f>
        <v>&lt;a href=|http://parallelbible.com/numbers/16.htm| title=|Parallel Chapters| target=|_top|&gt;PAR&lt;/a&gt;</v>
      </c>
      <c r="AD133" s="2" t="str">
        <f t="shared" ref="AD133:AK133" si="530">CONCATENATE("&lt;/li&gt;&lt;li&gt;&lt;a href=|http://",AD1191,"/numbers/16.htm","| ","title=|",AD1190,"| target=|_top|&gt;",AD1192,"&lt;/a&gt;")</f>
        <v>&lt;/li&gt;&lt;li&gt;&lt;a href=|http://gsb.biblecommenter.com/numbers/16.htm| title=|Geneva Study Bible| target=|_top|&gt;GSB&lt;/a&gt;</v>
      </c>
      <c r="AE133" s="2" t="str">
        <f t="shared" si="530"/>
        <v>&lt;/li&gt;&lt;li&gt;&lt;a href=|http://jfb.biblecommenter.com/numbers/16.htm| title=|Jamieson-Fausset-Brown Bible Commentary| target=|_top|&gt;JFB&lt;/a&gt;</v>
      </c>
      <c r="AF133" s="2" t="str">
        <f t="shared" si="530"/>
        <v>&lt;/li&gt;&lt;li&gt;&lt;a href=|http://kjt.biblecommenter.com/numbers/16.htm| title=|King James Translators' Notes| target=|_top|&gt;KJT&lt;/a&gt;</v>
      </c>
      <c r="AG133" s="2" t="str">
        <f t="shared" si="530"/>
        <v>&lt;/li&gt;&lt;li&gt;&lt;a href=|http://mhc.biblecommenter.com/numbers/16.htm| title=|Matthew Henry's Concise Commentary| target=|_top|&gt;MHC&lt;/a&gt;</v>
      </c>
      <c r="AH133" s="2" t="str">
        <f t="shared" si="530"/>
        <v>&lt;/li&gt;&lt;li&gt;&lt;a href=|http://sco.biblecommenter.com/numbers/16.htm| title=|Scofield Reference Notes| target=|_top|&gt;SCO&lt;/a&gt;</v>
      </c>
      <c r="AI133" s="2" t="str">
        <f t="shared" si="530"/>
        <v>&lt;/li&gt;&lt;li&gt;&lt;a href=|http://wes.biblecommenter.com/numbers/16.htm| title=|Wesley's Notes on the Bible| target=|_top|&gt;WES&lt;/a&gt;</v>
      </c>
      <c r="AJ133" t="str">
        <f t="shared" si="530"/>
        <v>&lt;/li&gt;&lt;li&gt;&lt;a href=|http://worldebible.com/numbers/16.htm| title=|World English Bible| target=|_top|&gt;WEB&lt;/a&gt;</v>
      </c>
      <c r="AK133" t="str">
        <f t="shared" si="530"/>
        <v>&lt;/li&gt;&lt;li&gt;&lt;a href=|http://yltbible.com/numbers/16.htm| title=|Young's Literal Translation| target=|_top|&gt;YLT&lt;/a&gt;</v>
      </c>
      <c r="AL133" t="str">
        <f>CONCATENATE("&lt;a href=|http://",AL1191,"/numbers/16.htm","| ","title=|",AL1190,"| target=|_top|&gt;",AL1192,"&lt;/a&gt;")</f>
        <v>&lt;a href=|http://kjv.us/numbers/16.htm| title=|American King James Version| target=|_top|&gt;AKJ&lt;/a&gt;</v>
      </c>
      <c r="AM133" t="str">
        <f t="shared" ref="AM133:AN133" si="531">CONCATENATE("&lt;/li&gt;&lt;li&gt;&lt;a href=|http://",AM1191,"/numbers/16.htm","| ","title=|",AM1190,"| target=|_top|&gt;",AM1192,"&lt;/a&gt;")</f>
        <v>&lt;/li&gt;&lt;li&gt;&lt;a href=|http://basicenglishbible.com/numbers/16.htm| title=|Bible in Basic English| target=|_top|&gt;BBE&lt;/a&gt;</v>
      </c>
      <c r="AN133" t="str">
        <f t="shared" si="531"/>
        <v>&lt;/li&gt;&lt;li&gt;&lt;a href=|http://darbybible.com/numbers/16.htm| title=|Darby Bible Translation| target=|_top|&gt;DBY&lt;/a&gt;</v>
      </c>
      <c r="AO13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3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3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33" t="str">
        <f>CONCATENATE("&lt;/li&gt;&lt;li&gt;&lt;a href=|http://",AR1191,"/numbers/16.htm","| ","title=|",AR1190,"| target=|_top|&gt;",AR1192,"&lt;/a&gt;")</f>
        <v>&lt;/li&gt;&lt;li&gt;&lt;a href=|http://websterbible.com/numbers/16.htm| title=|Webster's Bible Translation| target=|_top|&gt;WBS&lt;/a&gt;</v>
      </c>
      <c r="AS13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33" t="str">
        <f>CONCATENATE("&lt;/li&gt;&lt;li&gt;&lt;a href=|http://",AT1191,"/numbers/16-1.htm","| ","title=|",AT1190,"| target=|_top|&gt;",AT1192,"&lt;/a&gt;")</f>
        <v>&lt;/li&gt;&lt;li&gt;&lt;a href=|http://biblebrowser.com/numbers/16-1.htm| title=|Split View| target=|_top|&gt;Split&lt;/a&gt;</v>
      </c>
      <c r="AU133" s="2" t="s">
        <v>1276</v>
      </c>
      <c r="AV133" t="s">
        <v>64</v>
      </c>
    </row>
    <row r="134" spans="1:48">
      <c r="A134" t="s">
        <v>622</v>
      </c>
      <c r="B134" t="s">
        <v>187</v>
      </c>
      <c r="C134" t="s">
        <v>624</v>
      </c>
      <c r="D134" t="s">
        <v>1268</v>
      </c>
      <c r="E134" t="s">
        <v>1277</v>
      </c>
      <c r="F134" t="s">
        <v>1304</v>
      </c>
      <c r="G134" t="s">
        <v>1266</v>
      </c>
      <c r="H134" t="s">
        <v>1305</v>
      </c>
      <c r="I134" t="s">
        <v>1303</v>
      </c>
      <c r="J134" t="s">
        <v>1267</v>
      </c>
      <c r="K134" t="s">
        <v>1275</v>
      </c>
      <c r="L134" s="2" t="s">
        <v>1274</v>
      </c>
      <c r="M134" t="str">
        <f t="shared" ref="M134:AB134" si="532">CONCATENATE("&lt;/li&gt;&lt;li&gt;&lt;a href=|http://",M1191,"/numbers/17.htm","| ","title=|",M1190,"| target=|_top|&gt;",M1192,"&lt;/a&gt;")</f>
        <v>&lt;/li&gt;&lt;li&gt;&lt;a href=|http://niv.scripturetext.com/numbers/17.htm| title=|New International Version| target=|_top|&gt;NIV&lt;/a&gt;</v>
      </c>
      <c r="N134" t="str">
        <f t="shared" si="532"/>
        <v>&lt;/li&gt;&lt;li&gt;&lt;a href=|http://nlt.scripturetext.com/numbers/17.htm| title=|New Living Translation| target=|_top|&gt;NLT&lt;/a&gt;</v>
      </c>
      <c r="O134" t="str">
        <f t="shared" si="532"/>
        <v>&lt;/li&gt;&lt;li&gt;&lt;a href=|http://nasb.scripturetext.com/numbers/17.htm| title=|New American Standard Bible| target=|_top|&gt;NAS&lt;/a&gt;</v>
      </c>
      <c r="P134" t="str">
        <f t="shared" si="532"/>
        <v>&lt;/li&gt;&lt;li&gt;&lt;a href=|http://gwt.scripturetext.com/numbers/17.htm| title=|God's Word Translation| target=|_top|&gt;GWT&lt;/a&gt;</v>
      </c>
      <c r="Q134" t="str">
        <f t="shared" si="532"/>
        <v>&lt;/li&gt;&lt;li&gt;&lt;a href=|http://kingjbible.com/numbers/17.htm| title=|King James Bible| target=|_top|&gt;KJV&lt;/a&gt;</v>
      </c>
      <c r="R134" t="str">
        <f t="shared" si="532"/>
        <v>&lt;/li&gt;&lt;li&gt;&lt;a href=|http://asvbible.com/numbers/17.htm| title=|American Standard Version| target=|_top|&gt;ASV&lt;/a&gt;</v>
      </c>
      <c r="S134" t="str">
        <f t="shared" si="532"/>
        <v>&lt;/li&gt;&lt;li&gt;&lt;a href=|http://drb.scripturetext.com/numbers/17.htm| title=|Douay-Rheims Bible| target=|_top|&gt;DRB&lt;/a&gt;</v>
      </c>
      <c r="T134" t="str">
        <f t="shared" si="532"/>
        <v>&lt;/li&gt;&lt;li&gt;&lt;a href=|http://erv.scripturetext.com/numbers/17.htm| title=|English Revised Version| target=|_top|&gt;ERV&lt;/a&gt;</v>
      </c>
      <c r="V134" t="str">
        <f>CONCATENATE("&lt;/li&gt;&lt;li&gt;&lt;a href=|http://",V1191,"/numbers/17.htm","| ","title=|",V1190,"| target=|_top|&gt;",V1192,"&lt;/a&gt;")</f>
        <v>&lt;/li&gt;&lt;li&gt;&lt;a href=|http://study.interlinearbible.org/numbers/17.htm| title=|Hebrew Study Bible| target=|_top|&gt;Heb Study&lt;/a&gt;</v>
      </c>
      <c r="W134" t="str">
        <f t="shared" si="532"/>
        <v>&lt;/li&gt;&lt;li&gt;&lt;a href=|http://apostolic.interlinearbible.org/numbers/17.htm| title=|Apostolic Bible Polyglot Interlinear| target=|_top|&gt;Polyglot&lt;/a&gt;</v>
      </c>
      <c r="X134" t="str">
        <f t="shared" si="532"/>
        <v>&lt;/li&gt;&lt;li&gt;&lt;a href=|http://interlinearbible.org/numbers/17.htm| title=|Interlinear Bible| target=|_top|&gt;Interlin&lt;/a&gt;</v>
      </c>
      <c r="Y134" t="str">
        <f t="shared" ref="Y134" si="533">CONCATENATE("&lt;/li&gt;&lt;li&gt;&lt;a href=|http://",Y1191,"/numbers/17.htm","| ","title=|",Y1190,"| target=|_top|&gt;",Y1192,"&lt;/a&gt;")</f>
        <v>&lt;/li&gt;&lt;li&gt;&lt;a href=|http://bibleoutline.org/numbers/17.htm| title=|Outline with People and Places List| target=|_top|&gt;Outline&lt;/a&gt;</v>
      </c>
      <c r="Z134" t="str">
        <f t="shared" si="532"/>
        <v>&lt;/li&gt;&lt;li&gt;&lt;a href=|http://kjvs.scripturetext.com/numbers/17.htm| title=|King James Bible with Strong's Numbers| target=|_top|&gt;Strong's&lt;/a&gt;</v>
      </c>
      <c r="AA134" t="str">
        <f t="shared" si="532"/>
        <v>&lt;/li&gt;&lt;li&gt;&lt;a href=|http://childrensbibleonline.com/numbers/17.htm| title=|The Children's Bible| target=|_top|&gt;Children's&lt;/a&gt;</v>
      </c>
      <c r="AB134" s="2" t="str">
        <f t="shared" si="532"/>
        <v>&lt;/li&gt;&lt;li&gt;&lt;a href=|http://tsk.scripturetext.com/numbers/17.htm| title=|Treasury of Scripture Knowledge| target=|_top|&gt;TSK&lt;/a&gt;</v>
      </c>
      <c r="AC134" t="str">
        <f>CONCATENATE("&lt;a href=|http://",AC1191,"/numbers/17.htm","| ","title=|",AC1190,"| target=|_top|&gt;",AC1192,"&lt;/a&gt;")</f>
        <v>&lt;a href=|http://parallelbible.com/numbers/17.htm| title=|Parallel Chapters| target=|_top|&gt;PAR&lt;/a&gt;</v>
      </c>
      <c r="AD134" s="2" t="str">
        <f t="shared" ref="AD134:AK134" si="534">CONCATENATE("&lt;/li&gt;&lt;li&gt;&lt;a href=|http://",AD1191,"/numbers/17.htm","| ","title=|",AD1190,"| target=|_top|&gt;",AD1192,"&lt;/a&gt;")</f>
        <v>&lt;/li&gt;&lt;li&gt;&lt;a href=|http://gsb.biblecommenter.com/numbers/17.htm| title=|Geneva Study Bible| target=|_top|&gt;GSB&lt;/a&gt;</v>
      </c>
      <c r="AE134" s="2" t="str">
        <f t="shared" si="534"/>
        <v>&lt;/li&gt;&lt;li&gt;&lt;a href=|http://jfb.biblecommenter.com/numbers/17.htm| title=|Jamieson-Fausset-Brown Bible Commentary| target=|_top|&gt;JFB&lt;/a&gt;</v>
      </c>
      <c r="AF134" s="2" t="str">
        <f t="shared" si="534"/>
        <v>&lt;/li&gt;&lt;li&gt;&lt;a href=|http://kjt.biblecommenter.com/numbers/17.htm| title=|King James Translators' Notes| target=|_top|&gt;KJT&lt;/a&gt;</v>
      </c>
      <c r="AG134" s="2" t="str">
        <f t="shared" si="534"/>
        <v>&lt;/li&gt;&lt;li&gt;&lt;a href=|http://mhc.biblecommenter.com/numbers/17.htm| title=|Matthew Henry's Concise Commentary| target=|_top|&gt;MHC&lt;/a&gt;</v>
      </c>
      <c r="AH134" s="2" t="str">
        <f t="shared" si="534"/>
        <v>&lt;/li&gt;&lt;li&gt;&lt;a href=|http://sco.biblecommenter.com/numbers/17.htm| title=|Scofield Reference Notes| target=|_top|&gt;SCO&lt;/a&gt;</v>
      </c>
      <c r="AI134" s="2" t="str">
        <f t="shared" si="534"/>
        <v>&lt;/li&gt;&lt;li&gt;&lt;a href=|http://wes.biblecommenter.com/numbers/17.htm| title=|Wesley's Notes on the Bible| target=|_top|&gt;WES&lt;/a&gt;</v>
      </c>
      <c r="AJ134" t="str">
        <f t="shared" si="534"/>
        <v>&lt;/li&gt;&lt;li&gt;&lt;a href=|http://worldebible.com/numbers/17.htm| title=|World English Bible| target=|_top|&gt;WEB&lt;/a&gt;</v>
      </c>
      <c r="AK134" t="str">
        <f t="shared" si="534"/>
        <v>&lt;/li&gt;&lt;li&gt;&lt;a href=|http://yltbible.com/numbers/17.htm| title=|Young's Literal Translation| target=|_top|&gt;YLT&lt;/a&gt;</v>
      </c>
      <c r="AL134" t="str">
        <f>CONCATENATE("&lt;a href=|http://",AL1191,"/numbers/17.htm","| ","title=|",AL1190,"| target=|_top|&gt;",AL1192,"&lt;/a&gt;")</f>
        <v>&lt;a href=|http://kjv.us/numbers/17.htm| title=|American King James Version| target=|_top|&gt;AKJ&lt;/a&gt;</v>
      </c>
      <c r="AM134" t="str">
        <f t="shared" ref="AM134:AN134" si="535">CONCATENATE("&lt;/li&gt;&lt;li&gt;&lt;a href=|http://",AM1191,"/numbers/17.htm","| ","title=|",AM1190,"| target=|_top|&gt;",AM1192,"&lt;/a&gt;")</f>
        <v>&lt;/li&gt;&lt;li&gt;&lt;a href=|http://basicenglishbible.com/numbers/17.htm| title=|Bible in Basic English| target=|_top|&gt;BBE&lt;/a&gt;</v>
      </c>
      <c r="AN134" t="str">
        <f t="shared" si="535"/>
        <v>&lt;/li&gt;&lt;li&gt;&lt;a href=|http://darbybible.com/numbers/17.htm| title=|Darby Bible Translation| target=|_top|&gt;DBY&lt;/a&gt;</v>
      </c>
      <c r="AO13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3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3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34" t="str">
        <f>CONCATENATE("&lt;/li&gt;&lt;li&gt;&lt;a href=|http://",AR1191,"/numbers/17.htm","| ","title=|",AR1190,"| target=|_top|&gt;",AR1192,"&lt;/a&gt;")</f>
        <v>&lt;/li&gt;&lt;li&gt;&lt;a href=|http://websterbible.com/numbers/17.htm| title=|Webster's Bible Translation| target=|_top|&gt;WBS&lt;/a&gt;</v>
      </c>
      <c r="AS13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34" t="str">
        <f>CONCATENATE("&lt;/li&gt;&lt;li&gt;&lt;a href=|http://",AT1191,"/numbers/17-1.htm","| ","title=|",AT1190,"| target=|_top|&gt;",AT1192,"&lt;/a&gt;")</f>
        <v>&lt;/li&gt;&lt;li&gt;&lt;a href=|http://biblebrowser.com/numbers/17-1.htm| title=|Split View| target=|_top|&gt;Split&lt;/a&gt;</v>
      </c>
      <c r="AU134" s="2" t="s">
        <v>1276</v>
      </c>
      <c r="AV134" t="s">
        <v>64</v>
      </c>
    </row>
    <row r="135" spans="1:48">
      <c r="A135" t="s">
        <v>622</v>
      </c>
      <c r="B135" t="s">
        <v>188</v>
      </c>
      <c r="C135" t="s">
        <v>624</v>
      </c>
      <c r="D135" t="s">
        <v>1268</v>
      </c>
      <c r="E135" t="s">
        <v>1277</v>
      </c>
      <c r="F135" t="s">
        <v>1304</v>
      </c>
      <c r="G135" t="s">
        <v>1266</v>
      </c>
      <c r="H135" t="s">
        <v>1305</v>
      </c>
      <c r="I135" t="s">
        <v>1303</v>
      </c>
      <c r="J135" t="s">
        <v>1267</v>
      </c>
      <c r="K135" t="s">
        <v>1275</v>
      </c>
      <c r="L135" s="2" t="s">
        <v>1274</v>
      </c>
      <c r="M135" t="str">
        <f t="shared" ref="M135:AB135" si="536">CONCATENATE("&lt;/li&gt;&lt;li&gt;&lt;a href=|http://",M1191,"/numbers/18.htm","| ","title=|",M1190,"| target=|_top|&gt;",M1192,"&lt;/a&gt;")</f>
        <v>&lt;/li&gt;&lt;li&gt;&lt;a href=|http://niv.scripturetext.com/numbers/18.htm| title=|New International Version| target=|_top|&gt;NIV&lt;/a&gt;</v>
      </c>
      <c r="N135" t="str">
        <f t="shared" si="536"/>
        <v>&lt;/li&gt;&lt;li&gt;&lt;a href=|http://nlt.scripturetext.com/numbers/18.htm| title=|New Living Translation| target=|_top|&gt;NLT&lt;/a&gt;</v>
      </c>
      <c r="O135" t="str">
        <f t="shared" si="536"/>
        <v>&lt;/li&gt;&lt;li&gt;&lt;a href=|http://nasb.scripturetext.com/numbers/18.htm| title=|New American Standard Bible| target=|_top|&gt;NAS&lt;/a&gt;</v>
      </c>
      <c r="P135" t="str">
        <f t="shared" si="536"/>
        <v>&lt;/li&gt;&lt;li&gt;&lt;a href=|http://gwt.scripturetext.com/numbers/18.htm| title=|God's Word Translation| target=|_top|&gt;GWT&lt;/a&gt;</v>
      </c>
      <c r="Q135" t="str">
        <f t="shared" si="536"/>
        <v>&lt;/li&gt;&lt;li&gt;&lt;a href=|http://kingjbible.com/numbers/18.htm| title=|King James Bible| target=|_top|&gt;KJV&lt;/a&gt;</v>
      </c>
      <c r="R135" t="str">
        <f t="shared" si="536"/>
        <v>&lt;/li&gt;&lt;li&gt;&lt;a href=|http://asvbible.com/numbers/18.htm| title=|American Standard Version| target=|_top|&gt;ASV&lt;/a&gt;</v>
      </c>
      <c r="S135" t="str">
        <f t="shared" si="536"/>
        <v>&lt;/li&gt;&lt;li&gt;&lt;a href=|http://drb.scripturetext.com/numbers/18.htm| title=|Douay-Rheims Bible| target=|_top|&gt;DRB&lt;/a&gt;</v>
      </c>
      <c r="T135" t="str">
        <f t="shared" si="536"/>
        <v>&lt;/li&gt;&lt;li&gt;&lt;a href=|http://erv.scripturetext.com/numbers/18.htm| title=|English Revised Version| target=|_top|&gt;ERV&lt;/a&gt;</v>
      </c>
      <c r="V135" t="str">
        <f>CONCATENATE("&lt;/li&gt;&lt;li&gt;&lt;a href=|http://",V1191,"/numbers/18.htm","| ","title=|",V1190,"| target=|_top|&gt;",V1192,"&lt;/a&gt;")</f>
        <v>&lt;/li&gt;&lt;li&gt;&lt;a href=|http://study.interlinearbible.org/numbers/18.htm| title=|Hebrew Study Bible| target=|_top|&gt;Heb Study&lt;/a&gt;</v>
      </c>
      <c r="W135" t="str">
        <f t="shared" si="536"/>
        <v>&lt;/li&gt;&lt;li&gt;&lt;a href=|http://apostolic.interlinearbible.org/numbers/18.htm| title=|Apostolic Bible Polyglot Interlinear| target=|_top|&gt;Polyglot&lt;/a&gt;</v>
      </c>
      <c r="X135" t="str">
        <f t="shared" si="536"/>
        <v>&lt;/li&gt;&lt;li&gt;&lt;a href=|http://interlinearbible.org/numbers/18.htm| title=|Interlinear Bible| target=|_top|&gt;Interlin&lt;/a&gt;</v>
      </c>
      <c r="Y135" t="str">
        <f t="shared" ref="Y135" si="537">CONCATENATE("&lt;/li&gt;&lt;li&gt;&lt;a href=|http://",Y1191,"/numbers/18.htm","| ","title=|",Y1190,"| target=|_top|&gt;",Y1192,"&lt;/a&gt;")</f>
        <v>&lt;/li&gt;&lt;li&gt;&lt;a href=|http://bibleoutline.org/numbers/18.htm| title=|Outline with People and Places List| target=|_top|&gt;Outline&lt;/a&gt;</v>
      </c>
      <c r="Z135" t="str">
        <f t="shared" si="536"/>
        <v>&lt;/li&gt;&lt;li&gt;&lt;a href=|http://kjvs.scripturetext.com/numbers/18.htm| title=|King James Bible with Strong's Numbers| target=|_top|&gt;Strong's&lt;/a&gt;</v>
      </c>
      <c r="AA135" t="str">
        <f t="shared" si="536"/>
        <v>&lt;/li&gt;&lt;li&gt;&lt;a href=|http://childrensbibleonline.com/numbers/18.htm| title=|The Children's Bible| target=|_top|&gt;Children's&lt;/a&gt;</v>
      </c>
      <c r="AB135" s="2" t="str">
        <f t="shared" si="536"/>
        <v>&lt;/li&gt;&lt;li&gt;&lt;a href=|http://tsk.scripturetext.com/numbers/18.htm| title=|Treasury of Scripture Knowledge| target=|_top|&gt;TSK&lt;/a&gt;</v>
      </c>
      <c r="AC135" t="str">
        <f>CONCATENATE("&lt;a href=|http://",AC1191,"/numbers/18.htm","| ","title=|",AC1190,"| target=|_top|&gt;",AC1192,"&lt;/a&gt;")</f>
        <v>&lt;a href=|http://parallelbible.com/numbers/18.htm| title=|Parallel Chapters| target=|_top|&gt;PAR&lt;/a&gt;</v>
      </c>
      <c r="AD135" s="2" t="str">
        <f t="shared" ref="AD135:AK135" si="538">CONCATENATE("&lt;/li&gt;&lt;li&gt;&lt;a href=|http://",AD1191,"/numbers/18.htm","| ","title=|",AD1190,"| target=|_top|&gt;",AD1192,"&lt;/a&gt;")</f>
        <v>&lt;/li&gt;&lt;li&gt;&lt;a href=|http://gsb.biblecommenter.com/numbers/18.htm| title=|Geneva Study Bible| target=|_top|&gt;GSB&lt;/a&gt;</v>
      </c>
      <c r="AE135" s="2" t="str">
        <f t="shared" si="538"/>
        <v>&lt;/li&gt;&lt;li&gt;&lt;a href=|http://jfb.biblecommenter.com/numbers/18.htm| title=|Jamieson-Fausset-Brown Bible Commentary| target=|_top|&gt;JFB&lt;/a&gt;</v>
      </c>
      <c r="AF135" s="2" t="str">
        <f t="shared" si="538"/>
        <v>&lt;/li&gt;&lt;li&gt;&lt;a href=|http://kjt.biblecommenter.com/numbers/18.htm| title=|King James Translators' Notes| target=|_top|&gt;KJT&lt;/a&gt;</v>
      </c>
      <c r="AG135" s="2" t="str">
        <f t="shared" si="538"/>
        <v>&lt;/li&gt;&lt;li&gt;&lt;a href=|http://mhc.biblecommenter.com/numbers/18.htm| title=|Matthew Henry's Concise Commentary| target=|_top|&gt;MHC&lt;/a&gt;</v>
      </c>
      <c r="AH135" s="2" t="str">
        <f t="shared" si="538"/>
        <v>&lt;/li&gt;&lt;li&gt;&lt;a href=|http://sco.biblecommenter.com/numbers/18.htm| title=|Scofield Reference Notes| target=|_top|&gt;SCO&lt;/a&gt;</v>
      </c>
      <c r="AI135" s="2" t="str">
        <f t="shared" si="538"/>
        <v>&lt;/li&gt;&lt;li&gt;&lt;a href=|http://wes.biblecommenter.com/numbers/18.htm| title=|Wesley's Notes on the Bible| target=|_top|&gt;WES&lt;/a&gt;</v>
      </c>
      <c r="AJ135" t="str">
        <f t="shared" si="538"/>
        <v>&lt;/li&gt;&lt;li&gt;&lt;a href=|http://worldebible.com/numbers/18.htm| title=|World English Bible| target=|_top|&gt;WEB&lt;/a&gt;</v>
      </c>
      <c r="AK135" t="str">
        <f t="shared" si="538"/>
        <v>&lt;/li&gt;&lt;li&gt;&lt;a href=|http://yltbible.com/numbers/18.htm| title=|Young's Literal Translation| target=|_top|&gt;YLT&lt;/a&gt;</v>
      </c>
      <c r="AL135" t="str">
        <f>CONCATENATE("&lt;a href=|http://",AL1191,"/numbers/18.htm","| ","title=|",AL1190,"| target=|_top|&gt;",AL1192,"&lt;/a&gt;")</f>
        <v>&lt;a href=|http://kjv.us/numbers/18.htm| title=|American King James Version| target=|_top|&gt;AKJ&lt;/a&gt;</v>
      </c>
      <c r="AM135" t="str">
        <f t="shared" ref="AM135:AN135" si="539">CONCATENATE("&lt;/li&gt;&lt;li&gt;&lt;a href=|http://",AM1191,"/numbers/18.htm","| ","title=|",AM1190,"| target=|_top|&gt;",AM1192,"&lt;/a&gt;")</f>
        <v>&lt;/li&gt;&lt;li&gt;&lt;a href=|http://basicenglishbible.com/numbers/18.htm| title=|Bible in Basic English| target=|_top|&gt;BBE&lt;/a&gt;</v>
      </c>
      <c r="AN135" t="str">
        <f t="shared" si="539"/>
        <v>&lt;/li&gt;&lt;li&gt;&lt;a href=|http://darbybible.com/numbers/18.htm| title=|Darby Bible Translation| target=|_top|&gt;DBY&lt;/a&gt;</v>
      </c>
      <c r="AO13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3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3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35" t="str">
        <f>CONCATENATE("&lt;/li&gt;&lt;li&gt;&lt;a href=|http://",AR1191,"/numbers/18.htm","| ","title=|",AR1190,"| target=|_top|&gt;",AR1192,"&lt;/a&gt;")</f>
        <v>&lt;/li&gt;&lt;li&gt;&lt;a href=|http://websterbible.com/numbers/18.htm| title=|Webster's Bible Translation| target=|_top|&gt;WBS&lt;/a&gt;</v>
      </c>
      <c r="AS13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35" t="str">
        <f>CONCATENATE("&lt;/li&gt;&lt;li&gt;&lt;a href=|http://",AT1191,"/numbers/18-1.htm","| ","title=|",AT1190,"| target=|_top|&gt;",AT1192,"&lt;/a&gt;")</f>
        <v>&lt;/li&gt;&lt;li&gt;&lt;a href=|http://biblebrowser.com/numbers/18-1.htm| title=|Split View| target=|_top|&gt;Split&lt;/a&gt;</v>
      </c>
      <c r="AU135" s="2" t="s">
        <v>1276</v>
      </c>
      <c r="AV135" t="s">
        <v>64</v>
      </c>
    </row>
    <row r="136" spans="1:48">
      <c r="A136" t="s">
        <v>622</v>
      </c>
      <c r="B136" t="s">
        <v>189</v>
      </c>
      <c r="C136" t="s">
        <v>624</v>
      </c>
      <c r="D136" t="s">
        <v>1268</v>
      </c>
      <c r="E136" t="s">
        <v>1277</v>
      </c>
      <c r="F136" t="s">
        <v>1304</v>
      </c>
      <c r="G136" t="s">
        <v>1266</v>
      </c>
      <c r="H136" t="s">
        <v>1305</v>
      </c>
      <c r="I136" t="s">
        <v>1303</v>
      </c>
      <c r="J136" t="s">
        <v>1267</v>
      </c>
      <c r="K136" t="s">
        <v>1275</v>
      </c>
      <c r="L136" s="2" t="s">
        <v>1274</v>
      </c>
      <c r="M136" t="str">
        <f t="shared" ref="M136:AB136" si="540">CONCATENATE("&lt;/li&gt;&lt;li&gt;&lt;a href=|http://",M1191,"/numbers/19.htm","| ","title=|",M1190,"| target=|_top|&gt;",M1192,"&lt;/a&gt;")</f>
        <v>&lt;/li&gt;&lt;li&gt;&lt;a href=|http://niv.scripturetext.com/numbers/19.htm| title=|New International Version| target=|_top|&gt;NIV&lt;/a&gt;</v>
      </c>
      <c r="N136" t="str">
        <f t="shared" si="540"/>
        <v>&lt;/li&gt;&lt;li&gt;&lt;a href=|http://nlt.scripturetext.com/numbers/19.htm| title=|New Living Translation| target=|_top|&gt;NLT&lt;/a&gt;</v>
      </c>
      <c r="O136" t="str">
        <f t="shared" si="540"/>
        <v>&lt;/li&gt;&lt;li&gt;&lt;a href=|http://nasb.scripturetext.com/numbers/19.htm| title=|New American Standard Bible| target=|_top|&gt;NAS&lt;/a&gt;</v>
      </c>
      <c r="P136" t="str">
        <f t="shared" si="540"/>
        <v>&lt;/li&gt;&lt;li&gt;&lt;a href=|http://gwt.scripturetext.com/numbers/19.htm| title=|God's Word Translation| target=|_top|&gt;GWT&lt;/a&gt;</v>
      </c>
      <c r="Q136" t="str">
        <f t="shared" si="540"/>
        <v>&lt;/li&gt;&lt;li&gt;&lt;a href=|http://kingjbible.com/numbers/19.htm| title=|King James Bible| target=|_top|&gt;KJV&lt;/a&gt;</v>
      </c>
      <c r="R136" t="str">
        <f t="shared" si="540"/>
        <v>&lt;/li&gt;&lt;li&gt;&lt;a href=|http://asvbible.com/numbers/19.htm| title=|American Standard Version| target=|_top|&gt;ASV&lt;/a&gt;</v>
      </c>
      <c r="S136" t="str">
        <f t="shared" si="540"/>
        <v>&lt;/li&gt;&lt;li&gt;&lt;a href=|http://drb.scripturetext.com/numbers/19.htm| title=|Douay-Rheims Bible| target=|_top|&gt;DRB&lt;/a&gt;</v>
      </c>
      <c r="T136" t="str">
        <f t="shared" si="540"/>
        <v>&lt;/li&gt;&lt;li&gt;&lt;a href=|http://erv.scripturetext.com/numbers/19.htm| title=|English Revised Version| target=|_top|&gt;ERV&lt;/a&gt;</v>
      </c>
      <c r="V136" t="str">
        <f>CONCATENATE("&lt;/li&gt;&lt;li&gt;&lt;a href=|http://",V1191,"/numbers/19.htm","| ","title=|",V1190,"| target=|_top|&gt;",V1192,"&lt;/a&gt;")</f>
        <v>&lt;/li&gt;&lt;li&gt;&lt;a href=|http://study.interlinearbible.org/numbers/19.htm| title=|Hebrew Study Bible| target=|_top|&gt;Heb Study&lt;/a&gt;</v>
      </c>
      <c r="W136" t="str">
        <f t="shared" si="540"/>
        <v>&lt;/li&gt;&lt;li&gt;&lt;a href=|http://apostolic.interlinearbible.org/numbers/19.htm| title=|Apostolic Bible Polyglot Interlinear| target=|_top|&gt;Polyglot&lt;/a&gt;</v>
      </c>
      <c r="X136" t="str">
        <f t="shared" si="540"/>
        <v>&lt;/li&gt;&lt;li&gt;&lt;a href=|http://interlinearbible.org/numbers/19.htm| title=|Interlinear Bible| target=|_top|&gt;Interlin&lt;/a&gt;</v>
      </c>
      <c r="Y136" t="str">
        <f t="shared" ref="Y136" si="541">CONCATENATE("&lt;/li&gt;&lt;li&gt;&lt;a href=|http://",Y1191,"/numbers/19.htm","| ","title=|",Y1190,"| target=|_top|&gt;",Y1192,"&lt;/a&gt;")</f>
        <v>&lt;/li&gt;&lt;li&gt;&lt;a href=|http://bibleoutline.org/numbers/19.htm| title=|Outline with People and Places List| target=|_top|&gt;Outline&lt;/a&gt;</v>
      </c>
      <c r="Z136" t="str">
        <f t="shared" si="540"/>
        <v>&lt;/li&gt;&lt;li&gt;&lt;a href=|http://kjvs.scripturetext.com/numbers/19.htm| title=|King James Bible with Strong's Numbers| target=|_top|&gt;Strong's&lt;/a&gt;</v>
      </c>
      <c r="AA136" t="str">
        <f t="shared" si="540"/>
        <v>&lt;/li&gt;&lt;li&gt;&lt;a href=|http://childrensbibleonline.com/numbers/19.htm| title=|The Children's Bible| target=|_top|&gt;Children's&lt;/a&gt;</v>
      </c>
      <c r="AB136" s="2" t="str">
        <f t="shared" si="540"/>
        <v>&lt;/li&gt;&lt;li&gt;&lt;a href=|http://tsk.scripturetext.com/numbers/19.htm| title=|Treasury of Scripture Knowledge| target=|_top|&gt;TSK&lt;/a&gt;</v>
      </c>
      <c r="AC136" t="str">
        <f>CONCATENATE("&lt;a href=|http://",AC1191,"/numbers/19.htm","| ","title=|",AC1190,"| target=|_top|&gt;",AC1192,"&lt;/a&gt;")</f>
        <v>&lt;a href=|http://parallelbible.com/numbers/19.htm| title=|Parallel Chapters| target=|_top|&gt;PAR&lt;/a&gt;</v>
      </c>
      <c r="AD136" s="2" t="str">
        <f t="shared" ref="AD136:AK136" si="542">CONCATENATE("&lt;/li&gt;&lt;li&gt;&lt;a href=|http://",AD1191,"/numbers/19.htm","| ","title=|",AD1190,"| target=|_top|&gt;",AD1192,"&lt;/a&gt;")</f>
        <v>&lt;/li&gt;&lt;li&gt;&lt;a href=|http://gsb.biblecommenter.com/numbers/19.htm| title=|Geneva Study Bible| target=|_top|&gt;GSB&lt;/a&gt;</v>
      </c>
      <c r="AE136" s="2" t="str">
        <f t="shared" si="542"/>
        <v>&lt;/li&gt;&lt;li&gt;&lt;a href=|http://jfb.biblecommenter.com/numbers/19.htm| title=|Jamieson-Fausset-Brown Bible Commentary| target=|_top|&gt;JFB&lt;/a&gt;</v>
      </c>
      <c r="AF136" s="2" t="str">
        <f t="shared" si="542"/>
        <v>&lt;/li&gt;&lt;li&gt;&lt;a href=|http://kjt.biblecommenter.com/numbers/19.htm| title=|King James Translators' Notes| target=|_top|&gt;KJT&lt;/a&gt;</v>
      </c>
      <c r="AG136" s="2" t="str">
        <f t="shared" si="542"/>
        <v>&lt;/li&gt;&lt;li&gt;&lt;a href=|http://mhc.biblecommenter.com/numbers/19.htm| title=|Matthew Henry's Concise Commentary| target=|_top|&gt;MHC&lt;/a&gt;</v>
      </c>
      <c r="AH136" s="2" t="str">
        <f t="shared" si="542"/>
        <v>&lt;/li&gt;&lt;li&gt;&lt;a href=|http://sco.biblecommenter.com/numbers/19.htm| title=|Scofield Reference Notes| target=|_top|&gt;SCO&lt;/a&gt;</v>
      </c>
      <c r="AI136" s="2" t="str">
        <f t="shared" si="542"/>
        <v>&lt;/li&gt;&lt;li&gt;&lt;a href=|http://wes.biblecommenter.com/numbers/19.htm| title=|Wesley's Notes on the Bible| target=|_top|&gt;WES&lt;/a&gt;</v>
      </c>
      <c r="AJ136" t="str">
        <f t="shared" si="542"/>
        <v>&lt;/li&gt;&lt;li&gt;&lt;a href=|http://worldebible.com/numbers/19.htm| title=|World English Bible| target=|_top|&gt;WEB&lt;/a&gt;</v>
      </c>
      <c r="AK136" t="str">
        <f t="shared" si="542"/>
        <v>&lt;/li&gt;&lt;li&gt;&lt;a href=|http://yltbible.com/numbers/19.htm| title=|Young's Literal Translation| target=|_top|&gt;YLT&lt;/a&gt;</v>
      </c>
      <c r="AL136" t="str">
        <f>CONCATENATE("&lt;a href=|http://",AL1191,"/numbers/19.htm","| ","title=|",AL1190,"| target=|_top|&gt;",AL1192,"&lt;/a&gt;")</f>
        <v>&lt;a href=|http://kjv.us/numbers/19.htm| title=|American King James Version| target=|_top|&gt;AKJ&lt;/a&gt;</v>
      </c>
      <c r="AM136" t="str">
        <f t="shared" ref="AM136:AN136" si="543">CONCATENATE("&lt;/li&gt;&lt;li&gt;&lt;a href=|http://",AM1191,"/numbers/19.htm","| ","title=|",AM1190,"| target=|_top|&gt;",AM1192,"&lt;/a&gt;")</f>
        <v>&lt;/li&gt;&lt;li&gt;&lt;a href=|http://basicenglishbible.com/numbers/19.htm| title=|Bible in Basic English| target=|_top|&gt;BBE&lt;/a&gt;</v>
      </c>
      <c r="AN136" t="str">
        <f t="shared" si="543"/>
        <v>&lt;/li&gt;&lt;li&gt;&lt;a href=|http://darbybible.com/numbers/19.htm| title=|Darby Bible Translation| target=|_top|&gt;DBY&lt;/a&gt;</v>
      </c>
      <c r="AO13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3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3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36" t="str">
        <f>CONCATENATE("&lt;/li&gt;&lt;li&gt;&lt;a href=|http://",AR1191,"/numbers/19.htm","| ","title=|",AR1190,"| target=|_top|&gt;",AR1192,"&lt;/a&gt;")</f>
        <v>&lt;/li&gt;&lt;li&gt;&lt;a href=|http://websterbible.com/numbers/19.htm| title=|Webster's Bible Translation| target=|_top|&gt;WBS&lt;/a&gt;</v>
      </c>
      <c r="AS13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36" t="str">
        <f>CONCATENATE("&lt;/li&gt;&lt;li&gt;&lt;a href=|http://",AT1191,"/numbers/19-1.htm","| ","title=|",AT1190,"| target=|_top|&gt;",AT1192,"&lt;/a&gt;")</f>
        <v>&lt;/li&gt;&lt;li&gt;&lt;a href=|http://biblebrowser.com/numbers/19-1.htm| title=|Split View| target=|_top|&gt;Split&lt;/a&gt;</v>
      </c>
      <c r="AU136" s="2" t="s">
        <v>1276</v>
      </c>
      <c r="AV136" t="s">
        <v>64</v>
      </c>
    </row>
    <row r="137" spans="1:48">
      <c r="A137" t="s">
        <v>622</v>
      </c>
      <c r="B137" t="s">
        <v>190</v>
      </c>
      <c r="C137" t="s">
        <v>624</v>
      </c>
      <c r="D137" t="s">
        <v>1268</v>
      </c>
      <c r="E137" t="s">
        <v>1277</v>
      </c>
      <c r="F137" t="s">
        <v>1304</v>
      </c>
      <c r="G137" t="s">
        <v>1266</v>
      </c>
      <c r="H137" t="s">
        <v>1305</v>
      </c>
      <c r="I137" t="s">
        <v>1303</v>
      </c>
      <c r="J137" t="s">
        <v>1267</v>
      </c>
      <c r="K137" t="s">
        <v>1275</v>
      </c>
      <c r="L137" s="2" t="s">
        <v>1274</v>
      </c>
      <c r="M137" t="str">
        <f t="shared" ref="M137:AB137" si="544">CONCATENATE("&lt;/li&gt;&lt;li&gt;&lt;a href=|http://",M1191,"/numbers/20.htm","| ","title=|",M1190,"| target=|_top|&gt;",M1192,"&lt;/a&gt;")</f>
        <v>&lt;/li&gt;&lt;li&gt;&lt;a href=|http://niv.scripturetext.com/numbers/20.htm| title=|New International Version| target=|_top|&gt;NIV&lt;/a&gt;</v>
      </c>
      <c r="N137" t="str">
        <f t="shared" si="544"/>
        <v>&lt;/li&gt;&lt;li&gt;&lt;a href=|http://nlt.scripturetext.com/numbers/20.htm| title=|New Living Translation| target=|_top|&gt;NLT&lt;/a&gt;</v>
      </c>
      <c r="O137" t="str">
        <f t="shared" si="544"/>
        <v>&lt;/li&gt;&lt;li&gt;&lt;a href=|http://nasb.scripturetext.com/numbers/20.htm| title=|New American Standard Bible| target=|_top|&gt;NAS&lt;/a&gt;</v>
      </c>
      <c r="P137" t="str">
        <f t="shared" si="544"/>
        <v>&lt;/li&gt;&lt;li&gt;&lt;a href=|http://gwt.scripturetext.com/numbers/20.htm| title=|God's Word Translation| target=|_top|&gt;GWT&lt;/a&gt;</v>
      </c>
      <c r="Q137" t="str">
        <f t="shared" si="544"/>
        <v>&lt;/li&gt;&lt;li&gt;&lt;a href=|http://kingjbible.com/numbers/20.htm| title=|King James Bible| target=|_top|&gt;KJV&lt;/a&gt;</v>
      </c>
      <c r="R137" t="str">
        <f t="shared" si="544"/>
        <v>&lt;/li&gt;&lt;li&gt;&lt;a href=|http://asvbible.com/numbers/20.htm| title=|American Standard Version| target=|_top|&gt;ASV&lt;/a&gt;</v>
      </c>
      <c r="S137" t="str">
        <f t="shared" si="544"/>
        <v>&lt;/li&gt;&lt;li&gt;&lt;a href=|http://drb.scripturetext.com/numbers/20.htm| title=|Douay-Rheims Bible| target=|_top|&gt;DRB&lt;/a&gt;</v>
      </c>
      <c r="T137" t="str">
        <f t="shared" si="544"/>
        <v>&lt;/li&gt;&lt;li&gt;&lt;a href=|http://erv.scripturetext.com/numbers/20.htm| title=|English Revised Version| target=|_top|&gt;ERV&lt;/a&gt;</v>
      </c>
      <c r="V137" t="str">
        <f>CONCATENATE("&lt;/li&gt;&lt;li&gt;&lt;a href=|http://",V1191,"/numbers/20.htm","| ","title=|",V1190,"| target=|_top|&gt;",V1192,"&lt;/a&gt;")</f>
        <v>&lt;/li&gt;&lt;li&gt;&lt;a href=|http://study.interlinearbible.org/numbers/20.htm| title=|Hebrew Study Bible| target=|_top|&gt;Heb Study&lt;/a&gt;</v>
      </c>
      <c r="W137" t="str">
        <f t="shared" si="544"/>
        <v>&lt;/li&gt;&lt;li&gt;&lt;a href=|http://apostolic.interlinearbible.org/numbers/20.htm| title=|Apostolic Bible Polyglot Interlinear| target=|_top|&gt;Polyglot&lt;/a&gt;</v>
      </c>
      <c r="X137" t="str">
        <f t="shared" si="544"/>
        <v>&lt;/li&gt;&lt;li&gt;&lt;a href=|http://interlinearbible.org/numbers/20.htm| title=|Interlinear Bible| target=|_top|&gt;Interlin&lt;/a&gt;</v>
      </c>
      <c r="Y137" t="str">
        <f t="shared" ref="Y137" si="545">CONCATENATE("&lt;/li&gt;&lt;li&gt;&lt;a href=|http://",Y1191,"/numbers/20.htm","| ","title=|",Y1190,"| target=|_top|&gt;",Y1192,"&lt;/a&gt;")</f>
        <v>&lt;/li&gt;&lt;li&gt;&lt;a href=|http://bibleoutline.org/numbers/20.htm| title=|Outline with People and Places List| target=|_top|&gt;Outline&lt;/a&gt;</v>
      </c>
      <c r="Z137" t="str">
        <f t="shared" si="544"/>
        <v>&lt;/li&gt;&lt;li&gt;&lt;a href=|http://kjvs.scripturetext.com/numbers/20.htm| title=|King James Bible with Strong's Numbers| target=|_top|&gt;Strong's&lt;/a&gt;</v>
      </c>
      <c r="AA137" t="str">
        <f t="shared" si="544"/>
        <v>&lt;/li&gt;&lt;li&gt;&lt;a href=|http://childrensbibleonline.com/numbers/20.htm| title=|The Children's Bible| target=|_top|&gt;Children's&lt;/a&gt;</v>
      </c>
      <c r="AB137" s="2" t="str">
        <f t="shared" si="544"/>
        <v>&lt;/li&gt;&lt;li&gt;&lt;a href=|http://tsk.scripturetext.com/numbers/20.htm| title=|Treasury of Scripture Knowledge| target=|_top|&gt;TSK&lt;/a&gt;</v>
      </c>
      <c r="AC137" t="str">
        <f>CONCATENATE("&lt;a href=|http://",AC1191,"/numbers/20.htm","| ","title=|",AC1190,"| target=|_top|&gt;",AC1192,"&lt;/a&gt;")</f>
        <v>&lt;a href=|http://parallelbible.com/numbers/20.htm| title=|Parallel Chapters| target=|_top|&gt;PAR&lt;/a&gt;</v>
      </c>
      <c r="AD137" s="2" t="str">
        <f t="shared" ref="AD137:AK137" si="546">CONCATENATE("&lt;/li&gt;&lt;li&gt;&lt;a href=|http://",AD1191,"/numbers/20.htm","| ","title=|",AD1190,"| target=|_top|&gt;",AD1192,"&lt;/a&gt;")</f>
        <v>&lt;/li&gt;&lt;li&gt;&lt;a href=|http://gsb.biblecommenter.com/numbers/20.htm| title=|Geneva Study Bible| target=|_top|&gt;GSB&lt;/a&gt;</v>
      </c>
      <c r="AE137" s="2" t="str">
        <f t="shared" si="546"/>
        <v>&lt;/li&gt;&lt;li&gt;&lt;a href=|http://jfb.biblecommenter.com/numbers/20.htm| title=|Jamieson-Fausset-Brown Bible Commentary| target=|_top|&gt;JFB&lt;/a&gt;</v>
      </c>
      <c r="AF137" s="2" t="str">
        <f t="shared" si="546"/>
        <v>&lt;/li&gt;&lt;li&gt;&lt;a href=|http://kjt.biblecommenter.com/numbers/20.htm| title=|King James Translators' Notes| target=|_top|&gt;KJT&lt;/a&gt;</v>
      </c>
      <c r="AG137" s="2" t="str">
        <f t="shared" si="546"/>
        <v>&lt;/li&gt;&lt;li&gt;&lt;a href=|http://mhc.biblecommenter.com/numbers/20.htm| title=|Matthew Henry's Concise Commentary| target=|_top|&gt;MHC&lt;/a&gt;</v>
      </c>
      <c r="AH137" s="2" t="str">
        <f t="shared" si="546"/>
        <v>&lt;/li&gt;&lt;li&gt;&lt;a href=|http://sco.biblecommenter.com/numbers/20.htm| title=|Scofield Reference Notes| target=|_top|&gt;SCO&lt;/a&gt;</v>
      </c>
      <c r="AI137" s="2" t="str">
        <f t="shared" si="546"/>
        <v>&lt;/li&gt;&lt;li&gt;&lt;a href=|http://wes.biblecommenter.com/numbers/20.htm| title=|Wesley's Notes on the Bible| target=|_top|&gt;WES&lt;/a&gt;</v>
      </c>
      <c r="AJ137" t="str">
        <f t="shared" si="546"/>
        <v>&lt;/li&gt;&lt;li&gt;&lt;a href=|http://worldebible.com/numbers/20.htm| title=|World English Bible| target=|_top|&gt;WEB&lt;/a&gt;</v>
      </c>
      <c r="AK137" t="str">
        <f t="shared" si="546"/>
        <v>&lt;/li&gt;&lt;li&gt;&lt;a href=|http://yltbible.com/numbers/20.htm| title=|Young's Literal Translation| target=|_top|&gt;YLT&lt;/a&gt;</v>
      </c>
      <c r="AL137" t="str">
        <f>CONCATENATE("&lt;a href=|http://",AL1191,"/numbers/20.htm","| ","title=|",AL1190,"| target=|_top|&gt;",AL1192,"&lt;/a&gt;")</f>
        <v>&lt;a href=|http://kjv.us/numbers/20.htm| title=|American King James Version| target=|_top|&gt;AKJ&lt;/a&gt;</v>
      </c>
      <c r="AM137" t="str">
        <f t="shared" ref="AM137:AN137" si="547">CONCATENATE("&lt;/li&gt;&lt;li&gt;&lt;a href=|http://",AM1191,"/numbers/20.htm","| ","title=|",AM1190,"| target=|_top|&gt;",AM1192,"&lt;/a&gt;")</f>
        <v>&lt;/li&gt;&lt;li&gt;&lt;a href=|http://basicenglishbible.com/numbers/20.htm| title=|Bible in Basic English| target=|_top|&gt;BBE&lt;/a&gt;</v>
      </c>
      <c r="AN137" t="str">
        <f t="shared" si="547"/>
        <v>&lt;/li&gt;&lt;li&gt;&lt;a href=|http://darbybible.com/numbers/20.htm| title=|Darby Bible Translation| target=|_top|&gt;DBY&lt;/a&gt;</v>
      </c>
      <c r="AO13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3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3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37" t="str">
        <f>CONCATENATE("&lt;/li&gt;&lt;li&gt;&lt;a href=|http://",AR1191,"/numbers/20.htm","| ","title=|",AR1190,"| target=|_top|&gt;",AR1192,"&lt;/a&gt;")</f>
        <v>&lt;/li&gt;&lt;li&gt;&lt;a href=|http://websterbible.com/numbers/20.htm| title=|Webster's Bible Translation| target=|_top|&gt;WBS&lt;/a&gt;</v>
      </c>
      <c r="AS13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37" t="str">
        <f>CONCATENATE("&lt;/li&gt;&lt;li&gt;&lt;a href=|http://",AT1191,"/numbers/20-1.htm","| ","title=|",AT1190,"| target=|_top|&gt;",AT1192,"&lt;/a&gt;")</f>
        <v>&lt;/li&gt;&lt;li&gt;&lt;a href=|http://biblebrowser.com/numbers/20-1.htm| title=|Split View| target=|_top|&gt;Split&lt;/a&gt;</v>
      </c>
      <c r="AU137" s="2" t="s">
        <v>1276</v>
      </c>
      <c r="AV137" t="s">
        <v>64</v>
      </c>
    </row>
    <row r="138" spans="1:48">
      <c r="A138" t="s">
        <v>622</v>
      </c>
      <c r="B138" t="s">
        <v>191</v>
      </c>
      <c r="C138" t="s">
        <v>624</v>
      </c>
      <c r="D138" t="s">
        <v>1268</v>
      </c>
      <c r="E138" t="s">
        <v>1277</v>
      </c>
      <c r="F138" t="s">
        <v>1304</v>
      </c>
      <c r="G138" t="s">
        <v>1266</v>
      </c>
      <c r="H138" t="s">
        <v>1305</v>
      </c>
      <c r="I138" t="s">
        <v>1303</v>
      </c>
      <c r="J138" t="s">
        <v>1267</v>
      </c>
      <c r="K138" t="s">
        <v>1275</v>
      </c>
      <c r="L138" s="2" t="s">
        <v>1274</v>
      </c>
      <c r="M138" t="str">
        <f t="shared" ref="M138:AB138" si="548">CONCATENATE("&lt;/li&gt;&lt;li&gt;&lt;a href=|http://",M1191,"/numbers/21.htm","| ","title=|",M1190,"| target=|_top|&gt;",M1192,"&lt;/a&gt;")</f>
        <v>&lt;/li&gt;&lt;li&gt;&lt;a href=|http://niv.scripturetext.com/numbers/21.htm| title=|New International Version| target=|_top|&gt;NIV&lt;/a&gt;</v>
      </c>
      <c r="N138" t="str">
        <f t="shared" si="548"/>
        <v>&lt;/li&gt;&lt;li&gt;&lt;a href=|http://nlt.scripturetext.com/numbers/21.htm| title=|New Living Translation| target=|_top|&gt;NLT&lt;/a&gt;</v>
      </c>
      <c r="O138" t="str">
        <f t="shared" si="548"/>
        <v>&lt;/li&gt;&lt;li&gt;&lt;a href=|http://nasb.scripturetext.com/numbers/21.htm| title=|New American Standard Bible| target=|_top|&gt;NAS&lt;/a&gt;</v>
      </c>
      <c r="P138" t="str">
        <f t="shared" si="548"/>
        <v>&lt;/li&gt;&lt;li&gt;&lt;a href=|http://gwt.scripturetext.com/numbers/21.htm| title=|God's Word Translation| target=|_top|&gt;GWT&lt;/a&gt;</v>
      </c>
      <c r="Q138" t="str">
        <f t="shared" si="548"/>
        <v>&lt;/li&gt;&lt;li&gt;&lt;a href=|http://kingjbible.com/numbers/21.htm| title=|King James Bible| target=|_top|&gt;KJV&lt;/a&gt;</v>
      </c>
      <c r="R138" t="str">
        <f t="shared" si="548"/>
        <v>&lt;/li&gt;&lt;li&gt;&lt;a href=|http://asvbible.com/numbers/21.htm| title=|American Standard Version| target=|_top|&gt;ASV&lt;/a&gt;</v>
      </c>
      <c r="S138" t="str">
        <f t="shared" si="548"/>
        <v>&lt;/li&gt;&lt;li&gt;&lt;a href=|http://drb.scripturetext.com/numbers/21.htm| title=|Douay-Rheims Bible| target=|_top|&gt;DRB&lt;/a&gt;</v>
      </c>
      <c r="T138" t="str">
        <f t="shared" si="548"/>
        <v>&lt;/li&gt;&lt;li&gt;&lt;a href=|http://erv.scripturetext.com/numbers/21.htm| title=|English Revised Version| target=|_top|&gt;ERV&lt;/a&gt;</v>
      </c>
      <c r="V138" t="str">
        <f>CONCATENATE("&lt;/li&gt;&lt;li&gt;&lt;a href=|http://",V1191,"/numbers/21.htm","| ","title=|",V1190,"| target=|_top|&gt;",V1192,"&lt;/a&gt;")</f>
        <v>&lt;/li&gt;&lt;li&gt;&lt;a href=|http://study.interlinearbible.org/numbers/21.htm| title=|Hebrew Study Bible| target=|_top|&gt;Heb Study&lt;/a&gt;</v>
      </c>
      <c r="W138" t="str">
        <f t="shared" si="548"/>
        <v>&lt;/li&gt;&lt;li&gt;&lt;a href=|http://apostolic.interlinearbible.org/numbers/21.htm| title=|Apostolic Bible Polyglot Interlinear| target=|_top|&gt;Polyglot&lt;/a&gt;</v>
      </c>
      <c r="X138" t="str">
        <f t="shared" si="548"/>
        <v>&lt;/li&gt;&lt;li&gt;&lt;a href=|http://interlinearbible.org/numbers/21.htm| title=|Interlinear Bible| target=|_top|&gt;Interlin&lt;/a&gt;</v>
      </c>
      <c r="Y138" t="str">
        <f t="shared" ref="Y138" si="549">CONCATENATE("&lt;/li&gt;&lt;li&gt;&lt;a href=|http://",Y1191,"/numbers/21.htm","| ","title=|",Y1190,"| target=|_top|&gt;",Y1192,"&lt;/a&gt;")</f>
        <v>&lt;/li&gt;&lt;li&gt;&lt;a href=|http://bibleoutline.org/numbers/21.htm| title=|Outline with People and Places List| target=|_top|&gt;Outline&lt;/a&gt;</v>
      </c>
      <c r="Z138" t="str">
        <f t="shared" si="548"/>
        <v>&lt;/li&gt;&lt;li&gt;&lt;a href=|http://kjvs.scripturetext.com/numbers/21.htm| title=|King James Bible with Strong's Numbers| target=|_top|&gt;Strong's&lt;/a&gt;</v>
      </c>
      <c r="AA138" t="str">
        <f t="shared" si="548"/>
        <v>&lt;/li&gt;&lt;li&gt;&lt;a href=|http://childrensbibleonline.com/numbers/21.htm| title=|The Children's Bible| target=|_top|&gt;Children's&lt;/a&gt;</v>
      </c>
      <c r="AB138" s="2" t="str">
        <f t="shared" si="548"/>
        <v>&lt;/li&gt;&lt;li&gt;&lt;a href=|http://tsk.scripturetext.com/numbers/21.htm| title=|Treasury of Scripture Knowledge| target=|_top|&gt;TSK&lt;/a&gt;</v>
      </c>
      <c r="AC138" t="str">
        <f>CONCATENATE("&lt;a href=|http://",AC1191,"/numbers/21.htm","| ","title=|",AC1190,"| target=|_top|&gt;",AC1192,"&lt;/a&gt;")</f>
        <v>&lt;a href=|http://parallelbible.com/numbers/21.htm| title=|Parallel Chapters| target=|_top|&gt;PAR&lt;/a&gt;</v>
      </c>
      <c r="AD138" s="2" t="str">
        <f t="shared" ref="AD138:AK138" si="550">CONCATENATE("&lt;/li&gt;&lt;li&gt;&lt;a href=|http://",AD1191,"/numbers/21.htm","| ","title=|",AD1190,"| target=|_top|&gt;",AD1192,"&lt;/a&gt;")</f>
        <v>&lt;/li&gt;&lt;li&gt;&lt;a href=|http://gsb.biblecommenter.com/numbers/21.htm| title=|Geneva Study Bible| target=|_top|&gt;GSB&lt;/a&gt;</v>
      </c>
      <c r="AE138" s="2" t="str">
        <f t="shared" si="550"/>
        <v>&lt;/li&gt;&lt;li&gt;&lt;a href=|http://jfb.biblecommenter.com/numbers/21.htm| title=|Jamieson-Fausset-Brown Bible Commentary| target=|_top|&gt;JFB&lt;/a&gt;</v>
      </c>
      <c r="AF138" s="2" t="str">
        <f t="shared" si="550"/>
        <v>&lt;/li&gt;&lt;li&gt;&lt;a href=|http://kjt.biblecommenter.com/numbers/21.htm| title=|King James Translators' Notes| target=|_top|&gt;KJT&lt;/a&gt;</v>
      </c>
      <c r="AG138" s="2" t="str">
        <f t="shared" si="550"/>
        <v>&lt;/li&gt;&lt;li&gt;&lt;a href=|http://mhc.biblecommenter.com/numbers/21.htm| title=|Matthew Henry's Concise Commentary| target=|_top|&gt;MHC&lt;/a&gt;</v>
      </c>
      <c r="AH138" s="2" t="str">
        <f t="shared" si="550"/>
        <v>&lt;/li&gt;&lt;li&gt;&lt;a href=|http://sco.biblecommenter.com/numbers/21.htm| title=|Scofield Reference Notes| target=|_top|&gt;SCO&lt;/a&gt;</v>
      </c>
      <c r="AI138" s="2" t="str">
        <f t="shared" si="550"/>
        <v>&lt;/li&gt;&lt;li&gt;&lt;a href=|http://wes.biblecommenter.com/numbers/21.htm| title=|Wesley's Notes on the Bible| target=|_top|&gt;WES&lt;/a&gt;</v>
      </c>
      <c r="AJ138" t="str">
        <f t="shared" si="550"/>
        <v>&lt;/li&gt;&lt;li&gt;&lt;a href=|http://worldebible.com/numbers/21.htm| title=|World English Bible| target=|_top|&gt;WEB&lt;/a&gt;</v>
      </c>
      <c r="AK138" t="str">
        <f t="shared" si="550"/>
        <v>&lt;/li&gt;&lt;li&gt;&lt;a href=|http://yltbible.com/numbers/21.htm| title=|Young's Literal Translation| target=|_top|&gt;YLT&lt;/a&gt;</v>
      </c>
      <c r="AL138" t="str">
        <f>CONCATENATE("&lt;a href=|http://",AL1191,"/numbers/21.htm","| ","title=|",AL1190,"| target=|_top|&gt;",AL1192,"&lt;/a&gt;")</f>
        <v>&lt;a href=|http://kjv.us/numbers/21.htm| title=|American King James Version| target=|_top|&gt;AKJ&lt;/a&gt;</v>
      </c>
      <c r="AM138" t="str">
        <f t="shared" ref="AM138:AN138" si="551">CONCATENATE("&lt;/li&gt;&lt;li&gt;&lt;a href=|http://",AM1191,"/numbers/21.htm","| ","title=|",AM1190,"| target=|_top|&gt;",AM1192,"&lt;/a&gt;")</f>
        <v>&lt;/li&gt;&lt;li&gt;&lt;a href=|http://basicenglishbible.com/numbers/21.htm| title=|Bible in Basic English| target=|_top|&gt;BBE&lt;/a&gt;</v>
      </c>
      <c r="AN138" t="str">
        <f t="shared" si="551"/>
        <v>&lt;/li&gt;&lt;li&gt;&lt;a href=|http://darbybible.com/numbers/21.htm| title=|Darby Bible Translation| target=|_top|&gt;DBY&lt;/a&gt;</v>
      </c>
      <c r="AO13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3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3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38" t="str">
        <f>CONCATENATE("&lt;/li&gt;&lt;li&gt;&lt;a href=|http://",AR1191,"/numbers/21.htm","| ","title=|",AR1190,"| target=|_top|&gt;",AR1192,"&lt;/a&gt;")</f>
        <v>&lt;/li&gt;&lt;li&gt;&lt;a href=|http://websterbible.com/numbers/21.htm| title=|Webster's Bible Translation| target=|_top|&gt;WBS&lt;/a&gt;</v>
      </c>
      <c r="AS13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38" t="str">
        <f>CONCATENATE("&lt;/li&gt;&lt;li&gt;&lt;a href=|http://",AT1191,"/numbers/21-1.htm","| ","title=|",AT1190,"| target=|_top|&gt;",AT1192,"&lt;/a&gt;")</f>
        <v>&lt;/li&gt;&lt;li&gt;&lt;a href=|http://biblebrowser.com/numbers/21-1.htm| title=|Split View| target=|_top|&gt;Split&lt;/a&gt;</v>
      </c>
      <c r="AU138" s="2" t="s">
        <v>1276</v>
      </c>
      <c r="AV138" t="s">
        <v>64</v>
      </c>
    </row>
    <row r="139" spans="1:48">
      <c r="A139" t="s">
        <v>622</v>
      </c>
      <c r="B139" t="s">
        <v>192</v>
      </c>
      <c r="C139" t="s">
        <v>624</v>
      </c>
      <c r="D139" t="s">
        <v>1268</v>
      </c>
      <c r="E139" t="s">
        <v>1277</v>
      </c>
      <c r="F139" t="s">
        <v>1304</v>
      </c>
      <c r="G139" t="s">
        <v>1266</v>
      </c>
      <c r="H139" t="s">
        <v>1305</v>
      </c>
      <c r="I139" t="s">
        <v>1303</v>
      </c>
      <c r="J139" t="s">
        <v>1267</v>
      </c>
      <c r="K139" t="s">
        <v>1275</v>
      </c>
      <c r="L139" s="2" t="s">
        <v>1274</v>
      </c>
      <c r="M139" t="str">
        <f t="shared" ref="M139:AB139" si="552">CONCATENATE("&lt;/li&gt;&lt;li&gt;&lt;a href=|http://",M1191,"/numbers/22.htm","| ","title=|",M1190,"| target=|_top|&gt;",M1192,"&lt;/a&gt;")</f>
        <v>&lt;/li&gt;&lt;li&gt;&lt;a href=|http://niv.scripturetext.com/numbers/22.htm| title=|New International Version| target=|_top|&gt;NIV&lt;/a&gt;</v>
      </c>
      <c r="N139" t="str">
        <f t="shared" si="552"/>
        <v>&lt;/li&gt;&lt;li&gt;&lt;a href=|http://nlt.scripturetext.com/numbers/22.htm| title=|New Living Translation| target=|_top|&gt;NLT&lt;/a&gt;</v>
      </c>
      <c r="O139" t="str">
        <f t="shared" si="552"/>
        <v>&lt;/li&gt;&lt;li&gt;&lt;a href=|http://nasb.scripturetext.com/numbers/22.htm| title=|New American Standard Bible| target=|_top|&gt;NAS&lt;/a&gt;</v>
      </c>
      <c r="P139" t="str">
        <f t="shared" si="552"/>
        <v>&lt;/li&gt;&lt;li&gt;&lt;a href=|http://gwt.scripturetext.com/numbers/22.htm| title=|God's Word Translation| target=|_top|&gt;GWT&lt;/a&gt;</v>
      </c>
      <c r="Q139" t="str">
        <f t="shared" si="552"/>
        <v>&lt;/li&gt;&lt;li&gt;&lt;a href=|http://kingjbible.com/numbers/22.htm| title=|King James Bible| target=|_top|&gt;KJV&lt;/a&gt;</v>
      </c>
      <c r="R139" t="str">
        <f t="shared" si="552"/>
        <v>&lt;/li&gt;&lt;li&gt;&lt;a href=|http://asvbible.com/numbers/22.htm| title=|American Standard Version| target=|_top|&gt;ASV&lt;/a&gt;</v>
      </c>
      <c r="S139" t="str">
        <f t="shared" si="552"/>
        <v>&lt;/li&gt;&lt;li&gt;&lt;a href=|http://drb.scripturetext.com/numbers/22.htm| title=|Douay-Rheims Bible| target=|_top|&gt;DRB&lt;/a&gt;</v>
      </c>
      <c r="T139" t="str">
        <f t="shared" si="552"/>
        <v>&lt;/li&gt;&lt;li&gt;&lt;a href=|http://erv.scripturetext.com/numbers/22.htm| title=|English Revised Version| target=|_top|&gt;ERV&lt;/a&gt;</v>
      </c>
      <c r="V139" t="str">
        <f>CONCATENATE("&lt;/li&gt;&lt;li&gt;&lt;a href=|http://",V1191,"/numbers/22.htm","| ","title=|",V1190,"| target=|_top|&gt;",V1192,"&lt;/a&gt;")</f>
        <v>&lt;/li&gt;&lt;li&gt;&lt;a href=|http://study.interlinearbible.org/numbers/22.htm| title=|Hebrew Study Bible| target=|_top|&gt;Heb Study&lt;/a&gt;</v>
      </c>
      <c r="W139" t="str">
        <f t="shared" si="552"/>
        <v>&lt;/li&gt;&lt;li&gt;&lt;a href=|http://apostolic.interlinearbible.org/numbers/22.htm| title=|Apostolic Bible Polyglot Interlinear| target=|_top|&gt;Polyglot&lt;/a&gt;</v>
      </c>
      <c r="X139" t="str">
        <f t="shared" si="552"/>
        <v>&lt;/li&gt;&lt;li&gt;&lt;a href=|http://interlinearbible.org/numbers/22.htm| title=|Interlinear Bible| target=|_top|&gt;Interlin&lt;/a&gt;</v>
      </c>
      <c r="Y139" t="str">
        <f t="shared" ref="Y139" si="553">CONCATENATE("&lt;/li&gt;&lt;li&gt;&lt;a href=|http://",Y1191,"/numbers/22.htm","| ","title=|",Y1190,"| target=|_top|&gt;",Y1192,"&lt;/a&gt;")</f>
        <v>&lt;/li&gt;&lt;li&gt;&lt;a href=|http://bibleoutline.org/numbers/22.htm| title=|Outline with People and Places List| target=|_top|&gt;Outline&lt;/a&gt;</v>
      </c>
      <c r="Z139" t="str">
        <f t="shared" si="552"/>
        <v>&lt;/li&gt;&lt;li&gt;&lt;a href=|http://kjvs.scripturetext.com/numbers/22.htm| title=|King James Bible with Strong's Numbers| target=|_top|&gt;Strong's&lt;/a&gt;</v>
      </c>
      <c r="AA139" t="str">
        <f t="shared" si="552"/>
        <v>&lt;/li&gt;&lt;li&gt;&lt;a href=|http://childrensbibleonline.com/numbers/22.htm| title=|The Children's Bible| target=|_top|&gt;Children's&lt;/a&gt;</v>
      </c>
      <c r="AB139" s="2" t="str">
        <f t="shared" si="552"/>
        <v>&lt;/li&gt;&lt;li&gt;&lt;a href=|http://tsk.scripturetext.com/numbers/22.htm| title=|Treasury of Scripture Knowledge| target=|_top|&gt;TSK&lt;/a&gt;</v>
      </c>
      <c r="AC139" t="str">
        <f>CONCATENATE("&lt;a href=|http://",AC1191,"/numbers/22.htm","| ","title=|",AC1190,"| target=|_top|&gt;",AC1192,"&lt;/a&gt;")</f>
        <v>&lt;a href=|http://parallelbible.com/numbers/22.htm| title=|Parallel Chapters| target=|_top|&gt;PAR&lt;/a&gt;</v>
      </c>
      <c r="AD139" s="2" t="str">
        <f t="shared" ref="AD139:AK139" si="554">CONCATENATE("&lt;/li&gt;&lt;li&gt;&lt;a href=|http://",AD1191,"/numbers/22.htm","| ","title=|",AD1190,"| target=|_top|&gt;",AD1192,"&lt;/a&gt;")</f>
        <v>&lt;/li&gt;&lt;li&gt;&lt;a href=|http://gsb.biblecommenter.com/numbers/22.htm| title=|Geneva Study Bible| target=|_top|&gt;GSB&lt;/a&gt;</v>
      </c>
      <c r="AE139" s="2" t="str">
        <f t="shared" si="554"/>
        <v>&lt;/li&gt;&lt;li&gt;&lt;a href=|http://jfb.biblecommenter.com/numbers/22.htm| title=|Jamieson-Fausset-Brown Bible Commentary| target=|_top|&gt;JFB&lt;/a&gt;</v>
      </c>
      <c r="AF139" s="2" t="str">
        <f t="shared" si="554"/>
        <v>&lt;/li&gt;&lt;li&gt;&lt;a href=|http://kjt.biblecommenter.com/numbers/22.htm| title=|King James Translators' Notes| target=|_top|&gt;KJT&lt;/a&gt;</v>
      </c>
      <c r="AG139" s="2" t="str">
        <f t="shared" si="554"/>
        <v>&lt;/li&gt;&lt;li&gt;&lt;a href=|http://mhc.biblecommenter.com/numbers/22.htm| title=|Matthew Henry's Concise Commentary| target=|_top|&gt;MHC&lt;/a&gt;</v>
      </c>
      <c r="AH139" s="2" t="str">
        <f t="shared" si="554"/>
        <v>&lt;/li&gt;&lt;li&gt;&lt;a href=|http://sco.biblecommenter.com/numbers/22.htm| title=|Scofield Reference Notes| target=|_top|&gt;SCO&lt;/a&gt;</v>
      </c>
      <c r="AI139" s="2" t="str">
        <f t="shared" si="554"/>
        <v>&lt;/li&gt;&lt;li&gt;&lt;a href=|http://wes.biblecommenter.com/numbers/22.htm| title=|Wesley's Notes on the Bible| target=|_top|&gt;WES&lt;/a&gt;</v>
      </c>
      <c r="AJ139" t="str">
        <f t="shared" si="554"/>
        <v>&lt;/li&gt;&lt;li&gt;&lt;a href=|http://worldebible.com/numbers/22.htm| title=|World English Bible| target=|_top|&gt;WEB&lt;/a&gt;</v>
      </c>
      <c r="AK139" t="str">
        <f t="shared" si="554"/>
        <v>&lt;/li&gt;&lt;li&gt;&lt;a href=|http://yltbible.com/numbers/22.htm| title=|Young's Literal Translation| target=|_top|&gt;YLT&lt;/a&gt;</v>
      </c>
      <c r="AL139" t="str">
        <f>CONCATENATE("&lt;a href=|http://",AL1191,"/numbers/22.htm","| ","title=|",AL1190,"| target=|_top|&gt;",AL1192,"&lt;/a&gt;")</f>
        <v>&lt;a href=|http://kjv.us/numbers/22.htm| title=|American King James Version| target=|_top|&gt;AKJ&lt;/a&gt;</v>
      </c>
      <c r="AM139" t="str">
        <f t="shared" ref="AM139:AN139" si="555">CONCATENATE("&lt;/li&gt;&lt;li&gt;&lt;a href=|http://",AM1191,"/numbers/22.htm","| ","title=|",AM1190,"| target=|_top|&gt;",AM1192,"&lt;/a&gt;")</f>
        <v>&lt;/li&gt;&lt;li&gt;&lt;a href=|http://basicenglishbible.com/numbers/22.htm| title=|Bible in Basic English| target=|_top|&gt;BBE&lt;/a&gt;</v>
      </c>
      <c r="AN139" t="str">
        <f t="shared" si="555"/>
        <v>&lt;/li&gt;&lt;li&gt;&lt;a href=|http://darbybible.com/numbers/22.htm| title=|Darby Bible Translation| target=|_top|&gt;DBY&lt;/a&gt;</v>
      </c>
      <c r="AO13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3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3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39" t="str">
        <f>CONCATENATE("&lt;/li&gt;&lt;li&gt;&lt;a href=|http://",AR1191,"/numbers/22.htm","| ","title=|",AR1190,"| target=|_top|&gt;",AR1192,"&lt;/a&gt;")</f>
        <v>&lt;/li&gt;&lt;li&gt;&lt;a href=|http://websterbible.com/numbers/22.htm| title=|Webster's Bible Translation| target=|_top|&gt;WBS&lt;/a&gt;</v>
      </c>
      <c r="AS13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39" t="str">
        <f>CONCATENATE("&lt;/li&gt;&lt;li&gt;&lt;a href=|http://",AT1191,"/numbers/22-1.htm","| ","title=|",AT1190,"| target=|_top|&gt;",AT1192,"&lt;/a&gt;")</f>
        <v>&lt;/li&gt;&lt;li&gt;&lt;a href=|http://biblebrowser.com/numbers/22-1.htm| title=|Split View| target=|_top|&gt;Split&lt;/a&gt;</v>
      </c>
      <c r="AU139" s="2" t="s">
        <v>1276</v>
      </c>
      <c r="AV139" t="s">
        <v>64</v>
      </c>
    </row>
    <row r="140" spans="1:48">
      <c r="A140" t="s">
        <v>622</v>
      </c>
      <c r="B140" t="s">
        <v>193</v>
      </c>
      <c r="C140" t="s">
        <v>624</v>
      </c>
      <c r="D140" t="s">
        <v>1268</v>
      </c>
      <c r="E140" t="s">
        <v>1277</v>
      </c>
      <c r="F140" t="s">
        <v>1304</v>
      </c>
      <c r="G140" t="s">
        <v>1266</v>
      </c>
      <c r="H140" t="s">
        <v>1305</v>
      </c>
      <c r="I140" t="s">
        <v>1303</v>
      </c>
      <c r="J140" t="s">
        <v>1267</v>
      </c>
      <c r="K140" t="s">
        <v>1275</v>
      </c>
      <c r="L140" s="2" t="s">
        <v>1274</v>
      </c>
      <c r="M140" t="str">
        <f t="shared" ref="M140:AB140" si="556">CONCATENATE("&lt;/li&gt;&lt;li&gt;&lt;a href=|http://",M1191,"/numbers/23.htm","| ","title=|",M1190,"| target=|_top|&gt;",M1192,"&lt;/a&gt;")</f>
        <v>&lt;/li&gt;&lt;li&gt;&lt;a href=|http://niv.scripturetext.com/numbers/23.htm| title=|New International Version| target=|_top|&gt;NIV&lt;/a&gt;</v>
      </c>
      <c r="N140" t="str">
        <f t="shared" si="556"/>
        <v>&lt;/li&gt;&lt;li&gt;&lt;a href=|http://nlt.scripturetext.com/numbers/23.htm| title=|New Living Translation| target=|_top|&gt;NLT&lt;/a&gt;</v>
      </c>
      <c r="O140" t="str">
        <f t="shared" si="556"/>
        <v>&lt;/li&gt;&lt;li&gt;&lt;a href=|http://nasb.scripturetext.com/numbers/23.htm| title=|New American Standard Bible| target=|_top|&gt;NAS&lt;/a&gt;</v>
      </c>
      <c r="P140" t="str">
        <f t="shared" si="556"/>
        <v>&lt;/li&gt;&lt;li&gt;&lt;a href=|http://gwt.scripturetext.com/numbers/23.htm| title=|God's Word Translation| target=|_top|&gt;GWT&lt;/a&gt;</v>
      </c>
      <c r="Q140" t="str">
        <f t="shared" si="556"/>
        <v>&lt;/li&gt;&lt;li&gt;&lt;a href=|http://kingjbible.com/numbers/23.htm| title=|King James Bible| target=|_top|&gt;KJV&lt;/a&gt;</v>
      </c>
      <c r="R140" t="str">
        <f t="shared" si="556"/>
        <v>&lt;/li&gt;&lt;li&gt;&lt;a href=|http://asvbible.com/numbers/23.htm| title=|American Standard Version| target=|_top|&gt;ASV&lt;/a&gt;</v>
      </c>
      <c r="S140" t="str">
        <f t="shared" si="556"/>
        <v>&lt;/li&gt;&lt;li&gt;&lt;a href=|http://drb.scripturetext.com/numbers/23.htm| title=|Douay-Rheims Bible| target=|_top|&gt;DRB&lt;/a&gt;</v>
      </c>
      <c r="T140" t="str">
        <f t="shared" si="556"/>
        <v>&lt;/li&gt;&lt;li&gt;&lt;a href=|http://erv.scripturetext.com/numbers/23.htm| title=|English Revised Version| target=|_top|&gt;ERV&lt;/a&gt;</v>
      </c>
      <c r="V140" t="str">
        <f>CONCATENATE("&lt;/li&gt;&lt;li&gt;&lt;a href=|http://",V1191,"/numbers/23.htm","| ","title=|",V1190,"| target=|_top|&gt;",V1192,"&lt;/a&gt;")</f>
        <v>&lt;/li&gt;&lt;li&gt;&lt;a href=|http://study.interlinearbible.org/numbers/23.htm| title=|Hebrew Study Bible| target=|_top|&gt;Heb Study&lt;/a&gt;</v>
      </c>
      <c r="W140" t="str">
        <f t="shared" si="556"/>
        <v>&lt;/li&gt;&lt;li&gt;&lt;a href=|http://apostolic.interlinearbible.org/numbers/23.htm| title=|Apostolic Bible Polyglot Interlinear| target=|_top|&gt;Polyglot&lt;/a&gt;</v>
      </c>
      <c r="X140" t="str">
        <f t="shared" si="556"/>
        <v>&lt;/li&gt;&lt;li&gt;&lt;a href=|http://interlinearbible.org/numbers/23.htm| title=|Interlinear Bible| target=|_top|&gt;Interlin&lt;/a&gt;</v>
      </c>
      <c r="Y140" t="str">
        <f t="shared" ref="Y140" si="557">CONCATENATE("&lt;/li&gt;&lt;li&gt;&lt;a href=|http://",Y1191,"/numbers/23.htm","| ","title=|",Y1190,"| target=|_top|&gt;",Y1192,"&lt;/a&gt;")</f>
        <v>&lt;/li&gt;&lt;li&gt;&lt;a href=|http://bibleoutline.org/numbers/23.htm| title=|Outline with People and Places List| target=|_top|&gt;Outline&lt;/a&gt;</v>
      </c>
      <c r="Z140" t="str">
        <f t="shared" si="556"/>
        <v>&lt;/li&gt;&lt;li&gt;&lt;a href=|http://kjvs.scripturetext.com/numbers/23.htm| title=|King James Bible with Strong's Numbers| target=|_top|&gt;Strong's&lt;/a&gt;</v>
      </c>
      <c r="AA140" t="str">
        <f t="shared" si="556"/>
        <v>&lt;/li&gt;&lt;li&gt;&lt;a href=|http://childrensbibleonline.com/numbers/23.htm| title=|The Children's Bible| target=|_top|&gt;Children's&lt;/a&gt;</v>
      </c>
      <c r="AB140" s="2" t="str">
        <f t="shared" si="556"/>
        <v>&lt;/li&gt;&lt;li&gt;&lt;a href=|http://tsk.scripturetext.com/numbers/23.htm| title=|Treasury of Scripture Knowledge| target=|_top|&gt;TSK&lt;/a&gt;</v>
      </c>
      <c r="AC140" t="str">
        <f>CONCATENATE("&lt;a href=|http://",AC1191,"/numbers/23.htm","| ","title=|",AC1190,"| target=|_top|&gt;",AC1192,"&lt;/a&gt;")</f>
        <v>&lt;a href=|http://parallelbible.com/numbers/23.htm| title=|Parallel Chapters| target=|_top|&gt;PAR&lt;/a&gt;</v>
      </c>
      <c r="AD140" s="2" t="str">
        <f t="shared" ref="AD140:AK140" si="558">CONCATENATE("&lt;/li&gt;&lt;li&gt;&lt;a href=|http://",AD1191,"/numbers/23.htm","| ","title=|",AD1190,"| target=|_top|&gt;",AD1192,"&lt;/a&gt;")</f>
        <v>&lt;/li&gt;&lt;li&gt;&lt;a href=|http://gsb.biblecommenter.com/numbers/23.htm| title=|Geneva Study Bible| target=|_top|&gt;GSB&lt;/a&gt;</v>
      </c>
      <c r="AE140" s="2" t="str">
        <f t="shared" si="558"/>
        <v>&lt;/li&gt;&lt;li&gt;&lt;a href=|http://jfb.biblecommenter.com/numbers/23.htm| title=|Jamieson-Fausset-Brown Bible Commentary| target=|_top|&gt;JFB&lt;/a&gt;</v>
      </c>
      <c r="AF140" s="2" t="str">
        <f t="shared" si="558"/>
        <v>&lt;/li&gt;&lt;li&gt;&lt;a href=|http://kjt.biblecommenter.com/numbers/23.htm| title=|King James Translators' Notes| target=|_top|&gt;KJT&lt;/a&gt;</v>
      </c>
      <c r="AG140" s="2" t="str">
        <f t="shared" si="558"/>
        <v>&lt;/li&gt;&lt;li&gt;&lt;a href=|http://mhc.biblecommenter.com/numbers/23.htm| title=|Matthew Henry's Concise Commentary| target=|_top|&gt;MHC&lt;/a&gt;</v>
      </c>
      <c r="AH140" s="2" t="str">
        <f t="shared" si="558"/>
        <v>&lt;/li&gt;&lt;li&gt;&lt;a href=|http://sco.biblecommenter.com/numbers/23.htm| title=|Scofield Reference Notes| target=|_top|&gt;SCO&lt;/a&gt;</v>
      </c>
      <c r="AI140" s="2" t="str">
        <f t="shared" si="558"/>
        <v>&lt;/li&gt;&lt;li&gt;&lt;a href=|http://wes.biblecommenter.com/numbers/23.htm| title=|Wesley's Notes on the Bible| target=|_top|&gt;WES&lt;/a&gt;</v>
      </c>
      <c r="AJ140" t="str">
        <f t="shared" si="558"/>
        <v>&lt;/li&gt;&lt;li&gt;&lt;a href=|http://worldebible.com/numbers/23.htm| title=|World English Bible| target=|_top|&gt;WEB&lt;/a&gt;</v>
      </c>
      <c r="AK140" t="str">
        <f t="shared" si="558"/>
        <v>&lt;/li&gt;&lt;li&gt;&lt;a href=|http://yltbible.com/numbers/23.htm| title=|Young's Literal Translation| target=|_top|&gt;YLT&lt;/a&gt;</v>
      </c>
      <c r="AL140" t="str">
        <f>CONCATENATE("&lt;a href=|http://",AL1191,"/numbers/23.htm","| ","title=|",AL1190,"| target=|_top|&gt;",AL1192,"&lt;/a&gt;")</f>
        <v>&lt;a href=|http://kjv.us/numbers/23.htm| title=|American King James Version| target=|_top|&gt;AKJ&lt;/a&gt;</v>
      </c>
      <c r="AM140" t="str">
        <f t="shared" ref="AM140:AN140" si="559">CONCATENATE("&lt;/li&gt;&lt;li&gt;&lt;a href=|http://",AM1191,"/numbers/23.htm","| ","title=|",AM1190,"| target=|_top|&gt;",AM1192,"&lt;/a&gt;")</f>
        <v>&lt;/li&gt;&lt;li&gt;&lt;a href=|http://basicenglishbible.com/numbers/23.htm| title=|Bible in Basic English| target=|_top|&gt;BBE&lt;/a&gt;</v>
      </c>
      <c r="AN140" t="str">
        <f t="shared" si="559"/>
        <v>&lt;/li&gt;&lt;li&gt;&lt;a href=|http://darbybible.com/numbers/23.htm| title=|Darby Bible Translation| target=|_top|&gt;DBY&lt;/a&gt;</v>
      </c>
      <c r="AO14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4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4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40" t="str">
        <f>CONCATENATE("&lt;/li&gt;&lt;li&gt;&lt;a href=|http://",AR1191,"/numbers/23.htm","| ","title=|",AR1190,"| target=|_top|&gt;",AR1192,"&lt;/a&gt;")</f>
        <v>&lt;/li&gt;&lt;li&gt;&lt;a href=|http://websterbible.com/numbers/23.htm| title=|Webster's Bible Translation| target=|_top|&gt;WBS&lt;/a&gt;</v>
      </c>
      <c r="AS14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40" t="str">
        <f>CONCATENATE("&lt;/li&gt;&lt;li&gt;&lt;a href=|http://",AT1191,"/numbers/23-1.htm","| ","title=|",AT1190,"| target=|_top|&gt;",AT1192,"&lt;/a&gt;")</f>
        <v>&lt;/li&gt;&lt;li&gt;&lt;a href=|http://biblebrowser.com/numbers/23-1.htm| title=|Split View| target=|_top|&gt;Split&lt;/a&gt;</v>
      </c>
      <c r="AU140" s="2" t="s">
        <v>1276</v>
      </c>
      <c r="AV140" t="s">
        <v>64</v>
      </c>
    </row>
    <row r="141" spans="1:48">
      <c r="A141" t="s">
        <v>622</v>
      </c>
      <c r="B141" t="s">
        <v>194</v>
      </c>
      <c r="C141" t="s">
        <v>624</v>
      </c>
      <c r="D141" t="s">
        <v>1268</v>
      </c>
      <c r="E141" t="s">
        <v>1277</v>
      </c>
      <c r="F141" t="s">
        <v>1304</v>
      </c>
      <c r="G141" t="s">
        <v>1266</v>
      </c>
      <c r="H141" t="s">
        <v>1305</v>
      </c>
      <c r="I141" t="s">
        <v>1303</v>
      </c>
      <c r="J141" t="s">
        <v>1267</v>
      </c>
      <c r="K141" t="s">
        <v>1275</v>
      </c>
      <c r="L141" s="2" t="s">
        <v>1274</v>
      </c>
      <c r="M141" t="str">
        <f t="shared" ref="M141:AB141" si="560">CONCATENATE("&lt;/li&gt;&lt;li&gt;&lt;a href=|http://",M1191,"/numbers/24.htm","| ","title=|",M1190,"| target=|_top|&gt;",M1192,"&lt;/a&gt;")</f>
        <v>&lt;/li&gt;&lt;li&gt;&lt;a href=|http://niv.scripturetext.com/numbers/24.htm| title=|New International Version| target=|_top|&gt;NIV&lt;/a&gt;</v>
      </c>
      <c r="N141" t="str">
        <f t="shared" si="560"/>
        <v>&lt;/li&gt;&lt;li&gt;&lt;a href=|http://nlt.scripturetext.com/numbers/24.htm| title=|New Living Translation| target=|_top|&gt;NLT&lt;/a&gt;</v>
      </c>
      <c r="O141" t="str">
        <f t="shared" si="560"/>
        <v>&lt;/li&gt;&lt;li&gt;&lt;a href=|http://nasb.scripturetext.com/numbers/24.htm| title=|New American Standard Bible| target=|_top|&gt;NAS&lt;/a&gt;</v>
      </c>
      <c r="P141" t="str">
        <f t="shared" si="560"/>
        <v>&lt;/li&gt;&lt;li&gt;&lt;a href=|http://gwt.scripturetext.com/numbers/24.htm| title=|God's Word Translation| target=|_top|&gt;GWT&lt;/a&gt;</v>
      </c>
      <c r="Q141" t="str">
        <f t="shared" si="560"/>
        <v>&lt;/li&gt;&lt;li&gt;&lt;a href=|http://kingjbible.com/numbers/24.htm| title=|King James Bible| target=|_top|&gt;KJV&lt;/a&gt;</v>
      </c>
      <c r="R141" t="str">
        <f t="shared" si="560"/>
        <v>&lt;/li&gt;&lt;li&gt;&lt;a href=|http://asvbible.com/numbers/24.htm| title=|American Standard Version| target=|_top|&gt;ASV&lt;/a&gt;</v>
      </c>
      <c r="S141" t="str">
        <f t="shared" si="560"/>
        <v>&lt;/li&gt;&lt;li&gt;&lt;a href=|http://drb.scripturetext.com/numbers/24.htm| title=|Douay-Rheims Bible| target=|_top|&gt;DRB&lt;/a&gt;</v>
      </c>
      <c r="T141" t="str">
        <f t="shared" si="560"/>
        <v>&lt;/li&gt;&lt;li&gt;&lt;a href=|http://erv.scripturetext.com/numbers/24.htm| title=|English Revised Version| target=|_top|&gt;ERV&lt;/a&gt;</v>
      </c>
      <c r="V141" t="str">
        <f>CONCATENATE("&lt;/li&gt;&lt;li&gt;&lt;a href=|http://",V1191,"/numbers/24.htm","| ","title=|",V1190,"| target=|_top|&gt;",V1192,"&lt;/a&gt;")</f>
        <v>&lt;/li&gt;&lt;li&gt;&lt;a href=|http://study.interlinearbible.org/numbers/24.htm| title=|Hebrew Study Bible| target=|_top|&gt;Heb Study&lt;/a&gt;</v>
      </c>
      <c r="W141" t="str">
        <f t="shared" si="560"/>
        <v>&lt;/li&gt;&lt;li&gt;&lt;a href=|http://apostolic.interlinearbible.org/numbers/24.htm| title=|Apostolic Bible Polyglot Interlinear| target=|_top|&gt;Polyglot&lt;/a&gt;</v>
      </c>
      <c r="X141" t="str">
        <f t="shared" si="560"/>
        <v>&lt;/li&gt;&lt;li&gt;&lt;a href=|http://interlinearbible.org/numbers/24.htm| title=|Interlinear Bible| target=|_top|&gt;Interlin&lt;/a&gt;</v>
      </c>
      <c r="Y141" t="str">
        <f t="shared" ref="Y141" si="561">CONCATENATE("&lt;/li&gt;&lt;li&gt;&lt;a href=|http://",Y1191,"/numbers/24.htm","| ","title=|",Y1190,"| target=|_top|&gt;",Y1192,"&lt;/a&gt;")</f>
        <v>&lt;/li&gt;&lt;li&gt;&lt;a href=|http://bibleoutline.org/numbers/24.htm| title=|Outline with People and Places List| target=|_top|&gt;Outline&lt;/a&gt;</v>
      </c>
      <c r="Z141" t="str">
        <f t="shared" si="560"/>
        <v>&lt;/li&gt;&lt;li&gt;&lt;a href=|http://kjvs.scripturetext.com/numbers/24.htm| title=|King James Bible with Strong's Numbers| target=|_top|&gt;Strong's&lt;/a&gt;</v>
      </c>
      <c r="AA141" t="str">
        <f t="shared" si="560"/>
        <v>&lt;/li&gt;&lt;li&gt;&lt;a href=|http://childrensbibleonline.com/numbers/24.htm| title=|The Children's Bible| target=|_top|&gt;Children's&lt;/a&gt;</v>
      </c>
      <c r="AB141" s="2" t="str">
        <f t="shared" si="560"/>
        <v>&lt;/li&gt;&lt;li&gt;&lt;a href=|http://tsk.scripturetext.com/numbers/24.htm| title=|Treasury of Scripture Knowledge| target=|_top|&gt;TSK&lt;/a&gt;</v>
      </c>
      <c r="AC141" t="str">
        <f>CONCATENATE("&lt;a href=|http://",AC1191,"/numbers/24.htm","| ","title=|",AC1190,"| target=|_top|&gt;",AC1192,"&lt;/a&gt;")</f>
        <v>&lt;a href=|http://parallelbible.com/numbers/24.htm| title=|Parallel Chapters| target=|_top|&gt;PAR&lt;/a&gt;</v>
      </c>
      <c r="AD141" s="2" t="str">
        <f t="shared" ref="AD141:AK141" si="562">CONCATENATE("&lt;/li&gt;&lt;li&gt;&lt;a href=|http://",AD1191,"/numbers/24.htm","| ","title=|",AD1190,"| target=|_top|&gt;",AD1192,"&lt;/a&gt;")</f>
        <v>&lt;/li&gt;&lt;li&gt;&lt;a href=|http://gsb.biblecommenter.com/numbers/24.htm| title=|Geneva Study Bible| target=|_top|&gt;GSB&lt;/a&gt;</v>
      </c>
      <c r="AE141" s="2" t="str">
        <f t="shared" si="562"/>
        <v>&lt;/li&gt;&lt;li&gt;&lt;a href=|http://jfb.biblecommenter.com/numbers/24.htm| title=|Jamieson-Fausset-Brown Bible Commentary| target=|_top|&gt;JFB&lt;/a&gt;</v>
      </c>
      <c r="AF141" s="2" t="str">
        <f t="shared" si="562"/>
        <v>&lt;/li&gt;&lt;li&gt;&lt;a href=|http://kjt.biblecommenter.com/numbers/24.htm| title=|King James Translators' Notes| target=|_top|&gt;KJT&lt;/a&gt;</v>
      </c>
      <c r="AG141" s="2" t="str">
        <f t="shared" si="562"/>
        <v>&lt;/li&gt;&lt;li&gt;&lt;a href=|http://mhc.biblecommenter.com/numbers/24.htm| title=|Matthew Henry's Concise Commentary| target=|_top|&gt;MHC&lt;/a&gt;</v>
      </c>
      <c r="AH141" s="2" t="str">
        <f t="shared" si="562"/>
        <v>&lt;/li&gt;&lt;li&gt;&lt;a href=|http://sco.biblecommenter.com/numbers/24.htm| title=|Scofield Reference Notes| target=|_top|&gt;SCO&lt;/a&gt;</v>
      </c>
      <c r="AI141" s="2" t="str">
        <f t="shared" si="562"/>
        <v>&lt;/li&gt;&lt;li&gt;&lt;a href=|http://wes.biblecommenter.com/numbers/24.htm| title=|Wesley's Notes on the Bible| target=|_top|&gt;WES&lt;/a&gt;</v>
      </c>
      <c r="AJ141" t="str">
        <f t="shared" si="562"/>
        <v>&lt;/li&gt;&lt;li&gt;&lt;a href=|http://worldebible.com/numbers/24.htm| title=|World English Bible| target=|_top|&gt;WEB&lt;/a&gt;</v>
      </c>
      <c r="AK141" t="str">
        <f t="shared" si="562"/>
        <v>&lt;/li&gt;&lt;li&gt;&lt;a href=|http://yltbible.com/numbers/24.htm| title=|Young's Literal Translation| target=|_top|&gt;YLT&lt;/a&gt;</v>
      </c>
      <c r="AL141" t="str">
        <f>CONCATENATE("&lt;a href=|http://",AL1191,"/numbers/24.htm","| ","title=|",AL1190,"| target=|_top|&gt;",AL1192,"&lt;/a&gt;")</f>
        <v>&lt;a href=|http://kjv.us/numbers/24.htm| title=|American King James Version| target=|_top|&gt;AKJ&lt;/a&gt;</v>
      </c>
      <c r="AM141" t="str">
        <f t="shared" ref="AM141:AN141" si="563">CONCATENATE("&lt;/li&gt;&lt;li&gt;&lt;a href=|http://",AM1191,"/numbers/24.htm","| ","title=|",AM1190,"| target=|_top|&gt;",AM1192,"&lt;/a&gt;")</f>
        <v>&lt;/li&gt;&lt;li&gt;&lt;a href=|http://basicenglishbible.com/numbers/24.htm| title=|Bible in Basic English| target=|_top|&gt;BBE&lt;/a&gt;</v>
      </c>
      <c r="AN141" t="str">
        <f t="shared" si="563"/>
        <v>&lt;/li&gt;&lt;li&gt;&lt;a href=|http://darbybible.com/numbers/24.htm| title=|Darby Bible Translation| target=|_top|&gt;DBY&lt;/a&gt;</v>
      </c>
      <c r="AO14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4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4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41" t="str">
        <f>CONCATENATE("&lt;/li&gt;&lt;li&gt;&lt;a href=|http://",AR1191,"/numbers/24.htm","| ","title=|",AR1190,"| target=|_top|&gt;",AR1192,"&lt;/a&gt;")</f>
        <v>&lt;/li&gt;&lt;li&gt;&lt;a href=|http://websterbible.com/numbers/24.htm| title=|Webster's Bible Translation| target=|_top|&gt;WBS&lt;/a&gt;</v>
      </c>
      <c r="AS14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41" t="str">
        <f>CONCATENATE("&lt;/li&gt;&lt;li&gt;&lt;a href=|http://",AT1191,"/numbers/24-1.htm","| ","title=|",AT1190,"| target=|_top|&gt;",AT1192,"&lt;/a&gt;")</f>
        <v>&lt;/li&gt;&lt;li&gt;&lt;a href=|http://biblebrowser.com/numbers/24-1.htm| title=|Split View| target=|_top|&gt;Split&lt;/a&gt;</v>
      </c>
      <c r="AU141" s="2" t="s">
        <v>1276</v>
      </c>
      <c r="AV141" t="s">
        <v>64</v>
      </c>
    </row>
    <row r="142" spans="1:48">
      <c r="A142" t="s">
        <v>622</v>
      </c>
      <c r="B142" t="s">
        <v>195</v>
      </c>
      <c r="C142" t="s">
        <v>624</v>
      </c>
      <c r="D142" t="s">
        <v>1268</v>
      </c>
      <c r="E142" t="s">
        <v>1277</v>
      </c>
      <c r="F142" t="s">
        <v>1304</v>
      </c>
      <c r="G142" t="s">
        <v>1266</v>
      </c>
      <c r="H142" t="s">
        <v>1305</v>
      </c>
      <c r="I142" t="s">
        <v>1303</v>
      </c>
      <c r="J142" t="s">
        <v>1267</v>
      </c>
      <c r="K142" t="s">
        <v>1275</v>
      </c>
      <c r="L142" s="2" t="s">
        <v>1274</v>
      </c>
      <c r="M142" t="str">
        <f t="shared" ref="M142:AB142" si="564">CONCATENATE("&lt;/li&gt;&lt;li&gt;&lt;a href=|http://",M1191,"/numbers/25.htm","| ","title=|",M1190,"| target=|_top|&gt;",M1192,"&lt;/a&gt;")</f>
        <v>&lt;/li&gt;&lt;li&gt;&lt;a href=|http://niv.scripturetext.com/numbers/25.htm| title=|New International Version| target=|_top|&gt;NIV&lt;/a&gt;</v>
      </c>
      <c r="N142" t="str">
        <f t="shared" si="564"/>
        <v>&lt;/li&gt;&lt;li&gt;&lt;a href=|http://nlt.scripturetext.com/numbers/25.htm| title=|New Living Translation| target=|_top|&gt;NLT&lt;/a&gt;</v>
      </c>
      <c r="O142" t="str">
        <f t="shared" si="564"/>
        <v>&lt;/li&gt;&lt;li&gt;&lt;a href=|http://nasb.scripturetext.com/numbers/25.htm| title=|New American Standard Bible| target=|_top|&gt;NAS&lt;/a&gt;</v>
      </c>
      <c r="P142" t="str">
        <f t="shared" si="564"/>
        <v>&lt;/li&gt;&lt;li&gt;&lt;a href=|http://gwt.scripturetext.com/numbers/25.htm| title=|God's Word Translation| target=|_top|&gt;GWT&lt;/a&gt;</v>
      </c>
      <c r="Q142" t="str">
        <f t="shared" si="564"/>
        <v>&lt;/li&gt;&lt;li&gt;&lt;a href=|http://kingjbible.com/numbers/25.htm| title=|King James Bible| target=|_top|&gt;KJV&lt;/a&gt;</v>
      </c>
      <c r="R142" t="str">
        <f t="shared" si="564"/>
        <v>&lt;/li&gt;&lt;li&gt;&lt;a href=|http://asvbible.com/numbers/25.htm| title=|American Standard Version| target=|_top|&gt;ASV&lt;/a&gt;</v>
      </c>
      <c r="S142" t="str">
        <f t="shared" si="564"/>
        <v>&lt;/li&gt;&lt;li&gt;&lt;a href=|http://drb.scripturetext.com/numbers/25.htm| title=|Douay-Rheims Bible| target=|_top|&gt;DRB&lt;/a&gt;</v>
      </c>
      <c r="T142" t="str">
        <f t="shared" si="564"/>
        <v>&lt;/li&gt;&lt;li&gt;&lt;a href=|http://erv.scripturetext.com/numbers/25.htm| title=|English Revised Version| target=|_top|&gt;ERV&lt;/a&gt;</v>
      </c>
      <c r="V142" t="str">
        <f>CONCATENATE("&lt;/li&gt;&lt;li&gt;&lt;a href=|http://",V1191,"/numbers/25.htm","| ","title=|",V1190,"| target=|_top|&gt;",V1192,"&lt;/a&gt;")</f>
        <v>&lt;/li&gt;&lt;li&gt;&lt;a href=|http://study.interlinearbible.org/numbers/25.htm| title=|Hebrew Study Bible| target=|_top|&gt;Heb Study&lt;/a&gt;</v>
      </c>
      <c r="W142" t="str">
        <f t="shared" si="564"/>
        <v>&lt;/li&gt;&lt;li&gt;&lt;a href=|http://apostolic.interlinearbible.org/numbers/25.htm| title=|Apostolic Bible Polyglot Interlinear| target=|_top|&gt;Polyglot&lt;/a&gt;</v>
      </c>
      <c r="X142" t="str">
        <f t="shared" si="564"/>
        <v>&lt;/li&gt;&lt;li&gt;&lt;a href=|http://interlinearbible.org/numbers/25.htm| title=|Interlinear Bible| target=|_top|&gt;Interlin&lt;/a&gt;</v>
      </c>
      <c r="Y142" t="str">
        <f t="shared" ref="Y142" si="565">CONCATENATE("&lt;/li&gt;&lt;li&gt;&lt;a href=|http://",Y1191,"/numbers/25.htm","| ","title=|",Y1190,"| target=|_top|&gt;",Y1192,"&lt;/a&gt;")</f>
        <v>&lt;/li&gt;&lt;li&gt;&lt;a href=|http://bibleoutline.org/numbers/25.htm| title=|Outline with People and Places List| target=|_top|&gt;Outline&lt;/a&gt;</v>
      </c>
      <c r="Z142" t="str">
        <f t="shared" si="564"/>
        <v>&lt;/li&gt;&lt;li&gt;&lt;a href=|http://kjvs.scripturetext.com/numbers/25.htm| title=|King James Bible with Strong's Numbers| target=|_top|&gt;Strong's&lt;/a&gt;</v>
      </c>
      <c r="AA142" t="str">
        <f t="shared" si="564"/>
        <v>&lt;/li&gt;&lt;li&gt;&lt;a href=|http://childrensbibleonline.com/numbers/25.htm| title=|The Children's Bible| target=|_top|&gt;Children's&lt;/a&gt;</v>
      </c>
      <c r="AB142" s="2" t="str">
        <f t="shared" si="564"/>
        <v>&lt;/li&gt;&lt;li&gt;&lt;a href=|http://tsk.scripturetext.com/numbers/25.htm| title=|Treasury of Scripture Knowledge| target=|_top|&gt;TSK&lt;/a&gt;</v>
      </c>
      <c r="AC142" t="str">
        <f>CONCATENATE("&lt;a href=|http://",AC1191,"/numbers/25.htm","| ","title=|",AC1190,"| target=|_top|&gt;",AC1192,"&lt;/a&gt;")</f>
        <v>&lt;a href=|http://parallelbible.com/numbers/25.htm| title=|Parallel Chapters| target=|_top|&gt;PAR&lt;/a&gt;</v>
      </c>
      <c r="AD142" s="2" t="str">
        <f t="shared" ref="AD142:AK142" si="566">CONCATENATE("&lt;/li&gt;&lt;li&gt;&lt;a href=|http://",AD1191,"/numbers/25.htm","| ","title=|",AD1190,"| target=|_top|&gt;",AD1192,"&lt;/a&gt;")</f>
        <v>&lt;/li&gt;&lt;li&gt;&lt;a href=|http://gsb.biblecommenter.com/numbers/25.htm| title=|Geneva Study Bible| target=|_top|&gt;GSB&lt;/a&gt;</v>
      </c>
      <c r="AE142" s="2" t="str">
        <f t="shared" si="566"/>
        <v>&lt;/li&gt;&lt;li&gt;&lt;a href=|http://jfb.biblecommenter.com/numbers/25.htm| title=|Jamieson-Fausset-Brown Bible Commentary| target=|_top|&gt;JFB&lt;/a&gt;</v>
      </c>
      <c r="AF142" s="2" t="str">
        <f t="shared" si="566"/>
        <v>&lt;/li&gt;&lt;li&gt;&lt;a href=|http://kjt.biblecommenter.com/numbers/25.htm| title=|King James Translators' Notes| target=|_top|&gt;KJT&lt;/a&gt;</v>
      </c>
      <c r="AG142" s="2" t="str">
        <f t="shared" si="566"/>
        <v>&lt;/li&gt;&lt;li&gt;&lt;a href=|http://mhc.biblecommenter.com/numbers/25.htm| title=|Matthew Henry's Concise Commentary| target=|_top|&gt;MHC&lt;/a&gt;</v>
      </c>
      <c r="AH142" s="2" t="str">
        <f t="shared" si="566"/>
        <v>&lt;/li&gt;&lt;li&gt;&lt;a href=|http://sco.biblecommenter.com/numbers/25.htm| title=|Scofield Reference Notes| target=|_top|&gt;SCO&lt;/a&gt;</v>
      </c>
      <c r="AI142" s="2" t="str">
        <f t="shared" si="566"/>
        <v>&lt;/li&gt;&lt;li&gt;&lt;a href=|http://wes.biblecommenter.com/numbers/25.htm| title=|Wesley's Notes on the Bible| target=|_top|&gt;WES&lt;/a&gt;</v>
      </c>
      <c r="AJ142" t="str">
        <f t="shared" si="566"/>
        <v>&lt;/li&gt;&lt;li&gt;&lt;a href=|http://worldebible.com/numbers/25.htm| title=|World English Bible| target=|_top|&gt;WEB&lt;/a&gt;</v>
      </c>
      <c r="AK142" t="str">
        <f t="shared" si="566"/>
        <v>&lt;/li&gt;&lt;li&gt;&lt;a href=|http://yltbible.com/numbers/25.htm| title=|Young's Literal Translation| target=|_top|&gt;YLT&lt;/a&gt;</v>
      </c>
      <c r="AL142" t="str">
        <f>CONCATENATE("&lt;a href=|http://",AL1191,"/numbers/25.htm","| ","title=|",AL1190,"| target=|_top|&gt;",AL1192,"&lt;/a&gt;")</f>
        <v>&lt;a href=|http://kjv.us/numbers/25.htm| title=|American King James Version| target=|_top|&gt;AKJ&lt;/a&gt;</v>
      </c>
      <c r="AM142" t="str">
        <f t="shared" ref="AM142:AN142" si="567">CONCATENATE("&lt;/li&gt;&lt;li&gt;&lt;a href=|http://",AM1191,"/numbers/25.htm","| ","title=|",AM1190,"| target=|_top|&gt;",AM1192,"&lt;/a&gt;")</f>
        <v>&lt;/li&gt;&lt;li&gt;&lt;a href=|http://basicenglishbible.com/numbers/25.htm| title=|Bible in Basic English| target=|_top|&gt;BBE&lt;/a&gt;</v>
      </c>
      <c r="AN142" t="str">
        <f t="shared" si="567"/>
        <v>&lt;/li&gt;&lt;li&gt;&lt;a href=|http://darbybible.com/numbers/25.htm| title=|Darby Bible Translation| target=|_top|&gt;DBY&lt;/a&gt;</v>
      </c>
      <c r="AO14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4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4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42" t="str">
        <f>CONCATENATE("&lt;/li&gt;&lt;li&gt;&lt;a href=|http://",AR1191,"/numbers/25.htm","| ","title=|",AR1190,"| target=|_top|&gt;",AR1192,"&lt;/a&gt;")</f>
        <v>&lt;/li&gt;&lt;li&gt;&lt;a href=|http://websterbible.com/numbers/25.htm| title=|Webster's Bible Translation| target=|_top|&gt;WBS&lt;/a&gt;</v>
      </c>
      <c r="AS14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42" t="str">
        <f>CONCATENATE("&lt;/li&gt;&lt;li&gt;&lt;a href=|http://",AT1191,"/numbers/25-1.htm","| ","title=|",AT1190,"| target=|_top|&gt;",AT1192,"&lt;/a&gt;")</f>
        <v>&lt;/li&gt;&lt;li&gt;&lt;a href=|http://biblebrowser.com/numbers/25-1.htm| title=|Split View| target=|_top|&gt;Split&lt;/a&gt;</v>
      </c>
      <c r="AU142" s="2" t="s">
        <v>1276</v>
      </c>
      <c r="AV142" t="s">
        <v>64</v>
      </c>
    </row>
    <row r="143" spans="1:48">
      <c r="A143" t="s">
        <v>622</v>
      </c>
      <c r="B143" t="s">
        <v>196</v>
      </c>
      <c r="C143" t="s">
        <v>624</v>
      </c>
      <c r="D143" t="s">
        <v>1268</v>
      </c>
      <c r="E143" t="s">
        <v>1277</v>
      </c>
      <c r="F143" t="s">
        <v>1304</v>
      </c>
      <c r="G143" t="s">
        <v>1266</v>
      </c>
      <c r="H143" t="s">
        <v>1305</v>
      </c>
      <c r="I143" t="s">
        <v>1303</v>
      </c>
      <c r="J143" t="s">
        <v>1267</v>
      </c>
      <c r="K143" t="s">
        <v>1275</v>
      </c>
      <c r="L143" s="2" t="s">
        <v>1274</v>
      </c>
      <c r="M143" t="str">
        <f t="shared" ref="M143:AB143" si="568">CONCATENATE("&lt;/li&gt;&lt;li&gt;&lt;a href=|http://",M1191,"/numbers/26.htm","| ","title=|",M1190,"| target=|_top|&gt;",M1192,"&lt;/a&gt;")</f>
        <v>&lt;/li&gt;&lt;li&gt;&lt;a href=|http://niv.scripturetext.com/numbers/26.htm| title=|New International Version| target=|_top|&gt;NIV&lt;/a&gt;</v>
      </c>
      <c r="N143" t="str">
        <f t="shared" si="568"/>
        <v>&lt;/li&gt;&lt;li&gt;&lt;a href=|http://nlt.scripturetext.com/numbers/26.htm| title=|New Living Translation| target=|_top|&gt;NLT&lt;/a&gt;</v>
      </c>
      <c r="O143" t="str">
        <f t="shared" si="568"/>
        <v>&lt;/li&gt;&lt;li&gt;&lt;a href=|http://nasb.scripturetext.com/numbers/26.htm| title=|New American Standard Bible| target=|_top|&gt;NAS&lt;/a&gt;</v>
      </c>
      <c r="P143" t="str">
        <f t="shared" si="568"/>
        <v>&lt;/li&gt;&lt;li&gt;&lt;a href=|http://gwt.scripturetext.com/numbers/26.htm| title=|God's Word Translation| target=|_top|&gt;GWT&lt;/a&gt;</v>
      </c>
      <c r="Q143" t="str">
        <f t="shared" si="568"/>
        <v>&lt;/li&gt;&lt;li&gt;&lt;a href=|http://kingjbible.com/numbers/26.htm| title=|King James Bible| target=|_top|&gt;KJV&lt;/a&gt;</v>
      </c>
      <c r="R143" t="str">
        <f t="shared" si="568"/>
        <v>&lt;/li&gt;&lt;li&gt;&lt;a href=|http://asvbible.com/numbers/26.htm| title=|American Standard Version| target=|_top|&gt;ASV&lt;/a&gt;</v>
      </c>
      <c r="S143" t="str">
        <f t="shared" si="568"/>
        <v>&lt;/li&gt;&lt;li&gt;&lt;a href=|http://drb.scripturetext.com/numbers/26.htm| title=|Douay-Rheims Bible| target=|_top|&gt;DRB&lt;/a&gt;</v>
      </c>
      <c r="T143" t="str">
        <f t="shared" si="568"/>
        <v>&lt;/li&gt;&lt;li&gt;&lt;a href=|http://erv.scripturetext.com/numbers/26.htm| title=|English Revised Version| target=|_top|&gt;ERV&lt;/a&gt;</v>
      </c>
      <c r="V143" t="str">
        <f>CONCATENATE("&lt;/li&gt;&lt;li&gt;&lt;a href=|http://",V1191,"/numbers/26.htm","| ","title=|",V1190,"| target=|_top|&gt;",V1192,"&lt;/a&gt;")</f>
        <v>&lt;/li&gt;&lt;li&gt;&lt;a href=|http://study.interlinearbible.org/numbers/26.htm| title=|Hebrew Study Bible| target=|_top|&gt;Heb Study&lt;/a&gt;</v>
      </c>
      <c r="W143" t="str">
        <f t="shared" si="568"/>
        <v>&lt;/li&gt;&lt;li&gt;&lt;a href=|http://apostolic.interlinearbible.org/numbers/26.htm| title=|Apostolic Bible Polyglot Interlinear| target=|_top|&gt;Polyglot&lt;/a&gt;</v>
      </c>
      <c r="X143" t="str">
        <f t="shared" si="568"/>
        <v>&lt;/li&gt;&lt;li&gt;&lt;a href=|http://interlinearbible.org/numbers/26.htm| title=|Interlinear Bible| target=|_top|&gt;Interlin&lt;/a&gt;</v>
      </c>
      <c r="Y143" t="str">
        <f t="shared" ref="Y143" si="569">CONCATENATE("&lt;/li&gt;&lt;li&gt;&lt;a href=|http://",Y1191,"/numbers/26.htm","| ","title=|",Y1190,"| target=|_top|&gt;",Y1192,"&lt;/a&gt;")</f>
        <v>&lt;/li&gt;&lt;li&gt;&lt;a href=|http://bibleoutline.org/numbers/26.htm| title=|Outline with People and Places List| target=|_top|&gt;Outline&lt;/a&gt;</v>
      </c>
      <c r="Z143" t="str">
        <f t="shared" si="568"/>
        <v>&lt;/li&gt;&lt;li&gt;&lt;a href=|http://kjvs.scripturetext.com/numbers/26.htm| title=|King James Bible with Strong's Numbers| target=|_top|&gt;Strong's&lt;/a&gt;</v>
      </c>
      <c r="AA143" t="str">
        <f t="shared" si="568"/>
        <v>&lt;/li&gt;&lt;li&gt;&lt;a href=|http://childrensbibleonline.com/numbers/26.htm| title=|The Children's Bible| target=|_top|&gt;Children's&lt;/a&gt;</v>
      </c>
      <c r="AB143" s="2" t="str">
        <f t="shared" si="568"/>
        <v>&lt;/li&gt;&lt;li&gt;&lt;a href=|http://tsk.scripturetext.com/numbers/26.htm| title=|Treasury of Scripture Knowledge| target=|_top|&gt;TSK&lt;/a&gt;</v>
      </c>
      <c r="AC143" t="str">
        <f>CONCATENATE("&lt;a href=|http://",AC1191,"/numbers/26.htm","| ","title=|",AC1190,"| target=|_top|&gt;",AC1192,"&lt;/a&gt;")</f>
        <v>&lt;a href=|http://parallelbible.com/numbers/26.htm| title=|Parallel Chapters| target=|_top|&gt;PAR&lt;/a&gt;</v>
      </c>
      <c r="AD143" s="2" t="str">
        <f t="shared" ref="AD143:AK143" si="570">CONCATENATE("&lt;/li&gt;&lt;li&gt;&lt;a href=|http://",AD1191,"/numbers/26.htm","| ","title=|",AD1190,"| target=|_top|&gt;",AD1192,"&lt;/a&gt;")</f>
        <v>&lt;/li&gt;&lt;li&gt;&lt;a href=|http://gsb.biblecommenter.com/numbers/26.htm| title=|Geneva Study Bible| target=|_top|&gt;GSB&lt;/a&gt;</v>
      </c>
      <c r="AE143" s="2" t="str">
        <f t="shared" si="570"/>
        <v>&lt;/li&gt;&lt;li&gt;&lt;a href=|http://jfb.biblecommenter.com/numbers/26.htm| title=|Jamieson-Fausset-Brown Bible Commentary| target=|_top|&gt;JFB&lt;/a&gt;</v>
      </c>
      <c r="AF143" s="2" t="str">
        <f t="shared" si="570"/>
        <v>&lt;/li&gt;&lt;li&gt;&lt;a href=|http://kjt.biblecommenter.com/numbers/26.htm| title=|King James Translators' Notes| target=|_top|&gt;KJT&lt;/a&gt;</v>
      </c>
      <c r="AG143" s="2" t="str">
        <f t="shared" si="570"/>
        <v>&lt;/li&gt;&lt;li&gt;&lt;a href=|http://mhc.biblecommenter.com/numbers/26.htm| title=|Matthew Henry's Concise Commentary| target=|_top|&gt;MHC&lt;/a&gt;</v>
      </c>
      <c r="AH143" s="2" t="str">
        <f t="shared" si="570"/>
        <v>&lt;/li&gt;&lt;li&gt;&lt;a href=|http://sco.biblecommenter.com/numbers/26.htm| title=|Scofield Reference Notes| target=|_top|&gt;SCO&lt;/a&gt;</v>
      </c>
      <c r="AI143" s="2" t="str">
        <f t="shared" si="570"/>
        <v>&lt;/li&gt;&lt;li&gt;&lt;a href=|http://wes.biblecommenter.com/numbers/26.htm| title=|Wesley's Notes on the Bible| target=|_top|&gt;WES&lt;/a&gt;</v>
      </c>
      <c r="AJ143" t="str">
        <f t="shared" si="570"/>
        <v>&lt;/li&gt;&lt;li&gt;&lt;a href=|http://worldebible.com/numbers/26.htm| title=|World English Bible| target=|_top|&gt;WEB&lt;/a&gt;</v>
      </c>
      <c r="AK143" t="str">
        <f t="shared" si="570"/>
        <v>&lt;/li&gt;&lt;li&gt;&lt;a href=|http://yltbible.com/numbers/26.htm| title=|Young's Literal Translation| target=|_top|&gt;YLT&lt;/a&gt;</v>
      </c>
      <c r="AL143" t="str">
        <f>CONCATENATE("&lt;a href=|http://",AL1191,"/numbers/26.htm","| ","title=|",AL1190,"| target=|_top|&gt;",AL1192,"&lt;/a&gt;")</f>
        <v>&lt;a href=|http://kjv.us/numbers/26.htm| title=|American King James Version| target=|_top|&gt;AKJ&lt;/a&gt;</v>
      </c>
      <c r="AM143" t="str">
        <f t="shared" ref="AM143:AN143" si="571">CONCATENATE("&lt;/li&gt;&lt;li&gt;&lt;a href=|http://",AM1191,"/numbers/26.htm","| ","title=|",AM1190,"| target=|_top|&gt;",AM1192,"&lt;/a&gt;")</f>
        <v>&lt;/li&gt;&lt;li&gt;&lt;a href=|http://basicenglishbible.com/numbers/26.htm| title=|Bible in Basic English| target=|_top|&gt;BBE&lt;/a&gt;</v>
      </c>
      <c r="AN143" t="str">
        <f t="shared" si="571"/>
        <v>&lt;/li&gt;&lt;li&gt;&lt;a href=|http://darbybible.com/numbers/26.htm| title=|Darby Bible Translation| target=|_top|&gt;DBY&lt;/a&gt;</v>
      </c>
      <c r="AO14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4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4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43" t="str">
        <f>CONCATENATE("&lt;/li&gt;&lt;li&gt;&lt;a href=|http://",AR1191,"/numbers/26.htm","| ","title=|",AR1190,"| target=|_top|&gt;",AR1192,"&lt;/a&gt;")</f>
        <v>&lt;/li&gt;&lt;li&gt;&lt;a href=|http://websterbible.com/numbers/26.htm| title=|Webster's Bible Translation| target=|_top|&gt;WBS&lt;/a&gt;</v>
      </c>
      <c r="AS14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43" t="str">
        <f>CONCATENATE("&lt;/li&gt;&lt;li&gt;&lt;a href=|http://",AT1191,"/numbers/26-1.htm","| ","title=|",AT1190,"| target=|_top|&gt;",AT1192,"&lt;/a&gt;")</f>
        <v>&lt;/li&gt;&lt;li&gt;&lt;a href=|http://biblebrowser.com/numbers/26-1.htm| title=|Split View| target=|_top|&gt;Split&lt;/a&gt;</v>
      </c>
      <c r="AU143" s="2" t="s">
        <v>1276</v>
      </c>
      <c r="AV143" t="s">
        <v>64</v>
      </c>
    </row>
    <row r="144" spans="1:48">
      <c r="A144" t="s">
        <v>622</v>
      </c>
      <c r="B144" t="s">
        <v>197</v>
      </c>
      <c r="C144" t="s">
        <v>624</v>
      </c>
      <c r="D144" t="s">
        <v>1268</v>
      </c>
      <c r="E144" t="s">
        <v>1277</v>
      </c>
      <c r="F144" t="s">
        <v>1304</v>
      </c>
      <c r="G144" t="s">
        <v>1266</v>
      </c>
      <c r="H144" t="s">
        <v>1305</v>
      </c>
      <c r="I144" t="s">
        <v>1303</v>
      </c>
      <c r="J144" t="s">
        <v>1267</v>
      </c>
      <c r="K144" t="s">
        <v>1275</v>
      </c>
      <c r="L144" s="2" t="s">
        <v>1274</v>
      </c>
      <c r="M144" t="str">
        <f t="shared" ref="M144:AB144" si="572">CONCATENATE("&lt;/li&gt;&lt;li&gt;&lt;a href=|http://",M1191,"/numbers/27.htm","| ","title=|",M1190,"| target=|_top|&gt;",M1192,"&lt;/a&gt;")</f>
        <v>&lt;/li&gt;&lt;li&gt;&lt;a href=|http://niv.scripturetext.com/numbers/27.htm| title=|New International Version| target=|_top|&gt;NIV&lt;/a&gt;</v>
      </c>
      <c r="N144" t="str">
        <f t="shared" si="572"/>
        <v>&lt;/li&gt;&lt;li&gt;&lt;a href=|http://nlt.scripturetext.com/numbers/27.htm| title=|New Living Translation| target=|_top|&gt;NLT&lt;/a&gt;</v>
      </c>
      <c r="O144" t="str">
        <f t="shared" si="572"/>
        <v>&lt;/li&gt;&lt;li&gt;&lt;a href=|http://nasb.scripturetext.com/numbers/27.htm| title=|New American Standard Bible| target=|_top|&gt;NAS&lt;/a&gt;</v>
      </c>
      <c r="P144" t="str">
        <f t="shared" si="572"/>
        <v>&lt;/li&gt;&lt;li&gt;&lt;a href=|http://gwt.scripturetext.com/numbers/27.htm| title=|God's Word Translation| target=|_top|&gt;GWT&lt;/a&gt;</v>
      </c>
      <c r="Q144" t="str">
        <f t="shared" si="572"/>
        <v>&lt;/li&gt;&lt;li&gt;&lt;a href=|http://kingjbible.com/numbers/27.htm| title=|King James Bible| target=|_top|&gt;KJV&lt;/a&gt;</v>
      </c>
      <c r="R144" t="str">
        <f t="shared" si="572"/>
        <v>&lt;/li&gt;&lt;li&gt;&lt;a href=|http://asvbible.com/numbers/27.htm| title=|American Standard Version| target=|_top|&gt;ASV&lt;/a&gt;</v>
      </c>
      <c r="S144" t="str">
        <f t="shared" si="572"/>
        <v>&lt;/li&gt;&lt;li&gt;&lt;a href=|http://drb.scripturetext.com/numbers/27.htm| title=|Douay-Rheims Bible| target=|_top|&gt;DRB&lt;/a&gt;</v>
      </c>
      <c r="T144" t="str">
        <f t="shared" si="572"/>
        <v>&lt;/li&gt;&lt;li&gt;&lt;a href=|http://erv.scripturetext.com/numbers/27.htm| title=|English Revised Version| target=|_top|&gt;ERV&lt;/a&gt;</v>
      </c>
      <c r="V144" t="str">
        <f>CONCATENATE("&lt;/li&gt;&lt;li&gt;&lt;a href=|http://",V1191,"/numbers/27.htm","| ","title=|",V1190,"| target=|_top|&gt;",V1192,"&lt;/a&gt;")</f>
        <v>&lt;/li&gt;&lt;li&gt;&lt;a href=|http://study.interlinearbible.org/numbers/27.htm| title=|Hebrew Study Bible| target=|_top|&gt;Heb Study&lt;/a&gt;</v>
      </c>
      <c r="W144" t="str">
        <f t="shared" si="572"/>
        <v>&lt;/li&gt;&lt;li&gt;&lt;a href=|http://apostolic.interlinearbible.org/numbers/27.htm| title=|Apostolic Bible Polyglot Interlinear| target=|_top|&gt;Polyglot&lt;/a&gt;</v>
      </c>
      <c r="X144" t="str">
        <f t="shared" si="572"/>
        <v>&lt;/li&gt;&lt;li&gt;&lt;a href=|http://interlinearbible.org/numbers/27.htm| title=|Interlinear Bible| target=|_top|&gt;Interlin&lt;/a&gt;</v>
      </c>
      <c r="Y144" t="str">
        <f t="shared" ref="Y144" si="573">CONCATENATE("&lt;/li&gt;&lt;li&gt;&lt;a href=|http://",Y1191,"/numbers/27.htm","| ","title=|",Y1190,"| target=|_top|&gt;",Y1192,"&lt;/a&gt;")</f>
        <v>&lt;/li&gt;&lt;li&gt;&lt;a href=|http://bibleoutline.org/numbers/27.htm| title=|Outline with People and Places List| target=|_top|&gt;Outline&lt;/a&gt;</v>
      </c>
      <c r="Z144" t="str">
        <f t="shared" si="572"/>
        <v>&lt;/li&gt;&lt;li&gt;&lt;a href=|http://kjvs.scripturetext.com/numbers/27.htm| title=|King James Bible with Strong's Numbers| target=|_top|&gt;Strong's&lt;/a&gt;</v>
      </c>
      <c r="AA144" t="str">
        <f t="shared" si="572"/>
        <v>&lt;/li&gt;&lt;li&gt;&lt;a href=|http://childrensbibleonline.com/numbers/27.htm| title=|The Children's Bible| target=|_top|&gt;Children's&lt;/a&gt;</v>
      </c>
      <c r="AB144" s="2" t="str">
        <f t="shared" si="572"/>
        <v>&lt;/li&gt;&lt;li&gt;&lt;a href=|http://tsk.scripturetext.com/numbers/27.htm| title=|Treasury of Scripture Knowledge| target=|_top|&gt;TSK&lt;/a&gt;</v>
      </c>
      <c r="AC144" t="str">
        <f>CONCATENATE("&lt;a href=|http://",AC1191,"/numbers/27.htm","| ","title=|",AC1190,"| target=|_top|&gt;",AC1192,"&lt;/a&gt;")</f>
        <v>&lt;a href=|http://parallelbible.com/numbers/27.htm| title=|Parallel Chapters| target=|_top|&gt;PAR&lt;/a&gt;</v>
      </c>
      <c r="AD144" s="2" t="str">
        <f t="shared" ref="AD144:AK144" si="574">CONCATENATE("&lt;/li&gt;&lt;li&gt;&lt;a href=|http://",AD1191,"/numbers/27.htm","| ","title=|",AD1190,"| target=|_top|&gt;",AD1192,"&lt;/a&gt;")</f>
        <v>&lt;/li&gt;&lt;li&gt;&lt;a href=|http://gsb.biblecommenter.com/numbers/27.htm| title=|Geneva Study Bible| target=|_top|&gt;GSB&lt;/a&gt;</v>
      </c>
      <c r="AE144" s="2" t="str">
        <f t="shared" si="574"/>
        <v>&lt;/li&gt;&lt;li&gt;&lt;a href=|http://jfb.biblecommenter.com/numbers/27.htm| title=|Jamieson-Fausset-Brown Bible Commentary| target=|_top|&gt;JFB&lt;/a&gt;</v>
      </c>
      <c r="AF144" s="2" t="str">
        <f t="shared" si="574"/>
        <v>&lt;/li&gt;&lt;li&gt;&lt;a href=|http://kjt.biblecommenter.com/numbers/27.htm| title=|King James Translators' Notes| target=|_top|&gt;KJT&lt;/a&gt;</v>
      </c>
      <c r="AG144" s="2" t="str">
        <f t="shared" si="574"/>
        <v>&lt;/li&gt;&lt;li&gt;&lt;a href=|http://mhc.biblecommenter.com/numbers/27.htm| title=|Matthew Henry's Concise Commentary| target=|_top|&gt;MHC&lt;/a&gt;</v>
      </c>
      <c r="AH144" s="2" t="str">
        <f t="shared" si="574"/>
        <v>&lt;/li&gt;&lt;li&gt;&lt;a href=|http://sco.biblecommenter.com/numbers/27.htm| title=|Scofield Reference Notes| target=|_top|&gt;SCO&lt;/a&gt;</v>
      </c>
      <c r="AI144" s="2" t="str">
        <f t="shared" si="574"/>
        <v>&lt;/li&gt;&lt;li&gt;&lt;a href=|http://wes.biblecommenter.com/numbers/27.htm| title=|Wesley's Notes on the Bible| target=|_top|&gt;WES&lt;/a&gt;</v>
      </c>
      <c r="AJ144" t="str">
        <f t="shared" si="574"/>
        <v>&lt;/li&gt;&lt;li&gt;&lt;a href=|http://worldebible.com/numbers/27.htm| title=|World English Bible| target=|_top|&gt;WEB&lt;/a&gt;</v>
      </c>
      <c r="AK144" t="str">
        <f t="shared" si="574"/>
        <v>&lt;/li&gt;&lt;li&gt;&lt;a href=|http://yltbible.com/numbers/27.htm| title=|Young's Literal Translation| target=|_top|&gt;YLT&lt;/a&gt;</v>
      </c>
      <c r="AL144" t="str">
        <f>CONCATENATE("&lt;a href=|http://",AL1191,"/numbers/27.htm","| ","title=|",AL1190,"| target=|_top|&gt;",AL1192,"&lt;/a&gt;")</f>
        <v>&lt;a href=|http://kjv.us/numbers/27.htm| title=|American King James Version| target=|_top|&gt;AKJ&lt;/a&gt;</v>
      </c>
      <c r="AM144" t="str">
        <f t="shared" ref="AM144:AN144" si="575">CONCATENATE("&lt;/li&gt;&lt;li&gt;&lt;a href=|http://",AM1191,"/numbers/27.htm","| ","title=|",AM1190,"| target=|_top|&gt;",AM1192,"&lt;/a&gt;")</f>
        <v>&lt;/li&gt;&lt;li&gt;&lt;a href=|http://basicenglishbible.com/numbers/27.htm| title=|Bible in Basic English| target=|_top|&gt;BBE&lt;/a&gt;</v>
      </c>
      <c r="AN144" t="str">
        <f t="shared" si="575"/>
        <v>&lt;/li&gt;&lt;li&gt;&lt;a href=|http://darbybible.com/numbers/27.htm| title=|Darby Bible Translation| target=|_top|&gt;DBY&lt;/a&gt;</v>
      </c>
      <c r="AO14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4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4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44" t="str">
        <f>CONCATENATE("&lt;/li&gt;&lt;li&gt;&lt;a href=|http://",AR1191,"/numbers/27.htm","| ","title=|",AR1190,"| target=|_top|&gt;",AR1192,"&lt;/a&gt;")</f>
        <v>&lt;/li&gt;&lt;li&gt;&lt;a href=|http://websterbible.com/numbers/27.htm| title=|Webster's Bible Translation| target=|_top|&gt;WBS&lt;/a&gt;</v>
      </c>
      <c r="AS14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44" t="str">
        <f>CONCATENATE("&lt;/li&gt;&lt;li&gt;&lt;a href=|http://",AT1191,"/numbers/27-1.htm","| ","title=|",AT1190,"| target=|_top|&gt;",AT1192,"&lt;/a&gt;")</f>
        <v>&lt;/li&gt;&lt;li&gt;&lt;a href=|http://biblebrowser.com/numbers/27-1.htm| title=|Split View| target=|_top|&gt;Split&lt;/a&gt;</v>
      </c>
      <c r="AU144" s="2" t="s">
        <v>1276</v>
      </c>
      <c r="AV144" t="s">
        <v>64</v>
      </c>
    </row>
    <row r="145" spans="1:48">
      <c r="A145" t="s">
        <v>622</v>
      </c>
      <c r="B145" t="s">
        <v>198</v>
      </c>
      <c r="C145" t="s">
        <v>624</v>
      </c>
      <c r="D145" t="s">
        <v>1268</v>
      </c>
      <c r="E145" t="s">
        <v>1277</v>
      </c>
      <c r="F145" t="s">
        <v>1304</v>
      </c>
      <c r="G145" t="s">
        <v>1266</v>
      </c>
      <c r="H145" t="s">
        <v>1305</v>
      </c>
      <c r="I145" t="s">
        <v>1303</v>
      </c>
      <c r="J145" t="s">
        <v>1267</v>
      </c>
      <c r="K145" t="s">
        <v>1275</v>
      </c>
      <c r="L145" s="2" t="s">
        <v>1274</v>
      </c>
      <c r="M145" t="str">
        <f t="shared" ref="M145:AB145" si="576">CONCATENATE("&lt;/li&gt;&lt;li&gt;&lt;a href=|http://",M1191,"/numbers/28.htm","| ","title=|",M1190,"| target=|_top|&gt;",M1192,"&lt;/a&gt;")</f>
        <v>&lt;/li&gt;&lt;li&gt;&lt;a href=|http://niv.scripturetext.com/numbers/28.htm| title=|New International Version| target=|_top|&gt;NIV&lt;/a&gt;</v>
      </c>
      <c r="N145" t="str">
        <f t="shared" si="576"/>
        <v>&lt;/li&gt;&lt;li&gt;&lt;a href=|http://nlt.scripturetext.com/numbers/28.htm| title=|New Living Translation| target=|_top|&gt;NLT&lt;/a&gt;</v>
      </c>
      <c r="O145" t="str">
        <f t="shared" si="576"/>
        <v>&lt;/li&gt;&lt;li&gt;&lt;a href=|http://nasb.scripturetext.com/numbers/28.htm| title=|New American Standard Bible| target=|_top|&gt;NAS&lt;/a&gt;</v>
      </c>
      <c r="P145" t="str">
        <f t="shared" si="576"/>
        <v>&lt;/li&gt;&lt;li&gt;&lt;a href=|http://gwt.scripturetext.com/numbers/28.htm| title=|God's Word Translation| target=|_top|&gt;GWT&lt;/a&gt;</v>
      </c>
      <c r="Q145" t="str">
        <f t="shared" si="576"/>
        <v>&lt;/li&gt;&lt;li&gt;&lt;a href=|http://kingjbible.com/numbers/28.htm| title=|King James Bible| target=|_top|&gt;KJV&lt;/a&gt;</v>
      </c>
      <c r="R145" t="str">
        <f t="shared" si="576"/>
        <v>&lt;/li&gt;&lt;li&gt;&lt;a href=|http://asvbible.com/numbers/28.htm| title=|American Standard Version| target=|_top|&gt;ASV&lt;/a&gt;</v>
      </c>
      <c r="S145" t="str">
        <f t="shared" si="576"/>
        <v>&lt;/li&gt;&lt;li&gt;&lt;a href=|http://drb.scripturetext.com/numbers/28.htm| title=|Douay-Rheims Bible| target=|_top|&gt;DRB&lt;/a&gt;</v>
      </c>
      <c r="T145" t="str">
        <f t="shared" si="576"/>
        <v>&lt;/li&gt;&lt;li&gt;&lt;a href=|http://erv.scripturetext.com/numbers/28.htm| title=|English Revised Version| target=|_top|&gt;ERV&lt;/a&gt;</v>
      </c>
      <c r="V145" t="str">
        <f>CONCATENATE("&lt;/li&gt;&lt;li&gt;&lt;a href=|http://",V1191,"/numbers/28.htm","| ","title=|",V1190,"| target=|_top|&gt;",V1192,"&lt;/a&gt;")</f>
        <v>&lt;/li&gt;&lt;li&gt;&lt;a href=|http://study.interlinearbible.org/numbers/28.htm| title=|Hebrew Study Bible| target=|_top|&gt;Heb Study&lt;/a&gt;</v>
      </c>
      <c r="W145" t="str">
        <f t="shared" si="576"/>
        <v>&lt;/li&gt;&lt;li&gt;&lt;a href=|http://apostolic.interlinearbible.org/numbers/28.htm| title=|Apostolic Bible Polyglot Interlinear| target=|_top|&gt;Polyglot&lt;/a&gt;</v>
      </c>
      <c r="X145" t="str">
        <f t="shared" si="576"/>
        <v>&lt;/li&gt;&lt;li&gt;&lt;a href=|http://interlinearbible.org/numbers/28.htm| title=|Interlinear Bible| target=|_top|&gt;Interlin&lt;/a&gt;</v>
      </c>
      <c r="Y145" t="str">
        <f t="shared" ref="Y145" si="577">CONCATENATE("&lt;/li&gt;&lt;li&gt;&lt;a href=|http://",Y1191,"/numbers/28.htm","| ","title=|",Y1190,"| target=|_top|&gt;",Y1192,"&lt;/a&gt;")</f>
        <v>&lt;/li&gt;&lt;li&gt;&lt;a href=|http://bibleoutline.org/numbers/28.htm| title=|Outline with People and Places List| target=|_top|&gt;Outline&lt;/a&gt;</v>
      </c>
      <c r="Z145" t="str">
        <f t="shared" si="576"/>
        <v>&lt;/li&gt;&lt;li&gt;&lt;a href=|http://kjvs.scripturetext.com/numbers/28.htm| title=|King James Bible with Strong's Numbers| target=|_top|&gt;Strong's&lt;/a&gt;</v>
      </c>
      <c r="AA145" t="str">
        <f t="shared" si="576"/>
        <v>&lt;/li&gt;&lt;li&gt;&lt;a href=|http://childrensbibleonline.com/numbers/28.htm| title=|The Children's Bible| target=|_top|&gt;Children's&lt;/a&gt;</v>
      </c>
      <c r="AB145" s="2" t="str">
        <f t="shared" si="576"/>
        <v>&lt;/li&gt;&lt;li&gt;&lt;a href=|http://tsk.scripturetext.com/numbers/28.htm| title=|Treasury of Scripture Knowledge| target=|_top|&gt;TSK&lt;/a&gt;</v>
      </c>
      <c r="AC145" t="str">
        <f>CONCATENATE("&lt;a href=|http://",AC1191,"/numbers/28.htm","| ","title=|",AC1190,"| target=|_top|&gt;",AC1192,"&lt;/a&gt;")</f>
        <v>&lt;a href=|http://parallelbible.com/numbers/28.htm| title=|Parallel Chapters| target=|_top|&gt;PAR&lt;/a&gt;</v>
      </c>
      <c r="AD145" s="2" t="str">
        <f t="shared" ref="AD145:AK145" si="578">CONCATENATE("&lt;/li&gt;&lt;li&gt;&lt;a href=|http://",AD1191,"/numbers/28.htm","| ","title=|",AD1190,"| target=|_top|&gt;",AD1192,"&lt;/a&gt;")</f>
        <v>&lt;/li&gt;&lt;li&gt;&lt;a href=|http://gsb.biblecommenter.com/numbers/28.htm| title=|Geneva Study Bible| target=|_top|&gt;GSB&lt;/a&gt;</v>
      </c>
      <c r="AE145" s="2" t="str">
        <f t="shared" si="578"/>
        <v>&lt;/li&gt;&lt;li&gt;&lt;a href=|http://jfb.biblecommenter.com/numbers/28.htm| title=|Jamieson-Fausset-Brown Bible Commentary| target=|_top|&gt;JFB&lt;/a&gt;</v>
      </c>
      <c r="AF145" s="2" t="str">
        <f t="shared" si="578"/>
        <v>&lt;/li&gt;&lt;li&gt;&lt;a href=|http://kjt.biblecommenter.com/numbers/28.htm| title=|King James Translators' Notes| target=|_top|&gt;KJT&lt;/a&gt;</v>
      </c>
      <c r="AG145" s="2" t="str">
        <f t="shared" si="578"/>
        <v>&lt;/li&gt;&lt;li&gt;&lt;a href=|http://mhc.biblecommenter.com/numbers/28.htm| title=|Matthew Henry's Concise Commentary| target=|_top|&gt;MHC&lt;/a&gt;</v>
      </c>
      <c r="AH145" s="2" t="str">
        <f t="shared" si="578"/>
        <v>&lt;/li&gt;&lt;li&gt;&lt;a href=|http://sco.biblecommenter.com/numbers/28.htm| title=|Scofield Reference Notes| target=|_top|&gt;SCO&lt;/a&gt;</v>
      </c>
      <c r="AI145" s="2" t="str">
        <f t="shared" si="578"/>
        <v>&lt;/li&gt;&lt;li&gt;&lt;a href=|http://wes.biblecommenter.com/numbers/28.htm| title=|Wesley's Notes on the Bible| target=|_top|&gt;WES&lt;/a&gt;</v>
      </c>
      <c r="AJ145" t="str">
        <f t="shared" si="578"/>
        <v>&lt;/li&gt;&lt;li&gt;&lt;a href=|http://worldebible.com/numbers/28.htm| title=|World English Bible| target=|_top|&gt;WEB&lt;/a&gt;</v>
      </c>
      <c r="AK145" t="str">
        <f t="shared" si="578"/>
        <v>&lt;/li&gt;&lt;li&gt;&lt;a href=|http://yltbible.com/numbers/28.htm| title=|Young's Literal Translation| target=|_top|&gt;YLT&lt;/a&gt;</v>
      </c>
      <c r="AL145" t="str">
        <f>CONCATENATE("&lt;a href=|http://",AL1191,"/numbers/28.htm","| ","title=|",AL1190,"| target=|_top|&gt;",AL1192,"&lt;/a&gt;")</f>
        <v>&lt;a href=|http://kjv.us/numbers/28.htm| title=|American King James Version| target=|_top|&gt;AKJ&lt;/a&gt;</v>
      </c>
      <c r="AM145" t="str">
        <f t="shared" ref="AM145:AN145" si="579">CONCATENATE("&lt;/li&gt;&lt;li&gt;&lt;a href=|http://",AM1191,"/numbers/28.htm","| ","title=|",AM1190,"| target=|_top|&gt;",AM1192,"&lt;/a&gt;")</f>
        <v>&lt;/li&gt;&lt;li&gt;&lt;a href=|http://basicenglishbible.com/numbers/28.htm| title=|Bible in Basic English| target=|_top|&gt;BBE&lt;/a&gt;</v>
      </c>
      <c r="AN145" t="str">
        <f t="shared" si="579"/>
        <v>&lt;/li&gt;&lt;li&gt;&lt;a href=|http://darbybible.com/numbers/28.htm| title=|Darby Bible Translation| target=|_top|&gt;DBY&lt;/a&gt;</v>
      </c>
      <c r="AO14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4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4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45" t="str">
        <f>CONCATENATE("&lt;/li&gt;&lt;li&gt;&lt;a href=|http://",AR1191,"/numbers/28.htm","| ","title=|",AR1190,"| target=|_top|&gt;",AR1192,"&lt;/a&gt;")</f>
        <v>&lt;/li&gt;&lt;li&gt;&lt;a href=|http://websterbible.com/numbers/28.htm| title=|Webster's Bible Translation| target=|_top|&gt;WBS&lt;/a&gt;</v>
      </c>
      <c r="AS14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45" t="str">
        <f>CONCATENATE("&lt;/li&gt;&lt;li&gt;&lt;a href=|http://",AT1191,"/numbers/28-1.htm","| ","title=|",AT1190,"| target=|_top|&gt;",AT1192,"&lt;/a&gt;")</f>
        <v>&lt;/li&gt;&lt;li&gt;&lt;a href=|http://biblebrowser.com/numbers/28-1.htm| title=|Split View| target=|_top|&gt;Split&lt;/a&gt;</v>
      </c>
      <c r="AU145" s="2" t="s">
        <v>1276</v>
      </c>
      <c r="AV145" t="s">
        <v>64</v>
      </c>
    </row>
    <row r="146" spans="1:48">
      <c r="A146" t="s">
        <v>622</v>
      </c>
      <c r="B146" t="s">
        <v>199</v>
      </c>
      <c r="C146" t="s">
        <v>624</v>
      </c>
      <c r="D146" t="s">
        <v>1268</v>
      </c>
      <c r="E146" t="s">
        <v>1277</v>
      </c>
      <c r="F146" t="s">
        <v>1304</v>
      </c>
      <c r="G146" t="s">
        <v>1266</v>
      </c>
      <c r="H146" t="s">
        <v>1305</v>
      </c>
      <c r="I146" t="s">
        <v>1303</v>
      </c>
      <c r="J146" t="s">
        <v>1267</v>
      </c>
      <c r="K146" t="s">
        <v>1275</v>
      </c>
      <c r="L146" s="2" t="s">
        <v>1274</v>
      </c>
      <c r="M146" t="str">
        <f t="shared" ref="M146:AB146" si="580">CONCATENATE("&lt;/li&gt;&lt;li&gt;&lt;a href=|http://",M1191,"/numbers/29.htm","| ","title=|",M1190,"| target=|_top|&gt;",M1192,"&lt;/a&gt;")</f>
        <v>&lt;/li&gt;&lt;li&gt;&lt;a href=|http://niv.scripturetext.com/numbers/29.htm| title=|New International Version| target=|_top|&gt;NIV&lt;/a&gt;</v>
      </c>
      <c r="N146" t="str">
        <f t="shared" si="580"/>
        <v>&lt;/li&gt;&lt;li&gt;&lt;a href=|http://nlt.scripturetext.com/numbers/29.htm| title=|New Living Translation| target=|_top|&gt;NLT&lt;/a&gt;</v>
      </c>
      <c r="O146" t="str">
        <f t="shared" si="580"/>
        <v>&lt;/li&gt;&lt;li&gt;&lt;a href=|http://nasb.scripturetext.com/numbers/29.htm| title=|New American Standard Bible| target=|_top|&gt;NAS&lt;/a&gt;</v>
      </c>
      <c r="P146" t="str">
        <f t="shared" si="580"/>
        <v>&lt;/li&gt;&lt;li&gt;&lt;a href=|http://gwt.scripturetext.com/numbers/29.htm| title=|God's Word Translation| target=|_top|&gt;GWT&lt;/a&gt;</v>
      </c>
      <c r="Q146" t="str">
        <f t="shared" si="580"/>
        <v>&lt;/li&gt;&lt;li&gt;&lt;a href=|http://kingjbible.com/numbers/29.htm| title=|King James Bible| target=|_top|&gt;KJV&lt;/a&gt;</v>
      </c>
      <c r="R146" t="str">
        <f t="shared" si="580"/>
        <v>&lt;/li&gt;&lt;li&gt;&lt;a href=|http://asvbible.com/numbers/29.htm| title=|American Standard Version| target=|_top|&gt;ASV&lt;/a&gt;</v>
      </c>
      <c r="S146" t="str">
        <f t="shared" si="580"/>
        <v>&lt;/li&gt;&lt;li&gt;&lt;a href=|http://drb.scripturetext.com/numbers/29.htm| title=|Douay-Rheims Bible| target=|_top|&gt;DRB&lt;/a&gt;</v>
      </c>
      <c r="T146" t="str">
        <f t="shared" si="580"/>
        <v>&lt;/li&gt;&lt;li&gt;&lt;a href=|http://erv.scripturetext.com/numbers/29.htm| title=|English Revised Version| target=|_top|&gt;ERV&lt;/a&gt;</v>
      </c>
      <c r="V146" t="str">
        <f>CONCATENATE("&lt;/li&gt;&lt;li&gt;&lt;a href=|http://",V1191,"/numbers/29.htm","| ","title=|",V1190,"| target=|_top|&gt;",V1192,"&lt;/a&gt;")</f>
        <v>&lt;/li&gt;&lt;li&gt;&lt;a href=|http://study.interlinearbible.org/numbers/29.htm| title=|Hebrew Study Bible| target=|_top|&gt;Heb Study&lt;/a&gt;</v>
      </c>
      <c r="W146" t="str">
        <f t="shared" si="580"/>
        <v>&lt;/li&gt;&lt;li&gt;&lt;a href=|http://apostolic.interlinearbible.org/numbers/29.htm| title=|Apostolic Bible Polyglot Interlinear| target=|_top|&gt;Polyglot&lt;/a&gt;</v>
      </c>
      <c r="X146" t="str">
        <f t="shared" si="580"/>
        <v>&lt;/li&gt;&lt;li&gt;&lt;a href=|http://interlinearbible.org/numbers/29.htm| title=|Interlinear Bible| target=|_top|&gt;Interlin&lt;/a&gt;</v>
      </c>
      <c r="Y146" t="str">
        <f t="shared" ref="Y146" si="581">CONCATENATE("&lt;/li&gt;&lt;li&gt;&lt;a href=|http://",Y1191,"/numbers/29.htm","| ","title=|",Y1190,"| target=|_top|&gt;",Y1192,"&lt;/a&gt;")</f>
        <v>&lt;/li&gt;&lt;li&gt;&lt;a href=|http://bibleoutline.org/numbers/29.htm| title=|Outline with People and Places List| target=|_top|&gt;Outline&lt;/a&gt;</v>
      </c>
      <c r="Z146" t="str">
        <f t="shared" si="580"/>
        <v>&lt;/li&gt;&lt;li&gt;&lt;a href=|http://kjvs.scripturetext.com/numbers/29.htm| title=|King James Bible with Strong's Numbers| target=|_top|&gt;Strong's&lt;/a&gt;</v>
      </c>
      <c r="AA146" t="str">
        <f t="shared" si="580"/>
        <v>&lt;/li&gt;&lt;li&gt;&lt;a href=|http://childrensbibleonline.com/numbers/29.htm| title=|The Children's Bible| target=|_top|&gt;Children's&lt;/a&gt;</v>
      </c>
      <c r="AB146" s="2" t="str">
        <f t="shared" si="580"/>
        <v>&lt;/li&gt;&lt;li&gt;&lt;a href=|http://tsk.scripturetext.com/numbers/29.htm| title=|Treasury of Scripture Knowledge| target=|_top|&gt;TSK&lt;/a&gt;</v>
      </c>
      <c r="AC146" t="str">
        <f>CONCATENATE("&lt;a href=|http://",AC1191,"/numbers/29.htm","| ","title=|",AC1190,"| target=|_top|&gt;",AC1192,"&lt;/a&gt;")</f>
        <v>&lt;a href=|http://parallelbible.com/numbers/29.htm| title=|Parallel Chapters| target=|_top|&gt;PAR&lt;/a&gt;</v>
      </c>
      <c r="AD146" s="2" t="str">
        <f t="shared" ref="AD146:AK146" si="582">CONCATENATE("&lt;/li&gt;&lt;li&gt;&lt;a href=|http://",AD1191,"/numbers/29.htm","| ","title=|",AD1190,"| target=|_top|&gt;",AD1192,"&lt;/a&gt;")</f>
        <v>&lt;/li&gt;&lt;li&gt;&lt;a href=|http://gsb.biblecommenter.com/numbers/29.htm| title=|Geneva Study Bible| target=|_top|&gt;GSB&lt;/a&gt;</v>
      </c>
      <c r="AE146" s="2" t="str">
        <f t="shared" si="582"/>
        <v>&lt;/li&gt;&lt;li&gt;&lt;a href=|http://jfb.biblecommenter.com/numbers/29.htm| title=|Jamieson-Fausset-Brown Bible Commentary| target=|_top|&gt;JFB&lt;/a&gt;</v>
      </c>
      <c r="AF146" s="2" t="str">
        <f t="shared" si="582"/>
        <v>&lt;/li&gt;&lt;li&gt;&lt;a href=|http://kjt.biblecommenter.com/numbers/29.htm| title=|King James Translators' Notes| target=|_top|&gt;KJT&lt;/a&gt;</v>
      </c>
      <c r="AG146" s="2" t="str">
        <f t="shared" si="582"/>
        <v>&lt;/li&gt;&lt;li&gt;&lt;a href=|http://mhc.biblecommenter.com/numbers/29.htm| title=|Matthew Henry's Concise Commentary| target=|_top|&gt;MHC&lt;/a&gt;</v>
      </c>
      <c r="AH146" s="2" t="str">
        <f t="shared" si="582"/>
        <v>&lt;/li&gt;&lt;li&gt;&lt;a href=|http://sco.biblecommenter.com/numbers/29.htm| title=|Scofield Reference Notes| target=|_top|&gt;SCO&lt;/a&gt;</v>
      </c>
      <c r="AI146" s="2" t="str">
        <f t="shared" si="582"/>
        <v>&lt;/li&gt;&lt;li&gt;&lt;a href=|http://wes.biblecommenter.com/numbers/29.htm| title=|Wesley's Notes on the Bible| target=|_top|&gt;WES&lt;/a&gt;</v>
      </c>
      <c r="AJ146" t="str">
        <f t="shared" si="582"/>
        <v>&lt;/li&gt;&lt;li&gt;&lt;a href=|http://worldebible.com/numbers/29.htm| title=|World English Bible| target=|_top|&gt;WEB&lt;/a&gt;</v>
      </c>
      <c r="AK146" t="str">
        <f t="shared" si="582"/>
        <v>&lt;/li&gt;&lt;li&gt;&lt;a href=|http://yltbible.com/numbers/29.htm| title=|Young's Literal Translation| target=|_top|&gt;YLT&lt;/a&gt;</v>
      </c>
      <c r="AL146" t="str">
        <f>CONCATENATE("&lt;a href=|http://",AL1191,"/numbers/29.htm","| ","title=|",AL1190,"| target=|_top|&gt;",AL1192,"&lt;/a&gt;")</f>
        <v>&lt;a href=|http://kjv.us/numbers/29.htm| title=|American King James Version| target=|_top|&gt;AKJ&lt;/a&gt;</v>
      </c>
      <c r="AM146" t="str">
        <f t="shared" ref="AM146:AN146" si="583">CONCATENATE("&lt;/li&gt;&lt;li&gt;&lt;a href=|http://",AM1191,"/numbers/29.htm","| ","title=|",AM1190,"| target=|_top|&gt;",AM1192,"&lt;/a&gt;")</f>
        <v>&lt;/li&gt;&lt;li&gt;&lt;a href=|http://basicenglishbible.com/numbers/29.htm| title=|Bible in Basic English| target=|_top|&gt;BBE&lt;/a&gt;</v>
      </c>
      <c r="AN146" t="str">
        <f t="shared" si="583"/>
        <v>&lt;/li&gt;&lt;li&gt;&lt;a href=|http://darbybible.com/numbers/29.htm| title=|Darby Bible Translation| target=|_top|&gt;DBY&lt;/a&gt;</v>
      </c>
      <c r="AO14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4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4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46" t="str">
        <f>CONCATENATE("&lt;/li&gt;&lt;li&gt;&lt;a href=|http://",AR1191,"/numbers/29.htm","| ","title=|",AR1190,"| target=|_top|&gt;",AR1192,"&lt;/a&gt;")</f>
        <v>&lt;/li&gt;&lt;li&gt;&lt;a href=|http://websterbible.com/numbers/29.htm| title=|Webster's Bible Translation| target=|_top|&gt;WBS&lt;/a&gt;</v>
      </c>
      <c r="AS14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46" t="str">
        <f>CONCATENATE("&lt;/li&gt;&lt;li&gt;&lt;a href=|http://",AT1191,"/numbers/29-1.htm","| ","title=|",AT1190,"| target=|_top|&gt;",AT1192,"&lt;/a&gt;")</f>
        <v>&lt;/li&gt;&lt;li&gt;&lt;a href=|http://biblebrowser.com/numbers/29-1.htm| title=|Split View| target=|_top|&gt;Split&lt;/a&gt;</v>
      </c>
      <c r="AU146" s="2" t="s">
        <v>1276</v>
      </c>
      <c r="AV146" t="s">
        <v>64</v>
      </c>
    </row>
    <row r="147" spans="1:48">
      <c r="A147" t="s">
        <v>622</v>
      </c>
      <c r="B147" t="s">
        <v>200</v>
      </c>
      <c r="C147" t="s">
        <v>624</v>
      </c>
      <c r="D147" t="s">
        <v>1268</v>
      </c>
      <c r="E147" t="s">
        <v>1277</v>
      </c>
      <c r="F147" t="s">
        <v>1304</v>
      </c>
      <c r="G147" t="s">
        <v>1266</v>
      </c>
      <c r="H147" t="s">
        <v>1305</v>
      </c>
      <c r="I147" t="s">
        <v>1303</v>
      </c>
      <c r="J147" t="s">
        <v>1267</v>
      </c>
      <c r="K147" t="s">
        <v>1275</v>
      </c>
      <c r="L147" s="2" t="s">
        <v>1274</v>
      </c>
      <c r="M147" t="str">
        <f t="shared" ref="M147:AB147" si="584">CONCATENATE("&lt;/li&gt;&lt;li&gt;&lt;a href=|http://",M1191,"/numbers/30.htm","| ","title=|",M1190,"| target=|_top|&gt;",M1192,"&lt;/a&gt;")</f>
        <v>&lt;/li&gt;&lt;li&gt;&lt;a href=|http://niv.scripturetext.com/numbers/30.htm| title=|New International Version| target=|_top|&gt;NIV&lt;/a&gt;</v>
      </c>
      <c r="N147" t="str">
        <f t="shared" si="584"/>
        <v>&lt;/li&gt;&lt;li&gt;&lt;a href=|http://nlt.scripturetext.com/numbers/30.htm| title=|New Living Translation| target=|_top|&gt;NLT&lt;/a&gt;</v>
      </c>
      <c r="O147" t="str">
        <f t="shared" si="584"/>
        <v>&lt;/li&gt;&lt;li&gt;&lt;a href=|http://nasb.scripturetext.com/numbers/30.htm| title=|New American Standard Bible| target=|_top|&gt;NAS&lt;/a&gt;</v>
      </c>
      <c r="P147" t="str">
        <f t="shared" si="584"/>
        <v>&lt;/li&gt;&lt;li&gt;&lt;a href=|http://gwt.scripturetext.com/numbers/30.htm| title=|God's Word Translation| target=|_top|&gt;GWT&lt;/a&gt;</v>
      </c>
      <c r="Q147" t="str">
        <f t="shared" si="584"/>
        <v>&lt;/li&gt;&lt;li&gt;&lt;a href=|http://kingjbible.com/numbers/30.htm| title=|King James Bible| target=|_top|&gt;KJV&lt;/a&gt;</v>
      </c>
      <c r="R147" t="str">
        <f t="shared" si="584"/>
        <v>&lt;/li&gt;&lt;li&gt;&lt;a href=|http://asvbible.com/numbers/30.htm| title=|American Standard Version| target=|_top|&gt;ASV&lt;/a&gt;</v>
      </c>
      <c r="S147" t="str">
        <f t="shared" si="584"/>
        <v>&lt;/li&gt;&lt;li&gt;&lt;a href=|http://drb.scripturetext.com/numbers/30.htm| title=|Douay-Rheims Bible| target=|_top|&gt;DRB&lt;/a&gt;</v>
      </c>
      <c r="T147" t="str">
        <f t="shared" si="584"/>
        <v>&lt;/li&gt;&lt;li&gt;&lt;a href=|http://erv.scripturetext.com/numbers/30.htm| title=|English Revised Version| target=|_top|&gt;ERV&lt;/a&gt;</v>
      </c>
      <c r="V147" t="str">
        <f>CONCATENATE("&lt;/li&gt;&lt;li&gt;&lt;a href=|http://",V1191,"/numbers/30.htm","| ","title=|",V1190,"| target=|_top|&gt;",V1192,"&lt;/a&gt;")</f>
        <v>&lt;/li&gt;&lt;li&gt;&lt;a href=|http://study.interlinearbible.org/numbers/30.htm| title=|Hebrew Study Bible| target=|_top|&gt;Heb Study&lt;/a&gt;</v>
      </c>
      <c r="W147" t="str">
        <f t="shared" si="584"/>
        <v>&lt;/li&gt;&lt;li&gt;&lt;a href=|http://apostolic.interlinearbible.org/numbers/30.htm| title=|Apostolic Bible Polyglot Interlinear| target=|_top|&gt;Polyglot&lt;/a&gt;</v>
      </c>
      <c r="X147" t="str">
        <f t="shared" si="584"/>
        <v>&lt;/li&gt;&lt;li&gt;&lt;a href=|http://interlinearbible.org/numbers/30.htm| title=|Interlinear Bible| target=|_top|&gt;Interlin&lt;/a&gt;</v>
      </c>
      <c r="Y147" t="str">
        <f t="shared" ref="Y147" si="585">CONCATENATE("&lt;/li&gt;&lt;li&gt;&lt;a href=|http://",Y1191,"/numbers/30.htm","| ","title=|",Y1190,"| target=|_top|&gt;",Y1192,"&lt;/a&gt;")</f>
        <v>&lt;/li&gt;&lt;li&gt;&lt;a href=|http://bibleoutline.org/numbers/30.htm| title=|Outline with People and Places List| target=|_top|&gt;Outline&lt;/a&gt;</v>
      </c>
      <c r="Z147" t="str">
        <f t="shared" si="584"/>
        <v>&lt;/li&gt;&lt;li&gt;&lt;a href=|http://kjvs.scripturetext.com/numbers/30.htm| title=|King James Bible with Strong's Numbers| target=|_top|&gt;Strong's&lt;/a&gt;</v>
      </c>
      <c r="AA147" t="str">
        <f t="shared" si="584"/>
        <v>&lt;/li&gt;&lt;li&gt;&lt;a href=|http://childrensbibleonline.com/numbers/30.htm| title=|The Children's Bible| target=|_top|&gt;Children's&lt;/a&gt;</v>
      </c>
      <c r="AB147" s="2" t="str">
        <f t="shared" si="584"/>
        <v>&lt;/li&gt;&lt;li&gt;&lt;a href=|http://tsk.scripturetext.com/numbers/30.htm| title=|Treasury of Scripture Knowledge| target=|_top|&gt;TSK&lt;/a&gt;</v>
      </c>
      <c r="AC147" t="str">
        <f>CONCATENATE("&lt;a href=|http://",AC1191,"/numbers/30.htm","| ","title=|",AC1190,"| target=|_top|&gt;",AC1192,"&lt;/a&gt;")</f>
        <v>&lt;a href=|http://parallelbible.com/numbers/30.htm| title=|Parallel Chapters| target=|_top|&gt;PAR&lt;/a&gt;</v>
      </c>
      <c r="AD147" s="2" t="str">
        <f t="shared" ref="AD147:AK147" si="586">CONCATENATE("&lt;/li&gt;&lt;li&gt;&lt;a href=|http://",AD1191,"/numbers/30.htm","| ","title=|",AD1190,"| target=|_top|&gt;",AD1192,"&lt;/a&gt;")</f>
        <v>&lt;/li&gt;&lt;li&gt;&lt;a href=|http://gsb.biblecommenter.com/numbers/30.htm| title=|Geneva Study Bible| target=|_top|&gt;GSB&lt;/a&gt;</v>
      </c>
      <c r="AE147" s="2" t="str">
        <f t="shared" si="586"/>
        <v>&lt;/li&gt;&lt;li&gt;&lt;a href=|http://jfb.biblecommenter.com/numbers/30.htm| title=|Jamieson-Fausset-Brown Bible Commentary| target=|_top|&gt;JFB&lt;/a&gt;</v>
      </c>
      <c r="AF147" s="2" t="str">
        <f t="shared" si="586"/>
        <v>&lt;/li&gt;&lt;li&gt;&lt;a href=|http://kjt.biblecommenter.com/numbers/30.htm| title=|King James Translators' Notes| target=|_top|&gt;KJT&lt;/a&gt;</v>
      </c>
      <c r="AG147" s="2" t="str">
        <f t="shared" si="586"/>
        <v>&lt;/li&gt;&lt;li&gt;&lt;a href=|http://mhc.biblecommenter.com/numbers/30.htm| title=|Matthew Henry's Concise Commentary| target=|_top|&gt;MHC&lt;/a&gt;</v>
      </c>
      <c r="AH147" s="2" t="str">
        <f t="shared" si="586"/>
        <v>&lt;/li&gt;&lt;li&gt;&lt;a href=|http://sco.biblecommenter.com/numbers/30.htm| title=|Scofield Reference Notes| target=|_top|&gt;SCO&lt;/a&gt;</v>
      </c>
      <c r="AI147" s="2" t="str">
        <f t="shared" si="586"/>
        <v>&lt;/li&gt;&lt;li&gt;&lt;a href=|http://wes.biblecommenter.com/numbers/30.htm| title=|Wesley's Notes on the Bible| target=|_top|&gt;WES&lt;/a&gt;</v>
      </c>
      <c r="AJ147" t="str">
        <f t="shared" si="586"/>
        <v>&lt;/li&gt;&lt;li&gt;&lt;a href=|http://worldebible.com/numbers/30.htm| title=|World English Bible| target=|_top|&gt;WEB&lt;/a&gt;</v>
      </c>
      <c r="AK147" t="str">
        <f t="shared" si="586"/>
        <v>&lt;/li&gt;&lt;li&gt;&lt;a href=|http://yltbible.com/numbers/30.htm| title=|Young's Literal Translation| target=|_top|&gt;YLT&lt;/a&gt;</v>
      </c>
      <c r="AL147" t="str">
        <f>CONCATENATE("&lt;a href=|http://",AL1191,"/numbers/30.htm","| ","title=|",AL1190,"| target=|_top|&gt;",AL1192,"&lt;/a&gt;")</f>
        <v>&lt;a href=|http://kjv.us/numbers/30.htm| title=|American King James Version| target=|_top|&gt;AKJ&lt;/a&gt;</v>
      </c>
      <c r="AM147" t="str">
        <f t="shared" ref="AM147:AN147" si="587">CONCATENATE("&lt;/li&gt;&lt;li&gt;&lt;a href=|http://",AM1191,"/numbers/30.htm","| ","title=|",AM1190,"| target=|_top|&gt;",AM1192,"&lt;/a&gt;")</f>
        <v>&lt;/li&gt;&lt;li&gt;&lt;a href=|http://basicenglishbible.com/numbers/30.htm| title=|Bible in Basic English| target=|_top|&gt;BBE&lt;/a&gt;</v>
      </c>
      <c r="AN147" t="str">
        <f t="shared" si="587"/>
        <v>&lt;/li&gt;&lt;li&gt;&lt;a href=|http://darbybible.com/numbers/30.htm| title=|Darby Bible Translation| target=|_top|&gt;DBY&lt;/a&gt;</v>
      </c>
      <c r="AO14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4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4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47" t="str">
        <f>CONCATENATE("&lt;/li&gt;&lt;li&gt;&lt;a href=|http://",AR1191,"/numbers/30.htm","| ","title=|",AR1190,"| target=|_top|&gt;",AR1192,"&lt;/a&gt;")</f>
        <v>&lt;/li&gt;&lt;li&gt;&lt;a href=|http://websterbible.com/numbers/30.htm| title=|Webster's Bible Translation| target=|_top|&gt;WBS&lt;/a&gt;</v>
      </c>
      <c r="AS14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47" t="str">
        <f>CONCATENATE("&lt;/li&gt;&lt;li&gt;&lt;a href=|http://",AT1191,"/numbers/30-1.htm","| ","title=|",AT1190,"| target=|_top|&gt;",AT1192,"&lt;/a&gt;")</f>
        <v>&lt;/li&gt;&lt;li&gt;&lt;a href=|http://biblebrowser.com/numbers/30-1.htm| title=|Split View| target=|_top|&gt;Split&lt;/a&gt;</v>
      </c>
      <c r="AU147" s="2" t="s">
        <v>1276</v>
      </c>
      <c r="AV147" t="s">
        <v>64</v>
      </c>
    </row>
    <row r="148" spans="1:48">
      <c r="A148" t="s">
        <v>622</v>
      </c>
      <c r="B148" t="s">
        <v>201</v>
      </c>
      <c r="C148" t="s">
        <v>624</v>
      </c>
      <c r="D148" t="s">
        <v>1268</v>
      </c>
      <c r="E148" t="s">
        <v>1277</v>
      </c>
      <c r="F148" t="s">
        <v>1304</v>
      </c>
      <c r="G148" t="s">
        <v>1266</v>
      </c>
      <c r="H148" t="s">
        <v>1305</v>
      </c>
      <c r="I148" t="s">
        <v>1303</v>
      </c>
      <c r="J148" t="s">
        <v>1267</v>
      </c>
      <c r="K148" t="s">
        <v>1275</v>
      </c>
      <c r="L148" s="2" t="s">
        <v>1274</v>
      </c>
      <c r="M148" t="str">
        <f t="shared" ref="M148:AB148" si="588">CONCATENATE("&lt;/li&gt;&lt;li&gt;&lt;a href=|http://",M1191,"/numbers/31.htm","| ","title=|",M1190,"| target=|_top|&gt;",M1192,"&lt;/a&gt;")</f>
        <v>&lt;/li&gt;&lt;li&gt;&lt;a href=|http://niv.scripturetext.com/numbers/31.htm| title=|New International Version| target=|_top|&gt;NIV&lt;/a&gt;</v>
      </c>
      <c r="N148" t="str">
        <f t="shared" si="588"/>
        <v>&lt;/li&gt;&lt;li&gt;&lt;a href=|http://nlt.scripturetext.com/numbers/31.htm| title=|New Living Translation| target=|_top|&gt;NLT&lt;/a&gt;</v>
      </c>
      <c r="O148" t="str">
        <f t="shared" si="588"/>
        <v>&lt;/li&gt;&lt;li&gt;&lt;a href=|http://nasb.scripturetext.com/numbers/31.htm| title=|New American Standard Bible| target=|_top|&gt;NAS&lt;/a&gt;</v>
      </c>
      <c r="P148" t="str">
        <f t="shared" si="588"/>
        <v>&lt;/li&gt;&lt;li&gt;&lt;a href=|http://gwt.scripturetext.com/numbers/31.htm| title=|God's Word Translation| target=|_top|&gt;GWT&lt;/a&gt;</v>
      </c>
      <c r="Q148" t="str">
        <f t="shared" si="588"/>
        <v>&lt;/li&gt;&lt;li&gt;&lt;a href=|http://kingjbible.com/numbers/31.htm| title=|King James Bible| target=|_top|&gt;KJV&lt;/a&gt;</v>
      </c>
      <c r="R148" t="str">
        <f t="shared" si="588"/>
        <v>&lt;/li&gt;&lt;li&gt;&lt;a href=|http://asvbible.com/numbers/31.htm| title=|American Standard Version| target=|_top|&gt;ASV&lt;/a&gt;</v>
      </c>
      <c r="S148" t="str">
        <f t="shared" si="588"/>
        <v>&lt;/li&gt;&lt;li&gt;&lt;a href=|http://drb.scripturetext.com/numbers/31.htm| title=|Douay-Rheims Bible| target=|_top|&gt;DRB&lt;/a&gt;</v>
      </c>
      <c r="T148" t="str">
        <f t="shared" si="588"/>
        <v>&lt;/li&gt;&lt;li&gt;&lt;a href=|http://erv.scripturetext.com/numbers/31.htm| title=|English Revised Version| target=|_top|&gt;ERV&lt;/a&gt;</v>
      </c>
      <c r="V148" t="str">
        <f>CONCATENATE("&lt;/li&gt;&lt;li&gt;&lt;a href=|http://",V1191,"/numbers/31.htm","| ","title=|",V1190,"| target=|_top|&gt;",V1192,"&lt;/a&gt;")</f>
        <v>&lt;/li&gt;&lt;li&gt;&lt;a href=|http://study.interlinearbible.org/numbers/31.htm| title=|Hebrew Study Bible| target=|_top|&gt;Heb Study&lt;/a&gt;</v>
      </c>
      <c r="W148" t="str">
        <f t="shared" si="588"/>
        <v>&lt;/li&gt;&lt;li&gt;&lt;a href=|http://apostolic.interlinearbible.org/numbers/31.htm| title=|Apostolic Bible Polyglot Interlinear| target=|_top|&gt;Polyglot&lt;/a&gt;</v>
      </c>
      <c r="X148" t="str">
        <f t="shared" si="588"/>
        <v>&lt;/li&gt;&lt;li&gt;&lt;a href=|http://interlinearbible.org/numbers/31.htm| title=|Interlinear Bible| target=|_top|&gt;Interlin&lt;/a&gt;</v>
      </c>
      <c r="Y148" t="str">
        <f t="shared" ref="Y148" si="589">CONCATENATE("&lt;/li&gt;&lt;li&gt;&lt;a href=|http://",Y1191,"/numbers/31.htm","| ","title=|",Y1190,"| target=|_top|&gt;",Y1192,"&lt;/a&gt;")</f>
        <v>&lt;/li&gt;&lt;li&gt;&lt;a href=|http://bibleoutline.org/numbers/31.htm| title=|Outline with People and Places List| target=|_top|&gt;Outline&lt;/a&gt;</v>
      </c>
      <c r="Z148" t="str">
        <f t="shared" si="588"/>
        <v>&lt;/li&gt;&lt;li&gt;&lt;a href=|http://kjvs.scripturetext.com/numbers/31.htm| title=|King James Bible with Strong's Numbers| target=|_top|&gt;Strong's&lt;/a&gt;</v>
      </c>
      <c r="AA148" t="str">
        <f t="shared" si="588"/>
        <v>&lt;/li&gt;&lt;li&gt;&lt;a href=|http://childrensbibleonline.com/numbers/31.htm| title=|The Children's Bible| target=|_top|&gt;Children's&lt;/a&gt;</v>
      </c>
      <c r="AB148" s="2" t="str">
        <f t="shared" si="588"/>
        <v>&lt;/li&gt;&lt;li&gt;&lt;a href=|http://tsk.scripturetext.com/numbers/31.htm| title=|Treasury of Scripture Knowledge| target=|_top|&gt;TSK&lt;/a&gt;</v>
      </c>
      <c r="AC148" t="str">
        <f>CONCATENATE("&lt;a href=|http://",AC1191,"/numbers/31.htm","| ","title=|",AC1190,"| target=|_top|&gt;",AC1192,"&lt;/a&gt;")</f>
        <v>&lt;a href=|http://parallelbible.com/numbers/31.htm| title=|Parallel Chapters| target=|_top|&gt;PAR&lt;/a&gt;</v>
      </c>
      <c r="AD148" s="2" t="str">
        <f t="shared" ref="AD148:AK148" si="590">CONCATENATE("&lt;/li&gt;&lt;li&gt;&lt;a href=|http://",AD1191,"/numbers/31.htm","| ","title=|",AD1190,"| target=|_top|&gt;",AD1192,"&lt;/a&gt;")</f>
        <v>&lt;/li&gt;&lt;li&gt;&lt;a href=|http://gsb.biblecommenter.com/numbers/31.htm| title=|Geneva Study Bible| target=|_top|&gt;GSB&lt;/a&gt;</v>
      </c>
      <c r="AE148" s="2" t="str">
        <f t="shared" si="590"/>
        <v>&lt;/li&gt;&lt;li&gt;&lt;a href=|http://jfb.biblecommenter.com/numbers/31.htm| title=|Jamieson-Fausset-Brown Bible Commentary| target=|_top|&gt;JFB&lt;/a&gt;</v>
      </c>
      <c r="AF148" s="2" t="str">
        <f t="shared" si="590"/>
        <v>&lt;/li&gt;&lt;li&gt;&lt;a href=|http://kjt.biblecommenter.com/numbers/31.htm| title=|King James Translators' Notes| target=|_top|&gt;KJT&lt;/a&gt;</v>
      </c>
      <c r="AG148" s="2" t="str">
        <f t="shared" si="590"/>
        <v>&lt;/li&gt;&lt;li&gt;&lt;a href=|http://mhc.biblecommenter.com/numbers/31.htm| title=|Matthew Henry's Concise Commentary| target=|_top|&gt;MHC&lt;/a&gt;</v>
      </c>
      <c r="AH148" s="2" t="str">
        <f t="shared" si="590"/>
        <v>&lt;/li&gt;&lt;li&gt;&lt;a href=|http://sco.biblecommenter.com/numbers/31.htm| title=|Scofield Reference Notes| target=|_top|&gt;SCO&lt;/a&gt;</v>
      </c>
      <c r="AI148" s="2" t="str">
        <f t="shared" si="590"/>
        <v>&lt;/li&gt;&lt;li&gt;&lt;a href=|http://wes.biblecommenter.com/numbers/31.htm| title=|Wesley's Notes on the Bible| target=|_top|&gt;WES&lt;/a&gt;</v>
      </c>
      <c r="AJ148" t="str">
        <f t="shared" si="590"/>
        <v>&lt;/li&gt;&lt;li&gt;&lt;a href=|http://worldebible.com/numbers/31.htm| title=|World English Bible| target=|_top|&gt;WEB&lt;/a&gt;</v>
      </c>
      <c r="AK148" t="str">
        <f t="shared" si="590"/>
        <v>&lt;/li&gt;&lt;li&gt;&lt;a href=|http://yltbible.com/numbers/31.htm| title=|Young's Literal Translation| target=|_top|&gt;YLT&lt;/a&gt;</v>
      </c>
      <c r="AL148" t="str">
        <f>CONCATENATE("&lt;a href=|http://",AL1191,"/numbers/31.htm","| ","title=|",AL1190,"| target=|_top|&gt;",AL1192,"&lt;/a&gt;")</f>
        <v>&lt;a href=|http://kjv.us/numbers/31.htm| title=|American King James Version| target=|_top|&gt;AKJ&lt;/a&gt;</v>
      </c>
      <c r="AM148" t="str">
        <f t="shared" ref="AM148:AN148" si="591">CONCATENATE("&lt;/li&gt;&lt;li&gt;&lt;a href=|http://",AM1191,"/numbers/31.htm","| ","title=|",AM1190,"| target=|_top|&gt;",AM1192,"&lt;/a&gt;")</f>
        <v>&lt;/li&gt;&lt;li&gt;&lt;a href=|http://basicenglishbible.com/numbers/31.htm| title=|Bible in Basic English| target=|_top|&gt;BBE&lt;/a&gt;</v>
      </c>
      <c r="AN148" t="str">
        <f t="shared" si="591"/>
        <v>&lt;/li&gt;&lt;li&gt;&lt;a href=|http://darbybible.com/numbers/31.htm| title=|Darby Bible Translation| target=|_top|&gt;DBY&lt;/a&gt;</v>
      </c>
      <c r="AO14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4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4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48" t="str">
        <f>CONCATENATE("&lt;/li&gt;&lt;li&gt;&lt;a href=|http://",AR1191,"/numbers/31.htm","| ","title=|",AR1190,"| target=|_top|&gt;",AR1192,"&lt;/a&gt;")</f>
        <v>&lt;/li&gt;&lt;li&gt;&lt;a href=|http://websterbible.com/numbers/31.htm| title=|Webster's Bible Translation| target=|_top|&gt;WBS&lt;/a&gt;</v>
      </c>
      <c r="AS14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48" t="str">
        <f>CONCATENATE("&lt;/li&gt;&lt;li&gt;&lt;a href=|http://",AT1191,"/numbers/31-1.htm","| ","title=|",AT1190,"| target=|_top|&gt;",AT1192,"&lt;/a&gt;")</f>
        <v>&lt;/li&gt;&lt;li&gt;&lt;a href=|http://biblebrowser.com/numbers/31-1.htm| title=|Split View| target=|_top|&gt;Split&lt;/a&gt;</v>
      </c>
      <c r="AU148" s="2" t="s">
        <v>1276</v>
      </c>
      <c r="AV148" t="s">
        <v>64</v>
      </c>
    </row>
    <row r="149" spans="1:48">
      <c r="A149" t="s">
        <v>622</v>
      </c>
      <c r="B149" t="s">
        <v>202</v>
      </c>
      <c r="C149" t="s">
        <v>624</v>
      </c>
      <c r="D149" t="s">
        <v>1268</v>
      </c>
      <c r="E149" t="s">
        <v>1277</v>
      </c>
      <c r="F149" t="s">
        <v>1304</v>
      </c>
      <c r="G149" t="s">
        <v>1266</v>
      </c>
      <c r="H149" t="s">
        <v>1305</v>
      </c>
      <c r="I149" t="s">
        <v>1303</v>
      </c>
      <c r="J149" t="s">
        <v>1267</v>
      </c>
      <c r="K149" t="s">
        <v>1275</v>
      </c>
      <c r="L149" s="2" t="s">
        <v>1274</v>
      </c>
      <c r="M149" t="str">
        <f t="shared" ref="M149:AB149" si="592">CONCATENATE("&lt;/li&gt;&lt;li&gt;&lt;a href=|http://",M1191,"/numbers/32.htm","| ","title=|",M1190,"| target=|_top|&gt;",M1192,"&lt;/a&gt;")</f>
        <v>&lt;/li&gt;&lt;li&gt;&lt;a href=|http://niv.scripturetext.com/numbers/32.htm| title=|New International Version| target=|_top|&gt;NIV&lt;/a&gt;</v>
      </c>
      <c r="N149" t="str">
        <f t="shared" si="592"/>
        <v>&lt;/li&gt;&lt;li&gt;&lt;a href=|http://nlt.scripturetext.com/numbers/32.htm| title=|New Living Translation| target=|_top|&gt;NLT&lt;/a&gt;</v>
      </c>
      <c r="O149" t="str">
        <f t="shared" si="592"/>
        <v>&lt;/li&gt;&lt;li&gt;&lt;a href=|http://nasb.scripturetext.com/numbers/32.htm| title=|New American Standard Bible| target=|_top|&gt;NAS&lt;/a&gt;</v>
      </c>
      <c r="P149" t="str">
        <f t="shared" si="592"/>
        <v>&lt;/li&gt;&lt;li&gt;&lt;a href=|http://gwt.scripturetext.com/numbers/32.htm| title=|God's Word Translation| target=|_top|&gt;GWT&lt;/a&gt;</v>
      </c>
      <c r="Q149" t="str">
        <f t="shared" si="592"/>
        <v>&lt;/li&gt;&lt;li&gt;&lt;a href=|http://kingjbible.com/numbers/32.htm| title=|King James Bible| target=|_top|&gt;KJV&lt;/a&gt;</v>
      </c>
      <c r="R149" t="str">
        <f t="shared" si="592"/>
        <v>&lt;/li&gt;&lt;li&gt;&lt;a href=|http://asvbible.com/numbers/32.htm| title=|American Standard Version| target=|_top|&gt;ASV&lt;/a&gt;</v>
      </c>
      <c r="S149" t="str">
        <f t="shared" si="592"/>
        <v>&lt;/li&gt;&lt;li&gt;&lt;a href=|http://drb.scripturetext.com/numbers/32.htm| title=|Douay-Rheims Bible| target=|_top|&gt;DRB&lt;/a&gt;</v>
      </c>
      <c r="T149" t="str">
        <f t="shared" si="592"/>
        <v>&lt;/li&gt;&lt;li&gt;&lt;a href=|http://erv.scripturetext.com/numbers/32.htm| title=|English Revised Version| target=|_top|&gt;ERV&lt;/a&gt;</v>
      </c>
      <c r="V149" t="str">
        <f>CONCATENATE("&lt;/li&gt;&lt;li&gt;&lt;a href=|http://",V1191,"/numbers/32.htm","| ","title=|",V1190,"| target=|_top|&gt;",V1192,"&lt;/a&gt;")</f>
        <v>&lt;/li&gt;&lt;li&gt;&lt;a href=|http://study.interlinearbible.org/numbers/32.htm| title=|Hebrew Study Bible| target=|_top|&gt;Heb Study&lt;/a&gt;</v>
      </c>
      <c r="W149" t="str">
        <f t="shared" si="592"/>
        <v>&lt;/li&gt;&lt;li&gt;&lt;a href=|http://apostolic.interlinearbible.org/numbers/32.htm| title=|Apostolic Bible Polyglot Interlinear| target=|_top|&gt;Polyglot&lt;/a&gt;</v>
      </c>
      <c r="X149" t="str">
        <f t="shared" si="592"/>
        <v>&lt;/li&gt;&lt;li&gt;&lt;a href=|http://interlinearbible.org/numbers/32.htm| title=|Interlinear Bible| target=|_top|&gt;Interlin&lt;/a&gt;</v>
      </c>
      <c r="Y149" t="str">
        <f t="shared" ref="Y149" si="593">CONCATENATE("&lt;/li&gt;&lt;li&gt;&lt;a href=|http://",Y1191,"/numbers/32.htm","| ","title=|",Y1190,"| target=|_top|&gt;",Y1192,"&lt;/a&gt;")</f>
        <v>&lt;/li&gt;&lt;li&gt;&lt;a href=|http://bibleoutline.org/numbers/32.htm| title=|Outline with People and Places List| target=|_top|&gt;Outline&lt;/a&gt;</v>
      </c>
      <c r="Z149" t="str">
        <f t="shared" si="592"/>
        <v>&lt;/li&gt;&lt;li&gt;&lt;a href=|http://kjvs.scripturetext.com/numbers/32.htm| title=|King James Bible with Strong's Numbers| target=|_top|&gt;Strong's&lt;/a&gt;</v>
      </c>
      <c r="AA149" t="str">
        <f t="shared" si="592"/>
        <v>&lt;/li&gt;&lt;li&gt;&lt;a href=|http://childrensbibleonline.com/numbers/32.htm| title=|The Children's Bible| target=|_top|&gt;Children's&lt;/a&gt;</v>
      </c>
      <c r="AB149" s="2" t="str">
        <f t="shared" si="592"/>
        <v>&lt;/li&gt;&lt;li&gt;&lt;a href=|http://tsk.scripturetext.com/numbers/32.htm| title=|Treasury of Scripture Knowledge| target=|_top|&gt;TSK&lt;/a&gt;</v>
      </c>
      <c r="AC149" t="str">
        <f>CONCATENATE("&lt;a href=|http://",AC1191,"/numbers/32.htm","| ","title=|",AC1190,"| target=|_top|&gt;",AC1192,"&lt;/a&gt;")</f>
        <v>&lt;a href=|http://parallelbible.com/numbers/32.htm| title=|Parallel Chapters| target=|_top|&gt;PAR&lt;/a&gt;</v>
      </c>
      <c r="AD149" s="2" t="str">
        <f t="shared" ref="AD149:AK149" si="594">CONCATENATE("&lt;/li&gt;&lt;li&gt;&lt;a href=|http://",AD1191,"/numbers/32.htm","| ","title=|",AD1190,"| target=|_top|&gt;",AD1192,"&lt;/a&gt;")</f>
        <v>&lt;/li&gt;&lt;li&gt;&lt;a href=|http://gsb.biblecommenter.com/numbers/32.htm| title=|Geneva Study Bible| target=|_top|&gt;GSB&lt;/a&gt;</v>
      </c>
      <c r="AE149" s="2" t="str">
        <f t="shared" si="594"/>
        <v>&lt;/li&gt;&lt;li&gt;&lt;a href=|http://jfb.biblecommenter.com/numbers/32.htm| title=|Jamieson-Fausset-Brown Bible Commentary| target=|_top|&gt;JFB&lt;/a&gt;</v>
      </c>
      <c r="AF149" s="2" t="str">
        <f t="shared" si="594"/>
        <v>&lt;/li&gt;&lt;li&gt;&lt;a href=|http://kjt.biblecommenter.com/numbers/32.htm| title=|King James Translators' Notes| target=|_top|&gt;KJT&lt;/a&gt;</v>
      </c>
      <c r="AG149" s="2" t="str">
        <f t="shared" si="594"/>
        <v>&lt;/li&gt;&lt;li&gt;&lt;a href=|http://mhc.biblecommenter.com/numbers/32.htm| title=|Matthew Henry's Concise Commentary| target=|_top|&gt;MHC&lt;/a&gt;</v>
      </c>
      <c r="AH149" s="2" t="str">
        <f t="shared" si="594"/>
        <v>&lt;/li&gt;&lt;li&gt;&lt;a href=|http://sco.biblecommenter.com/numbers/32.htm| title=|Scofield Reference Notes| target=|_top|&gt;SCO&lt;/a&gt;</v>
      </c>
      <c r="AI149" s="2" t="str">
        <f t="shared" si="594"/>
        <v>&lt;/li&gt;&lt;li&gt;&lt;a href=|http://wes.biblecommenter.com/numbers/32.htm| title=|Wesley's Notes on the Bible| target=|_top|&gt;WES&lt;/a&gt;</v>
      </c>
      <c r="AJ149" t="str">
        <f t="shared" si="594"/>
        <v>&lt;/li&gt;&lt;li&gt;&lt;a href=|http://worldebible.com/numbers/32.htm| title=|World English Bible| target=|_top|&gt;WEB&lt;/a&gt;</v>
      </c>
      <c r="AK149" t="str">
        <f t="shared" si="594"/>
        <v>&lt;/li&gt;&lt;li&gt;&lt;a href=|http://yltbible.com/numbers/32.htm| title=|Young's Literal Translation| target=|_top|&gt;YLT&lt;/a&gt;</v>
      </c>
      <c r="AL149" t="str">
        <f>CONCATENATE("&lt;a href=|http://",AL1191,"/numbers/32.htm","| ","title=|",AL1190,"| target=|_top|&gt;",AL1192,"&lt;/a&gt;")</f>
        <v>&lt;a href=|http://kjv.us/numbers/32.htm| title=|American King James Version| target=|_top|&gt;AKJ&lt;/a&gt;</v>
      </c>
      <c r="AM149" t="str">
        <f t="shared" ref="AM149:AN149" si="595">CONCATENATE("&lt;/li&gt;&lt;li&gt;&lt;a href=|http://",AM1191,"/numbers/32.htm","| ","title=|",AM1190,"| target=|_top|&gt;",AM1192,"&lt;/a&gt;")</f>
        <v>&lt;/li&gt;&lt;li&gt;&lt;a href=|http://basicenglishbible.com/numbers/32.htm| title=|Bible in Basic English| target=|_top|&gt;BBE&lt;/a&gt;</v>
      </c>
      <c r="AN149" t="str">
        <f t="shared" si="595"/>
        <v>&lt;/li&gt;&lt;li&gt;&lt;a href=|http://darbybible.com/numbers/32.htm| title=|Darby Bible Translation| target=|_top|&gt;DBY&lt;/a&gt;</v>
      </c>
      <c r="AO14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4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4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49" t="str">
        <f>CONCATENATE("&lt;/li&gt;&lt;li&gt;&lt;a href=|http://",AR1191,"/numbers/32.htm","| ","title=|",AR1190,"| target=|_top|&gt;",AR1192,"&lt;/a&gt;")</f>
        <v>&lt;/li&gt;&lt;li&gt;&lt;a href=|http://websterbible.com/numbers/32.htm| title=|Webster's Bible Translation| target=|_top|&gt;WBS&lt;/a&gt;</v>
      </c>
      <c r="AS14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49" t="str">
        <f>CONCATENATE("&lt;/li&gt;&lt;li&gt;&lt;a href=|http://",AT1191,"/numbers/32-1.htm","| ","title=|",AT1190,"| target=|_top|&gt;",AT1192,"&lt;/a&gt;")</f>
        <v>&lt;/li&gt;&lt;li&gt;&lt;a href=|http://biblebrowser.com/numbers/32-1.htm| title=|Split View| target=|_top|&gt;Split&lt;/a&gt;</v>
      </c>
      <c r="AU149" s="2" t="s">
        <v>1276</v>
      </c>
      <c r="AV149" t="s">
        <v>64</v>
      </c>
    </row>
    <row r="150" spans="1:48">
      <c r="A150" t="s">
        <v>622</v>
      </c>
      <c r="B150" t="s">
        <v>203</v>
      </c>
      <c r="C150" t="s">
        <v>624</v>
      </c>
      <c r="D150" t="s">
        <v>1268</v>
      </c>
      <c r="E150" t="s">
        <v>1277</v>
      </c>
      <c r="F150" t="s">
        <v>1304</v>
      </c>
      <c r="G150" t="s">
        <v>1266</v>
      </c>
      <c r="H150" t="s">
        <v>1305</v>
      </c>
      <c r="I150" t="s">
        <v>1303</v>
      </c>
      <c r="J150" t="s">
        <v>1267</v>
      </c>
      <c r="K150" t="s">
        <v>1275</v>
      </c>
      <c r="L150" s="2" t="s">
        <v>1274</v>
      </c>
      <c r="M150" t="str">
        <f t="shared" ref="M150:AB150" si="596">CONCATENATE("&lt;/li&gt;&lt;li&gt;&lt;a href=|http://",M1191,"/numbers/33.htm","| ","title=|",M1190,"| target=|_top|&gt;",M1192,"&lt;/a&gt;")</f>
        <v>&lt;/li&gt;&lt;li&gt;&lt;a href=|http://niv.scripturetext.com/numbers/33.htm| title=|New International Version| target=|_top|&gt;NIV&lt;/a&gt;</v>
      </c>
      <c r="N150" t="str">
        <f t="shared" si="596"/>
        <v>&lt;/li&gt;&lt;li&gt;&lt;a href=|http://nlt.scripturetext.com/numbers/33.htm| title=|New Living Translation| target=|_top|&gt;NLT&lt;/a&gt;</v>
      </c>
      <c r="O150" t="str">
        <f t="shared" si="596"/>
        <v>&lt;/li&gt;&lt;li&gt;&lt;a href=|http://nasb.scripturetext.com/numbers/33.htm| title=|New American Standard Bible| target=|_top|&gt;NAS&lt;/a&gt;</v>
      </c>
      <c r="P150" t="str">
        <f t="shared" si="596"/>
        <v>&lt;/li&gt;&lt;li&gt;&lt;a href=|http://gwt.scripturetext.com/numbers/33.htm| title=|God's Word Translation| target=|_top|&gt;GWT&lt;/a&gt;</v>
      </c>
      <c r="Q150" t="str">
        <f t="shared" si="596"/>
        <v>&lt;/li&gt;&lt;li&gt;&lt;a href=|http://kingjbible.com/numbers/33.htm| title=|King James Bible| target=|_top|&gt;KJV&lt;/a&gt;</v>
      </c>
      <c r="R150" t="str">
        <f t="shared" si="596"/>
        <v>&lt;/li&gt;&lt;li&gt;&lt;a href=|http://asvbible.com/numbers/33.htm| title=|American Standard Version| target=|_top|&gt;ASV&lt;/a&gt;</v>
      </c>
      <c r="S150" t="str">
        <f t="shared" si="596"/>
        <v>&lt;/li&gt;&lt;li&gt;&lt;a href=|http://drb.scripturetext.com/numbers/33.htm| title=|Douay-Rheims Bible| target=|_top|&gt;DRB&lt;/a&gt;</v>
      </c>
      <c r="T150" t="str">
        <f t="shared" si="596"/>
        <v>&lt;/li&gt;&lt;li&gt;&lt;a href=|http://erv.scripturetext.com/numbers/33.htm| title=|English Revised Version| target=|_top|&gt;ERV&lt;/a&gt;</v>
      </c>
      <c r="V150" t="str">
        <f>CONCATENATE("&lt;/li&gt;&lt;li&gt;&lt;a href=|http://",V1191,"/numbers/33.htm","| ","title=|",V1190,"| target=|_top|&gt;",V1192,"&lt;/a&gt;")</f>
        <v>&lt;/li&gt;&lt;li&gt;&lt;a href=|http://study.interlinearbible.org/numbers/33.htm| title=|Hebrew Study Bible| target=|_top|&gt;Heb Study&lt;/a&gt;</v>
      </c>
      <c r="W150" t="str">
        <f t="shared" si="596"/>
        <v>&lt;/li&gt;&lt;li&gt;&lt;a href=|http://apostolic.interlinearbible.org/numbers/33.htm| title=|Apostolic Bible Polyglot Interlinear| target=|_top|&gt;Polyglot&lt;/a&gt;</v>
      </c>
      <c r="X150" t="str">
        <f t="shared" si="596"/>
        <v>&lt;/li&gt;&lt;li&gt;&lt;a href=|http://interlinearbible.org/numbers/33.htm| title=|Interlinear Bible| target=|_top|&gt;Interlin&lt;/a&gt;</v>
      </c>
      <c r="Y150" t="str">
        <f t="shared" ref="Y150" si="597">CONCATENATE("&lt;/li&gt;&lt;li&gt;&lt;a href=|http://",Y1191,"/numbers/33.htm","| ","title=|",Y1190,"| target=|_top|&gt;",Y1192,"&lt;/a&gt;")</f>
        <v>&lt;/li&gt;&lt;li&gt;&lt;a href=|http://bibleoutline.org/numbers/33.htm| title=|Outline with People and Places List| target=|_top|&gt;Outline&lt;/a&gt;</v>
      </c>
      <c r="Z150" t="str">
        <f t="shared" si="596"/>
        <v>&lt;/li&gt;&lt;li&gt;&lt;a href=|http://kjvs.scripturetext.com/numbers/33.htm| title=|King James Bible with Strong's Numbers| target=|_top|&gt;Strong's&lt;/a&gt;</v>
      </c>
      <c r="AA150" t="str">
        <f t="shared" si="596"/>
        <v>&lt;/li&gt;&lt;li&gt;&lt;a href=|http://childrensbibleonline.com/numbers/33.htm| title=|The Children's Bible| target=|_top|&gt;Children's&lt;/a&gt;</v>
      </c>
      <c r="AB150" s="2" t="str">
        <f t="shared" si="596"/>
        <v>&lt;/li&gt;&lt;li&gt;&lt;a href=|http://tsk.scripturetext.com/numbers/33.htm| title=|Treasury of Scripture Knowledge| target=|_top|&gt;TSK&lt;/a&gt;</v>
      </c>
      <c r="AC150" t="str">
        <f>CONCATENATE("&lt;a href=|http://",AC1191,"/numbers/33.htm","| ","title=|",AC1190,"| target=|_top|&gt;",AC1192,"&lt;/a&gt;")</f>
        <v>&lt;a href=|http://parallelbible.com/numbers/33.htm| title=|Parallel Chapters| target=|_top|&gt;PAR&lt;/a&gt;</v>
      </c>
      <c r="AD150" s="2" t="str">
        <f t="shared" ref="AD150:AK150" si="598">CONCATENATE("&lt;/li&gt;&lt;li&gt;&lt;a href=|http://",AD1191,"/numbers/33.htm","| ","title=|",AD1190,"| target=|_top|&gt;",AD1192,"&lt;/a&gt;")</f>
        <v>&lt;/li&gt;&lt;li&gt;&lt;a href=|http://gsb.biblecommenter.com/numbers/33.htm| title=|Geneva Study Bible| target=|_top|&gt;GSB&lt;/a&gt;</v>
      </c>
      <c r="AE150" s="2" t="str">
        <f t="shared" si="598"/>
        <v>&lt;/li&gt;&lt;li&gt;&lt;a href=|http://jfb.biblecommenter.com/numbers/33.htm| title=|Jamieson-Fausset-Brown Bible Commentary| target=|_top|&gt;JFB&lt;/a&gt;</v>
      </c>
      <c r="AF150" s="2" t="str">
        <f t="shared" si="598"/>
        <v>&lt;/li&gt;&lt;li&gt;&lt;a href=|http://kjt.biblecommenter.com/numbers/33.htm| title=|King James Translators' Notes| target=|_top|&gt;KJT&lt;/a&gt;</v>
      </c>
      <c r="AG150" s="2" t="str">
        <f t="shared" si="598"/>
        <v>&lt;/li&gt;&lt;li&gt;&lt;a href=|http://mhc.biblecommenter.com/numbers/33.htm| title=|Matthew Henry's Concise Commentary| target=|_top|&gt;MHC&lt;/a&gt;</v>
      </c>
      <c r="AH150" s="2" t="str">
        <f t="shared" si="598"/>
        <v>&lt;/li&gt;&lt;li&gt;&lt;a href=|http://sco.biblecommenter.com/numbers/33.htm| title=|Scofield Reference Notes| target=|_top|&gt;SCO&lt;/a&gt;</v>
      </c>
      <c r="AI150" s="2" t="str">
        <f t="shared" si="598"/>
        <v>&lt;/li&gt;&lt;li&gt;&lt;a href=|http://wes.biblecommenter.com/numbers/33.htm| title=|Wesley's Notes on the Bible| target=|_top|&gt;WES&lt;/a&gt;</v>
      </c>
      <c r="AJ150" t="str">
        <f t="shared" si="598"/>
        <v>&lt;/li&gt;&lt;li&gt;&lt;a href=|http://worldebible.com/numbers/33.htm| title=|World English Bible| target=|_top|&gt;WEB&lt;/a&gt;</v>
      </c>
      <c r="AK150" t="str">
        <f t="shared" si="598"/>
        <v>&lt;/li&gt;&lt;li&gt;&lt;a href=|http://yltbible.com/numbers/33.htm| title=|Young's Literal Translation| target=|_top|&gt;YLT&lt;/a&gt;</v>
      </c>
      <c r="AL150" t="str">
        <f>CONCATENATE("&lt;a href=|http://",AL1191,"/numbers/33.htm","| ","title=|",AL1190,"| target=|_top|&gt;",AL1192,"&lt;/a&gt;")</f>
        <v>&lt;a href=|http://kjv.us/numbers/33.htm| title=|American King James Version| target=|_top|&gt;AKJ&lt;/a&gt;</v>
      </c>
      <c r="AM150" t="str">
        <f t="shared" ref="AM150:AN150" si="599">CONCATENATE("&lt;/li&gt;&lt;li&gt;&lt;a href=|http://",AM1191,"/numbers/33.htm","| ","title=|",AM1190,"| target=|_top|&gt;",AM1192,"&lt;/a&gt;")</f>
        <v>&lt;/li&gt;&lt;li&gt;&lt;a href=|http://basicenglishbible.com/numbers/33.htm| title=|Bible in Basic English| target=|_top|&gt;BBE&lt;/a&gt;</v>
      </c>
      <c r="AN150" t="str">
        <f t="shared" si="599"/>
        <v>&lt;/li&gt;&lt;li&gt;&lt;a href=|http://darbybible.com/numbers/33.htm| title=|Darby Bible Translation| target=|_top|&gt;DBY&lt;/a&gt;</v>
      </c>
      <c r="AO15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5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5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50" t="str">
        <f>CONCATENATE("&lt;/li&gt;&lt;li&gt;&lt;a href=|http://",AR1191,"/numbers/33.htm","| ","title=|",AR1190,"| target=|_top|&gt;",AR1192,"&lt;/a&gt;")</f>
        <v>&lt;/li&gt;&lt;li&gt;&lt;a href=|http://websterbible.com/numbers/33.htm| title=|Webster's Bible Translation| target=|_top|&gt;WBS&lt;/a&gt;</v>
      </c>
      <c r="AS15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50" t="str">
        <f>CONCATENATE("&lt;/li&gt;&lt;li&gt;&lt;a href=|http://",AT1191,"/numbers/33-1.htm","| ","title=|",AT1190,"| target=|_top|&gt;",AT1192,"&lt;/a&gt;")</f>
        <v>&lt;/li&gt;&lt;li&gt;&lt;a href=|http://biblebrowser.com/numbers/33-1.htm| title=|Split View| target=|_top|&gt;Split&lt;/a&gt;</v>
      </c>
      <c r="AU150" s="2" t="s">
        <v>1276</v>
      </c>
      <c r="AV150" t="s">
        <v>64</v>
      </c>
    </row>
    <row r="151" spans="1:48">
      <c r="A151" t="s">
        <v>622</v>
      </c>
      <c r="B151" t="s">
        <v>204</v>
      </c>
      <c r="C151" t="s">
        <v>624</v>
      </c>
      <c r="D151" t="s">
        <v>1268</v>
      </c>
      <c r="E151" t="s">
        <v>1277</v>
      </c>
      <c r="F151" t="s">
        <v>1304</v>
      </c>
      <c r="G151" t="s">
        <v>1266</v>
      </c>
      <c r="H151" t="s">
        <v>1305</v>
      </c>
      <c r="I151" t="s">
        <v>1303</v>
      </c>
      <c r="J151" t="s">
        <v>1267</v>
      </c>
      <c r="K151" t="s">
        <v>1275</v>
      </c>
      <c r="L151" s="2" t="s">
        <v>1274</v>
      </c>
      <c r="M151" t="str">
        <f t="shared" ref="M151:AB151" si="600">CONCATENATE("&lt;/li&gt;&lt;li&gt;&lt;a href=|http://",M1191,"/numbers/34.htm","| ","title=|",M1190,"| target=|_top|&gt;",M1192,"&lt;/a&gt;")</f>
        <v>&lt;/li&gt;&lt;li&gt;&lt;a href=|http://niv.scripturetext.com/numbers/34.htm| title=|New International Version| target=|_top|&gt;NIV&lt;/a&gt;</v>
      </c>
      <c r="N151" t="str">
        <f t="shared" si="600"/>
        <v>&lt;/li&gt;&lt;li&gt;&lt;a href=|http://nlt.scripturetext.com/numbers/34.htm| title=|New Living Translation| target=|_top|&gt;NLT&lt;/a&gt;</v>
      </c>
      <c r="O151" t="str">
        <f t="shared" si="600"/>
        <v>&lt;/li&gt;&lt;li&gt;&lt;a href=|http://nasb.scripturetext.com/numbers/34.htm| title=|New American Standard Bible| target=|_top|&gt;NAS&lt;/a&gt;</v>
      </c>
      <c r="P151" t="str">
        <f t="shared" si="600"/>
        <v>&lt;/li&gt;&lt;li&gt;&lt;a href=|http://gwt.scripturetext.com/numbers/34.htm| title=|God's Word Translation| target=|_top|&gt;GWT&lt;/a&gt;</v>
      </c>
      <c r="Q151" t="str">
        <f t="shared" si="600"/>
        <v>&lt;/li&gt;&lt;li&gt;&lt;a href=|http://kingjbible.com/numbers/34.htm| title=|King James Bible| target=|_top|&gt;KJV&lt;/a&gt;</v>
      </c>
      <c r="R151" t="str">
        <f t="shared" si="600"/>
        <v>&lt;/li&gt;&lt;li&gt;&lt;a href=|http://asvbible.com/numbers/34.htm| title=|American Standard Version| target=|_top|&gt;ASV&lt;/a&gt;</v>
      </c>
      <c r="S151" t="str">
        <f t="shared" si="600"/>
        <v>&lt;/li&gt;&lt;li&gt;&lt;a href=|http://drb.scripturetext.com/numbers/34.htm| title=|Douay-Rheims Bible| target=|_top|&gt;DRB&lt;/a&gt;</v>
      </c>
      <c r="T151" t="str">
        <f t="shared" si="600"/>
        <v>&lt;/li&gt;&lt;li&gt;&lt;a href=|http://erv.scripturetext.com/numbers/34.htm| title=|English Revised Version| target=|_top|&gt;ERV&lt;/a&gt;</v>
      </c>
      <c r="V151" t="str">
        <f>CONCATENATE("&lt;/li&gt;&lt;li&gt;&lt;a href=|http://",V1191,"/numbers/34.htm","| ","title=|",V1190,"| target=|_top|&gt;",V1192,"&lt;/a&gt;")</f>
        <v>&lt;/li&gt;&lt;li&gt;&lt;a href=|http://study.interlinearbible.org/numbers/34.htm| title=|Hebrew Study Bible| target=|_top|&gt;Heb Study&lt;/a&gt;</v>
      </c>
      <c r="W151" t="str">
        <f t="shared" si="600"/>
        <v>&lt;/li&gt;&lt;li&gt;&lt;a href=|http://apostolic.interlinearbible.org/numbers/34.htm| title=|Apostolic Bible Polyglot Interlinear| target=|_top|&gt;Polyglot&lt;/a&gt;</v>
      </c>
      <c r="X151" t="str">
        <f t="shared" si="600"/>
        <v>&lt;/li&gt;&lt;li&gt;&lt;a href=|http://interlinearbible.org/numbers/34.htm| title=|Interlinear Bible| target=|_top|&gt;Interlin&lt;/a&gt;</v>
      </c>
      <c r="Y151" t="str">
        <f t="shared" ref="Y151" si="601">CONCATENATE("&lt;/li&gt;&lt;li&gt;&lt;a href=|http://",Y1191,"/numbers/34.htm","| ","title=|",Y1190,"| target=|_top|&gt;",Y1192,"&lt;/a&gt;")</f>
        <v>&lt;/li&gt;&lt;li&gt;&lt;a href=|http://bibleoutline.org/numbers/34.htm| title=|Outline with People and Places List| target=|_top|&gt;Outline&lt;/a&gt;</v>
      </c>
      <c r="Z151" t="str">
        <f t="shared" si="600"/>
        <v>&lt;/li&gt;&lt;li&gt;&lt;a href=|http://kjvs.scripturetext.com/numbers/34.htm| title=|King James Bible with Strong's Numbers| target=|_top|&gt;Strong's&lt;/a&gt;</v>
      </c>
      <c r="AA151" t="str">
        <f t="shared" si="600"/>
        <v>&lt;/li&gt;&lt;li&gt;&lt;a href=|http://childrensbibleonline.com/numbers/34.htm| title=|The Children's Bible| target=|_top|&gt;Children's&lt;/a&gt;</v>
      </c>
      <c r="AB151" s="2" t="str">
        <f t="shared" si="600"/>
        <v>&lt;/li&gt;&lt;li&gt;&lt;a href=|http://tsk.scripturetext.com/numbers/34.htm| title=|Treasury of Scripture Knowledge| target=|_top|&gt;TSK&lt;/a&gt;</v>
      </c>
      <c r="AC151" t="str">
        <f>CONCATENATE("&lt;a href=|http://",AC1191,"/numbers/34.htm","| ","title=|",AC1190,"| target=|_top|&gt;",AC1192,"&lt;/a&gt;")</f>
        <v>&lt;a href=|http://parallelbible.com/numbers/34.htm| title=|Parallel Chapters| target=|_top|&gt;PAR&lt;/a&gt;</v>
      </c>
      <c r="AD151" s="2" t="str">
        <f t="shared" ref="AD151:AK151" si="602">CONCATENATE("&lt;/li&gt;&lt;li&gt;&lt;a href=|http://",AD1191,"/numbers/34.htm","| ","title=|",AD1190,"| target=|_top|&gt;",AD1192,"&lt;/a&gt;")</f>
        <v>&lt;/li&gt;&lt;li&gt;&lt;a href=|http://gsb.biblecommenter.com/numbers/34.htm| title=|Geneva Study Bible| target=|_top|&gt;GSB&lt;/a&gt;</v>
      </c>
      <c r="AE151" s="2" t="str">
        <f t="shared" si="602"/>
        <v>&lt;/li&gt;&lt;li&gt;&lt;a href=|http://jfb.biblecommenter.com/numbers/34.htm| title=|Jamieson-Fausset-Brown Bible Commentary| target=|_top|&gt;JFB&lt;/a&gt;</v>
      </c>
      <c r="AF151" s="2" t="str">
        <f t="shared" si="602"/>
        <v>&lt;/li&gt;&lt;li&gt;&lt;a href=|http://kjt.biblecommenter.com/numbers/34.htm| title=|King James Translators' Notes| target=|_top|&gt;KJT&lt;/a&gt;</v>
      </c>
      <c r="AG151" s="2" t="str">
        <f t="shared" si="602"/>
        <v>&lt;/li&gt;&lt;li&gt;&lt;a href=|http://mhc.biblecommenter.com/numbers/34.htm| title=|Matthew Henry's Concise Commentary| target=|_top|&gt;MHC&lt;/a&gt;</v>
      </c>
      <c r="AH151" s="2" t="str">
        <f t="shared" si="602"/>
        <v>&lt;/li&gt;&lt;li&gt;&lt;a href=|http://sco.biblecommenter.com/numbers/34.htm| title=|Scofield Reference Notes| target=|_top|&gt;SCO&lt;/a&gt;</v>
      </c>
      <c r="AI151" s="2" t="str">
        <f t="shared" si="602"/>
        <v>&lt;/li&gt;&lt;li&gt;&lt;a href=|http://wes.biblecommenter.com/numbers/34.htm| title=|Wesley's Notes on the Bible| target=|_top|&gt;WES&lt;/a&gt;</v>
      </c>
      <c r="AJ151" t="str">
        <f t="shared" si="602"/>
        <v>&lt;/li&gt;&lt;li&gt;&lt;a href=|http://worldebible.com/numbers/34.htm| title=|World English Bible| target=|_top|&gt;WEB&lt;/a&gt;</v>
      </c>
      <c r="AK151" t="str">
        <f t="shared" si="602"/>
        <v>&lt;/li&gt;&lt;li&gt;&lt;a href=|http://yltbible.com/numbers/34.htm| title=|Young's Literal Translation| target=|_top|&gt;YLT&lt;/a&gt;</v>
      </c>
      <c r="AL151" t="str">
        <f>CONCATENATE("&lt;a href=|http://",AL1191,"/numbers/34.htm","| ","title=|",AL1190,"| target=|_top|&gt;",AL1192,"&lt;/a&gt;")</f>
        <v>&lt;a href=|http://kjv.us/numbers/34.htm| title=|American King James Version| target=|_top|&gt;AKJ&lt;/a&gt;</v>
      </c>
      <c r="AM151" t="str">
        <f t="shared" ref="AM151:AN151" si="603">CONCATENATE("&lt;/li&gt;&lt;li&gt;&lt;a href=|http://",AM1191,"/numbers/34.htm","| ","title=|",AM1190,"| target=|_top|&gt;",AM1192,"&lt;/a&gt;")</f>
        <v>&lt;/li&gt;&lt;li&gt;&lt;a href=|http://basicenglishbible.com/numbers/34.htm| title=|Bible in Basic English| target=|_top|&gt;BBE&lt;/a&gt;</v>
      </c>
      <c r="AN151" t="str">
        <f t="shared" si="603"/>
        <v>&lt;/li&gt;&lt;li&gt;&lt;a href=|http://darbybible.com/numbers/34.htm| title=|Darby Bible Translation| target=|_top|&gt;DBY&lt;/a&gt;</v>
      </c>
      <c r="AO15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5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5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51" t="str">
        <f>CONCATENATE("&lt;/li&gt;&lt;li&gt;&lt;a href=|http://",AR1191,"/numbers/34.htm","| ","title=|",AR1190,"| target=|_top|&gt;",AR1192,"&lt;/a&gt;")</f>
        <v>&lt;/li&gt;&lt;li&gt;&lt;a href=|http://websterbible.com/numbers/34.htm| title=|Webster's Bible Translation| target=|_top|&gt;WBS&lt;/a&gt;</v>
      </c>
      <c r="AS15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51" t="str">
        <f>CONCATENATE("&lt;/li&gt;&lt;li&gt;&lt;a href=|http://",AT1191,"/numbers/34-1.htm","| ","title=|",AT1190,"| target=|_top|&gt;",AT1192,"&lt;/a&gt;")</f>
        <v>&lt;/li&gt;&lt;li&gt;&lt;a href=|http://biblebrowser.com/numbers/34-1.htm| title=|Split View| target=|_top|&gt;Split&lt;/a&gt;</v>
      </c>
      <c r="AU151" s="2" t="s">
        <v>1276</v>
      </c>
      <c r="AV151" t="s">
        <v>64</v>
      </c>
    </row>
    <row r="152" spans="1:48">
      <c r="A152" t="s">
        <v>622</v>
      </c>
      <c r="B152" t="s">
        <v>205</v>
      </c>
      <c r="C152" t="s">
        <v>624</v>
      </c>
      <c r="D152" t="s">
        <v>1268</v>
      </c>
      <c r="E152" t="s">
        <v>1277</v>
      </c>
      <c r="F152" t="s">
        <v>1304</v>
      </c>
      <c r="G152" t="s">
        <v>1266</v>
      </c>
      <c r="H152" t="s">
        <v>1305</v>
      </c>
      <c r="I152" t="s">
        <v>1303</v>
      </c>
      <c r="J152" t="s">
        <v>1267</v>
      </c>
      <c r="K152" t="s">
        <v>1275</v>
      </c>
      <c r="L152" s="2" t="s">
        <v>1274</v>
      </c>
      <c r="M152" t="str">
        <f t="shared" ref="M152:AB152" si="604">CONCATENATE("&lt;/li&gt;&lt;li&gt;&lt;a href=|http://",M1191,"/numbers/35.htm","| ","title=|",M1190,"| target=|_top|&gt;",M1192,"&lt;/a&gt;")</f>
        <v>&lt;/li&gt;&lt;li&gt;&lt;a href=|http://niv.scripturetext.com/numbers/35.htm| title=|New International Version| target=|_top|&gt;NIV&lt;/a&gt;</v>
      </c>
      <c r="N152" t="str">
        <f t="shared" si="604"/>
        <v>&lt;/li&gt;&lt;li&gt;&lt;a href=|http://nlt.scripturetext.com/numbers/35.htm| title=|New Living Translation| target=|_top|&gt;NLT&lt;/a&gt;</v>
      </c>
      <c r="O152" t="str">
        <f t="shared" si="604"/>
        <v>&lt;/li&gt;&lt;li&gt;&lt;a href=|http://nasb.scripturetext.com/numbers/35.htm| title=|New American Standard Bible| target=|_top|&gt;NAS&lt;/a&gt;</v>
      </c>
      <c r="P152" t="str">
        <f t="shared" si="604"/>
        <v>&lt;/li&gt;&lt;li&gt;&lt;a href=|http://gwt.scripturetext.com/numbers/35.htm| title=|God's Word Translation| target=|_top|&gt;GWT&lt;/a&gt;</v>
      </c>
      <c r="Q152" t="str">
        <f t="shared" si="604"/>
        <v>&lt;/li&gt;&lt;li&gt;&lt;a href=|http://kingjbible.com/numbers/35.htm| title=|King James Bible| target=|_top|&gt;KJV&lt;/a&gt;</v>
      </c>
      <c r="R152" t="str">
        <f t="shared" si="604"/>
        <v>&lt;/li&gt;&lt;li&gt;&lt;a href=|http://asvbible.com/numbers/35.htm| title=|American Standard Version| target=|_top|&gt;ASV&lt;/a&gt;</v>
      </c>
      <c r="S152" t="str">
        <f t="shared" si="604"/>
        <v>&lt;/li&gt;&lt;li&gt;&lt;a href=|http://drb.scripturetext.com/numbers/35.htm| title=|Douay-Rheims Bible| target=|_top|&gt;DRB&lt;/a&gt;</v>
      </c>
      <c r="T152" t="str">
        <f t="shared" si="604"/>
        <v>&lt;/li&gt;&lt;li&gt;&lt;a href=|http://erv.scripturetext.com/numbers/35.htm| title=|English Revised Version| target=|_top|&gt;ERV&lt;/a&gt;</v>
      </c>
      <c r="V152" t="str">
        <f>CONCATENATE("&lt;/li&gt;&lt;li&gt;&lt;a href=|http://",V1191,"/numbers/35.htm","| ","title=|",V1190,"| target=|_top|&gt;",V1192,"&lt;/a&gt;")</f>
        <v>&lt;/li&gt;&lt;li&gt;&lt;a href=|http://study.interlinearbible.org/numbers/35.htm| title=|Hebrew Study Bible| target=|_top|&gt;Heb Study&lt;/a&gt;</v>
      </c>
      <c r="W152" t="str">
        <f t="shared" si="604"/>
        <v>&lt;/li&gt;&lt;li&gt;&lt;a href=|http://apostolic.interlinearbible.org/numbers/35.htm| title=|Apostolic Bible Polyglot Interlinear| target=|_top|&gt;Polyglot&lt;/a&gt;</v>
      </c>
      <c r="X152" t="str">
        <f t="shared" si="604"/>
        <v>&lt;/li&gt;&lt;li&gt;&lt;a href=|http://interlinearbible.org/numbers/35.htm| title=|Interlinear Bible| target=|_top|&gt;Interlin&lt;/a&gt;</v>
      </c>
      <c r="Y152" t="str">
        <f t="shared" ref="Y152" si="605">CONCATENATE("&lt;/li&gt;&lt;li&gt;&lt;a href=|http://",Y1191,"/numbers/35.htm","| ","title=|",Y1190,"| target=|_top|&gt;",Y1192,"&lt;/a&gt;")</f>
        <v>&lt;/li&gt;&lt;li&gt;&lt;a href=|http://bibleoutline.org/numbers/35.htm| title=|Outline with People and Places List| target=|_top|&gt;Outline&lt;/a&gt;</v>
      </c>
      <c r="Z152" t="str">
        <f t="shared" si="604"/>
        <v>&lt;/li&gt;&lt;li&gt;&lt;a href=|http://kjvs.scripturetext.com/numbers/35.htm| title=|King James Bible with Strong's Numbers| target=|_top|&gt;Strong's&lt;/a&gt;</v>
      </c>
      <c r="AA152" t="str">
        <f t="shared" si="604"/>
        <v>&lt;/li&gt;&lt;li&gt;&lt;a href=|http://childrensbibleonline.com/numbers/35.htm| title=|The Children's Bible| target=|_top|&gt;Children's&lt;/a&gt;</v>
      </c>
      <c r="AB152" s="2" t="str">
        <f t="shared" si="604"/>
        <v>&lt;/li&gt;&lt;li&gt;&lt;a href=|http://tsk.scripturetext.com/numbers/35.htm| title=|Treasury of Scripture Knowledge| target=|_top|&gt;TSK&lt;/a&gt;</v>
      </c>
      <c r="AC152" t="str">
        <f>CONCATENATE("&lt;a href=|http://",AC1191,"/numbers/35.htm","| ","title=|",AC1190,"| target=|_top|&gt;",AC1192,"&lt;/a&gt;")</f>
        <v>&lt;a href=|http://parallelbible.com/numbers/35.htm| title=|Parallel Chapters| target=|_top|&gt;PAR&lt;/a&gt;</v>
      </c>
      <c r="AD152" s="2" t="str">
        <f t="shared" ref="AD152:AK152" si="606">CONCATENATE("&lt;/li&gt;&lt;li&gt;&lt;a href=|http://",AD1191,"/numbers/35.htm","| ","title=|",AD1190,"| target=|_top|&gt;",AD1192,"&lt;/a&gt;")</f>
        <v>&lt;/li&gt;&lt;li&gt;&lt;a href=|http://gsb.biblecommenter.com/numbers/35.htm| title=|Geneva Study Bible| target=|_top|&gt;GSB&lt;/a&gt;</v>
      </c>
      <c r="AE152" s="2" t="str">
        <f t="shared" si="606"/>
        <v>&lt;/li&gt;&lt;li&gt;&lt;a href=|http://jfb.biblecommenter.com/numbers/35.htm| title=|Jamieson-Fausset-Brown Bible Commentary| target=|_top|&gt;JFB&lt;/a&gt;</v>
      </c>
      <c r="AF152" s="2" t="str">
        <f t="shared" si="606"/>
        <v>&lt;/li&gt;&lt;li&gt;&lt;a href=|http://kjt.biblecommenter.com/numbers/35.htm| title=|King James Translators' Notes| target=|_top|&gt;KJT&lt;/a&gt;</v>
      </c>
      <c r="AG152" s="2" t="str">
        <f t="shared" si="606"/>
        <v>&lt;/li&gt;&lt;li&gt;&lt;a href=|http://mhc.biblecommenter.com/numbers/35.htm| title=|Matthew Henry's Concise Commentary| target=|_top|&gt;MHC&lt;/a&gt;</v>
      </c>
      <c r="AH152" s="2" t="str">
        <f t="shared" si="606"/>
        <v>&lt;/li&gt;&lt;li&gt;&lt;a href=|http://sco.biblecommenter.com/numbers/35.htm| title=|Scofield Reference Notes| target=|_top|&gt;SCO&lt;/a&gt;</v>
      </c>
      <c r="AI152" s="2" t="str">
        <f t="shared" si="606"/>
        <v>&lt;/li&gt;&lt;li&gt;&lt;a href=|http://wes.biblecommenter.com/numbers/35.htm| title=|Wesley's Notes on the Bible| target=|_top|&gt;WES&lt;/a&gt;</v>
      </c>
      <c r="AJ152" t="str">
        <f t="shared" si="606"/>
        <v>&lt;/li&gt;&lt;li&gt;&lt;a href=|http://worldebible.com/numbers/35.htm| title=|World English Bible| target=|_top|&gt;WEB&lt;/a&gt;</v>
      </c>
      <c r="AK152" t="str">
        <f t="shared" si="606"/>
        <v>&lt;/li&gt;&lt;li&gt;&lt;a href=|http://yltbible.com/numbers/35.htm| title=|Young's Literal Translation| target=|_top|&gt;YLT&lt;/a&gt;</v>
      </c>
      <c r="AL152" t="str">
        <f>CONCATENATE("&lt;a href=|http://",AL1191,"/numbers/35.htm","| ","title=|",AL1190,"| target=|_top|&gt;",AL1192,"&lt;/a&gt;")</f>
        <v>&lt;a href=|http://kjv.us/numbers/35.htm| title=|American King James Version| target=|_top|&gt;AKJ&lt;/a&gt;</v>
      </c>
      <c r="AM152" t="str">
        <f t="shared" ref="AM152:AN152" si="607">CONCATENATE("&lt;/li&gt;&lt;li&gt;&lt;a href=|http://",AM1191,"/numbers/35.htm","| ","title=|",AM1190,"| target=|_top|&gt;",AM1192,"&lt;/a&gt;")</f>
        <v>&lt;/li&gt;&lt;li&gt;&lt;a href=|http://basicenglishbible.com/numbers/35.htm| title=|Bible in Basic English| target=|_top|&gt;BBE&lt;/a&gt;</v>
      </c>
      <c r="AN152" t="str">
        <f t="shared" si="607"/>
        <v>&lt;/li&gt;&lt;li&gt;&lt;a href=|http://darbybible.com/numbers/35.htm| title=|Darby Bible Translation| target=|_top|&gt;DBY&lt;/a&gt;</v>
      </c>
      <c r="AO15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5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5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52" t="str">
        <f>CONCATENATE("&lt;/li&gt;&lt;li&gt;&lt;a href=|http://",AR1191,"/numbers/35.htm","| ","title=|",AR1190,"| target=|_top|&gt;",AR1192,"&lt;/a&gt;")</f>
        <v>&lt;/li&gt;&lt;li&gt;&lt;a href=|http://websterbible.com/numbers/35.htm| title=|Webster's Bible Translation| target=|_top|&gt;WBS&lt;/a&gt;</v>
      </c>
      <c r="AS15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52" t="str">
        <f>CONCATENATE("&lt;/li&gt;&lt;li&gt;&lt;a href=|http://",AT1191,"/numbers/35-1.htm","| ","title=|",AT1190,"| target=|_top|&gt;",AT1192,"&lt;/a&gt;")</f>
        <v>&lt;/li&gt;&lt;li&gt;&lt;a href=|http://biblebrowser.com/numbers/35-1.htm| title=|Split View| target=|_top|&gt;Split&lt;/a&gt;</v>
      </c>
      <c r="AU152" s="2" t="s">
        <v>1276</v>
      </c>
      <c r="AV152" t="s">
        <v>64</v>
      </c>
    </row>
    <row r="153" spans="1:48">
      <c r="A153" t="s">
        <v>622</v>
      </c>
      <c r="B153" t="s">
        <v>206</v>
      </c>
      <c r="C153" t="s">
        <v>624</v>
      </c>
      <c r="D153" t="s">
        <v>1268</v>
      </c>
      <c r="E153" t="s">
        <v>1277</v>
      </c>
      <c r="F153" t="s">
        <v>1304</v>
      </c>
      <c r="G153" t="s">
        <v>1266</v>
      </c>
      <c r="H153" t="s">
        <v>1305</v>
      </c>
      <c r="I153" t="s">
        <v>1303</v>
      </c>
      <c r="J153" t="s">
        <v>1267</v>
      </c>
      <c r="K153" t="s">
        <v>1275</v>
      </c>
      <c r="L153" s="2" t="s">
        <v>1274</v>
      </c>
      <c r="M153" t="str">
        <f t="shared" ref="M153:AB153" si="608">CONCATENATE("&lt;/li&gt;&lt;li&gt;&lt;a href=|http://",M1191,"/numbers/36.htm","| ","title=|",M1190,"| target=|_top|&gt;",M1192,"&lt;/a&gt;")</f>
        <v>&lt;/li&gt;&lt;li&gt;&lt;a href=|http://niv.scripturetext.com/numbers/36.htm| title=|New International Version| target=|_top|&gt;NIV&lt;/a&gt;</v>
      </c>
      <c r="N153" t="str">
        <f t="shared" si="608"/>
        <v>&lt;/li&gt;&lt;li&gt;&lt;a href=|http://nlt.scripturetext.com/numbers/36.htm| title=|New Living Translation| target=|_top|&gt;NLT&lt;/a&gt;</v>
      </c>
      <c r="O153" t="str">
        <f t="shared" si="608"/>
        <v>&lt;/li&gt;&lt;li&gt;&lt;a href=|http://nasb.scripturetext.com/numbers/36.htm| title=|New American Standard Bible| target=|_top|&gt;NAS&lt;/a&gt;</v>
      </c>
      <c r="P153" t="str">
        <f t="shared" si="608"/>
        <v>&lt;/li&gt;&lt;li&gt;&lt;a href=|http://gwt.scripturetext.com/numbers/36.htm| title=|God's Word Translation| target=|_top|&gt;GWT&lt;/a&gt;</v>
      </c>
      <c r="Q153" t="str">
        <f t="shared" si="608"/>
        <v>&lt;/li&gt;&lt;li&gt;&lt;a href=|http://kingjbible.com/numbers/36.htm| title=|King James Bible| target=|_top|&gt;KJV&lt;/a&gt;</v>
      </c>
      <c r="R153" t="str">
        <f t="shared" si="608"/>
        <v>&lt;/li&gt;&lt;li&gt;&lt;a href=|http://asvbible.com/numbers/36.htm| title=|American Standard Version| target=|_top|&gt;ASV&lt;/a&gt;</v>
      </c>
      <c r="S153" t="str">
        <f t="shared" si="608"/>
        <v>&lt;/li&gt;&lt;li&gt;&lt;a href=|http://drb.scripturetext.com/numbers/36.htm| title=|Douay-Rheims Bible| target=|_top|&gt;DRB&lt;/a&gt;</v>
      </c>
      <c r="T153" t="str">
        <f t="shared" si="608"/>
        <v>&lt;/li&gt;&lt;li&gt;&lt;a href=|http://erv.scripturetext.com/numbers/36.htm| title=|English Revised Version| target=|_top|&gt;ERV&lt;/a&gt;</v>
      </c>
      <c r="V153" t="str">
        <f>CONCATENATE("&lt;/li&gt;&lt;li&gt;&lt;a href=|http://",V1191,"/numbers/36.htm","| ","title=|",V1190,"| target=|_top|&gt;",V1192,"&lt;/a&gt;")</f>
        <v>&lt;/li&gt;&lt;li&gt;&lt;a href=|http://study.interlinearbible.org/numbers/36.htm| title=|Hebrew Study Bible| target=|_top|&gt;Heb Study&lt;/a&gt;</v>
      </c>
      <c r="W153" t="str">
        <f t="shared" si="608"/>
        <v>&lt;/li&gt;&lt;li&gt;&lt;a href=|http://apostolic.interlinearbible.org/numbers/36.htm| title=|Apostolic Bible Polyglot Interlinear| target=|_top|&gt;Polyglot&lt;/a&gt;</v>
      </c>
      <c r="X153" t="str">
        <f t="shared" si="608"/>
        <v>&lt;/li&gt;&lt;li&gt;&lt;a href=|http://interlinearbible.org/numbers/36.htm| title=|Interlinear Bible| target=|_top|&gt;Interlin&lt;/a&gt;</v>
      </c>
      <c r="Y153" t="str">
        <f t="shared" ref="Y153" si="609">CONCATENATE("&lt;/li&gt;&lt;li&gt;&lt;a href=|http://",Y1191,"/numbers/36.htm","| ","title=|",Y1190,"| target=|_top|&gt;",Y1192,"&lt;/a&gt;")</f>
        <v>&lt;/li&gt;&lt;li&gt;&lt;a href=|http://bibleoutline.org/numbers/36.htm| title=|Outline with People and Places List| target=|_top|&gt;Outline&lt;/a&gt;</v>
      </c>
      <c r="Z153" t="str">
        <f t="shared" si="608"/>
        <v>&lt;/li&gt;&lt;li&gt;&lt;a href=|http://kjvs.scripturetext.com/numbers/36.htm| title=|King James Bible with Strong's Numbers| target=|_top|&gt;Strong's&lt;/a&gt;</v>
      </c>
      <c r="AA153" t="str">
        <f t="shared" si="608"/>
        <v>&lt;/li&gt;&lt;li&gt;&lt;a href=|http://childrensbibleonline.com/numbers/36.htm| title=|The Children's Bible| target=|_top|&gt;Children's&lt;/a&gt;</v>
      </c>
      <c r="AB153" s="2" t="str">
        <f t="shared" si="608"/>
        <v>&lt;/li&gt;&lt;li&gt;&lt;a href=|http://tsk.scripturetext.com/numbers/36.htm| title=|Treasury of Scripture Knowledge| target=|_top|&gt;TSK&lt;/a&gt;</v>
      </c>
      <c r="AC153" t="str">
        <f>CONCATENATE("&lt;a href=|http://",AC1191,"/numbers/36.htm","| ","title=|",AC1190,"| target=|_top|&gt;",AC1192,"&lt;/a&gt;")</f>
        <v>&lt;a href=|http://parallelbible.com/numbers/36.htm| title=|Parallel Chapters| target=|_top|&gt;PAR&lt;/a&gt;</v>
      </c>
      <c r="AD153" s="2" t="str">
        <f t="shared" ref="AD153:AK153" si="610">CONCATENATE("&lt;/li&gt;&lt;li&gt;&lt;a href=|http://",AD1191,"/numbers/36.htm","| ","title=|",AD1190,"| target=|_top|&gt;",AD1192,"&lt;/a&gt;")</f>
        <v>&lt;/li&gt;&lt;li&gt;&lt;a href=|http://gsb.biblecommenter.com/numbers/36.htm| title=|Geneva Study Bible| target=|_top|&gt;GSB&lt;/a&gt;</v>
      </c>
      <c r="AE153" s="2" t="str">
        <f t="shared" si="610"/>
        <v>&lt;/li&gt;&lt;li&gt;&lt;a href=|http://jfb.biblecommenter.com/numbers/36.htm| title=|Jamieson-Fausset-Brown Bible Commentary| target=|_top|&gt;JFB&lt;/a&gt;</v>
      </c>
      <c r="AF153" s="2" t="str">
        <f t="shared" si="610"/>
        <v>&lt;/li&gt;&lt;li&gt;&lt;a href=|http://kjt.biblecommenter.com/numbers/36.htm| title=|King James Translators' Notes| target=|_top|&gt;KJT&lt;/a&gt;</v>
      </c>
      <c r="AG153" s="2" t="str">
        <f t="shared" si="610"/>
        <v>&lt;/li&gt;&lt;li&gt;&lt;a href=|http://mhc.biblecommenter.com/numbers/36.htm| title=|Matthew Henry's Concise Commentary| target=|_top|&gt;MHC&lt;/a&gt;</v>
      </c>
      <c r="AH153" s="2" t="str">
        <f t="shared" si="610"/>
        <v>&lt;/li&gt;&lt;li&gt;&lt;a href=|http://sco.biblecommenter.com/numbers/36.htm| title=|Scofield Reference Notes| target=|_top|&gt;SCO&lt;/a&gt;</v>
      </c>
      <c r="AI153" s="2" t="str">
        <f t="shared" si="610"/>
        <v>&lt;/li&gt;&lt;li&gt;&lt;a href=|http://wes.biblecommenter.com/numbers/36.htm| title=|Wesley's Notes on the Bible| target=|_top|&gt;WES&lt;/a&gt;</v>
      </c>
      <c r="AJ153" t="str">
        <f t="shared" si="610"/>
        <v>&lt;/li&gt;&lt;li&gt;&lt;a href=|http://worldebible.com/numbers/36.htm| title=|World English Bible| target=|_top|&gt;WEB&lt;/a&gt;</v>
      </c>
      <c r="AK153" t="str">
        <f t="shared" si="610"/>
        <v>&lt;/li&gt;&lt;li&gt;&lt;a href=|http://yltbible.com/numbers/36.htm| title=|Young's Literal Translation| target=|_top|&gt;YLT&lt;/a&gt;</v>
      </c>
      <c r="AL153" t="str">
        <f>CONCATENATE("&lt;a href=|http://",AL1191,"/numbers/36.htm","| ","title=|",AL1190,"| target=|_top|&gt;",AL1192,"&lt;/a&gt;")</f>
        <v>&lt;a href=|http://kjv.us/numbers/36.htm| title=|American King James Version| target=|_top|&gt;AKJ&lt;/a&gt;</v>
      </c>
      <c r="AM153" t="str">
        <f t="shared" ref="AM153:AN153" si="611">CONCATENATE("&lt;/li&gt;&lt;li&gt;&lt;a href=|http://",AM1191,"/numbers/36.htm","| ","title=|",AM1190,"| target=|_top|&gt;",AM1192,"&lt;/a&gt;")</f>
        <v>&lt;/li&gt;&lt;li&gt;&lt;a href=|http://basicenglishbible.com/numbers/36.htm| title=|Bible in Basic English| target=|_top|&gt;BBE&lt;/a&gt;</v>
      </c>
      <c r="AN153" t="str">
        <f t="shared" si="611"/>
        <v>&lt;/li&gt;&lt;li&gt;&lt;a href=|http://darbybible.com/numbers/36.htm| title=|Darby Bible Translation| target=|_top|&gt;DBY&lt;/a&gt;</v>
      </c>
      <c r="AO15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5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5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53" t="str">
        <f>CONCATENATE("&lt;/li&gt;&lt;li&gt;&lt;a href=|http://",AR1191,"/numbers/36.htm","| ","title=|",AR1190,"| target=|_top|&gt;",AR1192,"&lt;/a&gt;")</f>
        <v>&lt;/li&gt;&lt;li&gt;&lt;a href=|http://websterbible.com/numbers/36.htm| title=|Webster's Bible Translation| target=|_top|&gt;WBS&lt;/a&gt;</v>
      </c>
      <c r="AS15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53" t="str">
        <f>CONCATENATE("&lt;/li&gt;&lt;li&gt;&lt;a href=|http://",AT1191,"/numbers/36-1.htm","| ","title=|",AT1190,"| target=|_top|&gt;",AT1192,"&lt;/a&gt;")</f>
        <v>&lt;/li&gt;&lt;li&gt;&lt;a href=|http://biblebrowser.com/numbers/36-1.htm| title=|Split View| target=|_top|&gt;Split&lt;/a&gt;</v>
      </c>
      <c r="AU153" s="2" t="s">
        <v>1276</v>
      </c>
      <c r="AV153" t="s">
        <v>64</v>
      </c>
    </row>
    <row r="154" spans="1:48">
      <c r="A154" t="s">
        <v>622</v>
      </c>
      <c r="B154" t="s">
        <v>207</v>
      </c>
      <c r="C154" t="s">
        <v>624</v>
      </c>
      <c r="D154" t="s">
        <v>1268</v>
      </c>
      <c r="E154" t="s">
        <v>1277</v>
      </c>
      <c r="F154" t="s">
        <v>1304</v>
      </c>
      <c r="G154" t="s">
        <v>1266</v>
      </c>
      <c r="H154" t="s">
        <v>1305</v>
      </c>
      <c r="I154" t="s">
        <v>1303</v>
      </c>
      <c r="J154" t="s">
        <v>1267</v>
      </c>
      <c r="K154" t="s">
        <v>1275</v>
      </c>
      <c r="L154" s="2" t="s">
        <v>1274</v>
      </c>
      <c r="M154" t="str">
        <f t="shared" ref="M154:AB154" si="612">CONCATENATE("&lt;/li&gt;&lt;li&gt;&lt;a href=|http://",M1191,"/deuteronomy/1.htm","| ","title=|",M1190,"| target=|_top|&gt;",M1192,"&lt;/a&gt;")</f>
        <v>&lt;/li&gt;&lt;li&gt;&lt;a href=|http://niv.scripturetext.com/deuteronomy/1.htm| title=|New International Version| target=|_top|&gt;NIV&lt;/a&gt;</v>
      </c>
      <c r="N154" t="str">
        <f t="shared" si="612"/>
        <v>&lt;/li&gt;&lt;li&gt;&lt;a href=|http://nlt.scripturetext.com/deuteronomy/1.htm| title=|New Living Translation| target=|_top|&gt;NLT&lt;/a&gt;</v>
      </c>
      <c r="O154" t="str">
        <f t="shared" si="612"/>
        <v>&lt;/li&gt;&lt;li&gt;&lt;a href=|http://nasb.scripturetext.com/deuteronomy/1.htm| title=|New American Standard Bible| target=|_top|&gt;NAS&lt;/a&gt;</v>
      </c>
      <c r="P154" t="str">
        <f t="shared" si="612"/>
        <v>&lt;/li&gt;&lt;li&gt;&lt;a href=|http://gwt.scripturetext.com/deuteronomy/1.htm| title=|God's Word Translation| target=|_top|&gt;GWT&lt;/a&gt;</v>
      </c>
      <c r="Q154" t="str">
        <f t="shared" si="612"/>
        <v>&lt;/li&gt;&lt;li&gt;&lt;a href=|http://kingjbible.com/deuteronomy/1.htm| title=|King James Bible| target=|_top|&gt;KJV&lt;/a&gt;</v>
      </c>
      <c r="R154" t="str">
        <f t="shared" si="612"/>
        <v>&lt;/li&gt;&lt;li&gt;&lt;a href=|http://asvbible.com/deuteronomy/1.htm| title=|American Standard Version| target=|_top|&gt;ASV&lt;/a&gt;</v>
      </c>
      <c r="S154" t="str">
        <f t="shared" si="612"/>
        <v>&lt;/li&gt;&lt;li&gt;&lt;a href=|http://drb.scripturetext.com/deuteronomy/1.htm| title=|Douay-Rheims Bible| target=|_top|&gt;DRB&lt;/a&gt;</v>
      </c>
      <c r="T154" t="str">
        <f t="shared" si="612"/>
        <v>&lt;/li&gt;&lt;li&gt;&lt;a href=|http://erv.scripturetext.com/deuteronomy/1.htm| title=|English Revised Version| target=|_top|&gt;ERV&lt;/a&gt;</v>
      </c>
      <c r="V154" t="str">
        <f>CONCATENATE("&lt;/li&gt;&lt;li&gt;&lt;a href=|http://",V1191,"/deuteronomy/1.htm","| ","title=|",V1190,"| target=|_top|&gt;",V1192,"&lt;/a&gt;")</f>
        <v>&lt;/li&gt;&lt;li&gt;&lt;a href=|http://study.interlinearbible.org/deuteronomy/1.htm| title=|Hebrew Study Bible| target=|_top|&gt;Heb Study&lt;/a&gt;</v>
      </c>
      <c r="W154" t="str">
        <f t="shared" si="612"/>
        <v>&lt;/li&gt;&lt;li&gt;&lt;a href=|http://apostolic.interlinearbible.org/deuteronomy/1.htm| title=|Apostolic Bible Polyglot Interlinear| target=|_top|&gt;Polyglot&lt;/a&gt;</v>
      </c>
      <c r="X154" t="str">
        <f t="shared" si="612"/>
        <v>&lt;/li&gt;&lt;li&gt;&lt;a href=|http://interlinearbible.org/deuteronomy/1.htm| title=|Interlinear Bible| target=|_top|&gt;Interlin&lt;/a&gt;</v>
      </c>
      <c r="Y154" t="str">
        <f t="shared" ref="Y154" si="613">CONCATENATE("&lt;/li&gt;&lt;li&gt;&lt;a href=|http://",Y1191,"/deuteronomy/1.htm","| ","title=|",Y1190,"| target=|_top|&gt;",Y1192,"&lt;/a&gt;")</f>
        <v>&lt;/li&gt;&lt;li&gt;&lt;a href=|http://bibleoutline.org/deuteronomy/1.htm| title=|Outline with People and Places List| target=|_top|&gt;Outline&lt;/a&gt;</v>
      </c>
      <c r="Z154" t="str">
        <f t="shared" si="612"/>
        <v>&lt;/li&gt;&lt;li&gt;&lt;a href=|http://kjvs.scripturetext.com/deuteronomy/1.htm| title=|King James Bible with Strong's Numbers| target=|_top|&gt;Strong's&lt;/a&gt;</v>
      </c>
      <c r="AA154" t="str">
        <f t="shared" si="612"/>
        <v>&lt;/li&gt;&lt;li&gt;&lt;a href=|http://childrensbibleonline.com/deuteronomy/1.htm| title=|The Children's Bible| target=|_top|&gt;Children's&lt;/a&gt;</v>
      </c>
      <c r="AB154" s="2" t="str">
        <f t="shared" si="612"/>
        <v>&lt;/li&gt;&lt;li&gt;&lt;a href=|http://tsk.scripturetext.com/deuteronomy/1.htm| title=|Treasury of Scripture Knowledge| target=|_top|&gt;TSK&lt;/a&gt;</v>
      </c>
      <c r="AC154" t="str">
        <f>CONCATENATE("&lt;a href=|http://",AC1191,"/deuteronomy/1.htm","| ","title=|",AC1190,"| target=|_top|&gt;",AC1192,"&lt;/a&gt;")</f>
        <v>&lt;a href=|http://parallelbible.com/deuteronomy/1.htm| title=|Parallel Chapters| target=|_top|&gt;PAR&lt;/a&gt;</v>
      </c>
      <c r="AD154" s="2" t="str">
        <f t="shared" ref="AD154:AK154" si="614">CONCATENATE("&lt;/li&gt;&lt;li&gt;&lt;a href=|http://",AD1191,"/deuteronomy/1.htm","| ","title=|",AD1190,"| target=|_top|&gt;",AD1192,"&lt;/a&gt;")</f>
        <v>&lt;/li&gt;&lt;li&gt;&lt;a href=|http://gsb.biblecommenter.com/deuteronomy/1.htm| title=|Geneva Study Bible| target=|_top|&gt;GSB&lt;/a&gt;</v>
      </c>
      <c r="AE154" s="2" t="str">
        <f t="shared" si="614"/>
        <v>&lt;/li&gt;&lt;li&gt;&lt;a href=|http://jfb.biblecommenter.com/deuteronomy/1.htm| title=|Jamieson-Fausset-Brown Bible Commentary| target=|_top|&gt;JFB&lt;/a&gt;</v>
      </c>
      <c r="AF154" s="2" t="str">
        <f t="shared" si="614"/>
        <v>&lt;/li&gt;&lt;li&gt;&lt;a href=|http://kjt.biblecommenter.com/deuteronomy/1.htm| title=|King James Translators' Notes| target=|_top|&gt;KJT&lt;/a&gt;</v>
      </c>
      <c r="AG154" s="2" t="str">
        <f t="shared" si="614"/>
        <v>&lt;/li&gt;&lt;li&gt;&lt;a href=|http://mhc.biblecommenter.com/deuteronomy/1.htm| title=|Matthew Henry's Concise Commentary| target=|_top|&gt;MHC&lt;/a&gt;</v>
      </c>
      <c r="AH154" s="2" t="str">
        <f t="shared" si="614"/>
        <v>&lt;/li&gt;&lt;li&gt;&lt;a href=|http://sco.biblecommenter.com/deuteronomy/1.htm| title=|Scofield Reference Notes| target=|_top|&gt;SCO&lt;/a&gt;</v>
      </c>
      <c r="AI154" s="2" t="str">
        <f t="shared" si="614"/>
        <v>&lt;/li&gt;&lt;li&gt;&lt;a href=|http://wes.biblecommenter.com/deuteronomy/1.htm| title=|Wesley's Notes on the Bible| target=|_top|&gt;WES&lt;/a&gt;</v>
      </c>
      <c r="AJ154" t="str">
        <f t="shared" si="614"/>
        <v>&lt;/li&gt;&lt;li&gt;&lt;a href=|http://worldebible.com/deuteronomy/1.htm| title=|World English Bible| target=|_top|&gt;WEB&lt;/a&gt;</v>
      </c>
      <c r="AK154" t="str">
        <f t="shared" si="614"/>
        <v>&lt;/li&gt;&lt;li&gt;&lt;a href=|http://yltbible.com/deuteronomy/1.htm| title=|Young's Literal Translation| target=|_top|&gt;YLT&lt;/a&gt;</v>
      </c>
      <c r="AL154" t="str">
        <f>CONCATENATE("&lt;a href=|http://",AL1191,"/deuteronomy/1.htm","| ","title=|",AL1190,"| target=|_top|&gt;",AL1192,"&lt;/a&gt;")</f>
        <v>&lt;a href=|http://kjv.us/deuteronomy/1.htm| title=|American King James Version| target=|_top|&gt;AKJ&lt;/a&gt;</v>
      </c>
      <c r="AM154" t="str">
        <f t="shared" ref="AM154:AN154" si="615">CONCATENATE("&lt;/li&gt;&lt;li&gt;&lt;a href=|http://",AM1191,"/deuteronomy/1.htm","| ","title=|",AM1190,"| target=|_top|&gt;",AM1192,"&lt;/a&gt;")</f>
        <v>&lt;/li&gt;&lt;li&gt;&lt;a href=|http://basicenglishbible.com/deuteronomy/1.htm| title=|Bible in Basic English| target=|_top|&gt;BBE&lt;/a&gt;</v>
      </c>
      <c r="AN154" t="str">
        <f t="shared" si="615"/>
        <v>&lt;/li&gt;&lt;li&gt;&lt;a href=|http://darbybible.com/deuteronomy/1.htm| title=|Darby Bible Translation| target=|_top|&gt;DBY&lt;/a&gt;</v>
      </c>
      <c r="AO15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5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5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54" t="str">
        <f>CONCATENATE("&lt;/li&gt;&lt;li&gt;&lt;a href=|http://",AR1191,"/deuteronomy/1.htm","| ","title=|",AR1190,"| target=|_top|&gt;",AR1192,"&lt;/a&gt;")</f>
        <v>&lt;/li&gt;&lt;li&gt;&lt;a href=|http://websterbible.com/deuteronomy/1.htm| title=|Webster's Bible Translation| target=|_top|&gt;WBS&lt;/a&gt;</v>
      </c>
      <c r="AS15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54" t="str">
        <f>CONCATENATE("&lt;/li&gt;&lt;li&gt;&lt;a href=|http://",AT1191,"/deuteronomy/1-1.htm","| ","title=|",AT1190,"| target=|_top|&gt;",AT1192,"&lt;/a&gt;")</f>
        <v>&lt;/li&gt;&lt;li&gt;&lt;a href=|http://biblebrowser.com/deuteronomy/1-1.htm| title=|Split View| target=|_top|&gt;Split&lt;/a&gt;</v>
      </c>
      <c r="AU154" s="2" t="s">
        <v>1276</v>
      </c>
      <c r="AV154" t="s">
        <v>64</v>
      </c>
    </row>
    <row r="155" spans="1:48">
      <c r="A155" t="s">
        <v>622</v>
      </c>
      <c r="B155" t="s">
        <v>208</v>
      </c>
      <c r="C155" t="s">
        <v>624</v>
      </c>
      <c r="D155" t="s">
        <v>1268</v>
      </c>
      <c r="E155" t="s">
        <v>1277</v>
      </c>
      <c r="F155" t="s">
        <v>1304</v>
      </c>
      <c r="G155" t="s">
        <v>1266</v>
      </c>
      <c r="H155" t="s">
        <v>1305</v>
      </c>
      <c r="I155" t="s">
        <v>1303</v>
      </c>
      <c r="J155" t="s">
        <v>1267</v>
      </c>
      <c r="K155" t="s">
        <v>1275</v>
      </c>
      <c r="L155" s="2" t="s">
        <v>1274</v>
      </c>
      <c r="M155" t="str">
        <f t="shared" ref="M155:AB155" si="616">CONCATENATE("&lt;/li&gt;&lt;li&gt;&lt;a href=|http://",M1191,"/deuteronomy/2.htm","| ","title=|",M1190,"| target=|_top|&gt;",M1192,"&lt;/a&gt;")</f>
        <v>&lt;/li&gt;&lt;li&gt;&lt;a href=|http://niv.scripturetext.com/deuteronomy/2.htm| title=|New International Version| target=|_top|&gt;NIV&lt;/a&gt;</v>
      </c>
      <c r="N155" t="str">
        <f t="shared" si="616"/>
        <v>&lt;/li&gt;&lt;li&gt;&lt;a href=|http://nlt.scripturetext.com/deuteronomy/2.htm| title=|New Living Translation| target=|_top|&gt;NLT&lt;/a&gt;</v>
      </c>
      <c r="O155" t="str">
        <f t="shared" si="616"/>
        <v>&lt;/li&gt;&lt;li&gt;&lt;a href=|http://nasb.scripturetext.com/deuteronomy/2.htm| title=|New American Standard Bible| target=|_top|&gt;NAS&lt;/a&gt;</v>
      </c>
      <c r="P155" t="str">
        <f t="shared" si="616"/>
        <v>&lt;/li&gt;&lt;li&gt;&lt;a href=|http://gwt.scripturetext.com/deuteronomy/2.htm| title=|God's Word Translation| target=|_top|&gt;GWT&lt;/a&gt;</v>
      </c>
      <c r="Q155" t="str">
        <f t="shared" si="616"/>
        <v>&lt;/li&gt;&lt;li&gt;&lt;a href=|http://kingjbible.com/deuteronomy/2.htm| title=|King James Bible| target=|_top|&gt;KJV&lt;/a&gt;</v>
      </c>
      <c r="R155" t="str">
        <f t="shared" si="616"/>
        <v>&lt;/li&gt;&lt;li&gt;&lt;a href=|http://asvbible.com/deuteronomy/2.htm| title=|American Standard Version| target=|_top|&gt;ASV&lt;/a&gt;</v>
      </c>
      <c r="S155" t="str">
        <f t="shared" si="616"/>
        <v>&lt;/li&gt;&lt;li&gt;&lt;a href=|http://drb.scripturetext.com/deuteronomy/2.htm| title=|Douay-Rheims Bible| target=|_top|&gt;DRB&lt;/a&gt;</v>
      </c>
      <c r="T155" t="str">
        <f t="shared" si="616"/>
        <v>&lt;/li&gt;&lt;li&gt;&lt;a href=|http://erv.scripturetext.com/deuteronomy/2.htm| title=|English Revised Version| target=|_top|&gt;ERV&lt;/a&gt;</v>
      </c>
      <c r="V155" t="str">
        <f>CONCATENATE("&lt;/li&gt;&lt;li&gt;&lt;a href=|http://",V1191,"/deuteronomy/2.htm","| ","title=|",V1190,"| target=|_top|&gt;",V1192,"&lt;/a&gt;")</f>
        <v>&lt;/li&gt;&lt;li&gt;&lt;a href=|http://study.interlinearbible.org/deuteronomy/2.htm| title=|Hebrew Study Bible| target=|_top|&gt;Heb Study&lt;/a&gt;</v>
      </c>
      <c r="W155" t="str">
        <f t="shared" si="616"/>
        <v>&lt;/li&gt;&lt;li&gt;&lt;a href=|http://apostolic.interlinearbible.org/deuteronomy/2.htm| title=|Apostolic Bible Polyglot Interlinear| target=|_top|&gt;Polyglot&lt;/a&gt;</v>
      </c>
      <c r="X155" t="str">
        <f t="shared" si="616"/>
        <v>&lt;/li&gt;&lt;li&gt;&lt;a href=|http://interlinearbible.org/deuteronomy/2.htm| title=|Interlinear Bible| target=|_top|&gt;Interlin&lt;/a&gt;</v>
      </c>
      <c r="Y155" t="str">
        <f t="shared" ref="Y155" si="617">CONCATENATE("&lt;/li&gt;&lt;li&gt;&lt;a href=|http://",Y1191,"/deuteronomy/2.htm","| ","title=|",Y1190,"| target=|_top|&gt;",Y1192,"&lt;/a&gt;")</f>
        <v>&lt;/li&gt;&lt;li&gt;&lt;a href=|http://bibleoutline.org/deuteronomy/2.htm| title=|Outline with People and Places List| target=|_top|&gt;Outline&lt;/a&gt;</v>
      </c>
      <c r="Z155" t="str">
        <f t="shared" si="616"/>
        <v>&lt;/li&gt;&lt;li&gt;&lt;a href=|http://kjvs.scripturetext.com/deuteronomy/2.htm| title=|King James Bible with Strong's Numbers| target=|_top|&gt;Strong's&lt;/a&gt;</v>
      </c>
      <c r="AA155" t="str">
        <f t="shared" si="616"/>
        <v>&lt;/li&gt;&lt;li&gt;&lt;a href=|http://childrensbibleonline.com/deuteronomy/2.htm| title=|The Children's Bible| target=|_top|&gt;Children's&lt;/a&gt;</v>
      </c>
      <c r="AB155" s="2" t="str">
        <f t="shared" si="616"/>
        <v>&lt;/li&gt;&lt;li&gt;&lt;a href=|http://tsk.scripturetext.com/deuteronomy/2.htm| title=|Treasury of Scripture Knowledge| target=|_top|&gt;TSK&lt;/a&gt;</v>
      </c>
      <c r="AC155" t="str">
        <f>CONCATENATE("&lt;a href=|http://",AC1191,"/deuteronomy/2.htm","| ","title=|",AC1190,"| target=|_top|&gt;",AC1192,"&lt;/a&gt;")</f>
        <v>&lt;a href=|http://parallelbible.com/deuteronomy/2.htm| title=|Parallel Chapters| target=|_top|&gt;PAR&lt;/a&gt;</v>
      </c>
      <c r="AD155" s="2" t="str">
        <f t="shared" ref="AD155:AK155" si="618">CONCATENATE("&lt;/li&gt;&lt;li&gt;&lt;a href=|http://",AD1191,"/deuteronomy/2.htm","| ","title=|",AD1190,"| target=|_top|&gt;",AD1192,"&lt;/a&gt;")</f>
        <v>&lt;/li&gt;&lt;li&gt;&lt;a href=|http://gsb.biblecommenter.com/deuteronomy/2.htm| title=|Geneva Study Bible| target=|_top|&gt;GSB&lt;/a&gt;</v>
      </c>
      <c r="AE155" s="2" t="str">
        <f t="shared" si="618"/>
        <v>&lt;/li&gt;&lt;li&gt;&lt;a href=|http://jfb.biblecommenter.com/deuteronomy/2.htm| title=|Jamieson-Fausset-Brown Bible Commentary| target=|_top|&gt;JFB&lt;/a&gt;</v>
      </c>
      <c r="AF155" s="2" t="str">
        <f t="shared" si="618"/>
        <v>&lt;/li&gt;&lt;li&gt;&lt;a href=|http://kjt.biblecommenter.com/deuteronomy/2.htm| title=|King James Translators' Notes| target=|_top|&gt;KJT&lt;/a&gt;</v>
      </c>
      <c r="AG155" s="2" t="str">
        <f t="shared" si="618"/>
        <v>&lt;/li&gt;&lt;li&gt;&lt;a href=|http://mhc.biblecommenter.com/deuteronomy/2.htm| title=|Matthew Henry's Concise Commentary| target=|_top|&gt;MHC&lt;/a&gt;</v>
      </c>
      <c r="AH155" s="2" t="str">
        <f t="shared" si="618"/>
        <v>&lt;/li&gt;&lt;li&gt;&lt;a href=|http://sco.biblecommenter.com/deuteronomy/2.htm| title=|Scofield Reference Notes| target=|_top|&gt;SCO&lt;/a&gt;</v>
      </c>
      <c r="AI155" s="2" t="str">
        <f t="shared" si="618"/>
        <v>&lt;/li&gt;&lt;li&gt;&lt;a href=|http://wes.biblecommenter.com/deuteronomy/2.htm| title=|Wesley's Notes on the Bible| target=|_top|&gt;WES&lt;/a&gt;</v>
      </c>
      <c r="AJ155" t="str">
        <f t="shared" si="618"/>
        <v>&lt;/li&gt;&lt;li&gt;&lt;a href=|http://worldebible.com/deuteronomy/2.htm| title=|World English Bible| target=|_top|&gt;WEB&lt;/a&gt;</v>
      </c>
      <c r="AK155" t="str">
        <f t="shared" si="618"/>
        <v>&lt;/li&gt;&lt;li&gt;&lt;a href=|http://yltbible.com/deuteronomy/2.htm| title=|Young's Literal Translation| target=|_top|&gt;YLT&lt;/a&gt;</v>
      </c>
      <c r="AL155" t="str">
        <f>CONCATENATE("&lt;a href=|http://",AL1191,"/deuteronomy/2.htm","| ","title=|",AL1190,"| target=|_top|&gt;",AL1192,"&lt;/a&gt;")</f>
        <v>&lt;a href=|http://kjv.us/deuteronomy/2.htm| title=|American King James Version| target=|_top|&gt;AKJ&lt;/a&gt;</v>
      </c>
      <c r="AM155" t="str">
        <f t="shared" ref="AM155:AN155" si="619">CONCATENATE("&lt;/li&gt;&lt;li&gt;&lt;a href=|http://",AM1191,"/deuteronomy/2.htm","| ","title=|",AM1190,"| target=|_top|&gt;",AM1192,"&lt;/a&gt;")</f>
        <v>&lt;/li&gt;&lt;li&gt;&lt;a href=|http://basicenglishbible.com/deuteronomy/2.htm| title=|Bible in Basic English| target=|_top|&gt;BBE&lt;/a&gt;</v>
      </c>
      <c r="AN155" t="str">
        <f t="shared" si="619"/>
        <v>&lt;/li&gt;&lt;li&gt;&lt;a href=|http://darbybible.com/deuteronomy/2.htm| title=|Darby Bible Translation| target=|_top|&gt;DBY&lt;/a&gt;</v>
      </c>
      <c r="AO15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5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5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55" t="str">
        <f>CONCATENATE("&lt;/li&gt;&lt;li&gt;&lt;a href=|http://",AR1191,"/deuteronomy/2.htm","| ","title=|",AR1190,"| target=|_top|&gt;",AR1192,"&lt;/a&gt;")</f>
        <v>&lt;/li&gt;&lt;li&gt;&lt;a href=|http://websterbible.com/deuteronomy/2.htm| title=|Webster's Bible Translation| target=|_top|&gt;WBS&lt;/a&gt;</v>
      </c>
      <c r="AS15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55" t="str">
        <f>CONCATENATE("&lt;/li&gt;&lt;li&gt;&lt;a href=|http://",AT1191,"/deuteronomy/2-1.htm","| ","title=|",AT1190,"| target=|_top|&gt;",AT1192,"&lt;/a&gt;")</f>
        <v>&lt;/li&gt;&lt;li&gt;&lt;a href=|http://biblebrowser.com/deuteronomy/2-1.htm| title=|Split View| target=|_top|&gt;Split&lt;/a&gt;</v>
      </c>
      <c r="AU155" s="2" t="s">
        <v>1276</v>
      </c>
      <c r="AV155" t="s">
        <v>64</v>
      </c>
    </row>
    <row r="156" spans="1:48">
      <c r="A156" t="s">
        <v>622</v>
      </c>
      <c r="B156" t="s">
        <v>209</v>
      </c>
      <c r="C156" t="s">
        <v>624</v>
      </c>
      <c r="D156" t="s">
        <v>1268</v>
      </c>
      <c r="E156" t="s">
        <v>1277</v>
      </c>
      <c r="F156" t="s">
        <v>1304</v>
      </c>
      <c r="G156" t="s">
        <v>1266</v>
      </c>
      <c r="H156" t="s">
        <v>1305</v>
      </c>
      <c r="I156" t="s">
        <v>1303</v>
      </c>
      <c r="J156" t="s">
        <v>1267</v>
      </c>
      <c r="K156" t="s">
        <v>1275</v>
      </c>
      <c r="L156" s="2" t="s">
        <v>1274</v>
      </c>
      <c r="M156" t="str">
        <f t="shared" ref="M156:AB156" si="620">CONCATENATE("&lt;/li&gt;&lt;li&gt;&lt;a href=|http://",M1191,"/deuteronomy/3.htm","| ","title=|",M1190,"| target=|_top|&gt;",M1192,"&lt;/a&gt;")</f>
        <v>&lt;/li&gt;&lt;li&gt;&lt;a href=|http://niv.scripturetext.com/deuteronomy/3.htm| title=|New International Version| target=|_top|&gt;NIV&lt;/a&gt;</v>
      </c>
      <c r="N156" t="str">
        <f t="shared" si="620"/>
        <v>&lt;/li&gt;&lt;li&gt;&lt;a href=|http://nlt.scripturetext.com/deuteronomy/3.htm| title=|New Living Translation| target=|_top|&gt;NLT&lt;/a&gt;</v>
      </c>
      <c r="O156" t="str">
        <f t="shared" si="620"/>
        <v>&lt;/li&gt;&lt;li&gt;&lt;a href=|http://nasb.scripturetext.com/deuteronomy/3.htm| title=|New American Standard Bible| target=|_top|&gt;NAS&lt;/a&gt;</v>
      </c>
      <c r="P156" t="str">
        <f t="shared" si="620"/>
        <v>&lt;/li&gt;&lt;li&gt;&lt;a href=|http://gwt.scripturetext.com/deuteronomy/3.htm| title=|God's Word Translation| target=|_top|&gt;GWT&lt;/a&gt;</v>
      </c>
      <c r="Q156" t="str">
        <f t="shared" si="620"/>
        <v>&lt;/li&gt;&lt;li&gt;&lt;a href=|http://kingjbible.com/deuteronomy/3.htm| title=|King James Bible| target=|_top|&gt;KJV&lt;/a&gt;</v>
      </c>
      <c r="R156" t="str">
        <f t="shared" si="620"/>
        <v>&lt;/li&gt;&lt;li&gt;&lt;a href=|http://asvbible.com/deuteronomy/3.htm| title=|American Standard Version| target=|_top|&gt;ASV&lt;/a&gt;</v>
      </c>
      <c r="S156" t="str">
        <f t="shared" si="620"/>
        <v>&lt;/li&gt;&lt;li&gt;&lt;a href=|http://drb.scripturetext.com/deuteronomy/3.htm| title=|Douay-Rheims Bible| target=|_top|&gt;DRB&lt;/a&gt;</v>
      </c>
      <c r="T156" t="str">
        <f t="shared" si="620"/>
        <v>&lt;/li&gt;&lt;li&gt;&lt;a href=|http://erv.scripturetext.com/deuteronomy/3.htm| title=|English Revised Version| target=|_top|&gt;ERV&lt;/a&gt;</v>
      </c>
      <c r="V156" t="str">
        <f>CONCATENATE("&lt;/li&gt;&lt;li&gt;&lt;a href=|http://",V1191,"/deuteronomy/3.htm","| ","title=|",V1190,"| target=|_top|&gt;",V1192,"&lt;/a&gt;")</f>
        <v>&lt;/li&gt;&lt;li&gt;&lt;a href=|http://study.interlinearbible.org/deuteronomy/3.htm| title=|Hebrew Study Bible| target=|_top|&gt;Heb Study&lt;/a&gt;</v>
      </c>
      <c r="W156" t="str">
        <f t="shared" si="620"/>
        <v>&lt;/li&gt;&lt;li&gt;&lt;a href=|http://apostolic.interlinearbible.org/deuteronomy/3.htm| title=|Apostolic Bible Polyglot Interlinear| target=|_top|&gt;Polyglot&lt;/a&gt;</v>
      </c>
      <c r="X156" t="str">
        <f t="shared" si="620"/>
        <v>&lt;/li&gt;&lt;li&gt;&lt;a href=|http://interlinearbible.org/deuteronomy/3.htm| title=|Interlinear Bible| target=|_top|&gt;Interlin&lt;/a&gt;</v>
      </c>
      <c r="Y156" t="str">
        <f t="shared" ref="Y156" si="621">CONCATENATE("&lt;/li&gt;&lt;li&gt;&lt;a href=|http://",Y1191,"/deuteronomy/3.htm","| ","title=|",Y1190,"| target=|_top|&gt;",Y1192,"&lt;/a&gt;")</f>
        <v>&lt;/li&gt;&lt;li&gt;&lt;a href=|http://bibleoutline.org/deuteronomy/3.htm| title=|Outline with People and Places List| target=|_top|&gt;Outline&lt;/a&gt;</v>
      </c>
      <c r="Z156" t="str">
        <f t="shared" si="620"/>
        <v>&lt;/li&gt;&lt;li&gt;&lt;a href=|http://kjvs.scripturetext.com/deuteronomy/3.htm| title=|King James Bible with Strong's Numbers| target=|_top|&gt;Strong's&lt;/a&gt;</v>
      </c>
      <c r="AA156" t="str">
        <f t="shared" si="620"/>
        <v>&lt;/li&gt;&lt;li&gt;&lt;a href=|http://childrensbibleonline.com/deuteronomy/3.htm| title=|The Children's Bible| target=|_top|&gt;Children's&lt;/a&gt;</v>
      </c>
      <c r="AB156" s="2" t="str">
        <f t="shared" si="620"/>
        <v>&lt;/li&gt;&lt;li&gt;&lt;a href=|http://tsk.scripturetext.com/deuteronomy/3.htm| title=|Treasury of Scripture Knowledge| target=|_top|&gt;TSK&lt;/a&gt;</v>
      </c>
      <c r="AC156" t="str">
        <f>CONCATENATE("&lt;a href=|http://",AC1191,"/deuteronomy/3.htm","| ","title=|",AC1190,"| target=|_top|&gt;",AC1192,"&lt;/a&gt;")</f>
        <v>&lt;a href=|http://parallelbible.com/deuteronomy/3.htm| title=|Parallel Chapters| target=|_top|&gt;PAR&lt;/a&gt;</v>
      </c>
      <c r="AD156" s="2" t="str">
        <f t="shared" ref="AD156:AK156" si="622">CONCATENATE("&lt;/li&gt;&lt;li&gt;&lt;a href=|http://",AD1191,"/deuteronomy/3.htm","| ","title=|",AD1190,"| target=|_top|&gt;",AD1192,"&lt;/a&gt;")</f>
        <v>&lt;/li&gt;&lt;li&gt;&lt;a href=|http://gsb.biblecommenter.com/deuteronomy/3.htm| title=|Geneva Study Bible| target=|_top|&gt;GSB&lt;/a&gt;</v>
      </c>
      <c r="AE156" s="2" t="str">
        <f t="shared" si="622"/>
        <v>&lt;/li&gt;&lt;li&gt;&lt;a href=|http://jfb.biblecommenter.com/deuteronomy/3.htm| title=|Jamieson-Fausset-Brown Bible Commentary| target=|_top|&gt;JFB&lt;/a&gt;</v>
      </c>
      <c r="AF156" s="2" t="str">
        <f t="shared" si="622"/>
        <v>&lt;/li&gt;&lt;li&gt;&lt;a href=|http://kjt.biblecommenter.com/deuteronomy/3.htm| title=|King James Translators' Notes| target=|_top|&gt;KJT&lt;/a&gt;</v>
      </c>
      <c r="AG156" s="2" t="str">
        <f t="shared" si="622"/>
        <v>&lt;/li&gt;&lt;li&gt;&lt;a href=|http://mhc.biblecommenter.com/deuteronomy/3.htm| title=|Matthew Henry's Concise Commentary| target=|_top|&gt;MHC&lt;/a&gt;</v>
      </c>
      <c r="AH156" s="2" t="str">
        <f t="shared" si="622"/>
        <v>&lt;/li&gt;&lt;li&gt;&lt;a href=|http://sco.biblecommenter.com/deuteronomy/3.htm| title=|Scofield Reference Notes| target=|_top|&gt;SCO&lt;/a&gt;</v>
      </c>
      <c r="AI156" s="2" t="str">
        <f t="shared" si="622"/>
        <v>&lt;/li&gt;&lt;li&gt;&lt;a href=|http://wes.biblecommenter.com/deuteronomy/3.htm| title=|Wesley's Notes on the Bible| target=|_top|&gt;WES&lt;/a&gt;</v>
      </c>
      <c r="AJ156" t="str">
        <f t="shared" si="622"/>
        <v>&lt;/li&gt;&lt;li&gt;&lt;a href=|http://worldebible.com/deuteronomy/3.htm| title=|World English Bible| target=|_top|&gt;WEB&lt;/a&gt;</v>
      </c>
      <c r="AK156" t="str">
        <f t="shared" si="622"/>
        <v>&lt;/li&gt;&lt;li&gt;&lt;a href=|http://yltbible.com/deuteronomy/3.htm| title=|Young's Literal Translation| target=|_top|&gt;YLT&lt;/a&gt;</v>
      </c>
      <c r="AL156" t="str">
        <f>CONCATENATE("&lt;a href=|http://",AL1191,"/deuteronomy/3.htm","| ","title=|",AL1190,"| target=|_top|&gt;",AL1192,"&lt;/a&gt;")</f>
        <v>&lt;a href=|http://kjv.us/deuteronomy/3.htm| title=|American King James Version| target=|_top|&gt;AKJ&lt;/a&gt;</v>
      </c>
      <c r="AM156" t="str">
        <f t="shared" ref="AM156:AN156" si="623">CONCATENATE("&lt;/li&gt;&lt;li&gt;&lt;a href=|http://",AM1191,"/deuteronomy/3.htm","| ","title=|",AM1190,"| target=|_top|&gt;",AM1192,"&lt;/a&gt;")</f>
        <v>&lt;/li&gt;&lt;li&gt;&lt;a href=|http://basicenglishbible.com/deuteronomy/3.htm| title=|Bible in Basic English| target=|_top|&gt;BBE&lt;/a&gt;</v>
      </c>
      <c r="AN156" t="str">
        <f t="shared" si="623"/>
        <v>&lt;/li&gt;&lt;li&gt;&lt;a href=|http://darbybible.com/deuteronomy/3.htm| title=|Darby Bible Translation| target=|_top|&gt;DBY&lt;/a&gt;</v>
      </c>
      <c r="AO15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5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5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56" t="str">
        <f>CONCATENATE("&lt;/li&gt;&lt;li&gt;&lt;a href=|http://",AR1191,"/deuteronomy/3.htm","| ","title=|",AR1190,"| target=|_top|&gt;",AR1192,"&lt;/a&gt;")</f>
        <v>&lt;/li&gt;&lt;li&gt;&lt;a href=|http://websterbible.com/deuteronomy/3.htm| title=|Webster's Bible Translation| target=|_top|&gt;WBS&lt;/a&gt;</v>
      </c>
      <c r="AS15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56" t="str">
        <f>CONCATENATE("&lt;/li&gt;&lt;li&gt;&lt;a href=|http://",AT1191,"/deuteronomy/3-1.htm","| ","title=|",AT1190,"| target=|_top|&gt;",AT1192,"&lt;/a&gt;")</f>
        <v>&lt;/li&gt;&lt;li&gt;&lt;a href=|http://biblebrowser.com/deuteronomy/3-1.htm| title=|Split View| target=|_top|&gt;Split&lt;/a&gt;</v>
      </c>
      <c r="AU156" s="2" t="s">
        <v>1276</v>
      </c>
      <c r="AV156" t="s">
        <v>64</v>
      </c>
    </row>
    <row r="157" spans="1:48">
      <c r="A157" t="s">
        <v>622</v>
      </c>
      <c r="B157" t="s">
        <v>210</v>
      </c>
      <c r="C157" t="s">
        <v>624</v>
      </c>
      <c r="D157" t="s">
        <v>1268</v>
      </c>
      <c r="E157" t="s">
        <v>1277</v>
      </c>
      <c r="F157" t="s">
        <v>1304</v>
      </c>
      <c r="G157" t="s">
        <v>1266</v>
      </c>
      <c r="H157" t="s">
        <v>1305</v>
      </c>
      <c r="I157" t="s">
        <v>1303</v>
      </c>
      <c r="J157" t="s">
        <v>1267</v>
      </c>
      <c r="K157" t="s">
        <v>1275</v>
      </c>
      <c r="L157" s="2" t="s">
        <v>1274</v>
      </c>
      <c r="M157" t="str">
        <f t="shared" ref="M157:AB157" si="624">CONCATENATE("&lt;/li&gt;&lt;li&gt;&lt;a href=|http://",M1191,"/deuteronomy/4.htm","| ","title=|",M1190,"| target=|_top|&gt;",M1192,"&lt;/a&gt;")</f>
        <v>&lt;/li&gt;&lt;li&gt;&lt;a href=|http://niv.scripturetext.com/deuteronomy/4.htm| title=|New International Version| target=|_top|&gt;NIV&lt;/a&gt;</v>
      </c>
      <c r="N157" t="str">
        <f t="shared" si="624"/>
        <v>&lt;/li&gt;&lt;li&gt;&lt;a href=|http://nlt.scripturetext.com/deuteronomy/4.htm| title=|New Living Translation| target=|_top|&gt;NLT&lt;/a&gt;</v>
      </c>
      <c r="O157" t="str">
        <f t="shared" si="624"/>
        <v>&lt;/li&gt;&lt;li&gt;&lt;a href=|http://nasb.scripturetext.com/deuteronomy/4.htm| title=|New American Standard Bible| target=|_top|&gt;NAS&lt;/a&gt;</v>
      </c>
      <c r="P157" t="str">
        <f t="shared" si="624"/>
        <v>&lt;/li&gt;&lt;li&gt;&lt;a href=|http://gwt.scripturetext.com/deuteronomy/4.htm| title=|God's Word Translation| target=|_top|&gt;GWT&lt;/a&gt;</v>
      </c>
      <c r="Q157" t="str">
        <f t="shared" si="624"/>
        <v>&lt;/li&gt;&lt;li&gt;&lt;a href=|http://kingjbible.com/deuteronomy/4.htm| title=|King James Bible| target=|_top|&gt;KJV&lt;/a&gt;</v>
      </c>
      <c r="R157" t="str">
        <f t="shared" si="624"/>
        <v>&lt;/li&gt;&lt;li&gt;&lt;a href=|http://asvbible.com/deuteronomy/4.htm| title=|American Standard Version| target=|_top|&gt;ASV&lt;/a&gt;</v>
      </c>
      <c r="S157" t="str">
        <f t="shared" si="624"/>
        <v>&lt;/li&gt;&lt;li&gt;&lt;a href=|http://drb.scripturetext.com/deuteronomy/4.htm| title=|Douay-Rheims Bible| target=|_top|&gt;DRB&lt;/a&gt;</v>
      </c>
      <c r="T157" t="str">
        <f t="shared" si="624"/>
        <v>&lt;/li&gt;&lt;li&gt;&lt;a href=|http://erv.scripturetext.com/deuteronomy/4.htm| title=|English Revised Version| target=|_top|&gt;ERV&lt;/a&gt;</v>
      </c>
      <c r="V157" t="str">
        <f>CONCATENATE("&lt;/li&gt;&lt;li&gt;&lt;a href=|http://",V1191,"/deuteronomy/4.htm","| ","title=|",V1190,"| target=|_top|&gt;",V1192,"&lt;/a&gt;")</f>
        <v>&lt;/li&gt;&lt;li&gt;&lt;a href=|http://study.interlinearbible.org/deuteronomy/4.htm| title=|Hebrew Study Bible| target=|_top|&gt;Heb Study&lt;/a&gt;</v>
      </c>
      <c r="W157" t="str">
        <f t="shared" si="624"/>
        <v>&lt;/li&gt;&lt;li&gt;&lt;a href=|http://apostolic.interlinearbible.org/deuteronomy/4.htm| title=|Apostolic Bible Polyglot Interlinear| target=|_top|&gt;Polyglot&lt;/a&gt;</v>
      </c>
      <c r="X157" t="str">
        <f t="shared" si="624"/>
        <v>&lt;/li&gt;&lt;li&gt;&lt;a href=|http://interlinearbible.org/deuteronomy/4.htm| title=|Interlinear Bible| target=|_top|&gt;Interlin&lt;/a&gt;</v>
      </c>
      <c r="Y157" t="str">
        <f t="shared" ref="Y157" si="625">CONCATENATE("&lt;/li&gt;&lt;li&gt;&lt;a href=|http://",Y1191,"/deuteronomy/4.htm","| ","title=|",Y1190,"| target=|_top|&gt;",Y1192,"&lt;/a&gt;")</f>
        <v>&lt;/li&gt;&lt;li&gt;&lt;a href=|http://bibleoutline.org/deuteronomy/4.htm| title=|Outline with People and Places List| target=|_top|&gt;Outline&lt;/a&gt;</v>
      </c>
      <c r="Z157" t="str">
        <f t="shared" si="624"/>
        <v>&lt;/li&gt;&lt;li&gt;&lt;a href=|http://kjvs.scripturetext.com/deuteronomy/4.htm| title=|King James Bible with Strong's Numbers| target=|_top|&gt;Strong's&lt;/a&gt;</v>
      </c>
      <c r="AA157" t="str">
        <f t="shared" si="624"/>
        <v>&lt;/li&gt;&lt;li&gt;&lt;a href=|http://childrensbibleonline.com/deuteronomy/4.htm| title=|The Children's Bible| target=|_top|&gt;Children's&lt;/a&gt;</v>
      </c>
      <c r="AB157" s="2" t="str">
        <f t="shared" si="624"/>
        <v>&lt;/li&gt;&lt;li&gt;&lt;a href=|http://tsk.scripturetext.com/deuteronomy/4.htm| title=|Treasury of Scripture Knowledge| target=|_top|&gt;TSK&lt;/a&gt;</v>
      </c>
      <c r="AC157" t="str">
        <f>CONCATENATE("&lt;a href=|http://",AC1191,"/deuteronomy/4.htm","| ","title=|",AC1190,"| target=|_top|&gt;",AC1192,"&lt;/a&gt;")</f>
        <v>&lt;a href=|http://parallelbible.com/deuteronomy/4.htm| title=|Parallel Chapters| target=|_top|&gt;PAR&lt;/a&gt;</v>
      </c>
      <c r="AD157" s="2" t="str">
        <f t="shared" ref="AD157:AK157" si="626">CONCATENATE("&lt;/li&gt;&lt;li&gt;&lt;a href=|http://",AD1191,"/deuteronomy/4.htm","| ","title=|",AD1190,"| target=|_top|&gt;",AD1192,"&lt;/a&gt;")</f>
        <v>&lt;/li&gt;&lt;li&gt;&lt;a href=|http://gsb.biblecommenter.com/deuteronomy/4.htm| title=|Geneva Study Bible| target=|_top|&gt;GSB&lt;/a&gt;</v>
      </c>
      <c r="AE157" s="2" t="str">
        <f t="shared" si="626"/>
        <v>&lt;/li&gt;&lt;li&gt;&lt;a href=|http://jfb.biblecommenter.com/deuteronomy/4.htm| title=|Jamieson-Fausset-Brown Bible Commentary| target=|_top|&gt;JFB&lt;/a&gt;</v>
      </c>
      <c r="AF157" s="2" t="str">
        <f t="shared" si="626"/>
        <v>&lt;/li&gt;&lt;li&gt;&lt;a href=|http://kjt.biblecommenter.com/deuteronomy/4.htm| title=|King James Translators' Notes| target=|_top|&gt;KJT&lt;/a&gt;</v>
      </c>
      <c r="AG157" s="2" t="str">
        <f t="shared" si="626"/>
        <v>&lt;/li&gt;&lt;li&gt;&lt;a href=|http://mhc.biblecommenter.com/deuteronomy/4.htm| title=|Matthew Henry's Concise Commentary| target=|_top|&gt;MHC&lt;/a&gt;</v>
      </c>
      <c r="AH157" s="2" t="str">
        <f t="shared" si="626"/>
        <v>&lt;/li&gt;&lt;li&gt;&lt;a href=|http://sco.biblecommenter.com/deuteronomy/4.htm| title=|Scofield Reference Notes| target=|_top|&gt;SCO&lt;/a&gt;</v>
      </c>
      <c r="AI157" s="2" t="str">
        <f t="shared" si="626"/>
        <v>&lt;/li&gt;&lt;li&gt;&lt;a href=|http://wes.biblecommenter.com/deuteronomy/4.htm| title=|Wesley's Notes on the Bible| target=|_top|&gt;WES&lt;/a&gt;</v>
      </c>
      <c r="AJ157" t="str">
        <f t="shared" si="626"/>
        <v>&lt;/li&gt;&lt;li&gt;&lt;a href=|http://worldebible.com/deuteronomy/4.htm| title=|World English Bible| target=|_top|&gt;WEB&lt;/a&gt;</v>
      </c>
      <c r="AK157" t="str">
        <f t="shared" si="626"/>
        <v>&lt;/li&gt;&lt;li&gt;&lt;a href=|http://yltbible.com/deuteronomy/4.htm| title=|Young's Literal Translation| target=|_top|&gt;YLT&lt;/a&gt;</v>
      </c>
      <c r="AL157" t="str">
        <f>CONCATENATE("&lt;a href=|http://",AL1191,"/deuteronomy/4.htm","| ","title=|",AL1190,"| target=|_top|&gt;",AL1192,"&lt;/a&gt;")</f>
        <v>&lt;a href=|http://kjv.us/deuteronomy/4.htm| title=|American King James Version| target=|_top|&gt;AKJ&lt;/a&gt;</v>
      </c>
      <c r="AM157" t="str">
        <f t="shared" ref="AM157:AN157" si="627">CONCATENATE("&lt;/li&gt;&lt;li&gt;&lt;a href=|http://",AM1191,"/deuteronomy/4.htm","| ","title=|",AM1190,"| target=|_top|&gt;",AM1192,"&lt;/a&gt;")</f>
        <v>&lt;/li&gt;&lt;li&gt;&lt;a href=|http://basicenglishbible.com/deuteronomy/4.htm| title=|Bible in Basic English| target=|_top|&gt;BBE&lt;/a&gt;</v>
      </c>
      <c r="AN157" t="str">
        <f t="shared" si="627"/>
        <v>&lt;/li&gt;&lt;li&gt;&lt;a href=|http://darbybible.com/deuteronomy/4.htm| title=|Darby Bible Translation| target=|_top|&gt;DBY&lt;/a&gt;</v>
      </c>
      <c r="AO15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5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5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57" t="str">
        <f>CONCATENATE("&lt;/li&gt;&lt;li&gt;&lt;a href=|http://",AR1191,"/deuteronomy/4.htm","| ","title=|",AR1190,"| target=|_top|&gt;",AR1192,"&lt;/a&gt;")</f>
        <v>&lt;/li&gt;&lt;li&gt;&lt;a href=|http://websterbible.com/deuteronomy/4.htm| title=|Webster's Bible Translation| target=|_top|&gt;WBS&lt;/a&gt;</v>
      </c>
      <c r="AS15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57" t="str">
        <f>CONCATENATE("&lt;/li&gt;&lt;li&gt;&lt;a href=|http://",AT1191,"/deuteronomy/4-1.htm","| ","title=|",AT1190,"| target=|_top|&gt;",AT1192,"&lt;/a&gt;")</f>
        <v>&lt;/li&gt;&lt;li&gt;&lt;a href=|http://biblebrowser.com/deuteronomy/4-1.htm| title=|Split View| target=|_top|&gt;Split&lt;/a&gt;</v>
      </c>
      <c r="AU157" s="2" t="s">
        <v>1276</v>
      </c>
      <c r="AV157" t="s">
        <v>64</v>
      </c>
    </row>
    <row r="158" spans="1:48">
      <c r="A158" t="s">
        <v>622</v>
      </c>
      <c r="B158" t="s">
        <v>211</v>
      </c>
      <c r="C158" t="s">
        <v>624</v>
      </c>
      <c r="D158" t="s">
        <v>1268</v>
      </c>
      <c r="E158" t="s">
        <v>1277</v>
      </c>
      <c r="F158" t="s">
        <v>1304</v>
      </c>
      <c r="G158" t="s">
        <v>1266</v>
      </c>
      <c r="H158" t="s">
        <v>1305</v>
      </c>
      <c r="I158" t="s">
        <v>1303</v>
      </c>
      <c r="J158" t="s">
        <v>1267</v>
      </c>
      <c r="K158" t="s">
        <v>1275</v>
      </c>
      <c r="L158" s="2" t="s">
        <v>1274</v>
      </c>
      <c r="M158" t="str">
        <f t="shared" ref="M158:AB158" si="628">CONCATENATE("&lt;/li&gt;&lt;li&gt;&lt;a href=|http://",M1191,"/deuteronomy/5.htm","| ","title=|",M1190,"| target=|_top|&gt;",M1192,"&lt;/a&gt;")</f>
        <v>&lt;/li&gt;&lt;li&gt;&lt;a href=|http://niv.scripturetext.com/deuteronomy/5.htm| title=|New International Version| target=|_top|&gt;NIV&lt;/a&gt;</v>
      </c>
      <c r="N158" t="str">
        <f t="shared" si="628"/>
        <v>&lt;/li&gt;&lt;li&gt;&lt;a href=|http://nlt.scripturetext.com/deuteronomy/5.htm| title=|New Living Translation| target=|_top|&gt;NLT&lt;/a&gt;</v>
      </c>
      <c r="O158" t="str">
        <f t="shared" si="628"/>
        <v>&lt;/li&gt;&lt;li&gt;&lt;a href=|http://nasb.scripturetext.com/deuteronomy/5.htm| title=|New American Standard Bible| target=|_top|&gt;NAS&lt;/a&gt;</v>
      </c>
      <c r="P158" t="str">
        <f t="shared" si="628"/>
        <v>&lt;/li&gt;&lt;li&gt;&lt;a href=|http://gwt.scripturetext.com/deuteronomy/5.htm| title=|God's Word Translation| target=|_top|&gt;GWT&lt;/a&gt;</v>
      </c>
      <c r="Q158" t="str">
        <f t="shared" si="628"/>
        <v>&lt;/li&gt;&lt;li&gt;&lt;a href=|http://kingjbible.com/deuteronomy/5.htm| title=|King James Bible| target=|_top|&gt;KJV&lt;/a&gt;</v>
      </c>
      <c r="R158" t="str">
        <f t="shared" si="628"/>
        <v>&lt;/li&gt;&lt;li&gt;&lt;a href=|http://asvbible.com/deuteronomy/5.htm| title=|American Standard Version| target=|_top|&gt;ASV&lt;/a&gt;</v>
      </c>
      <c r="S158" t="str">
        <f t="shared" si="628"/>
        <v>&lt;/li&gt;&lt;li&gt;&lt;a href=|http://drb.scripturetext.com/deuteronomy/5.htm| title=|Douay-Rheims Bible| target=|_top|&gt;DRB&lt;/a&gt;</v>
      </c>
      <c r="T158" t="str">
        <f t="shared" si="628"/>
        <v>&lt;/li&gt;&lt;li&gt;&lt;a href=|http://erv.scripturetext.com/deuteronomy/5.htm| title=|English Revised Version| target=|_top|&gt;ERV&lt;/a&gt;</v>
      </c>
      <c r="V158" t="str">
        <f>CONCATENATE("&lt;/li&gt;&lt;li&gt;&lt;a href=|http://",V1191,"/deuteronomy/5.htm","| ","title=|",V1190,"| target=|_top|&gt;",V1192,"&lt;/a&gt;")</f>
        <v>&lt;/li&gt;&lt;li&gt;&lt;a href=|http://study.interlinearbible.org/deuteronomy/5.htm| title=|Hebrew Study Bible| target=|_top|&gt;Heb Study&lt;/a&gt;</v>
      </c>
      <c r="W158" t="str">
        <f t="shared" si="628"/>
        <v>&lt;/li&gt;&lt;li&gt;&lt;a href=|http://apostolic.interlinearbible.org/deuteronomy/5.htm| title=|Apostolic Bible Polyglot Interlinear| target=|_top|&gt;Polyglot&lt;/a&gt;</v>
      </c>
      <c r="X158" t="str">
        <f t="shared" si="628"/>
        <v>&lt;/li&gt;&lt;li&gt;&lt;a href=|http://interlinearbible.org/deuteronomy/5.htm| title=|Interlinear Bible| target=|_top|&gt;Interlin&lt;/a&gt;</v>
      </c>
      <c r="Y158" t="str">
        <f t="shared" ref="Y158" si="629">CONCATENATE("&lt;/li&gt;&lt;li&gt;&lt;a href=|http://",Y1191,"/deuteronomy/5.htm","| ","title=|",Y1190,"| target=|_top|&gt;",Y1192,"&lt;/a&gt;")</f>
        <v>&lt;/li&gt;&lt;li&gt;&lt;a href=|http://bibleoutline.org/deuteronomy/5.htm| title=|Outline with People and Places List| target=|_top|&gt;Outline&lt;/a&gt;</v>
      </c>
      <c r="Z158" t="str">
        <f t="shared" si="628"/>
        <v>&lt;/li&gt;&lt;li&gt;&lt;a href=|http://kjvs.scripturetext.com/deuteronomy/5.htm| title=|King James Bible with Strong's Numbers| target=|_top|&gt;Strong's&lt;/a&gt;</v>
      </c>
      <c r="AA158" t="str">
        <f t="shared" si="628"/>
        <v>&lt;/li&gt;&lt;li&gt;&lt;a href=|http://childrensbibleonline.com/deuteronomy/5.htm| title=|The Children's Bible| target=|_top|&gt;Children's&lt;/a&gt;</v>
      </c>
      <c r="AB158" s="2" t="str">
        <f t="shared" si="628"/>
        <v>&lt;/li&gt;&lt;li&gt;&lt;a href=|http://tsk.scripturetext.com/deuteronomy/5.htm| title=|Treasury of Scripture Knowledge| target=|_top|&gt;TSK&lt;/a&gt;</v>
      </c>
      <c r="AC158" t="str">
        <f>CONCATENATE("&lt;a href=|http://",AC1191,"/deuteronomy/5.htm","| ","title=|",AC1190,"| target=|_top|&gt;",AC1192,"&lt;/a&gt;")</f>
        <v>&lt;a href=|http://parallelbible.com/deuteronomy/5.htm| title=|Parallel Chapters| target=|_top|&gt;PAR&lt;/a&gt;</v>
      </c>
      <c r="AD158" s="2" t="str">
        <f t="shared" ref="AD158:AK158" si="630">CONCATENATE("&lt;/li&gt;&lt;li&gt;&lt;a href=|http://",AD1191,"/deuteronomy/5.htm","| ","title=|",AD1190,"| target=|_top|&gt;",AD1192,"&lt;/a&gt;")</f>
        <v>&lt;/li&gt;&lt;li&gt;&lt;a href=|http://gsb.biblecommenter.com/deuteronomy/5.htm| title=|Geneva Study Bible| target=|_top|&gt;GSB&lt;/a&gt;</v>
      </c>
      <c r="AE158" s="2" t="str">
        <f t="shared" si="630"/>
        <v>&lt;/li&gt;&lt;li&gt;&lt;a href=|http://jfb.biblecommenter.com/deuteronomy/5.htm| title=|Jamieson-Fausset-Brown Bible Commentary| target=|_top|&gt;JFB&lt;/a&gt;</v>
      </c>
      <c r="AF158" s="2" t="str">
        <f t="shared" si="630"/>
        <v>&lt;/li&gt;&lt;li&gt;&lt;a href=|http://kjt.biblecommenter.com/deuteronomy/5.htm| title=|King James Translators' Notes| target=|_top|&gt;KJT&lt;/a&gt;</v>
      </c>
      <c r="AG158" s="2" t="str">
        <f t="shared" si="630"/>
        <v>&lt;/li&gt;&lt;li&gt;&lt;a href=|http://mhc.biblecommenter.com/deuteronomy/5.htm| title=|Matthew Henry's Concise Commentary| target=|_top|&gt;MHC&lt;/a&gt;</v>
      </c>
      <c r="AH158" s="2" t="str">
        <f t="shared" si="630"/>
        <v>&lt;/li&gt;&lt;li&gt;&lt;a href=|http://sco.biblecommenter.com/deuteronomy/5.htm| title=|Scofield Reference Notes| target=|_top|&gt;SCO&lt;/a&gt;</v>
      </c>
      <c r="AI158" s="2" t="str">
        <f t="shared" si="630"/>
        <v>&lt;/li&gt;&lt;li&gt;&lt;a href=|http://wes.biblecommenter.com/deuteronomy/5.htm| title=|Wesley's Notes on the Bible| target=|_top|&gt;WES&lt;/a&gt;</v>
      </c>
      <c r="AJ158" t="str">
        <f t="shared" si="630"/>
        <v>&lt;/li&gt;&lt;li&gt;&lt;a href=|http://worldebible.com/deuteronomy/5.htm| title=|World English Bible| target=|_top|&gt;WEB&lt;/a&gt;</v>
      </c>
      <c r="AK158" t="str">
        <f t="shared" si="630"/>
        <v>&lt;/li&gt;&lt;li&gt;&lt;a href=|http://yltbible.com/deuteronomy/5.htm| title=|Young's Literal Translation| target=|_top|&gt;YLT&lt;/a&gt;</v>
      </c>
      <c r="AL158" t="str">
        <f>CONCATENATE("&lt;a href=|http://",AL1191,"/deuteronomy/5.htm","| ","title=|",AL1190,"| target=|_top|&gt;",AL1192,"&lt;/a&gt;")</f>
        <v>&lt;a href=|http://kjv.us/deuteronomy/5.htm| title=|American King James Version| target=|_top|&gt;AKJ&lt;/a&gt;</v>
      </c>
      <c r="AM158" t="str">
        <f t="shared" ref="AM158:AN158" si="631">CONCATENATE("&lt;/li&gt;&lt;li&gt;&lt;a href=|http://",AM1191,"/deuteronomy/5.htm","| ","title=|",AM1190,"| target=|_top|&gt;",AM1192,"&lt;/a&gt;")</f>
        <v>&lt;/li&gt;&lt;li&gt;&lt;a href=|http://basicenglishbible.com/deuteronomy/5.htm| title=|Bible in Basic English| target=|_top|&gt;BBE&lt;/a&gt;</v>
      </c>
      <c r="AN158" t="str">
        <f t="shared" si="631"/>
        <v>&lt;/li&gt;&lt;li&gt;&lt;a href=|http://darbybible.com/deuteronomy/5.htm| title=|Darby Bible Translation| target=|_top|&gt;DBY&lt;/a&gt;</v>
      </c>
      <c r="AO15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5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5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58" t="str">
        <f>CONCATENATE("&lt;/li&gt;&lt;li&gt;&lt;a href=|http://",AR1191,"/deuteronomy/5.htm","| ","title=|",AR1190,"| target=|_top|&gt;",AR1192,"&lt;/a&gt;")</f>
        <v>&lt;/li&gt;&lt;li&gt;&lt;a href=|http://websterbible.com/deuteronomy/5.htm| title=|Webster's Bible Translation| target=|_top|&gt;WBS&lt;/a&gt;</v>
      </c>
      <c r="AS15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58" t="str">
        <f>CONCATENATE("&lt;/li&gt;&lt;li&gt;&lt;a href=|http://",AT1191,"/deuteronomy/5-1.htm","| ","title=|",AT1190,"| target=|_top|&gt;",AT1192,"&lt;/a&gt;")</f>
        <v>&lt;/li&gt;&lt;li&gt;&lt;a href=|http://biblebrowser.com/deuteronomy/5-1.htm| title=|Split View| target=|_top|&gt;Split&lt;/a&gt;</v>
      </c>
      <c r="AU158" s="2" t="s">
        <v>1276</v>
      </c>
      <c r="AV158" t="s">
        <v>64</v>
      </c>
    </row>
    <row r="159" spans="1:48">
      <c r="A159" t="s">
        <v>622</v>
      </c>
      <c r="B159" t="s">
        <v>212</v>
      </c>
      <c r="C159" t="s">
        <v>624</v>
      </c>
      <c r="D159" t="s">
        <v>1268</v>
      </c>
      <c r="E159" t="s">
        <v>1277</v>
      </c>
      <c r="F159" t="s">
        <v>1304</v>
      </c>
      <c r="G159" t="s">
        <v>1266</v>
      </c>
      <c r="H159" t="s">
        <v>1305</v>
      </c>
      <c r="I159" t="s">
        <v>1303</v>
      </c>
      <c r="J159" t="s">
        <v>1267</v>
      </c>
      <c r="K159" t="s">
        <v>1275</v>
      </c>
      <c r="L159" s="2" t="s">
        <v>1274</v>
      </c>
      <c r="M159" t="str">
        <f t="shared" ref="M159:AB159" si="632">CONCATENATE("&lt;/li&gt;&lt;li&gt;&lt;a href=|http://",M1191,"/deuteronomy/6.htm","| ","title=|",M1190,"| target=|_top|&gt;",M1192,"&lt;/a&gt;")</f>
        <v>&lt;/li&gt;&lt;li&gt;&lt;a href=|http://niv.scripturetext.com/deuteronomy/6.htm| title=|New International Version| target=|_top|&gt;NIV&lt;/a&gt;</v>
      </c>
      <c r="N159" t="str">
        <f t="shared" si="632"/>
        <v>&lt;/li&gt;&lt;li&gt;&lt;a href=|http://nlt.scripturetext.com/deuteronomy/6.htm| title=|New Living Translation| target=|_top|&gt;NLT&lt;/a&gt;</v>
      </c>
      <c r="O159" t="str">
        <f t="shared" si="632"/>
        <v>&lt;/li&gt;&lt;li&gt;&lt;a href=|http://nasb.scripturetext.com/deuteronomy/6.htm| title=|New American Standard Bible| target=|_top|&gt;NAS&lt;/a&gt;</v>
      </c>
      <c r="P159" t="str">
        <f t="shared" si="632"/>
        <v>&lt;/li&gt;&lt;li&gt;&lt;a href=|http://gwt.scripturetext.com/deuteronomy/6.htm| title=|God's Word Translation| target=|_top|&gt;GWT&lt;/a&gt;</v>
      </c>
      <c r="Q159" t="str">
        <f t="shared" si="632"/>
        <v>&lt;/li&gt;&lt;li&gt;&lt;a href=|http://kingjbible.com/deuteronomy/6.htm| title=|King James Bible| target=|_top|&gt;KJV&lt;/a&gt;</v>
      </c>
      <c r="R159" t="str">
        <f t="shared" si="632"/>
        <v>&lt;/li&gt;&lt;li&gt;&lt;a href=|http://asvbible.com/deuteronomy/6.htm| title=|American Standard Version| target=|_top|&gt;ASV&lt;/a&gt;</v>
      </c>
      <c r="S159" t="str">
        <f t="shared" si="632"/>
        <v>&lt;/li&gt;&lt;li&gt;&lt;a href=|http://drb.scripturetext.com/deuteronomy/6.htm| title=|Douay-Rheims Bible| target=|_top|&gt;DRB&lt;/a&gt;</v>
      </c>
      <c r="T159" t="str">
        <f t="shared" si="632"/>
        <v>&lt;/li&gt;&lt;li&gt;&lt;a href=|http://erv.scripturetext.com/deuteronomy/6.htm| title=|English Revised Version| target=|_top|&gt;ERV&lt;/a&gt;</v>
      </c>
      <c r="V159" t="str">
        <f>CONCATENATE("&lt;/li&gt;&lt;li&gt;&lt;a href=|http://",V1191,"/deuteronomy/6.htm","| ","title=|",V1190,"| target=|_top|&gt;",V1192,"&lt;/a&gt;")</f>
        <v>&lt;/li&gt;&lt;li&gt;&lt;a href=|http://study.interlinearbible.org/deuteronomy/6.htm| title=|Hebrew Study Bible| target=|_top|&gt;Heb Study&lt;/a&gt;</v>
      </c>
      <c r="W159" t="str">
        <f t="shared" si="632"/>
        <v>&lt;/li&gt;&lt;li&gt;&lt;a href=|http://apostolic.interlinearbible.org/deuteronomy/6.htm| title=|Apostolic Bible Polyglot Interlinear| target=|_top|&gt;Polyglot&lt;/a&gt;</v>
      </c>
      <c r="X159" t="str">
        <f t="shared" si="632"/>
        <v>&lt;/li&gt;&lt;li&gt;&lt;a href=|http://interlinearbible.org/deuteronomy/6.htm| title=|Interlinear Bible| target=|_top|&gt;Interlin&lt;/a&gt;</v>
      </c>
      <c r="Y159" t="str">
        <f t="shared" ref="Y159" si="633">CONCATENATE("&lt;/li&gt;&lt;li&gt;&lt;a href=|http://",Y1191,"/deuteronomy/6.htm","| ","title=|",Y1190,"| target=|_top|&gt;",Y1192,"&lt;/a&gt;")</f>
        <v>&lt;/li&gt;&lt;li&gt;&lt;a href=|http://bibleoutline.org/deuteronomy/6.htm| title=|Outline with People and Places List| target=|_top|&gt;Outline&lt;/a&gt;</v>
      </c>
      <c r="Z159" t="str">
        <f t="shared" si="632"/>
        <v>&lt;/li&gt;&lt;li&gt;&lt;a href=|http://kjvs.scripturetext.com/deuteronomy/6.htm| title=|King James Bible with Strong's Numbers| target=|_top|&gt;Strong's&lt;/a&gt;</v>
      </c>
      <c r="AA159" t="str">
        <f t="shared" si="632"/>
        <v>&lt;/li&gt;&lt;li&gt;&lt;a href=|http://childrensbibleonline.com/deuteronomy/6.htm| title=|The Children's Bible| target=|_top|&gt;Children's&lt;/a&gt;</v>
      </c>
      <c r="AB159" s="2" t="str">
        <f t="shared" si="632"/>
        <v>&lt;/li&gt;&lt;li&gt;&lt;a href=|http://tsk.scripturetext.com/deuteronomy/6.htm| title=|Treasury of Scripture Knowledge| target=|_top|&gt;TSK&lt;/a&gt;</v>
      </c>
      <c r="AC159" t="str">
        <f>CONCATENATE("&lt;a href=|http://",AC1191,"/deuteronomy/6.htm","| ","title=|",AC1190,"| target=|_top|&gt;",AC1192,"&lt;/a&gt;")</f>
        <v>&lt;a href=|http://parallelbible.com/deuteronomy/6.htm| title=|Parallel Chapters| target=|_top|&gt;PAR&lt;/a&gt;</v>
      </c>
      <c r="AD159" s="2" t="str">
        <f t="shared" ref="AD159:AK159" si="634">CONCATENATE("&lt;/li&gt;&lt;li&gt;&lt;a href=|http://",AD1191,"/deuteronomy/6.htm","| ","title=|",AD1190,"| target=|_top|&gt;",AD1192,"&lt;/a&gt;")</f>
        <v>&lt;/li&gt;&lt;li&gt;&lt;a href=|http://gsb.biblecommenter.com/deuteronomy/6.htm| title=|Geneva Study Bible| target=|_top|&gt;GSB&lt;/a&gt;</v>
      </c>
      <c r="AE159" s="2" t="str">
        <f t="shared" si="634"/>
        <v>&lt;/li&gt;&lt;li&gt;&lt;a href=|http://jfb.biblecommenter.com/deuteronomy/6.htm| title=|Jamieson-Fausset-Brown Bible Commentary| target=|_top|&gt;JFB&lt;/a&gt;</v>
      </c>
      <c r="AF159" s="2" t="str">
        <f t="shared" si="634"/>
        <v>&lt;/li&gt;&lt;li&gt;&lt;a href=|http://kjt.biblecommenter.com/deuteronomy/6.htm| title=|King James Translators' Notes| target=|_top|&gt;KJT&lt;/a&gt;</v>
      </c>
      <c r="AG159" s="2" t="str">
        <f t="shared" si="634"/>
        <v>&lt;/li&gt;&lt;li&gt;&lt;a href=|http://mhc.biblecommenter.com/deuteronomy/6.htm| title=|Matthew Henry's Concise Commentary| target=|_top|&gt;MHC&lt;/a&gt;</v>
      </c>
      <c r="AH159" s="2" t="str">
        <f t="shared" si="634"/>
        <v>&lt;/li&gt;&lt;li&gt;&lt;a href=|http://sco.biblecommenter.com/deuteronomy/6.htm| title=|Scofield Reference Notes| target=|_top|&gt;SCO&lt;/a&gt;</v>
      </c>
      <c r="AI159" s="2" t="str">
        <f t="shared" si="634"/>
        <v>&lt;/li&gt;&lt;li&gt;&lt;a href=|http://wes.biblecommenter.com/deuteronomy/6.htm| title=|Wesley's Notes on the Bible| target=|_top|&gt;WES&lt;/a&gt;</v>
      </c>
      <c r="AJ159" t="str">
        <f t="shared" si="634"/>
        <v>&lt;/li&gt;&lt;li&gt;&lt;a href=|http://worldebible.com/deuteronomy/6.htm| title=|World English Bible| target=|_top|&gt;WEB&lt;/a&gt;</v>
      </c>
      <c r="AK159" t="str">
        <f t="shared" si="634"/>
        <v>&lt;/li&gt;&lt;li&gt;&lt;a href=|http://yltbible.com/deuteronomy/6.htm| title=|Young's Literal Translation| target=|_top|&gt;YLT&lt;/a&gt;</v>
      </c>
      <c r="AL159" t="str">
        <f>CONCATENATE("&lt;a href=|http://",AL1191,"/deuteronomy/6.htm","| ","title=|",AL1190,"| target=|_top|&gt;",AL1192,"&lt;/a&gt;")</f>
        <v>&lt;a href=|http://kjv.us/deuteronomy/6.htm| title=|American King James Version| target=|_top|&gt;AKJ&lt;/a&gt;</v>
      </c>
      <c r="AM159" t="str">
        <f t="shared" ref="AM159:AN159" si="635">CONCATENATE("&lt;/li&gt;&lt;li&gt;&lt;a href=|http://",AM1191,"/deuteronomy/6.htm","| ","title=|",AM1190,"| target=|_top|&gt;",AM1192,"&lt;/a&gt;")</f>
        <v>&lt;/li&gt;&lt;li&gt;&lt;a href=|http://basicenglishbible.com/deuteronomy/6.htm| title=|Bible in Basic English| target=|_top|&gt;BBE&lt;/a&gt;</v>
      </c>
      <c r="AN159" t="str">
        <f t="shared" si="635"/>
        <v>&lt;/li&gt;&lt;li&gt;&lt;a href=|http://darbybible.com/deuteronomy/6.htm| title=|Darby Bible Translation| target=|_top|&gt;DBY&lt;/a&gt;</v>
      </c>
      <c r="AO15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5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5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59" t="str">
        <f>CONCATENATE("&lt;/li&gt;&lt;li&gt;&lt;a href=|http://",AR1191,"/deuteronomy/6.htm","| ","title=|",AR1190,"| target=|_top|&gt;",AR1192,"&lt;/a&gt;")</f>
        <v>&lt;/li&gt;&lt;li&gt;&lt;a href=|http://websterbible.com/deuteronomy/6.htm| title=|Webster's Bible Translation| target=|_top|&gt;WBS&lt;/a&gt;</v>
      </c>
      <c r="AS15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59" t="str">
        <f>CONCATENATE("&lt;/li&gt;&lt;li&gt;&lt;a href=|http://",AT1191,"/deuteronomy/6-1.htm","| ","title=|",AT1190,"| target=|_top|&gt;",AT1192,"&lt;/a&gt;")</f>
        <v>&lt;/li&gt;&lt;li&gt;&lt;a href=|http://biblebrowser.com/deuteronomy/6-1.htm| title=|Split View| target=|_top|&gt;Split&lt;/a&gt;</v>
      </c>
      <c r="AU159" s="2" t="s">
        <v>1276</v>
      </c>
      <c r="AV159" t="s">
        <v>64</v>
      </c>
    </row>
    <row r="160" spans="1:48">
      <c r="A160" t="s">
        <v>622</v>
      </c>
      <c r="B160" t="s">
        <v>213</v>
      </c>
      <c r="C160" t="s">
        <v>624</v>
      </c>
      <c r="D160" t="s">
        <v>1268</v>
      </c>
      <c r="E160" t="s">
        <v>1277</v>
      </c>
      <c r="F160" t="s">
        <v>1304</v>
      </c>
      <c r="G160" t="s">
        <v>1266</v>
      </c>
      <c r="H160" t="s">
        <v>1305</v>
      </c>
      <c r="I160" t="s">
        <v>1303</v>
      </c>
      <c r="J160" t="s">
        <v>1267</v>
      </c>
      <c r="K160" t="s">
        <v>1275</v>
      </c>
      <c r="L160" s="2" t="s">
        <v>1274</v>
      </c>
      <c r="M160" t="str">
        <f t="shared" ref="M160:AB160" si="636">CONCATENATE("&lt;/li&gt;&lt;li&gt;&lt;a href=|http://",M1191,"/deuteronomy/7.htm","| ","title=|",M1190,"| target=|_top|&gt;",M1192,"&lt;/a&gt;")</f>
        <v>&lt;/li&gt;&lt;li&gt;&lt;a href=|http://niv.scripturetext.com/deuteronomy/7.htm| title=|New International Version| target=|_top|&gt;NIV&lt;/a&gt;</v>
      </c>
      <c r="N160" t="str">
        <f t="shared" si="636"/>
        <v>&lt;/li&gt;&lt;li&gt;&lt;a href=|http://nlt.scripturetext.com/deuteronomy/7.htm| title=|New Living Translation| target=|_top|&gt;NLT&lt;/a&gt;</v>
      </c>
      <c r="O160" t="str">
        <f t="shared" si="636"/>
        <v>&lt;/li&gt;&lt;li&gt;&lt;a href=|http://nasb.scripturetext.com/deuteronomy/7.htm| title=|New American Standard Bible| target=|_top|&gt;NAS&lt;/a&gt;</v>
      </c>
      <c r="P160" t="str">
        <f t="shared" si="636"/>
        <v>&lt;/li&gt;&lt;li&gt;&lt;a href=|http://gwt.scripturetext.com/deuteronomy/7.htm| title=|God's Word Translation| target=|_top|&gt;GWT&lt;/a&gt;</v>
      </c>
      <c r="Q160" t="str">
        <f t="shared" si="636"/>
        <v>&lt;/li&gt;&lt;li&gt;&lt;a href=|http://kingjbible.com/deuteronomy/7.htm| title=|King James Bible| target=|_top|&gt;KJV&lt;/a&gt;</v>
      </c>
      <c r="R160" t="str">
        <f t="shared" si="636"/>
        <v>&lt;/li&gt;&lt;li&gt;&lt;a href=|http://asvbible.com/deuteronomy/7.htm| title=|American Standard Version| target=|_top|&gt;ASV&lt;/a&gt;</v>
      </c>
      <c r="S160" t="str">
        <f t="shared" si="636"/>
        <v>&lt;/li&gt;&lt;li&gt;&lt;a href=|http://drb.scripturetext.com/deuteronomy/7.htm| title=|Douay-Rheims Bible| target=|_top|&gt;DRB&lt;/a&gt;</v>
      </c>
      <c r="T160" t="str">
        <f t="shared" si="636"/>
        <v>&lt;/li&gt;&lt;li&gt;&lt;a href=|http://erv.scripturetext.com/deuteronomy/7.htm| title=|English Revised Version| target=|_top|&gt;ERV&lt;/a&gt;</v>
      </c>
      <c r="V160" t="str">
        <f>CONCATENATE("&lt;/li&gt;&lt;li&gt;&lt;a href=|http://",V1191,"/deuteronomy/7.htm","| ","title=|",V1190,"| target=|_top|&gt;",V1192,"&lt;/a&gt;")</f>
        <v>&lt;/li&gt;&lt;li&gt;&lt;a href=|http://study.interlinearbible.org/deuteronomy/7.htm| title=|Hebrew Study Bible| target=|_top|&gt;Heb Study&lt;/a&gt;</v>
      </c>
      <c r="W160" t="str">
        <f t="shared" si="636"/>
        <v>&lt;/li&gt;&lt;li&gt;&lt;a href=|http://apostolic.interlinearbible.org/deuteronomy/7.htm| title=|Apostolic Bible Polyglot Interlinear| target=|_top|&gt;Polyglot&lt;/a&gt;</v>
      </c>
      <c r="X160" t="str">
        <f t="shared" si="636"/>
        <v>&lt;/li&gt;&lt;li&gt;&lt;a href=|http://interlinearbible.org/deuteronomy/7.htm| title=|Interlinear Bible| target=|_top|&gt;Interlin&lt;/a&gt;</v>
      </c>
      <c r="Y160" t="str">
        <f t="shared" ref="Y160" si="637">CONCATENATE("&lt;/li&gt;&lt;li&gt;&lt;a href=|http://",Y1191,"/deuteronomy/7.htm","| ","title=|",Y1190,"| target=|_top|&gt;",Y1192,"&lt;/a&gt;")</f>
        <v>&lt;/li&gt;&lt;li&gt;&lt;a href=|http://bibleoutline.org/deuteronomy/7.htm| title=|Outline with People and Places List| target=|_top|&gt;Outline&lt;/a&gt;</v>
      </c>
      <c r="Z160" t="str">
        <f t="shared" si="636"/>
        <v>&lt;/li&gt;&lt;li&gt;&lt;a href=|http://kjvs.scripturetext.com/deuteronomy/7.htm| title=|King James Bible with Strong's Numbers| target=|_top|&gt;Strong's&lt;/a&gt;</v>
      </c>
      <c r="AA160" t="str">
        <f t="shared" si="636"/>
        <v>&lt;/li&gt;&lt;li&gt;&lt;a href=|http://childrensbibleonline.com/deuteronomy/7.htm| title=|The Children's Bible| target=|_top|&gt;Children's&lt;/a&gt;</v>
      </c>
      <c r="AB160" s="2" t="str">
        <f t="shared" si="636"/>
        <v>&lt;/li&gt;&lt;li&gt;&lt;a href=|http://tsk.scripturetext.com/deuteronomy/7.htm| title=|Treasury of Scripture Knowledge| target=|_top|&gt;TSK&lt;/a&gt;</v>
      </c>
      <c r="AC160" t="str">
        <f>CONCATENATE("&lt;a href=|http://",AC1191,"/deuteronomy/7.htm","| ","title=|",AC1190,"| target=|_top|&gt;",AC1192,"&lt;/a&gt;")</f>
        <v>&lt;a href=|http://parallelbible.com/deuteronomy/7.htm| title=|Parallel Chapters| target=|_top|&gt;PAR&lt;/a&gt;</v>
      </c>
      <c r="AD160" s="2" t="str">
        <f t="shared" ref="AD160:AK160" si="638">CONCATENATE("&lt;/li&gt;&lt;li&gt;&lt;a href=|http://",AD1191,"/deuteronomy/7.htm","| ","title=|",AD1190,"| target=|_top|&gt;",AD1192,"&lt;/a&gt;")</f>
        <v>&lt;/li&gt;&lt;li&gt;&lt;a href=|http://gsb.biblecommenter.com/deuteronomy/7.htm| title=|Geneva Study Bible| target=|_top|&gt;GSB&lt;/a&gt;</v>
      </c>
      <c r="AE160" s="2" t="str">
        <f t="shared" si="638"/>
        <v>&lt;/li&gt;&lt;li&gt;&lt;a href=|http://jfb.biblecommenter.com/deuteronomy/7.htm| title=|Jamieson-Fausset-Brown Bible Commentary| target=|_top|&gt;JFB&lt;/a&gt;</v>
      </c>
      <c r="AF160" s="2" t="str">
        <f t="shared" si="638"/>
        <v>&lt;/li&gt;&lt;li&gt;&lt;a href=|http://kjt.biblecommenter.com/deuteronomy/7.htm| title=|King James Translators' Notes| target=|_top|&gt;KJT&lt;/a&gt;</v>
      </c>
      <c r="AG160" s="2" t="str">
        <f t="shared" si="638"/>
        <v>&lt;/li&gt;&lt;li&gt;&lt;a href=|http://mhc.biblecommenter.com/deuteronomy/7.htm| title=|Matthew Henry's Concise Commentary| target=|_top|&gt;MHC&lt;/a&gt;</v>
      </c>
      <c r="AH160" s="2" t="str">
        <f t="shared" si="638"/>
        <v>&lt;/li&gt;&lt;li&gt;&lt;a href=|http://sco.biblecommenter.com/deuteronomy/7.htm| title=|Scofield Reference Notes| target=|_top|&gt;SCO&lt;/a&gt;</v>
      </c>
      <c r="AI160" s="2" t="str">
        <f t="shared" si="638"/>
        <v>&lt;/li&gt;&lt;li&gt;&lt;a href=|http://wes.biblecommenter.com/deuteronomy/7.htm| title=|Wesley's Notes on the Bible| target=|_top|&gt;WES&lt;/a&gt;</v>
      </c>
      <c r="AJ160" t="str">
        <f t="shared" si="638"/>
        <v>&lt;/li&gt;&lt;li&gt;&lt;a href=|http://worldebible.com/deuteronomy/7.htm| title=|World English Bible| target=|_top|&gt;WEB&lt;/a&gt;</v>
      </c>
      <c r="AK160" t="str">
        <f t="shared" si="638"/>
        <v>&lt;/li&gt;&lt;li&gt;&lt;a href=|http://yltbible.com/deuteronomy/7.htm| title=|Young's Literal Translation| target=|_top|&gt;YLT&lt;/a&gt;</v>
      </c>
      <c r="AL160" t="str">
        <f>CONCATENATE("&lt;a href=|http://",AL1191,"/deuteronomy/7.htm","| ","title=|",AL1190,"| target=|_top|&gt;",AL1192,"&lt;/a&gt;")</f>
        <v>&lt;a href=|http://kjv.us/deuteronomy/7.htm| title=|American King James Version| target=|_top|&gt;AKJ&lt;/a&gt;</v>
      </c>
      <c r="AM160" t="str">
        <f t="shared" ref="AM160:AN160" si="639">CONCATENATE("&lt;/li&gt;&lt;li&gt;&lt;a href=|http://",AM1191,"/deuteronomy/7.htm","| ","title=|",AM1190,"| target=|_top|&gt;",AM1192,"&lt;/a&gt;")</f>
        <v>&lt;/li&gt;&lt;li&gt;&lt;a href=|http://basicenglishbible.com/deuteronomy/7.htm| title=|Bible in Basic English| target=|_top|&gt;BBE&lt;/a&gt;</v>
      </c>
      <c r="AN160" t="str">
        <f t="shared" si="639"/>
        <v>&lt;/li&gt;&lt;li&gt;&lt;a href=|http://darbybible.com/deuteronomy/7.htm| title=|Darby Bible Translation| target=|_top|&gt;DBY&lt;/a&gt;</v>
      </c>
      <c r="AO16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6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6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60" t="str">
        <f>CONCATENATE("&lt;/li&gt;&lt;li&gt;&lt;a href=|http://",AR1191,"/deuteronomy/7.htm","| ","title=|",AR1190,"| target=|_top|&gt;",AR1192,"&lt;/a&gt;")</f>
        <v>&lt;/li&gt;&lt;li&gt;&lt;a href=|http://websterbible.com/deuteronomy/7.htm| title=|Webster's Bible Translation| target=|_top|&gt;WBS&lt;/a&gt;</v>
      </c>
      <c r="AS16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60" t="str">
        <f>CONCATENATE("&lt;/li&gt;&lt;li&gt;&lt;a href=|http://",AT1191,"/deuteronomy/7-1.htm","| ","title=|",AT1190,"| target=|_top|&gt;",AT1192,"&lt;/a&gt;")</f>
        <v>&lt;/li&gt;&lt;li&gt;&lt;a href=|http://biblebrowser.com/deuteronomy/7-1.htm| title=|Split View| target=|_top|&gt;Split&lt;/a&gt;</v>
      </c>
      <c r="AU160" s="2" t="s">
        <v>1276</v>
      </c>
      <c r="AV160" t="s">
        <v>64</v>
      </c>
    </row>
    <row r="161" spans="1:48">
      <c r="A161" t="s">
        <v>622</v>
      </c>
      <c r="B161" t="s">
        <v>214</v>
      </c>
      <c r="C161" t="s">
        <v>624</v>
      </c>
      <c r="D161" t="s">
        <v>1268</v>
      </c>
      <c r="E161" t="s">
        <v>1277</v>
      </c>
      <c r="F161" t="s">
        <v>1304</v>
      </c>
      <c r="G161" t="s">
        <v>1266</v>
      </c>
      <c r="H161" t="s">
        <v>1305</v>
      </c>
      <c r="I161" t="s">
        <v>1303</v>
      </c>
      <c r="J161" t="s">
        <v>1267</v>
      </c>
      <c r="K161" t="s">
        <v>1275</v>
      </c>
      <c r="L161" s="2" t="s">
        <v>1274</v>
      </c>
      <c r="M161" t="str">
        <f t="shared" ref="M161:AB161" si="640">CONCATENATE("&lt;/li&gt;&lt;li&gt;&lt;a href=|http://",M1191,"/deuteronomy/8.htm","| ","title=|",M1190,"| target=|_top|&gt;",M1192,"&lt;/a&gt;")</f>
        <v>&lt;/li&gt;&lt;li&gt;&lt;a href=|http://niv.scripturetext.com/deuteronomy/8.htm| title=|New International Version| target=|_top|&gt;NIV&lt;/a&gt;</v>
      </c>
      <c r="N161" t="str">
        <f t="shared" si="640"/>
        <v>&lt;/li&gt;&lt;li&gt;&lt;a href=|http://nlt.scripturetext.com/deuteronomy/8.htm| title=|New Living Translation| target=|_top|&gt;NLT&lt;/a&gt;</v>
      </c>
      <c r="O161" t="str">
        <f t="shared" si="640"/>
        <v>&lt;/li&gt;&lt;li&gt;&lt;a href=|http://nasb.scripturetext.com/deuteronomy/8.htm| title=|New American Standard Bible| target=|_top|&gt;NAS&lt;/a&gt;</v>
      </c>
      <c r="P161" t="str">
        <f t="shared" si="640"/>
        <v>&lt;/li&gt;&lt;li&gt;&lt;a href=|http://gwt.scripturetext.com/deuteronomy/8.htm| title=|God's Word Translation| target=|_top|&gt;GWT&lt;/a&gt;</v>
      </c>
      <c r="Q161" t="str">
        <f t="shared" si="640"/>
        <v>&lt;/li&gt;&lt;li&gt;&lt;a href=|http://kingjbible.com/deuteronomy/8.htm| title=|King James Bible| target=|_top|&gt;KJV&lt;/a&gt;</v>
      </c>
      <c r="R161" t="str">
        <f t="shared" si="640"/>
        <v>&lt;/li&gt;&lt;li&gt;&lt;a href=|http://asvbible.com/deuteronomy/8.htm| title=|American Standard Version| target=|_top|&gt;ASV&lt;/a&gt;</v>
      </c>
      <c r="S161" t="str">
        <f t="shared" si="640"/>
        <v>&lt;/li&gt;&lt;li&gt;&lt;a href=|http://drb.scripturetext.com/deuteronomy/8.htm| title=|Douay-Rheims Bible| target=|_top|&gt;DRB&lt;/a&gt;</v>
      </c>
      <c r="T161" t="str">
        <f t="shared" si="640"/>
        <v>&lt;/li&gt;&lt;li&gt;&lt;a href=|http://erv.scripturetext.com/deuteronomy/8.htm| title=|English Revised Version| target=|_top|&gt;ERV&lt;/a&gt;</v>
      </c>
      <c r="V161" t="str">
        <f>CONCATENATE("&lt;/li&gt;&lt;li&gt;&lt;a href=|http://",V1191,"/deuteronomy/8.htm","| ","title=|",V1190,"| target=|_top|&gt;",V1192,"&lt;/a&gt;")</f>
        <v>&lt;/li&gt;&lt;li&gt;&lt;a href=|http://study.interlinearbible.org/deuteronomy/8.htm| title=|Hebrew Study Bible| target=|_top|&gt;Heb Study&lt;/a&gt;</v>
      </c>
      <c r="W161" t="str">
        <f t="shared" si="640"/>
        <v>&lt;/li&gt;&lt;li&gt;&lt;a href=|http://apostolic.interlinearbible.org/deuteronomy/8.htm| title=|Apostolic Bible Polyglot Interlinear| target=|_top|&gt;Polyglot&lt;/a&gt;</v>
      </c>
      <c r="X161" t="str">
        <f t="shared" si="640"/>
        <v>&lt;/li&gt;&lt;li&gt;&lt;a href=|http://interlinearbible.org/deuteronomy/8.htm| title=|Interlinear Bible| target=|_top|&gt;Interlin&lt;/a&gt;</v>
      </c>
      <c r="Y161" t="str">
        <f t="shared" ref="Y161" si="641">CONCATENATE("&lt;/li&gt;&lt;li&gt;&lt;a href=|http://",Y1191,"/deuteronomy/8.htm","| ","title=|",Y1190,"| target=|_top|&gt;",Y1192,"&lt;/a&gt;")</f>
        <v>&lt;/li&gt;&lt;li&gt;&lt;a href=|http://bibleoutline.org/deuteronomy/8.htm| title=|Outline with People and Places List| target=|_top|&gt;Outline&lt;/a&gt;</v>
      </c>
      <c r="Z161" t="str">
        <f t="shared" si="640"/>
        <v>&lt;/li&gt;&lt;li&gt;&lt;a href=|http://kjvs.scripturetext.com/deuteronomy/8.htm| title=|King James Bible with Strong's Numbers| target=|_top|&gt;Strong's&lt;/a&gt;</v>
      </c>
      <c r="AA161" t="str">
        <f t="shared" si="640"/>
        <v>&lt;/li&gt;&lt;li&gt;&lt;a href=|http://childrensbibleonline.com/deuteronomy/8.htm| title=|The Children's Bible| target=|_top|&gt;Children's&lt;/a&gt;</v>
      </c>
      <c r="AB161" s="2" t="str">
        <f t="shared" si="640"/>
        <v>&lt;/li&gt;&lt;li&gt;&lt;a href=|http://tsk.scripturetext.com/deuteronomy/8.htm| title=|Treasury of Scripture Knowledge| target=|_top|&gt;TSK&lt;/a&gt;</v>
      </c>
      <c r="AC161" t="str">
        <f>CONCATENATE("&lt;a href=|http://",AC1191,"/deuteronomy/8.htm","| ","title=|",AC1190,"| target=|_top|&gt;",AC1192,"&lt;/a&gt;")</f>
        <v>&lt;a href=|http://parallelbible.com/deuteronomy/8.htm| title=|Parallel Chapters| target=|_top|&gt;PAR&lt;/a&gt;</v>
      </c>
      <c r="AD161" s="2" t="str">
        <f t="shared" ref="AD161:AK161" si="642">CONCATENATE("&lt;/li&gt;&lt;li&gt;&lt;a href=|http://",AD1191,"/deuteronomy/8.htm","| ","title=|",AD1190,"| target=|_top|&gt;",AD1192,"&lt;/a&gt;")</f>
        <v>&lt;/li&gt;&lt;li&gt;&lt;a href=|http://gsb.biblecommenter.com/deuteronomy/8.htm| title=|Geneva Study Bible| target=|_top|&gt;GSB&lt;/a&gt;</v>
      </c>
      <c r="AE161" s="2" t="str">
        <f t="shared" si="642"/>
        <v>&lt;/li&gt;&lt;li&gt;&lt;a href=|http://jfb.biblecommenter.com/deuteronomy/8.htm| title=|Jamieson-Fausset-Brown Bible Commentary| target=|_top|&gt;JFB&lt;/a&gt;</v>
      </c>
      <c r="AF161" s="2" t="str">
        <f t="shared" si="642"/>
        <v>&lt;/li&gt;&lt;li&gt;&lt;a href=|http://kjt.biblecommenter.com/deuteronomy/8.htm| title=|King James Translators' Notes| target=|_top|&gt;KJT&lt;/a&gt;</v>
      </c>
      <c r="AG161" s="2" t="str">
        <f t="shared" si="642"/>
        <v>&lt;/li&gt;&lt;li&gt;&lt;a href=|http://mhc.biblecommenter.com/deuteronomy/8.htm| title=|Matthew Henry's Concise Commentary| target=|_top|&gt;MHC&lt;/a&gt;</v>
      </c>
      <c r="AH161" s="2" t="str">
        <f t="shared" si="642"/>
        <v>&lt;/li&gt;&lt;li&gt;&lt;a href=|http://sco.biblecommenter.com/deuteronomy/8.htm| title=|Scofield Reference Notes| target=|_top|&gt;SCO&lt;/a&gt;</v>
      </c>
      <c r="AI161" s="2" t="str">
        <f t="shared" si="642"/>
        <v>&lt;/li&gt;&lt;li&gt;&lt;a href=|http://wes.biblecommenter.com/deuteronomy/8.htm| title=|Wesley's Notes on the Bible| target=|_top|&gt;WES&lt;/a&gt;</v>
      </c>
      <c r="AJ161" t="str">
        <f t="shared" si="642"/>
        <v>&lt;/li&gt;&lt;li&gt;&lt;a href=|http://worldebible.com/deuteronomy/8.htm| title=|World English Bible| target=|_top|&gt;WEB&lt;/a&gt;</v>
      </c>
      <c r="AK161" t="str">
        <f t="shared" si="642"/>
        <v>&lt;/li&gt;&lt;li&gt;&lt;a href=|http://yltbible.com/deuteronomy/8.htm| title=|Young's Literal Translation| target=|_top|&gt;YLT&lt;/a&gt;</v>
      </c>
      <c r="AL161" t="str">
        <f>CONCATENATE("&lt;a href=|http://",AL1191,"/deuteronomy/8.htm","| ","title=|",AL1190,"| target=|_top|&gt;",AL1192,"&lt;/a&gt;")</f>
        <v>&lt;a href=|http://kjv.us/deuteronomy/8.htm| title=|American King James Version| target=|_top|&gt;AKJ&lt;/a&gt;</v>
      </c>
      <c r="AM161" t="str">
        <f t="shared" ref="AM161:AN161" si="643">CONCATENATE("&lt;/li&gt;&lt;li&gt;&lt;a href=|http://",AM1191,"/deuteronomy/8.htm","| ","title=|",AM1190,"| target=|_top|&gt;",AM1192,"&lt;/a&gt;")</f>
        <v>&lt;/li&gt;&lt;li&gt;&lt;a href=|http://basicenglishbible.com/deuteronomy/8.htm| title=|Bible in Basic English| target=|_top|&gt;BBE&lt;/a&gt;</v>
      </c>
      <c r="AN161" t="str">
        <f t="shared" si="643"/>
        <v>&lt;/li&gt;&lt;li&gt;&lt;a href=|http://darbybible.com/deuteronomy/8.htm| title=|Darby Bible Translation| target=|_top|&gt;DBY&lt;/a&gt;</v>
      </c>
      <c r="AO16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6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6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61" t="str">
        <f>CONCATENATE("&lt;/li&gt;&lt;li&gt;&lt;a href=|http://",AR1191,"/deuteronomy/8.htm","| ","title=|",AR1190,"| target=|_top|&gt;",AR1192,"&lt;/a&gt;")</f>
        <v>&lt;/li&gt;&lt;li&gt;&lt;a href=|http://websterbible.com/deuteronomy/8.htm| title=|Webster's Bible Translation| target=|_top|&gt;WBS&lt;/a&gt;</v>
      </c>
      <c r="AS16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61" t="str">
        <f>CONCATENATE("&lt;/li&gt;&lt;li&gt;&lt;a href=|http://",AT1191,"/deuteronomy/8-1.htm","| ","title=|",AT1190,"| target=|_top|&gt;",AT1192,"&lt;/a&gt;")</f>
        <v>&lt;/li&gt;&lt;li&gt;&lt;a href=|http://biblebrowser.com/deuteronomy/8-1.htm| title=|Split View| target=|_top|&gt;Split&lt;/a&gt;</v>
      </c>
      <c r="AU161" s="2" t="s">
        <v>1276</v>
      </c>
      <c r="AV161" t="s">
        <v>64</v>
      </c>
    </row>
    <row r="162" spans="1:48">
      <c r="A162" t="s">
        <v>622</v>
      </c>
      <c r="B162" t="s">
        <v>215</v>
      </c>
      <c r="C162" t="s">
        <v>624</v>
      </c>
      <c r="D162" t="s">
        <v>1268</v>
      </c>
      <c r="E162" t="s">
        <v>1277</v>
      </c>
      <c r="F162" t="s">
        <v>1304</v>
      </c>
      <c r="G162" t="s">
        <v>1266</v>
      </c>
      <c r="H162" t="s">
        <v>1305</v>
      </c>
      <c r="I162" t="s">
        <v>1303</v>
      </c>
      <c r="J162" t="s">
        <v>1267</v>
      </c>
      <c r="K162" t="s">
        <v>1275</v>
      </c>
      <c r="L162" s="2" t="s">
        <v>1274</v>
      </c>
      <c r="M162" t="str">
        <f t="shared" ref="M162:AB162" si="644">CONCATENATE("&lt;/li&gt;&lt;li&gt;&lt;a href=|http://",M1191,"/deuteronomy/9.htm","| ","title=|",M1190,"| target=|_top|&gt;",M1192,"&lt;/a&gt;")</f>
        <v>&lt;/li&gt;&lt;li&gt;&lt;a href=|http://niv.scripturetext.com/deuteronomy/9.htm| title=|New International Version| target=|_top|&gt;NIV&lt;/a&gt;</v>
      </c>
      <c r="N162" t="str">
        <f t="shared" si="644"/>
        <v>&lt;/li&gt;&lt;li&gt;&lt;a href=|http://nlt.scripturetext.com/deuteronomy/9.htm| title=|New Living Translation| target=|_top|&gt;NLT&lt;/a&gt;</v>
      </c>
      <c r="O162" t="str">
        <f t="shared" si="644"/>
        <v>&lt;/li&gt;&lt;li&gt;&lt;a href=|http://nasb.scripturetext.com/deuteronomy/9.htm| title=|New American Standard Bible| target=|_top|&gt;NAS&lt;/a&gt;</v>
      </c>
      <c r="P162" t="str">
        <f t="shared" si="644"/>
        <v>&lt;/li&gt;&lt;li&gt;&lt;a href=|http://gwt.scripturetext.com/deuteronomy/9.htm| title=|God's Word Translation| target=|_top|&gt;GWT&lt;/a&gt;</v>
      </c>
      <c r="Q162" t="str">
        <f t="shared" si="644"/>
        <v>&lt;/li&gt;&lt;li&gt;&lt;a href=|http://kingjbible.com/deuteronomy/9.htm| title=|King James Bible| target=|_top|&gt;KJV&lt;/a&gt;</v>
      </c>
      <c r="R162" t="str">
        <f t="shared" si="644"/>
        <v>&lt;/li&gt;&lt;li&gt;&lt;a href=|http://asvbible.com/deuteronomy/9.htm| title=|American Standard Version| target=|_top|&gt;ASV&lt;/a&gt;</v>
      </c>
      <c r="S162" t="str">
        <f t="shared" si="644"/>
        <v>&lt;/li&gt;&lt;li&gt;&lt;a href=|http://drb.scripturetext.com/deuteronomy/9.htm| title=|Douay-Rheims Bible| target=|_top|&gt;DRB&lt;/a&gt;</v>
      </c>
      <c r="T162" t="str">
        <f t="shared" si="644"/>
        <v>&lt;/li&gt;&lt;li&gt;&lt;a href=|http://erv.scripturetext.com/deuteronomy/9.htm| title=|English Revised Version| target=|_top|&gt;ERV&lt;/a&gt;</v>
      </c>
      <c r="V162" t="str">
        <f>CONCATENATE("&lt;/li&gt;&lt;li&gt;&lt;a href=|http://",V1191,"/deuteronomy/9.htm","| ","title=|",V1190,"| target=|_top|&gt;",V1192,"&lt;/a&gt;")</f>
        <v>&lt;/li&gt;&lt;li&gt;&lt;a href=|http://study.interlinearbible.org/deuteronomy/9.htm| title=|Hebrew Study Bible| target=|_top|&gt;Heb Study&lt;/a&gt;</v>
      </c>
      <c r="W162" t="str">
        <f t="shared" si="644"/>
        <v>&lt;/li&gt;&lt;li&gt;&lt;a href=|http://apostolic.interlinearbible.org/deuteronomy/9.htm| title=|Apostolic Bible Polyglot Interlinear| target=|_top|&gt;Polyglot&lt;/a&gt;</v>
      </c>
      <c r="X162" t="str">
        <f t="shared" si="644"/>
        <v>&lt;/li&gt;&lt;li&gt;&lt;a href=|http://interlinearbible.org/deuteronomy/9.htm| title=|Interlinear Bible| target=|_top|&gt;Interlin&lt;/a&gt;</v>
      </c>
      <c r="Y162" t="str">
        <f t="shared" ref="Y162" si="645">CONCATENATE("&lt;/li&gt;&lt;li&gt;&lt;a href=|http://",Y1191,"/deuteronomy/9.htm","| ","title=|",Y1190,"| target=|_top|&gt;",Y1192,"&lt;/a&gt;")</f>
        <v>&lt;/li&gt;&lt;li&gt;&lt;a href=|http://bibleoutline.org/deuteronomy/9.htm| title=|Outline with People and Places List| target=|_top|&gt;Outline&lt;/a&gt;</v>
      </c>
      <c r="Z162" t="str">
        <f t="shared" si="644"/>
        <v>&lt;/li&gt;&lt;li&gt;&lt;a href=|http://kjvs.scripturetext.com/deuteronomy/9.htm| title=|King James Bible with Strong's Numbers| target=|_top|&gt;Strong's&lt;/a&gt;</v>
      </c>
      <c r="AA162" t="str">
        <f t="shared" si="644"/>
        <v>&lt;/li&gt;&lt;li&gt;&lt;a href=|http://childrensbibleonline.com/deuteronomy/9.htm| title=|The Children's Bible| target=|_top|&gt;Children's&lt;/a&gt;</v>
      </c>
      <c r="AB162" s="2" t="str">
        <f t="shared" si="644"/>
        <v>&lt;/li&gt;&lt;li&gt;&lt;a href=|http://tsk.scripturetext.com/deuteronomy/9.htm| title=|Treasury of Scripture Knowledge| target=|_top|&gt;TSK&lt;/a&gt;</v>
      </c>
      <c r="AC162" t="str">
        <f>CONCATENATE("&lt;a href=|http://",AC1191,"/deuteronomy/9.htm","| ","title=|",AC1190,"| target=|_top|&gt;",AC1192,"&lt;/a&gt;")</f>
        <v>&lt;a href=|http://parallelbible.com/deuteronomy/9.htm| title=|Parallel Chapters| target=|_top|&gt;PAR&lt;/a&gt;</v>
      </c>
      <c r="AD162" s="2" t="str">
        <f t="shared" ref="AD162:AK162" si="646">CONCATENATE("&lt;/li&gt;&lt;li&gt;&lt;a href=|http://",AD1191,"/deuteronomy/9.htm","| ","title=|",AD1190,"| target=|_top|&gt;",AD1192,"&lt;/a&gt;")</f>
        <v>&lt;/li&gt;&lt;li&gt;&lt;a href=|http://gsb.biblecommenter.com/deuteronomy/9.htm| title=|Geneva Study Bible| target=|_top|&gt;GSB&lt;/a&gt;</v>
      </c>
      <c r="AE162" s="2" t="str">
        <f t="shared" si="646"/>
        <v>&lt;/li&gt;&lt;li&gt;&lt;a href=|http://jfb.biblecommenter.com/deuteronomy/9.htm| title=|Jamieson-Fausset-Brown Bible Commentary| target=|_top|&gt;JFB&lt;/a&gt;</v>
      </c>
      <c r="AF162" s="2" t="str">
        <f t="shared" si="646"/>
        <v>&lt;/li&gt;&lt;li&gt;&lt;a href=|http://kjt.biblecommenter.com/deuteronomy/9.htm| title=|King James Translators' Notes| target=|_top|&gt;KJT&lt;/a&gt;</v>
      </c>
      <c r="AG162" s="2" t="str">
        <f t="shared" si="646"/>
        <v>&lt;/li&gt;&lt;li&gt;&lt;a href=|http://mhc.biblecommenter.com/deuteronomy/9.htm| title=|Matthew Henry's Concise Commentary| target=|_top|&gt;MHC&lt;/a&gt;</v>
      </c>
      <c r="AH162" s="2" t="str">
        <f t="shared" si="646"/>
        <v>&lt;/li&gt;&lt;li&gt;&lt;a href=|http://sco.biblecommenter.com/deuteronomy/9.htm| title=|Scofield Reference Notes| target=|_top|&gt;SCO&lt;/a&gt;</v>
      </c>
      <c r="AI162" s="2" t="str">
        <f t="shared" si="646"/>
        <v>&lt;/li&gt;&lt;li&gt;&lt;a href=|http://wes.biblecommenter.com/deuteronomy/9.htm| title=|Wesley's Notes on the Bible| target=|_top|&gt;WES&lt;/a&gt;</v>
      </c>
      <c r="AJ162" t="str">
        <f t="shared" si="646"/>
        <v>&lt;/li&gt;&lt;li&gt;&lt;a href=|http://worldebible.com/deuteronomy/9.htm| title=|World English Bible| target=|_top|&gt;WEB&lt;/a&gt;</v>
      </c>
      <c r="AK162" t="str">
        <f t="shared" si="646"/>
        <v>&lt;/li&gt;&lt;li&gt;&lt;a href=|http://yltbible.com/deuteronomy/9.htm| title=|Young's Literal Translation| target=|_top|&gt;YLT&lt;/a&gt;</v>
      </c>
      <c r="AL162" t="str">
        <f>CONCATENATE("&lt;a href=|http://",AL1191,"/deuteronomy/9.htm","| ","title=|",AL1190,"| target=|_top|&gt;",AL1192,"&lt;/a&gt;")</f>
        <v>&lt;a href=|http://kjv.us/deuteronomy/9.htm| title=|American King James Version| target=|_top|&gt;AKJ&lt;/a&gt;</v>
      </c>
      <c r="AM162" t="str">
        <f t="shared" ref="AM162:AN162" si="647">CONCATENATE("&lt;/li&gt;&lt;li&gt;&lt;a href=|http://",AM1191,"/deuteronomy/9.htm","| ","title=|",AM1190,"| target=|_top|&gt;",AM1192,"&lt;/a&gt;")</f>
        <v>&lt;/li&gt;&lt;li&gt;&lt;a href=|http://basicenglishbible.com/deuteronomy/9.htm| title=|Bible in Basic English| target=|_top|&gt;BBE&lt;/a&gt;</v>
      </c>
      <c r="AN162" t="str">
        <f t="shared" si="647"/>
        <v>&lt;/li&gt;&lt;li&gt;&lt;a href=|http://darbybible.com/deuteronomy/9.htm| title=|Darby Bible Translation| target=|_top|&gt;DBY&lt;/a&gt;</v>
      </c>
      <c r="AO16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6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6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62" t="str">
        <f>CONCATENATE("&lt;/li&gt;&lt;li&gt;&lt;a href=|http://",AR1191,"/deuteronomy/9.htm","| ","title=|",AR1190,"| target=|_top|&gt;",AR1192,"&lt;/a&gt;")</f>
        <v>&lt;/li&gt;&lt;li&gt;&lt;a href=|http://websterbible.com/deuteronomy/9.htm| title=|Webster's Bible Translation| target=|_top|&gt;WBS&lt;/a&gt;</v>
      </c>
      <c r="AS16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62" t="str">
        <f>CONCATENATE("&lt;/li&gt;&lt;li&gt;&lt;a href=|http://",AT1191,"/deuteronomy/9-1.htm","| ","title=|",AT1190,"| target=|_top|&gt;",AT1192,"&lt;/a&gt;")</f>
        <v>&lt;/li&gt;&lt;li&gt;&lt;a href=|http://biblebrowser.com/deuteronomy/9-1.htm| title=|Split View| target=|_top|&gt;Split&lt;/a&gt;</v>
      </c>
      <c r="AU162" s="2" t="s">
        <v>1276</v>
      </c>
      <c r="AV162" t="s">
        <v>64</v>
      </c>
    </row>
    <row r="163" spans="1:48">
      <c r="A163" t="s">
        <v>622</v>
      </c>
      <c r="B163" t="s">
        <v>216</v>
      </c>
      <c r="C163" t="s">
        <v>624</v>
      </c>
      <c r="D163" t="s">
        <v>1268</v>
      </c>
      <c r="E163" t="s">
        <v>1277</v>
      </c>
      <c r="F163" t="s">
        <v>1304</v>
      </c>
      <c r="G163" t="s">
        <v>1266</v>
      </c>
      <c r="H163" t="s">
        <v>1305</v>
      </c>
      <c r="I163" t="s">
        <v>1303</v>
      </c>
      <c r="J163" t="s">
        <v>1267</v>
      </c>
      <c r="K163" t="s">
        <v>1275</v>
      </c>
      <c r="L163" s="2" t="s">
        <v>1274</v>
      </c>
      <c r="M163" t="str">
        <f t="shared" ref="M163:AB163" si="648">CONCATENATE("&lt;/li&gt;&lt;li&gt;&lt;a href=|http://",M1191,"/deuteronomy/10.htm","| ","title=|",M1190,"| target=|_top|&gt;",M1192,"&lt;/a&gt;")</f>
        <v>&lt;/li&gt;&lt;li&gt;&lt;a href=|http://niv.scripturetext.com/deuteronomy/10.htm| title=|New International Version| target=|_top|&gt;NIV&lt;/a&gt;</v>
      </c>
      <c r="N163" t="str">
        <f t="shared" si="648"/>
        <v>&lt;/li&gt;&lt;li&gt;&lt;a href=|http://nlt.scripturetext.com/deuteronomy/10.htm| title=|New Living Translation| target=|_top|&gt;NLT&lt;/a&gt;</v>
      </c>
      <c r="O163" t="str">
        <f t="shared" si="648"/>
        <v>&lt;/li&gt;&lt;li&gt;&lt;a href=|http://nasb.scripturetext.com/deuteronomy/10.htm| title=|New American Standard Bible| target=|_top|&gt;NAS&lt;/a&gt;</v>
      </c>
      <c r="P163" t="str">
        <f t="shared" si="648"/>
        <v>&lt;/li&gt;&lt;li&gt;&lt;a href=|http://gwt.scripturetext.com/deuteronomy/10.htm| title=|God's Word Translation| target=|_top|&gt;GWT&lt;/a&gt;</v>
      </c>
      <c r="Q163" t="str">
        <f t="shared" si="648"/>
        <v>&lt;/li&gt;&lt;li&gt;&lt;a href=|http://kingjbible.com/deuteronomy/10.htm| title=|King James Bible| target=|_top|&gt;KJV&lt;/a&gt;</v>
      </c>
      <c r="R163" t="str">
        <f t="shared" si="648"/>
        <v>&lt;/li&gt;&lt;li&gt;&lt;a href=|http://asvbible.com/deuteronomy/10.htm| title=|American Standard Version| target=|_top|&gt;ASV&lt;/a&gt;</v>
      </c>
      <c r="S163" t="str">
        <f t="shared" si="648"/>
        <v>&lt;/li&gt;&lt;li&gt;&lt;a href=|http://drb.scripturetext.com/deuteronomy/10.htm| title=|Douay-Rheims Bible| target=|_top|&gt;DRB&lt;/a&gt;</v>
      </c>
      <c r="T163" t="str">
        <f t="shared" si="648"/>
        <v>&lt;/li&gt;&lt;li&gt;&lt;a href=|http://erv.scripturetext.com/deuteronomy/10.htm| title=|English Revised Version| target=|_top|&gt;ERV&lt;/a&gt;</v>
      </c>
      <c r="V163" t="str">
        <f>CONCATENATE("&lt;/li&gt;&lt;li&gt;&lt;a href=|http://",V1191,"/deuteronomy/10.htm","| ","title=|",V1190,"| target=|_top|&gt;",V1192,"&lt;/a&gt;")</f>
        <v>&lt;/li&gt;&lt;li&gt;&lt;a href=|http://study.interlinearbible.org/deuteronomy/10.htm| title=|Hebrew Study Bible| target=|_top|&gt;Heb Study&lt;/a&gt;</v>
      </c>
      <c r="W163" t="str">
        <f t="shared" si="648"/>
        <v>&lt;/li&gt;&lt;li&gt;&lt;a href=|http://apostolic.interlinearbible.org/deuteronomy/10.htm| title=|Apostolic Bible Polyglot Interlinear| target=|_top|&gt;Polyglot&lt;/a&gt;</v>
      </c>
      <c r="X163" t="str">
        <f t="shared" si="648"/>
        <v>&lt;/li&gt;&lt;li&gt;&lt;a href=|http://interlinearbible.org/deuteronomy/10.htm| title=|Interlinear Bible| target=|_top|&gt;Interlin&lt;/a&gt;</v>
      </c>
      <c r="Y163" t="str">
        <f t="shared" ref="Y163" si="649">CONCATENATE("&lt;/li&gt;&lt;li&gt;&lt;a href=|http://",Y1191,"/deuteronomy/10.htm","| ","title=|",Y1190,"| target=|_top|&gt;",Y1192,"&lt;/a&gt;")</f>
        <v>&lt;/li&gt;&lt;li&gt;&lt;a href=|http://bibleoutline.org/deuteronomy/10.htm| title=|Outline with People and Places List| target=|_top|&gt;Outline&lt;/a&gt;</v>
      </c>
      <c r="Z163" t="str">
        <f t="shared" si="648"/>
        <v>&lt;/li&gt;&lt;li&gt;&lt;a href=|http://kjvs.scripturetext.com/deuteronomy/10.htm| title=|King James Bible with Strong's Numbers| target=|_top|&gt;Strong's&lt;/a&gt;</v>
      </c>
      <c r="AA163" t="str">
        <f t="shared" si="648"/>
        <v>&lt;/li&gt;&lt;li&gt;&lt;a href=|http://childrensbibleonline.com/deuteronomy/10.htm| title=|The Children's Bible| target=|_top|&gt;Children's&lt;/a&gt;</v>
      </c>
      <c r="AB163" s="2" t="str">
        <f t="shared" si="648"/>
        <v>&lt;/li&gt;&lt;li&gt;&lt;a href=|http://tsk.scripturetext.com/deuteronomy/10.htm| title=|Treasury of Scripture Knowledge| target=|_top|&gt;TSK&lt;/a&gt;</v>
      </c>
      <c r="AC163" t="str">
        <f>CONCATENATE("&lt;a href=|http://",AC1191,"/deuteronomy/10.htm","| ","title=|",AC1190,"| target=|_top|&gt;",AC1192,"&lt;/a&gt;")</f>
        <v>&lt;a href=|http://parallelbible.com/deuteronomy/10.htm| title=|Parallel Chapters| target=|_top|&gt;PAR&lt;/a&gt;</v>
      </c>
      <c r="AD163" s="2" t="str">
        <f t="shared" ref="AD163:AK163" si="650">CONCATENATE("&lt;/li&gt;&lt;li&gt;&lt;a href=|http://",AD1191,"/deuteronomy/10.htm","| ","title=|",AD1190,"| target=|_top|&gt;",AD1192,"&lt;/a&gt;")</f>
        <v>&lt;/li&gt;&lt;li&gt;&lt;a href=|http://gsb.biblecommenter.com/deuteronomy/10.htm| title=|Geneva Study Bible| target=|_top|&gt;GSB&lt;/a&gt;</v>
      </c>
      <c r="AE163" s="2" t="str">
        <f t="shared" si="650"/>
        <v>&lt;/li&gt;&lt;li&gt;&lt;a href=|http://jfb.biblecommenter.com/deuteronomy/10.htm| title=|Jamieson-Fausset-Brown Bible Commentary| target=|_top|&gt;JFB&lt;/a&gt;</v>
      </c>
      <c r="AF163" s="2" t="str">
        <f t="shared" si="650"/>
        <v>&lt;/li&gt;&lt;li&gt;&lt;a href=|http://kjt.biblecommenter.com/deuteronomy/10.htm| title=|King James Translators' Notes| target=|_top|&gt;KJT&lt;/a&gt;</v>
      </c>
      <c r="AG163" s="2" t="str">
        <f t="shared" si="650"/>
        <v>&lt;/li&gt;&lt;li&gt;&lt;a href=|http://mhc.biblecommenter.com/deuteronomy/10.htm| title=|Matthew Henry's Concise Commentary| target=|_top|&gt;MHC&lt;/a&gt;</v>
      </c>
      <c r="AH163" s="2" t="str">
        <f t="shared" si="650"/>
        <v>&lt;/li&gt;&lt;li&gt;&lt;a href=|http://sco.biblecommenter.com/deuteronomy/10.htm| title=|Scofield Reference Notes| target=|_top|&gt;SCO&lt;/a&gt;</v>
      </c>
      <c r="AI163" s="2" t="str">
        <f t="shared" si="650"/>
        <v>&lt;/li&gt;&lt;li&gt;&lt;a href=|http://wes.biblecommenter.com/deuteronomy/10.htm| title=|Wesley's Notes on the Bible| target=|_top|&gt;WES&lt;/a&gt;</v>
      </c>
      <c r="AJ163" t="str">
        <f t="shared" si="650"/>
        <v>&lt;/li&gt;&lt;li&gt;&lt;a href=|http://worldebible.com/deuteronomy/10.htm| title=|World English Bible| target=|_top|&gt;WEB&lt;/a&gt;</v>
      </c>
      <c r="AK163" t="str">
        <f t="shared" si="650"/>
        <v>&lt;/li&gt;&lt;li&gt;&lt;a href=|http://yltbible.com/deuteronomy/10.htm| title=|Young's Literal Translation| target=|_top|&gt;YLT&lt;/a&gt;</v>
      </c>
      <c r="AL163" t="str">
        <f>CONCATENATE("&lt;a href=|http://",AL1191,"/deuteronomy/10.htm","| ","title=|",AL1190,"| target=|_top|&gt;",AL1192,"&lt;/a&gt;")</f>
        <v>&lt;a href=|http://kjv.us/deuteronomy/10.htm| title=|American King James Version| target=|_top|&gt;AKJ&lt;/a&gt;</v>
      </c>
      <c r="AM163" t="str">
        <f t="shared" ref="AM163:AN163" si="651">CONCATENATE("&lt;/li&gt;&lt;li&gt;&lt;a href=|http://",AM1191,"/deuteronomy/10.htm","| ","title=|",AM1190,"| target=|_top|&gt;",AM1192,"&lt;/a&gt;")</f>
        <v>&lt;/li&gt;&lt;li&gt;&lt;a href=|http://basicenglishbible.com/deuteronomy/10.htm| title=|Bible in Basic English| target=|_top|&gt;BBE&lt;/a&gt;</v>
      </c>
      <c r="AN163" t="str">
        <f t="shared" si="651"/>
        <v>&lt;/li&gt;&lt;li&gt;&lt;a href=|http://darbybible.com/deuteronomy/10.htm| title=|Darby Bible Translation| target=|_top|&gt;DBY&lt;/a&gt;</v>
      </c>
      <c r="AO16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6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6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63" t="str">
        <f>CONCATENATE("&lt;/li&gt;&lt;li&gt;&lt;a href=|http://",AR1191,"/deuteronomy/10.htm","| ","title=|",AR1190,"| target=|_top|&gt;",AR1192,"&lt;/a&gt;")</f>
        <v>&lt;/li&gt;&lt;li&gt;&lt;a href=|http://websterbible.com/deuteronomy/10.htm| title=|Webster's Bible Translation| target=|_top|&gt;WBS&lt;/a&gt;</v>
      </c>
      <c r="AS16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63" t="str">
        <f>CONCATENATE("&lt;/li&gt;&lt;li&gt;&lt;a href=|http://",AT1191,"/deuteronomy/10-1.htm","| ","title=|",AT1190,"| target=|_top|&gt;",AT1192,"&lt;/a&gt;")</f>
        <v>&lt;/li&gt;&lt;li&gt;&lt;a href=|http://biblebrowser.com/deuteronomy/10-1.htm| title=|Split View| target=|_top|&gt;Split&lt;/a&gt;</v>
      </c>
      <c r="AU163" s="2" t="s">
        <v>1276</v>
      </c>
      <c r="AV163" t="s">
        <v>64</v>
      </c>
    </row>
    <row r="164" spans="1:48">
      <c r="A164" t="s">
        <v>622</v>
      </c>
      <c r="B164" t="s">
        <v>217</v>
      </c>
      <c r="C164" t="s">
        <v>624</v>
      </c>
      <c r="D164" t="s">
        <v>1268</v>
      </c>
      <c r="E164" t="s">
        <v>1277</v>
      </c>
      <c r="F164" t="s">
        <v>1304</v>
      </c>
      <c r="G164" t="s">
        <v>1266</v>
      </c>
      <c r="H164" t="s">
        <v>1305</v>
      </c>
      <c r="I164" t="s">
        <v>1303</v>
      </c>
      <c r="J164" t="s">
        <v>1267</v>
      </c>
      <c r="K164" t="s">
        <v>1275</v>
      </c>
      <c r="L164" s="2" t="s">
        <v>1274</v>
      </c>
      <c r="M164" t="str">
        <f t="shared" ref="M164:AB164" si="652">CONCATENATE("&lt;/li&gt;&lt;li&gt;&lt;a href=|http://",M1191,"/deuteronomy/11.htm","| ","title=|",M1190,"| target=|_top|&gt;",M1192,"&lt;/a&gt;")</f>
        <v>&lt;/li&gt;&lt;li&gt;&lt;a href=|http://niv.scripturetext.com/deuteronomy/11.htm| title=|New International Version| target=|_top|&gt;NIV&lt;/a&gt;</v>
      </c>
      <c r="N164" t="str">
        <f t="shared" si="652"/>
        <v>&lt;/li&gt;&lt;li&gt;&lt;a href=|http://nlt.scripturetext.com/deuteronomy/11.htm| title=|New Living Translation| target=|_top|&gt;NLT&lt;/a&gt;</v>
      </c>
      <c r="O164" t="str">
        <f t="shared" si="652"/>
        <v>&lt;/li&gt;&lt;li&gt;&lt;a href=|http://nasb.scripturetext.com/deuteronomy/11.htm| title=|New American Standard Bible| target=|_top|&gt;NAS&lt;/a&gt;</v>
      </c>
      <c r="P164" t="str">
        <f t="shared" si="652"/>
        <v>&lt;/li&gt;&lt;li&gt;&lt;a href=|http://gwt.scripturetext.com/deuteronomy/11.htm| title=|God's Word Translation| target=|_top|&gt;GWT&lt;/a&gt;</v>
      </c>
      <c r="Q164" t="str">
        <f t="shared" si="652"/>
        <v>&lt;/li&gt;&lt;li&gt;&lt;a href=|http://kingjbible.com/deuteronomy/11.htm| title=|King James Bible| target=|_top|&gt;KJV&lt;/a&gt;</v>
      </c>
      <c r="R164" t="str">
        <f t="shared" si="652"/>
        <v>&lt;/li&gt;&lt;li&gt;&lt;a href=|http://asvbible.com/deuteronomy/11.htm| title=|American Standard Version| target=|_top|&gt;ASV&lt;/a&gt;</v>
      </c>
      <c r="S164" t="str">
        <f t="shared" si="652"/>
        <v>&lt;/li&gt;&lt;li&gt;&lt;a href=|http://drb.scripturetext.com/deuteronomy/11.htm| title=|Douay-Rheims Bible| target=|_top|&gt;DRB&lt;/a&gt;</v>
      </c>
      <c r="T164" t="str">
        <f t="shared" si="652"/>
        <v>&lt;/li&gt;&lt;li&gt;&lt;a href=|http://erv.scripturetext.com/deuteronomy/11.htm| title=|English Revised Version| target=|_top|&gt;ERV&lt;/a&gt;</v>
      </c>
      <c r="V164" t="str">
        <f>CONCATENATE("&lt;/li&gt;&lt;li&gt;&lt;a href=|http://",V1191,"/deuteronomy/11.htm","| ","title=|",V1190,"| target=|_top|&gt;",V1192,"&lt;/a&gt;")</f>
        <v>&lt;/li&gt;&lt;li&gt;&lt;a href=|http://study.interlinearbible.org/deuteronomy/11.htm| title=|Hebrew Study Bible| target=|_top|&gt;Heb Study&lt;/a&gt;</v>
      </c>
      <c r="W164" t="str">
        <f t="shared" si="652"/>
        <v>&lt;/li&gt;&lt;li&gt;&lt;a href=|http://apostolic.interlinearbible.org/deuteronomy/11.htm| title=|Apostolic Bible Polyglot Interlinear| target=|_top|&gt;Polyglot&lt;/a&gt;</v>
      </c>
      <c r="X164" t="str">
        <f t="shared" si="652"/>
        <v>&lt;/li&gt;&lt;li&gt;&lt;a href=|http://interlinearbible.org/deuteronomy/11.htm| title=|Interlinear Bible| target=|_top|&gt;Interlin&lt;/a&gt;</v>
      </c>
      <c r="Y164" t="str">
        <f t="shared" ref="Y164" si="653">CONCATENATE("&lt;/li&gt;&lt;li&gt;&lt;a href=|http://",Y1191,"/deuteronomy/11.htm","| ","title=|",Y1190,"| target=|_top|&gt;",Y1192,"&lt;/a&gt;")</f>
        <v>&lt;/li&gt;&lt;li&gt;&lt;a href=|http://bibleoutline.org/deuteronomy/11.htm| title=|Outline with People and Places List| target=|_top|&gt;Outline&lt;/a&gt;</v>
      </c>
      <c r="Z164" t="str">
        <f t="shared" si="652"/>
        <v>&lt;/li&gt;&lt;li&gt;&lt;a href=|http://kjvs.scripturetext.com/deuteronomy/11.htm| title=|King James Bible with Strong's Numbers| target=|_top|&gt;Strong's&lt;/a&gt;</v>
      </c>
      <c r="AA164" t="str">
        <f t="shared" si="652"/>
        <v>&lt;/li&gt;&lt;li&gt;&lt;a href=|http://childrensbibleonline.com/deuteronomy/11.htm| title=|The Children's Bible| target=|_top|&gt;Children's&lt;/a&gt;</v>
      </c>
      <c r="AB164" s="2" t="str">
        <f t="shared" si="652"/>
        <v>&lt;/li&gt;&lt;li&gt;&lt;a href=|http://tsk.scripturetext.com/deuteronomy/11.htm| title=|Treasury of Scripture Knowledge| target=|_top|&gt;TSK&lt;/a&gt;</v>
      </c>
      <c r="AC164" t="str">
        <f>CONCATENATE("&lt;a href=|http://",AC1191,"/deuteronomy/11.htm","| ","title=|",AC1190,"| target=|_top|&gt;",AC1192,"&lt;/a&gt;")</f>
        <v>&lt;a href=|http://parallelbible.com/deuteronomy/11.htm| title=|Parallel Chapters| target=|_top|&gt;PAR&lt;/a&gt;</v>
      </c>
      <c r="AD164" s="2" t="str">
        <f t="shared" ref="AD164:AK164" si="654">CONCATENATE("&lt;/li&gt;&lt;li&gt;&lt;a href=|http://",AD1191,"/deuteronomy/11.htm","| ","title=|",AD1190,"| target=|_top|&gt;",AD1192,"&lt;/a&gt;")</f>
        <v>&lt;/li&gt;&lt;li&gt;&lt;a href=|http://gsb.biblecommenter.com/deuteronomy/11.htm| title=|Geneva Study Bible| target=|_top|&gt;GSB&lt;/a&gt;</v>
      </c>
      <c r="AE164" s="2" t="str">
        <f t="shared" si="654"/>
        <v>&lt;/li&gt;&lt;li&gt;&lt;a href=|http://jfb.biblecommenter.com/deuteronomy/11.htm| title=|Jamieson-Fausset-Brown Bible Commentary| target=|_top|&gt;JFB&lt;/a&gt;</v>
      </c>
      <c r="AF164" s="2" t="str">
        <f t="shared" si="654"/>
        <v>&lt;/li&gt;&lt;li&gt;&lt;a href=|http://kjt.biblecommenter.com/deuteronomy/11.htm| title=|King James Translators' Notes| target=|_top|&gt;KJT&lt;/a&gt;</v>
      </c>
      <c r="AG164" s="2" t="str">
        <f t="shared" si="654"/>
        <v>&lt;/li&gt;&lt;li&gt;&lt;a href=|http://mhc.biblecommenter.com/deuteronomy/11.htm| title=|Matthew Henry's Concise Commentary| target=|_top|&gt;MHC&lt;/a&gt;</v>
      </c>
      <c r="AH164" s="2" t="str">
        <f t="shared" si="654"/>
        <v>&lt;/li&gt;&lt;li&gt;&lt;a href=|http://sco.biblecommenter.com/deuteronomy/11.htm| title=|Scofield Reference Notes| target=|_top|&gt;SCO&lt;/a&gt;</v>
      </c>
      <c r="AI164" s="2" t="str">
        <f t="shared" si="654"/>
        <v>&lt;/li&gt;&lt;li&gt;&lt;a href=|http://wes.biblecommenter.com/deuteronomy/11.htm| title=|Wesley's Notes on the Bible| target=|_top|&gt;WES&lt;/a&gt;</v>
      </c>
      <c r="AJ164" t="str">
        <f t="shared" si="654"/>
        <v>&lt;/li&gt;&lt;li&gt;&lt;a href=|http://worldebible.com/deuteronomy/11.htm| title=|World English Bible| target=|_top|&gt;WEB&lt;/a&gt;</v>
      </c>
      <c r="AK164" t="str">
        <f t="shared" si="654"/>
        <v>&lt;/li&gt;&lt;li&gt;&lt;a href=|http://yltbible.com/deuteronomy/11.htm| title=|Young's Literal Translation| target=|_top|&gt;YLT&lt;/a&gt;</v>
      </c>
      <c r="AL164" t="str">
        <f>CONCATENATE("&lt;a href=|http://",AL1191,"/deuteronomy/11.htm","| ","title=|",AL1190,"| target=|_top|&gt;",AL1192,"&lt;/a&gt;")</f>
        <v>&lt;a href=|http://kjv.us/deuteronomy/11.htm| title=|American King James Version| target=|_top|&gt;AKJ&lt;/a&gt;</v>
      </c>
      <c r="AM164" t="str">
        <f t="shared" ref="AM164:AN164" si="655">CONCATENATE("&lt;/li&gt;&lt;li&gt;&lt;a href=|http://",AM1191,"/deuteronomy/11.htm","| ","title=|",AM1190,"| target=|_top|&gt;",AM1192,"&lt;/a&gt;")</f>
        <v>&lt;/li&gt;&lt;li&gt;&lt;a href=|http://basicenglishbible.com/deuteronomy/11.htm| title=|Bible in Basic English| target=|_top|&gt;BBE&lt;/a&gt;</v>
      </c>
      <c r="AN164" t="str">
        <f t="shared" si="655"/>
        <v>&lt;/li&gt;&lt;li&gt;&lt;a href=|http://darbybible.com/deuteronomy/11.htm| title=|Darby Bible Translation| target=|_top|&gt;DBY&lt;/a&gt;</v>
      </c>
      <c r="AO16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6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6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64" t="str">
        <f>CONCATENATE("&lt;/li&gt;&lt;li&gt;&lt;a href=|http://",AR1191,"/deuteronomy/11.htm","| ","title=|",AR1190,"| target=|_top|&gt;",AR1192,"&lt;/a&gt;")</f>
        <v>&lt;/li&gt;&lt;li&gt;&lt;a href=|http://websterbible.com/deuteronomy/11.htm| title=|Webster's Bible Translation| target=|_top|&gt;WBS&lt;/a&gt;</v>
      </c>
      <c r="AS16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64" t="str">
        <f>CONCATENATE("&lt;/li&gt;&lt;li&gt;&lt;a href=|http://",AT1191,"/deuteronomy/11-1.htm","| ","title=|",AT1190,"| target=|_top|&gt;",AT1192,"&lt;/a&gt;")</f>
        <v>&lt;/li&gt;&lt;li&gt;&lt;a href=|http://biblebrowser.com/deuteronomy/11-1.htm| title=|Split View| target=|_top|&gt;Split&lt;/a&gt;</v>
      </c>
      <c r="AU164" s="2" t="s">
        <v>1276</v>
      </c>
      <c r="AV164" t="s">
        <v>64</v>
      </c>
    </row>
    <row r="165" spans="1:48">
      <c r="A165" t="s">
        <v>622</v>
      </c>
      <c r="B165" t="s">
        <v>218</v>
      </c>
      <c r="C165" t="s">
        <v>624</v>
      </c>
      <c r="D165" t="s">
        <v>1268</v>
      </c>
      <c r="E165" t="s">
        <v>1277</v>
      </c>
      <c r="F165" t="s">
        <v>1304</v>
      </c>
      <c r="G165" t="s">
        <v>1266</v>
      </c>
      <c r="H165" t="s">
        <v>1305</v>
      </c>
      <c r="I165" t="s">
        <v>1303</v>
      </c>
      <c r="J165" t="s">
        <v>1267</v>
      </c>
      <c r="K165" t="s">
        <v>1275</v>
      </c>
      <c r="L165" s="2" t="s">
        <v>1274</v>
      </c>
      <c r="M165" t="str">
        <f t="shared" ref="M165:AB165" si="656">CONCATENATE("&lt;/li&gt;&lt;li&gt;&lt;a href=|http://",M1191,"/deuteronomy/12.htm","| ","title=|",M1190,"| target=|_top|&gt;",M1192,"&lt;/a&gt;")</f>
        <v>&lt;/li&gt;&lt;li&gt;&lt;a href=|http://niv.scripturetext.com/deuteronomy/12.htm| title=|New International Version| target=|_top|&gt;NIV&lt;/a&gt;</v>
      </c>
      <c r="N165" t="str">
        <f t="shared" si="656"/>
        <v>&lt;/li&gt;&lt;li&gt;&lt;a href=|http://nlt.scripturetext.com/deuteronomy/12.htm| title=|New Living Translation| target=|_top|&gt;NLT&lt;/a&gt;</v>
      </c>
      <c r="O165" t="str">
        <f t="shared" si="656"/>
        <v>&lt;/li&gt;&lt;li&gt;&lt;a href=|http://nasb.scripturetext.com/deuteronomy/12.htm| title=|New American Standard Bible| target=|_top|&gt;NAS&lt;/a&gt;</v>
      </c>
      <c r="P165" t="str">
        <f t="shared" si="656"/>
        <v>&lt;/li&gt;&lt;li&gt;&lt;a href=|http://gwt.scripturetext.com/deuteronomy/12.htm| title=|God's Word Translation| target=|_top|&gt;GWT&lt;/a&gt;</v>
      </c>
      <c r="Q165" t="str">
        <f t="shared" si="656"/>
        <v>&lt;/li&gt;&lt;li&gt;&lt;a href=|http://kingjbible.com/deuteronomy/12.htm| title=|King James Bible| target=|_top|&gt;KJV&lt;/a&gt;</v>
      </c>
      <c r="R165" t="str">
        <f t="shared" si="656"/>
        <v>&lt;/li&gt;&lt;li&gt;&lt;a href=|http://asvbible.com/deuteronomy/12.htm| title=|American Standard Version| target=|_top|&gt;ASV&lt;/a&gt;</v>
      </c>
      <c r="S165" t="str">
        <f t="shared" si="656"/>
        <v>&lt;/li&gt;&lt;li&gt;&lt;a href=|http://drb.scripturetext.com/deuteronomy/12.htm| title=|Douay-Rheims Bible| target=|_top|&gt;DRB&lt;/a&gt;</v>
      </c>
      <c r="T165" t="str">
        <f t="shared" si="656"/>
        <v>&lt;/li&gt;&lt;li&gt;&lt;a href=|http://erv.scripturetext.com/deuteronomy/12.htm| title=|English Revised Version| target=|_top|&gt;ERV&lt;/a&gt;</v>
      </c>
      <c r="V165" t="str">
        <f>CONCATENATE("&lt;/li&gt;&lt;li&gt;&lt;a href=|http://",V1191,"/deuteronomy/12.htm","| ","title=|",V1190,"| target=|_top|&gt;",V1192,"&lt;/a&gt;")</f>
        <v>&lt;/li&gt;&lt;li&gt;&lt;a href=|http://study.interlinearbible.org/deuteronomy/12.htm| title=|Hebrew Study Bible| target=|_top|&gt;Heb Study&lt;/a&gt;</v>
      </c>
      <c r="W165" t="str">
        <f t="shared" si="656"/>
        <v>&lt;/li&gt;&lt;li&gt;&lt;a href=|http://apostolic.interlinearbible.org/deuteronomy/12.htm| title=|Apostolic Bible Polyglot Interlinear| target=|_top|&gt;Polyglot&lt;/a&gt;</v>
      </c>
      <c r="X165" t="str">
        <f t="shared" si="656"/>
        <v>&lt;/li&gt;&lt;li&gt;&lt;a href=|http://interlinearbible.org/deuteronomy/12.htm| title=|Interlinear Bible| target=|_top|&gt;Interlin&lt;/a&gt;</v>
      </c>
      <c r="Y165" t="str">
        <f t="shared" ref="Y165" si="657">CONCATENATE("&lt;/li&gt;&lt;li&gt;&lt;a href=|http://",Y1191,"/deuteronomy/12.htm","| ","title=|",Y1190,"| target=|_top|&gt;",Y1192,"&lt;/a&gt;")</f>
        <v>&lt;/li&gt;&lt;li&gt;&lt;a href=|http://bibleoutline.org/deuteronomy/12.htm| title=|Outline with People and Places List| target=|_top|&gt;Outline&lt;/a&gt;</v>
      </c>
      <c r="Z165" t="str">
        <f t="shared" si="656"/>
        <v>&lt;/li&gt;&lt;li&gt;&lt;a href=|http://kjvs.scripturetext.com/deuteronomy/12.htm| title=|King James Bible with Strong's Numbers| target=|_top|&gt;Strong's&lt;/a&gt;</v>
      </c>
      <c r="AA165" t="str">
        <f t="shared" si="656"/>
        <v>&lt;/li&gt;&lt;li&gt;&lt;a href=|http://childrensbibleonline.com/deuteronomy/12.htm| title=|The Children's Bible| target=|_top|&gt;Children's&lt;/a&gt;</v>
      </c>
      <c r="AB165" s="2" t="str">
        <f t="shared" si="656"/>
        <v>&lt;/li&gt;&lt;li&gt;&lt;a href=|http://tsk.scripturetext.com/deuteronomy/12.htm| title=|Treasury of Scripture Knowledge| target=|_top|&gt;TSK&lt;/a&gt;</v>
      </c>
      <c r="AC165" t="str">
        <f>CONCATENATE("&lt;a href=|http://",AC1191,"/deuteronomy/12.htm","| ","title=|",AC1190,"| target=|_top|&gt;",AC1192,"&lt;/a&gt;")</f>
        <v>&lt;a href=|http://parallelbible.com/deuteronomy/12.htm| title=|Parallel Chapters| target=|_top|&gt;PAR&lt;/a&gt;</v>
      </c>
      <c r="AD165" s="2" t="str">
        <f t="shared" ref="AD165:AK165" si="658">CONCATENATE("&lt;/li&gt;&lt;li&gt;&lt;a href=|http://",AD1191,"/deuteronomy/12.htm","| ","title=|",AD1190,"| target=|_top|&gt;",AD1192,"&lt;/a&gt;")</f>
        <v>&lt;/li&gt;&lt;li&gt;&lt;a href=|http://gsb.biblecommenter.com/deuteronomy/12.htm| title=|Geneva Study Bible| target=|_top|&gt;GSB&lt;/a&gt;</v>
      </c>
      <c r="AE165" s="2" t="str">
        <f t="shared" si="658"/>
        <v>&lt;/li&gt;&lt;li&gt;&lt;a href=|http://jfb.biblecommenter.com/deuteronomy/12.htm| title=|Jamieson-Fausset-Brown Bible Commentary| target=|_top|&gt;JFB&lt;/a&gt;</v>
      </c>
      <c r="AF165" s="2" t="str">
        <f t="shared" si="658"/>
        <v>&lt;/li&gt;&lt;li&gt;&lt;a href=|http://kjt.biblecommenter.com/deuteronomy/12.htm| title=|King James Translators' Notes| target=|_top|&gt;KJT&lt;/a&gt;</v>
      </c>
      <c r="AG165" s="2" t="str">
        <f t="shared" si="658"/>
        <v>&lt;/li&gt;&lt;li&gt;&lt;a href=|http://mhc.biblecommenter.com/deuteronomy/12.htm| title=|Matthew Henry's Concise Commentary| target=|_top|&gt;MHC&lt;/a&gt;</v>
      </c>
      <c r="AH165" s="2" t="str">
        <f t="shared" si="658"/>
        <v>&lt;/li&gt;&lt;li&gt;&lt;a href=|http://sco.biblecommenter.com/deuteronomy/12.htm| title=|Scofield Reference Notes| target=|_top|&gt;SCO&lt;/a&gt;</v>
      </c>
      <c r="AI165" s="2" t="str">
        <f t="shared" si="658"/>
        <v>&lt;/li&gt;&lt;li&gt;&lt;a href=|http://wes.biblecommenter.com/deuteronomy/12.htm| title=|Wesley's Notes on the Bible| target=|_top|&gt;WES&lt;/a&gt;</v>
      </c>
      <c r="AJ165" t="str">
        <f t="shared" si="658"/>
        <v>&lt;/li&gt;&lt;li&gt;&lt;a href=|http://worldebible.com/deuteronomy/12.htm| title=|World English Bible| target=|_top|&gt;WEB&lt;/a&gt;</v>
      </c>
      <c r="AK165" t="str">
        <f t="shared" si="658"/>
        <v>&lt;/li&gt;&lt;li&gt;&lt;a href=|http://yltbible.com/deuteronomy/12.htm| title=|Young's Literal Translation| target=|_top|&gt;YLT&lt;/a&gt;</v>
      </c>
      <c r="AL165" t="str">
        <f>CONCATENATE("&lt;a href=|http://",AL1191,"/deuteronomy/12.htm","| ","title=|",AL1190,"| target=|_top|&gt;",AL1192,"&lt;/a&gt;")</f>
        <v>&lt;a href=|http://kjv.us/deuteronomy/12.htm| title=|American King James Version| target=|_top|&gt;AKJ&lt;/a&gt;</v>
      </c>
      <c r="AM165" t="str">
        <f t="shared" ref="AM165:AN165" si="659">CONCATENATE("&lt;/li&gt;&lt;li&gt;&lt;a href=|http://",AM1191,"/deuteronomy/12.htm","| ","title=|",AM1190,"| target=|_top|&gt;",AM1192,"&lt;/a&gt;")</f>
        <v>&lt;/li&gt;&lt;li&gt;&lt;a href=|http://basicenglishbible.com/deuteronomy/12.htm| title=|Bible in Basic English| target=|_top|&gt;BBE&lt;/a&gt;</v>
      </c>
      <c r="AN165" t="str">
        <f t="shared" si="659"/>
        <v>&lt;/li&gt;&lt;li&gt;&lt;a href=|http://darbybible.com/deuteronomy/12.htm| title=|Darby Bible Translation| target=|_top|&gt;DBY&lt;/a&gt;</v>
      </c>
      <c r="AO16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6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6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65" t="str">
        <f>CONCATENATE("&lt;/li&gt;&lt;li&gt;&lt;a href=|http://",AR1191,"/deuteronomy/12.htm","| ","title=|",AR1190,"| target=|_top|&gt;",AR1192,"&lt;/a&gt;")</f>
        <v>&lt;/li&gt;&lt;li&gt;&lt;a href=|http://websterbible.com/deuteronomy/12.htm| title=|Webster's Bible Translation| target=|_top|&gt;WBS&lt;/a&gt;</v>
      </c>
      <c r="AS16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65" t="str">
        <f>CONCATENATE("&lt;/li&gt;&lt;li&gt;&lt;a href=|http://",AT1191,"/deuteronomy/12-1.htm","| ","title=|",AT1190,"| target=|_top|&gt;",AT1192,"&lt;/a&gt;")</f>
        <v>&lt;/li&gt;&lt;li&gt;&lt;a href=|http://biblebrowser.com/deuteronomy/12-1.htm| title=|Split View| target=|_top|&gt;Split&lt;/a&gt;</v>
      </c>
      <c r="AU165" s="2" t="s">
        <v>1276</v>
      </c>
      <c r="AV165" t="s">
        <v>64</v>
      </c>
    </row>
    <row r="166" spans="1:48">
      <c r="A166" t="s">
        <v>622</v>
      </c>
      <c r="B166" t="s">
        <v>219</v>
      </c>
      <c r="C166" t="s">
        <v>624</v>
      </c>
      <c r="D166" t="s">
        <v>1268</v>
      </c>
      <c r="E166" t="s">
        <v>1277</v>
      </c>
      <c r="F166" t="s">
        <v>1304</v>
      </c>
      <c r="G166" t="s">
        <v>1266</v>
      </c>
      <c r="H166" t="s">
        <v>1305</v>
      </c>
      <c r="I166" t="s">
        <v>1303</v>
      </c>
      <c r="J166" t="s">
        <v>1267</v>
      </c>
      <c r="K166" t="s">
        <v>1275</v>
      </c>
      <c r="L166" s="2" t="s">
        <v>1274</v>
      </c>
      <c r="M166" t="str">
        <f t="shared" ref="M166:AB166" si="660">CONCATENATE("&lt;/li&gt;&lt;li&gt;&lt;a href=|http://",M1191,"/deuteronomy/13.htm","| ","title=|",M1190,"| target=|_top|&gt;",M1192,"&lt;/a&gt;")</f>
        <v>&lt;/li&gt;&lt;li&gt;&lt;a href=|http://niv.scripturetext.com/deuteronomy/13.htm| title=|New International Version| target=|_top|&gt;NIV&lt;/a&gt;</v>
      </c>
      <c r="N166" t="str">
        <f t="shared" si="660"/>
        <v>&lt;/li&gt;&lt;li&gt;&lt;a href=|http://nlt.scripturetext.com/deuteronomy/13.htm| title=|New Living Translation| target=|_top|&gt;NLT&lt;/a&gt;</v>
      </c>
      <c r="O166" t="str">
        <f t="shared" si="660"/>
        <v>&lt;/li&gt;&lt;li&gt;&lt;a href=|http://nasb.scripturetext.com/deuteronomy/13.htm| title=|New American Standard Bible| target=|_top|&gt;NAS&lt;/a&gt;</v>
      </c>
      <c r="P166" t="str">
        <f t="shared" si="660"/>
        <v>&lt;/li&gt;&lt;li&gt;&lt;a href=|http://gwt.scripturetext.com/deuteronomy/13.htm| title=|God's Word Translation| target=|_top|&gt;GWT&lt;/a&gt;</v>
      </c>
      <c r="Q166" t="str">
        <f t="shared" si="660"/>
        <v>&lt;/li&gt;&lt;li&gt;&lt;a href=|http://kingjbible.com/deuteronomy/13.htm| title=|King James Bible| target=|_top|&gt;KJV&lt;/a&gt;</v>
      </c>
      <c r="R166" t="str">
        <f t="shared" si="660"/>
        <v>&lt;/li&gt;&lt;li&gt;&lt;a href=|http://asvbible.com/deuteronomy/13.htm| title=|American Standard Version| target=|_top|&gt;ASV&lt;/a&gt;</v>
      </c>
      <c r="S166" t="str">
        <f t="shared" si="660"/>
        <v>&lt;/li&gt;&lt;li&gt;&lt;a href=|http://drb.scripturetext.com/deuteronomy/13.htm| title=|Douay-Rheims Bible| target=|_top|&gt;DRB&lt;/a&gt;</v>
      </c>
      <c r="T166" t="str">
        <f t="shared" si="660"/>
        <v>&lt;/li&gt;&lt;li&gt;&lt;a href=|http://erv.scripturetext.com/deuteronomy/13.htm| title=|English Revised Version| target=|_top|&gt;ERV&lt;/a&gt;</v>
      </c>
      <c r="V166" t="str">
        <f>CONCATENATE("&lt;/li&gt;&lt;li&gt;&lt;a href=|http://",V1191,"/deuteronomy/13.htm","| ","title=|",V1190,"| target=|_top|&gt;",V1192,"&lt;/a&gt;")</f>
        <v>&lt;/li&gt;&lt;li&gt;&lt;a href=|http://study.interlinearbible.org/deuteronomy/13.htm| title=|Hebrew Study Bible| target=|_top|&gt;Heb Study&lt;/a&gt;</v>
      </c>
      <c r="W166" t="str">
        <f t="shared" si="660"/>
        <v>&lt;/li&gt;&lt;li&gt;&lt;a href=|http://apostolic.interlinearbible.org/deuteronomy/13.htm| title=|Apostolic Bible Polyglot Interlinear| target=|_top|&gt;Polyglot&lt;/a&gt;</v>
      </c>
      <c r="X166" t="str">
        <f t="shared" si="660"/>
        <v>&lt;/li&gt;&lt;li&gt;&lt;a href=|http://interlinearbible.org/deuteronomy/13.htm| title=|Interlinear Bible| target=|_top|&gt;Interlin&lt;/a&gt;</v>
      </c>
      <c r="Y166" t="str">
        <f t="shared" ref="Y166" si="661">CONCATENATE("&lt;/li&gt;&lt;li&gt;&lt;a href=|http://",Y1191,"/deuteronomy/13.htm","| ","title=|",Y1190,"| target=|_top|&gt;",Y1192,"&lt;/a&gt;")</f>
        <v>&lt;/li&gt;&lt;li&gt;&lt;a href=|http://bibleoutline.org/deuteronomy/13.htm| title=|Outline with People and Places List| target=|_top|&gt;Outline&lt;/a&gt;</v>
      </c>
      <c r="Z166" t="str">
        <f t="shared" si="660"/>
        <v>&lt;/li&gt;&lt;li&gt;&lt;a href=|http://kjvs.scripturetext.com/deuteronomy/13.htm| title=|King James Bible with Strong's Numbers| target=|_top|&gt;Strong's&lt;/a&gt;</v>
      </c>
      <c r="AA166" t="str">
        <f t="shared" si="660"/>
        <v>&lt;/li&gt;&lt;li&gt;&lt;a href=|http://childrensbibleonline.com/deuteronomy/13.htm| title=|The Children's Bible| target=|_top|&gt;Children's&lt;/a&gt;</v>
      </c>
      <c r="AB166" s="2" t="str">
        <f t="shared" si="660"/>
        <v>&lt;/li&gt;&lt;li&gt;&lt;a href=|http://tsk.scripturetext.com/deuteronomy/13.htm| title=|Treasury of Scripture Knowledge| target=|_top|&gt;TSK&lt;/a&gt;</v>
      </c>
      <c r="AC166" t="str">
        <f>CONCATENATE("&lt;a href=|http://",AC1191,"/deuteronomy/13.htm","| ","title=|",AC1190,"| target=|_top|&gt;",AC1192,"&lt;/a&gt;")</f>
        <v>&lt;a href=|http://parallelbible.com/deuteronomy/13.htm| title=|Parallel Chapters| target=|_top|&gt;PAR&lt;/a&gt;</v>
      </c>
      <c r="AD166" s="2" t="str">
        <f t="shared" ref="AD166:AK166" si="662">CONCATENATE("&lt;/li&gt;&lt;li&gt;&lt;a href=|http://",AD1191,"/deuteronomy/13.htm","| ","title=|",AD1190,"| target=|_top|&gt;",AD1192,"&lt;/a&gt;")</f>
        <v>&lt;/li&gt;&lt;li&gt;&lt;a href=|http://gsb.biblecommenter.com/deuteronomy/13.htm| title=|Geneva Study Bible| target=|_top|&gt;GSB&lt;/a&gt;</v>
      </c>
      <c r="AE166" s="2" t="str">
        <f t="shared" si="662"/>
        <v>&lt;/li&gt;&lt;li&gt;&lt;a href=|http://jfb.biblecommenter.com/deuteronomy/13.htm| title=|Jamieson-Fausset-Brown Bible Commentary| target=|_top|&gt;JFB&lt;/a&gt;</v>
      </c>
      <c r="AF166" s="2" t="str">
        <f t="shared" si="662"/>
        <v>&lt;/li&gt;&lt;li&gt;&lt;a href=|http://kjt.biblecommenter.com/deuteronomy/13.htm| title=|King James Translators' Notes| target=|_top|&gt;KJT&lt;/a&gt;</v>
      </c>
      <c r="AG166" s="2" t="str">
        <f t="shared" si="662"/>
        <v>&lt;/li&gt;&lt;li&gt;&lt;a href=|http://mhc.biblecommenter.com/deuteronomy/13.htm| title=|Matthew Henry's Concise Commentary| target=|_top|&gt;MHC&lt;/a&gt;</v>
      </c>
      <c r="AH166" s="2" t="str">
        <f t="shared" si="662"/>
        <v>&lt;/li&gt;&lt;li&gt;&lt;a href=|http://sco.biblecommenter.com/deuteronomy/13.htm| title=|Scofield Reference Notes| target=|_top|&gt;SCO&lt;/a&gt;</v>
      </c>
      <c r="AI166" s="2" t="str">
        <f t="shared" si="662"/>
        <v>&lt;/li&gt;&lt;li&gt;&lt;a href=|http://wes.biblecommenter.com/deuteronomy/13.htm| title=|Wesley's Notes on the Bible| target=|_top|&gt;WES&lt;/a&gt;</v>
      </c>
      <c r="AJ166" t="str">
        <f t="shared" si="662"/>
        <v>&lt;/li&gt;&lt;li&gt;&lt;a href=|http://worldebible.com/deuteronomy/13.htm| title=|World English Bible| target=|_top|&gt;WEB&lt;/a&gt;</v>
      </c>
      <c r="AK166" t="str">
        <f t="shared" si="662"/>
        <v>&lt;/li&gt;&lt;li&gt;&lt;a href=|http://yltbible.com/deuteronomy/13.htm| title=|Young's Literal Translation| target=|_top|&gt;YLT&lt;/a&gt;</v>
      </c>
      <c r="AL166" t="str">
        <f>CONCATENATE("&lt;a href=|http://",AL1191,"/deuteronomy/13.htm","| ","title=|",AL1190,"| target=|_top|&gt;",AL1192,"&lt;/a&gt;")</f>
        <v>&lt;a href=|http://kjv.us/deuteronomy/13.htm| title=|American King James Version| target=|_top|&gt;AKJ&lt;/a&gt;</v>
      </c>
      <c r="AM166" t="str">
        <f t="shared" ref="AM166:AN166" si="663">CONCATENATE("&lt;/li&gt;&lt;li&gt;&lt;a href=|http://",AM1191,"/deuteronomy/13.htm","| ","title=|",AM1190,"| target=|_top|&gt;",AM1192,"&lt;/a&gt;")</f>
        <v>&lt;/li&gt;&lt;li&gt;&lt;a href=|http://basicenglishbible.com/deuteronomy/13.htm| title=|Bible in Basic English| target=|_top|&gt;BBE&lt;/a&gt;</v>
      </c>
      <c r="AN166" t="str">
        <f t="shared" si="663"/>
        <v>&lt;/li&gt;&lt;li&gt;&lt;a href=|http://darbybible.com/deuteronomy/13.htm| title=|Darby Bible Translation| target=|_top|&gt;DBY&lt;/a&gt;</v>
      </c>
      <c r="AO16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6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6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66" t="str">
        <f>CONCATENATE("&lt;/li&gt;&lt;li&gt;&lt;a href=|http://",AR1191,"/deuteronomy/13.htm","| ","title=|",AR1190,"| target=|_top|&gt;",AR1192,"&lt;/a&gt;")</f>
        <v>&lt;/li&gt;&lt;li&gt;&lt;a href=|http://websterbible.com/deuteronomy/13.htm| title=|Webster's Bible Translation| target=|_top|&gt;WBS&lt;/a&gt;</v>
      </c>
      <c r="AS16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66" t="str">
        <f>CONCATENATE("&lt;/li&gt;&lt;li&gt;&lt;a href=|http://",AT1191,"/deuteronomy/13-1.htm","| ","title=|",AT1190,"| target=|_top|&gt;",AT1192,"&lt;/a&gt;")</f>
        <v>&lt;/li&gt;&lt;li&gt;&lt;a href=|http://biblebrowser.com/deuteronomy/13-1.htm| title=|Split View| target=|_top|&gt;Split&lt;/a&gt;</v>
      </c>
      <c r="AU166" s="2" t="s">
        <v>1276</v>
      </c>
      <c r="AV166" t="s">
        <v>64</v>
      </c>
    </row>
    <row r="167" spans="1:48">
      <c r="A167" t="s">
        <v>622</v>
      </c>
      <c r="B167" t="s">
        <v>220</v>
      </c>
      <c r="C167" t="s">
        <v>624</v>
      </c>
      <c r="D167" t="s">
        <v>1268</v>
      </c>
      <c r="E167" t="s">
        <v>1277</v>
      </c>
      <c r="F167" t="s">
        <v>1304</v>
      </c>
      <c r="G167" t="s">
        <v>1266</v>
      </c>
      <c r="H167" t="s">
        <v>1305</v>
      </c>
      <c r="I167" t="s">
        <v>1303</v>
      </c>
      <c r="J167" t="s">
        <v>1267</v>
      </c>
      <c r="K167" t="s">
        <v>1275</v>
      </c>
      <c r="L167" s="2" t="s">
        <v>1274</v>
      </c>
      <c r="M167" t="str">
        <f t="shared" ref="M167:AB167" si="664">CONCATENATE("&lt;/li&gt;&lt;li&gt;&lt;a href=|http://",M1191,"/deuteronomy/14.htm","| ","title=|",M1190,"| target=|_top|&gt;",M1192,"&lt;/a&gt;")</f>
        <v>&lt;/li&gt;&lt;li&gt;&lt;a href=|http://niv.scripturetext.com/deuteronomy/14.htm| title=|New International Version| target=|_top|&gt;NIV&lt;/a&gt;</v>
      </c>
      <c r="N167" t="str">
        <f t="shared" si="664"/>
        <v>&lt;/li&gt;&lt;li&gt;&lt;a href=|http://nlt.scripturetext.com/deuteronomy/14.htm| title=|New Living Translation| target=|_top|&gt;NLT&lt;/a&gt;</v>
      </c>
      <c r="O167" t="str">
        <f t="shared" si="664"/>
        <v>&lt;/li&gt;&lt;li&gt;&lt;a href=|http://nasb.scripturetext.com/deuteronomy/14.htm| title=|New American Standard Bible| target=|_top|&gt;NAS&lt;/a&gt;</v>
      </c>
      <c r="P167" t="str">
        <f t="shared" si="664"/>
        <v>&lt;/li&gt;&lt;li&gt;&lt;a href=|http://gwt.scripturetext.com/deuteronomy/14.htm| title=|God's Word Translation| target=|_top|&gt;GWT&lt;/a&gt;</v>
      </c>
      <c r="Q167" t="str">
        <f t="shared" si="664"/>
        <v>&lt;/li&gt;&lt;li&gt;&lt;a href=|http://kingjbible.com/deuteronomy/14.htm| title=|King James Bible| target=|_top|&gt;KJV&lt;/a&gt;</v>
      </c>
      <c r="R167" t="str">
        <f t="shared" si="664"/>
        <v>&lt;/li&gt;&lt;li&gt;&lt;a href=|http://asvbible.com/deuteronomy/14.htm| title=|American Standard Version| target=|_top|&gt;ASV&lt;/a&gt;</v>
      </c>
      <c r="S167" t="str">
        <f t="shared" si="664"/>
        <v>&lt;/li&gt;&lt;li&gt;&lt;a href=|http://drb.scripturetext.com/deuteronomy/14.htm| title=|Douay-Rheims Bible| target=|_top|&gt;DRB&lt;/a&gt;</v>
      </c>
      <c r="T167" t="str">
        <f t="shared" si="664"/>
        <v>&lt;/li&gt;&lt;li&gt;&lt;a href=|http://erv.scripturetext.com/deuteronomy/14.htm| title=|English Revised Version| target=|_top|&gt;ERV&lt;/a&gt;</v>
      </c>
      <c r="V167" t="str">
        <f>CONCATENATE("&lt;/li&gt;&lt;li&gt;&lt;a href=|http://",V1191,"/deuteronomy/14.htm","| ","title=|",V1190,"| target=|_top|&gt;",V1192,"&lt;/a&gt;")</f>
        <v>&lt;/li&gt;&lt;li&gt;&lt;a href=|http://study.interlinearbible.org/deuteronomy/14.htm| title=|Hebrew Study Bible| target=|_top|&gt;Heb Study&lt;/a&gt;</v>
      </c>
      <c r="W167" t="str">
        <f t="shared" si="664"/>
        <v>&lt;/li&gt;&lt;li&gt;&lt;a href=|http://apostolic.interlinearbible.org/deuteronomy/14.htm| title=|Apostolic Bible Polyglot Interlinear| target=|_top|&gt;Polyglot&lt;/a&gt;</v>
      </c>
      <c r="X167" t="str">
        <f t="shared" si="664"/>
        <v>&lt;/li&gt;&lt;li&gt;&lt;a href=|http://interlinearbible.org/deuteronomy/14.htm| title=|Interlinear Bible| target=|_top|&gt;Interlin&lt;/a&gt;</v>
      </c>
      <c r="Y167" t="str">
        <f t="shared" ref="Y167" si="665">CONCATENATE("&lt;/li&gt;&lt;li&gt;&lt;a href=|http://",Y1191,"/deuteronomy/14.htm","| ","title=|",Y1190,"| target=|_top|&gt;",Y1192,"&lt;/a&gt;")</f>
        <v>&lt;/li&gt;&lt;li&gt;&lt;a href=|http://bibleoutline.org/deuteronomy/14.htm| title=|Outline with People and Places List| target=|_top|&gt;Outline&lt;/a&gt;</v>
      </c>
      <c r="Z167" t="str">
        <f t="shared" si="664"/>
        <v>&lt;/li&gt;&lt;li&gt;&lt;a href=|http://kjvs.scripturetext.com/deuteronomy/14.htm| title=|King James Bible with Strong's Numbers| target=|_top|&gt;Strong's&lt;/a&gt;</v>
      </c>
      <c r="AA167" t="str">
        <f t="shared" si="664"/>
        <v>&lt;/li&gt;&lt;li&gt;&lt;a href=|http://childrensbibleonline.com/deuteronomy/14.htm| title=|The Children's Bible| target=|_top|&gt;Children's&lt;/a&gt;</v>
      </c>
      <c r="AB167" s="2" t="str">
        <f t="shared" si="664"/>
        <v>&lt;/li&gt;&lt;li&gt;&lt;a href=|http://tsk.scripturetext.com/deuteronomy/14.htm| title=|Treasury of Scripture Knowledge| target=|_top|&gt;TSK&lt;/a&gt;</v>
      </c>
      <c r="AC167" t="str">
        <f>CONCATENATE("&lt;a href=|http://",AC1191,"/deuteronomy/14.htm","| ","title=|",AC1190,"| target=|_top|&gt;",AC1192,"&lt;/a&gt;")</f>
        <v>&lt;a href=|http://parallelbible.com/deuteronomy/14.htm| title=|Parallel Chapters| target=|_top|&gt;PAR&lt;/a&gt;</v>
      </c>
      <c r="AD167" s="2" t="str">
        <f t="shared" ref="AD167:AK167" si="666">CONCATENATE("&lt;/li&gt;&lt;li&gt;&lt;a href=|http://",AD1191,"/deuteronomy/14.htm","| ","title=|",AD1190,"| target=|_top|&gt;",AD1192,"&lt;/a&gt;")</f>
        <v>&lt;/li&gt;&lt;li&gt;&lt;a href=|http://gsb.biblecommenter.com/deuteronomy/14.htm| title=|Geneva Study Bible| target=|_top|&gt;GSB&lt;/a&gt;</v>
      </c>
      <c r="AE167" s="2" t="str">
        <f t="shared" si="666"/>
        <v>&lt;/li&gt;&lt;li&gt;&lt;a href=|http://jfb.biblecommenter.com/deuteronomy/14.htm| title=|Jamieson-Fausset-Brown Bible Commentary| target=|_top|&gt;JFB&lt;/a&gt;</v>
      </c>
      <c r="AF167" s="2" t="str">
        <f t="shared" si="666"/>
        <v>&lt;/li&gt;&lt;li&gt;&lt;a href=|http://kjt.biblecommenter.com/deuteronomy/14.htm| title=|King James Translators' Notes| target=|_top|&gt;KJT&lt;/a&gt;</v>
      </c>
      <c r="AG167" s="2" t="str">
        <f t="shared" si="666"/>
        <v>&lt;/li&gt;&lt;li&gt;&lt;a href=|http://mhc.biblecommenter.com/deuteronomy/14.htm| title=|Matthew Henry's Concise Commentary| target=|_top|&gt;MHC&lt;/a&gt;</v>
      </c>
      <c r="AH167" s="2" t="str">
        <f t="shared" si="666"/>
        <v>&lt;/li&gt;&lt;li&gt;&lt;a href=|http://sco.biblecommenter.com/deuteronomy/14.htm| title=|Scofield Reference Notes| target=|_top|&gt;SCO&lt;/a&gt;</v>
      </c>
      <c r="AI167" s="2" t="str">
        <f t="shared" si="666"/>
        <v>&lt;/li&gt;&lt;li&gt;&lt;a href=|http://wes.biblecommenter.com/deuteronomy/14.htm| title=|Wesley's Notes on the Bible| target=|_top|&gt;WES&lt;/a&gt;</v>
      </c>
      <c r="AJ167" t="str">
        <f t="shared" si="666"/>
        <v>&lt;/li&gt;&lt;li&gt;&lt;a href=|http://worldebible.com/deuteronomy/14.htm| title=|World English Bible| target=|_top|&gt;WEB&lt;/a&gt;</v>
      </c>
      <c r="AK167" t="str">
        <f t="shared" si="666"/>
        <v>&lt;/li&gt;&lt;li&gt;&lt;a href=|http://yltbible.com/deuteronomy/14.htm| title=|Young's Literal Translation| target=|_top|&gt;YLT&lt;/a&gt;</v>
      </c>
      <c r="AL167" t="str">
        <f>CONCATENATE("&lt;a href=|http://",AL1191,"/deuteronomy/14.htm","| ","title=|",AL1190,"| target=|_top|&gt;",AL1192,"&lt;/a&gt;")</f>
        <v>&lt;a href=|http://kjv.us/deuteronomy/14.htm| title=|American King James Version| target=|_top|&gt;AKJ&lt;/a&gt;</v>
      </c>
      <c r="AM167" t="str">
        <f t="shared" ref="AM167:AN167" si="667">CONCATENATE("&lt;/li&gt;&lt;li&gt;&lt;a href=|http://",AM1191,"/deuteronomy/14.htm","| ","title=|",AM1190,"| target=|_top|&gt;",AM1192,"&lt;/a&gt;")</f>
        <v>&lt;/li&gt;&lt;li&gt;&lt;a href=|http://basicenglishbible.com/deuteronomy/14.htm| title=|Bible in Basic English| target=|_top|&gt;BBE&lt;/a&gt;</v>
      </c>
      <c r="AN167" t="str">
        <f t="shared" si="667"/>
        <v>&lt;/li&gt;&lt;li&gt;&lt;a href=|http://darbybible.com/deuteronomy/14.htm| title=|Darby Bible Translation| target=|_top|&gt;DBY&lt;/a&gt;</v>
      </c>
      <c r="AO16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6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6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67" t="str">
        <f>CONCATENATE("&lt;/li&gt;&lt;li&gt;&lt;a href=|http://",AR1191,"/deuteronomy/14.htm","| ","title=|",AR1190,"| target=|_top|&gt;",AR1192,"&lt;/a&gt;")</f>
        <v>&lt;/li&gt;&lt;li&gt;&lt;a href=|http://websterbible.com/deuteronomy/14.htm| title=|Webster's Bible Translation| target=|_top|&gt;WBS&lt;/a&gt;</v>
      </c>
      <c r="AS16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67" t="str">
        <f>CONCATENATE("&lt;/li&gt;&lt;li&gt;&lt;a href=|http://",AT1191,"/deuteronomy/14-1.htm","| ","title=|",AT1190,"| target=|_top|&gt;",AT1192,"&lt;/a&gt;")</f>
        <v>&lt;/li&gt;&lt;li&gt;&lt;a href=|http://biblebrowser.com/deuteronomy/14-1.htm| title=|Split View| target=|_top|&gt;Split&lt;/a&gt;</v>
      </c>
      <c r="AU167" s="2" t="s">
        <v>1276</v>
      </c>
      <c r="AV167" t="s">
        <v>64</v>
      </c>
    </row>
    <row r="168" spans="1:48">
      <c r="A168" t="s">
        <v>622</v>
      </c>
      <c r="B168" t="s">
        <v>221</v>
      </c>
      <c r="C168" t="s">
        <v>624</v>
      </c>
      <c r="D168" t="s">
        <v>1268</v>
      </c>
      <c r="E168" t="s">
        <v>1277</v>
      </c>
      <c r="F168" t="s">
        <v>1304</v>
      </c>
      <c r="G168" t="s">
        <v>1266</v>
      </c>
      <c r="H168" t="s">
        <v>1305</v>
      </c>
      <c r="I168" t="s">
        <v>1303</v>
      </c>
      <c r="J168" t="s">
        <v>1267</v>
      </c>
      <c r="K168" t="s">
        <v>1275</v>
      </c>
      <c r="L168" s="2" t="s">
        <v>1274</v>
      </c>
      <c r="M168" t="str">
        <f t="shared" ref="M168:AB168" si="668">CONCATENATE("&lt;/li&gt;&lt;li&gt;&lt;a href=|http://",M1191,"/deuteronomy/15.htm","| ","title=|",M1190,"| target=|_top|&gt;",M1192,"&lt;/a&gt;")</f>
        <v>&lt;/li&gt;&lt;li&gt;&lt;a href=|http://niv.scripturetext.com/deuteronomy/15.htm| title=|New International Version| target=|_top|&gt;NIV&lt;/a&gt;</v>
      </c>
      <c r="N168" t="str">
        <f t="shared" si="668"/>
        <v>&lt;/li&gt;&lt;li&gt;&lt;a href=|http://nlt.scripturetext.com/deuteronomy/15.htm| title=|New Living Translation| target=|_top|&gt;NLT&lt;/a&gt;</v>
      </c>
      <c r="O168" t="str">
        <f t="shared" si="668"/>
        <v>&lt;/li&gt;&lt;li&gt;&lt;a href=|http://nasb.scripturetext.com/deuteronomy/15.htm| title=|New American Standard Bible| target=|_top|&gt;NAS&lt;/a&gt;</v>
      </c>
      <c r="P168" t="str">
        <f t="shared" si="668"/>
        <v>&lt;/li&gt;&lt;li&gt;&lt;a href=|http://gwt.scripturetext.com/deuteronomy/15.htm| title=|God's Word Translation| target=|_top|&gt;GWT&lt;/a&gt;</v>
      </c>
      <c r="Q168" t="str">
        <f t="shared" si="668"/>
        <v>&lt;/li&gt;&lt;li&gt;&lt;a href=|http://kingjbible.com/deuteronomy/15.htm| title=|King James Bible| target=|_top|&gt;KJV&lt;/a&gt;</v>
      </c>
      <c r="R168" t="str">
        <f t="shared" si="668"/>
        <v>&lt;/li&gt;&lt;li&gt;&lt;a href=|http://asvbible.com/deuteronomy/15.htm| title=|American Standard Version| target=|_top|&gt;ASV&lt;/a&gt;</v>
      </c>
      <c r="S168" t="str">
        <f t="shared" si="668"/>
        <v>&lt;/li&gt;&lt;li&gt;&lt;a href=|http://drb.scripturetext.com/deuteronomy/15.htm| title=|Douay-Rheims Bible| target=|_top|&gt;DRB&lt;/a&gt;</v>
      </c>
      <c r="T168" t="str">
        <f t="shared" si="668"/>
        <v>&lt;/li&gt;&lt;li&gt;&lt;a href=|http://erv.scripturetext.com/deuteronomy/15.htm| title=|English Revised Version| target=|_top|&gt;ERV&lt;/a&gt;</v>
      </c>
      <c r="V168" t="str">
        <f>CONCATENATE("&lt;/li&gt;&lt;li&gt;&lt;a href=|http://",V1191,"/deuteronomy/15.htm","| ","title=|",V1190,"| target=|_top|&gt;",V1192,"&lt;/a&gt;")</f>
        <v>&lt;/li&gt;&lt;li&gt;&lt;a href=|http://study.interlinearbible.org/deuteronomy/15.htm| title=|Hebrew Study Bible| target=|_top|&gt;Heb Study&lt;/a&gt;</v>
      </c>
      <c r="W168" t="str">
        <f t="shared" si="668"/>
        <v>&lt;/li&gt;&lt;li&gt;&lt;a href=|http://apostolic.interlinearbible.org/deuteronomy/15.htm| title=|Apostolic Bible Polyglot Interlinear| target=|_top|&gt;Polyglot&lt;/a&gt;</v>
      </c>
      <c r="X168" t="str">
        <f t="shared" si="668"/>
        <v>&lt;/li&gt;&lt;li&gt;&lt;a href=|http://interlinearbible.org/deuteronomy/15.htm| title=|Interlinear Bible| target=|_top|&gt;Interlin&lt;/a&gt;</v>
      </c>
      <c r="Y168" t="str">
        <f t="shared" ref="Y168" si="669">CONCATENATE("&lt;/li&gt;&lt;li&gt;&lt;a href=|http://",Y1191,"/deuteronomy/15.htm","| ","title=|",Y1190,"| target=|_top|&gt;",Y1192,"&lt;/a&gt;")</f>
        <v>&lt;/li&gt;&lt;li&gt;&lt;a href=|http://bibleoutline.org/deuteronomy/15.htm| title=|Outline with People and Places List| target=|_top|&gt;Outline&lt;/a&gt;</v>
      </c>
      <c r="Z168" t="str">
        <f t="shared" si="668"/>
        <v>&lt;/li&gt;&lt;li&gt;&lt;a href=|http://kjvs.scripturetext.com/deuteronomy/15.htm| title=|King James Bible with Strong's Numbers| target=|_top|&gt;Strong's&lt;/a&gt;</v>
      </c>
      <c r="AA168" t="str">
        <f t="shared" si="668"/>
        <v>&lt;/li&gt;&lt;li&gt;&lt;a href=|http://childrensbibleonline.com/deuteronomy/15.htm| title=|The Children's Bible| target=|_top|&gt;Children's&lt;/a&gt;</v>
      </c>
      <c r="AB168" s="2" t="str">
        <f t="shared" si="668"/>
        <v>&lt;/li&gt;&lt;li&gt;&lt;a href=|http://tsk.scripturetext.com/deuteronomy/15.htm| title=|Treasury of Scripture Knowledge| target=|_top|&gt;TSK&lt;/a&gt;</v>
      </c>
      <c r="AC168" t="str">
        <f>CONCATENATE("&lt;a href=|http://",AC1191,"/deuteronomy/15.htm","| ","title=|",AC1190,"| target=|_top|&gt;",AC1192,"&lt;/a&gt;")</f>
        <v>&lt;a href=|http://parallelbible.com/deuteronomy/15.htm| title=|Parallel Chapters| target=|_top|&gt;PAR&lt;/a&gt;</v>
      </c>
      <c r="AD168" s="2" t="str">
        <f t="shared" ref="AD168:AK168" si="670">CONCATENATE("&lt;/li&gt;&lt;li&gt;&lt;a href=|http://",AD1191,"/deuteronomy/15.htm","| ","title=|",AD1190,"| target=|_top|&gt;",AD1192,"&lt;/a&gt;")</f>
        <v>&lt;/li&gt;&lt;li&gt;&lt;a href=|http://gsb.biblecommenter.com/deuteronomy/15.htm| title=|Geneva Study Bible| target=|_top|&gt;GSB&lt;/a&gt;</v>
      </c>
      <c r="AE168" s="2" t="str">
        <f t="shared" si="670"/>
        <v>&lt;/li&gt;&lt;li&gt;&lt;a href=|http://jfb.biblecommenter.com/deuteronomy/15.htm| title=|Jamieson-Fausset-Brown Bible Commentary| target=|_top|&gt;JFB&lt;/a&gt;</v>
      </c>
      <c r="AF168" s="2" t="str">
        <f t="shared" si="670"/>
        <v>&lt;/li&gt;&lt;li&gt;&lt;a href=|http://kjt.biblecommenter.com/deuteronomy/15.htm| title=|King James Translators' Notes| target=|_top|&gt;KJT&lt;/a&gt;</v>
      </c>
      <c r="AG168" s="2" t="str">
        <f t="shared" si="670"/>
        <v>&lt;/li&gt;&lt;li&gt;&lt;a href=|http://mhc.biblecommenter.com/deuteronomy/15.htm| title=|Matthew Henry's Concise Commentary| target=|_top|&gt;MHC&lt;/a&gt;</v>
      </c>
      <c r="AH168" s="2" t="str">
        <f t="shared" si="670"/>
        <v>&lt;/li&gt;&lt;li&gt;&lt;a href=|http://sco.biblecommenter.com/deuteronomy/15.htm| title=|Scofield Reference Notes| target=|_top|&gt;SCO&lt;/a&gt;</v>
      </c>
      <c r="AI168" s="2" t="str">
        <f t="shared" si="670"/>
        <v>&lt;/li&gt;&lt;li&gt;&lt;a href=|http://wes.biblecommenter.com/deuteronomy/15.htm| title=|Wesley's Notes on the Bible| target=|_top|&gt;WES&lt;/a&gt;</v>
      </c>
      <c r="AJ168" t="str">
        <f t="shared" si="670"/>
        <v>&lt;/li&gt;&lt;li&gt;&lt;a href=|http://worldebible.com/deuteronomy/15.htm| title=|World English Bible| target=|_top|&gt;WEB&lt;/a&gt;</v>
      </c>
      <c r="AK168" t="str">
        <f t="shared" si="670"/>
        <v>&lt;/li&gt;&lt;li&gt;&lt;a href=|http://yltbible.com/deuteronomy/15.htm| title=|Young's Literal Translation| target=|_top|&gt;YLT&lt;/a&gt;</v>
      </c>
      <c r="AL168" t="str">
        <f>CONCATENATE("&lt;a href=|http://",AL1191,"/deuteronomy/15.htm","| ","title=|",AL1190,"| target=|_top|&gt;",AL1192,"&lt;/a&gt;")</f>
        <v>&lt;a href=|http://kjv.us/deuteronomy/15.htm| title=|American King James Version| target=|_top|&gt;AKJ&lt;/a&gt;</v>
      </c>
      <c r="AM168" t="str">
        <f t="shared" ref="AM168:AN168" si="671">CONCATENATE("&lt;/li&gt;&lt;li&gt;&lt;a href=|http://",AM1191,"/deuteronomy/15.htm","| ","title=|",AM1190,"| target=|_top|&gt;",AM1192,"&lt;/a&gt;")</f>
        <v>&lt;/li&gt;&lt;li&gt;&lt;a href=|http://basicenglishbible.com/deuteronomy/15.htm| title=|Bible in Basic English| target=|_top|&gt;BBE&lt;/a&gt;</v>
      </c>
      <c r="AN168" t="str">
        <f t="shared" si="671"/>
        <v>&lt;/li&gt;&lt;li&gt;&lt;a href=|http://darbybible.com/deuteronomy/15.htm| title=|Darby Bible Translation| target=|_top|&gt;DBY&lt;/a&gt;</v>
      </c>
      <c r="AO16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6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6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68" t="str">
        <f>CONCATENATE("&lt;/li&gt;&lt;li&gt;&lt;a href=|http://",AR1191,"/deuteronomy/15.htm","| ","title=|",AR1190,"| target=|_top|&gt;",AR1192,"&lt;/a&gt;")</f>
        <v>&lt;/li&gt;&lt;li&gt;&lt;a href=|http://websterbible.com/deuteronomy/15.htm| title=|Webster's Bible Translation| target=|_top|&gt;WBS&lt;/a&gt;</v>
      </c>
      <c r="AS16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68" t="str">
        <f>CONCATENATE("&lt;/li&gt;&lt;li&gt;&lt;a href=|http://",AT1191,"/deuteronomy/15-1.htm","| ","title=|",AT1190,"| target=|_top|&gt;",AT1192,"&lt;/a&gt;")</f>
        <v>&lt;/li&gt;&lt;li&gt;&lt;a href=|http://biblebrowser.com/deuteronomy/15-1.htm| title=|Split View| target=|_top|&gt;Split&lt;/a&gt;</v>
      </c>
      <c r="AU168" s="2" t="s">
        <v>1276</v>
      </c>
      <c r="AV168" t="s">
        <v>64</v>
      </c>
    </row>
    <row r="169" spans="1:48">
      <c r="A169" t="s">
        <v>622</v>
      </c>
      <c r="B169" t="s">
        <v>222</v>
      </c>
      <c r="C169" t="s">
        <v>624</v>
      </c>
      <c r="D169" t="s">
        <v>1268</v>
      </c>
      <c r="E169" t="s">
        <v>1277</v>
      </c>
      <c r="F169" t="s">
        <v>1304</v>
      </c>
      <c r="G169" t="s">
        <v>1266</v>
      </c>
      <c r="H169" t="s">
        <v>1305</v>
      </c>
      <c r="I169" t="s">
        <v>1303</v>
      </c>
      <c r="J169" t="s">
        <v>1267</v>
      </c>
      <c r="K169" t="s">
        <v>1275</v>
      </c>
      <c r="L169" s="2" t="s">
        <v>1274</v>
      </c>
      <c r="M169" t="str">
        <f t="shared" ref="M169:AB169" si="672">CONCATENATE("&lt;/li&gt;&lt;li&gt;&lt;a href=|http://",M1191,"/deuteronomy/16.htm","| ","title=|",M1190,"| target=|_top|&gt;",M1192,"&lt;/a&gt;")</f>
        <v>&lt;/li&gt;&lt;li&gt;&lt;a href=|http://niv.scripturetext.com/deuteronomy/16.htm| title=|New International Version| target=|_top|&gt;NIV&lt;/a&gt;</v>
      </c>
      <c r="N169" t="str">
        <f t="shared" si="672"/>
        <v>&lt;/li&gt;&lt;li&gt;&lt;a href=|http://nlt.scripturetext.com/deuteronomy/16.htm| title=|New Living Translation| target=|_top|&gt;NLT&lt;/a&gt;</v>
      </c>
      <c r="O169" t="str">
        <f t="shared" si="672"/>
        <v>&lt;/li&gt;&lt;li&gt;&lt;a href=|http://nasb.scripturetext.com/deuteronomy/16.htm| title=|New American Standard Bible| target=|_top|&gt;NAS&lt;/a&gt;</v>
      </c>
      <c r="P169" t="str">
        <f t="shared" si="672"/>
        <v>&lt;/li&gt;&lt;li&gt;&lt;a href=|http://gwt.scripturetext.com/deuteronomy/16.htm| title=|God's Word Translation| target=|_top|&gt;GWT&lt;/a&gt;</v>
      </c>
      <c r="Q169" t="str">
        <f t="shared" si="672"/>
        <v>&lt;/li&gt;&lt;li&gt;&lt;a href=|http://kingjbible.com/deuteronomy/16.htm| title=|King James Bible| target=|_top|&gt;KJV&lt;/a&gt;</v>
      </c>
      <c r="R169" t="str">
        <f t="shared" si="672"/>
        <v>&lt;/li&gt;&lt;li&gt;&lt;a href=|http://asvbible.com/deuteronomy/16.htm| title=|American Standard Version| target=|_top|&gt;ASV&lt;/a&gt;</v>
      </c>
      <c r="S169" t="str">
        <f t="shared" si="672"/>
        <v>&lt;/li&gt;&lt;li&gt;&lt;a href=|http://drb.scripturetext.com/deuteronomy/16.htm| title=|Douay-Rheims Bible| target=|_top|&gt;DRB&lt;/a&gt;</v>
      </c>
      <c r="T169" t="str">
        <f t="shared" si="672"/>
        <v>&lt;/li&gt;&lt;li&gt;&lt;a href=|http://erv.scripturetext.com/deuteronomy/16.htm| title=|English Revised Version| target=|_top|&gt;ERV&lt;/a&gt;</v>
      </c>
      <c r="V169" t="str">
        <f>CONCATENATE("&lt;/li&gt;&lt;li&gt;&lt;a href=|http://",V1191,"/deuteronomy/16.htm","| ","title=|",V1190,"| target=|_top|&gt;",V1192,"&lt;/a&gt;")</f>
        <v>&lt;/li&gt;&lt;li&gt;&lt;a href=|http://study.interlinearbible.org/deuteronomy/16.htm| title=|Hebrew Study Bible| target=|_top|&gt;Heb Study&lt;/a&gt;</v>
      </c>
      <c r="W169" t="str">
        <f t="shared" si="672"/>
        <v>&lt;/li&gt;&lt;li&gt;&lt;a href=|http://apostolic.interlinearbible.org/deuteronomy/16.htm| title=|Apostolic Bible Polyglot Interlinear| target=|_top|&gt;Polyglot&lt;/a&gt;</v>
      </c>
      <c r="X169" t="str">
        <f t="shared" si="672"/>
        <v>&lt;/li&gt;&lt;li&gt;&lt;a href=|http://interlinearbible.org/deuteronomy/16.htm| title=|Interlinear Bible| target=|_top|&gt;Interlin&lt;/a&gt;</v>
      </c>
      <c r="Y169" t="str">
        <f t="shared" ref="Y169" si="673">CONCATENATE("&lt;/li&gt;&lt;li&gt;&lt;a href=|http://",Y1191,"/deuteronomy/16.htm","| ","title=|",Y1190,"| target=|_top|&gt;",Y1192,"&lt;/a&gt;")</f>
        <v>&lt;/li&gt;&lt;li&gt;&lt;a href=|http://bibleoutline.org/deuteronomy/16.htm| title=|Outline with People and Places List| target=|_top|&gt;Outline&lt;/a&gt;</v>
      </c>
      <c r="Z169" t="str">
        <f t="shared" si="672"/>
        <v>&lt;/li&gt;&lt;li&gt;&lt;a href=|http://kjvs.scripturetext.com/deuteronomy/16.htm| title=|King James Bible with Strong's Numbers| target=|_top|&gt;Strong's&lt;/a&gt;</v>
      </c>
      <c r="AA169" t="str">
        <f t="shared" si="672"/>
        <v>&lt;/li&gt;&lt;li&gt;&lt;a href=|http://childrensbibleonline.com/deuteronomy/16.htm| title=|The Children's Bible| target=|_top|&gt;Children's&lt;/a&gt;</v>
      </c>
      <c r="AB169" s="2" t="str">
        <f t="shared" si="672"/>
        <v>&lt;/li&gt;&lt;li&gt;&lt;a href=|http://tsk.scripturetext.com/deuteronomy/16.htm| title=|Treasury of Scripture Knowledge| target=|_top|&gt;TSK&lt;/a&gt;</v>
      </c>
      <c r="AC169" t="str">
        <f>CONCATENATE("&lt;a href=|http://",AC1191,"/deuteronomy/16.htm","| ","title=|",AC1190,"| target=|_top|&gt;",AC1192,"&lt;/a&gt;")</f>
        <v>&lt;a href=|http://parallelbible.com/deuteronomy/16.htm| title=|Parallel Chapters| target=|_top|&gt;PAR&lt;/a&gt;</v>
      </c>
      <c r="AD169" s="2" t="str">
        <f t="shared" ref="AD169:AK169" si="674">CONCATENATE("&lt;/li&gt;&lt;li&gt;&lt;a href=|http://",AD1191,"/deuteronomy/16.htm","| ","title=|",AD1190,"| target=|_top|&gt;",AD1192,"&lt;/a&gt;")</f>
        <v>&lt;/li&gt;&lt;li&gt;&lt;a href=|http://gsb.biblecommenter.com/deuteronomy/16.htm| title=|Geneva Study Bible| target=|_top|&gt;GSB&lt;/a&gt;</v>
      </c>
      <c r="AE169" s="2" t="str">
        <f t="shared" si="674"/>
        <v>&lt;/li&gt;&lt;li&gt;&lt;a href=|http://jfb.biblecommenter.com/deuteronomy/16.htm| title=|Jamieson-Fausset-Brown Bible Commentary| target=|_top|&gt;JFB&lt;/a&gt;</v>
      </c>
      <c r="AF169" s="2" t="str">
        <f t="shared" si="674"/>
        <v>&lt;/li&gt;&lt;li&gt;&lt;a href=|http://kjt.biblecommenter.com/deuteronomy/16.htm| title=|King James Translators' Notes| target=|_top|&gt;KJT&lt;/a&gt;</v>
      </c>
      <c r="AG169" s="2" t="str">
        <f t="shared" si="674"/>
        <v>&lt;/li&gt;&lt;li&gt;&lt;a href=|http://mhc.biblecommenter.com/deuteronomy/16.htm| title=|Matthew Henry's Concise Commentary| target=|_top|&gt;MHC&lt;/a&gt;</v>
      </c>
      <c r="AH169" s="2" t="str">
        <f t="shared" si="674"/>
        <v>&lt;/li&gt;&lt;li&gt;&lt;a href=|http://sco.biblecommenter.com/deuteronomy/16.htm| title=|Scofield Reference Notes| target=|_top|&gt;SCO&lt;/a&gt;</v>
      </c>
      <c r="AI169" s="2" t="str">
        <f t="shared" si="674"/>
        <v>&lt;/li&gt;&lt;li&gt;&lt;a href=|http://wes.biblecommenter.com/deuteronomy/16.htm| title=|Wesley's Notes on the Bible| target=|_top|&gt;WES&lt;/a&gt;</v>
      </c>
      <c r="AJ169" t="str">
        <f t="shared" si="674"/>
        <v>&lt;/li&gt;&lt;li&gt;&lt;a href=|http://worldebible.com/deuteronomy/16.htm| title=|World English Bible| target=|_top|&gt;WEB&lt;/a&gt;</v>
      </c>
      <c r="AK169" t="str">
        <f t="shared" si="674"/>
        <v>&lt;/li&gt;&lt;li&gt;&lt;a href=|http://yltbible.com/deuteronomy/16.htm| title=|Young's Literal Translation| target=|_top|&gt;YLT&lt;/a&gt;</v>
      </c>
      <c r="AL169" t="str">
        <f>CONCATENATE("&lt;a href=|http://",AL1191,"/deuteronomy/16.htm","| ","title=|",AL1190,"| target=|_top|&gt;",AL1192,"&lt;/a&gt;")</f>
        <v>&lt;a href=|http://kjv.us/deuteronomy/16.htm| title=|American King James Version| target=|_top|&gt;AKJ&lt;/a&gt;</v>
      </c>
      <c r="AM169" t="str">
        <f t="shared" ref="AM169:AN169" si="675">CONCATENATE("&lt;/li&gt;&lt;li&gt;&lt;a href=|http://",AM1191,"/deuteronomy/16.htm","| ","title=|",AM1190,"| target=|_top|&gt;",AM1192,"&lt;/a&gt;")</f>
        <v>&lt;/li&gt;&lt;li&gt;&lt;a href=|http://basicenglishbible.com/deuteronomy/16.htm| title=|Bible in Basic English| target=|_top|&gt;BBE&lt;/a&gt;</v>
      </c>
      <c r="AN169" t="str">
        <f t="shared" si="675"/>
        <v>&lt;/li&gt;&lt;li&gt;&lt;a href=|http://darbybible.com/deuteronomy/16.htm| title=|Darby Bible Translation| target=|_top|&gt;DBY&lt;/a&gt;</v>
      </c>
      <c r="AO16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6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6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69" t="str">
        <f>CONCATENATE("&lt;/li&gt;&lt;li&gt;&lt;a href=|http://",AR1191,"/deuteronomy/16.htm","| ","title=|",AR1190,"| target=|_top|&gt;",AR1192,"&lt;/a&gt;")</f>
        <v>&lt;/li&gt;&lt;li&gt;&lt;a href=|http://websterbible.com/deuteronomy/16.htm| title=|Webster's Bible Translation| target=|_top|&gt;WBS&lt;/a&gt;</v>
      </c>
      <c r="AS16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69" t="str">
        <f>CONCATENATE("&lt;/li&gt;&lt;li&gt;&lt;a href=|http://",AT1191,"/deuteronomy/16-1.htm","| ","title=|",AT1190,"| target=|_top|&gt;",AT1192,"&lt;/a&gt;")</f>
        <v>&lt;/li&gt;&lt;li&gt;&lt;a href=|http://biblebrowser.com/deuteronomy/16-1.htm| title=|Split View| target=|_top|&gt;Split&lt;/a&gt;</v>
      </c>
      <c r="AU169" s="2" t="s">
        <v>1276</v>
      </c>
      <c r="AV169" t="s">
        <v>64</v>
      </c>
    </row>
    <row r="170" spans="1:48">
      <c r="A170" t="s">
        <v>622</v>
      </c>
      <c r="B170" t="s">
        <v>223</v>
      </c>
      <c r="C170" t="s">
        <v>624</v>
      </c>
      <c r="D170" t="s">
        <v>1268</v>
      </c>
      <c r="E170" t="s">
        <v>1277</v>
      </c>
      <c r="F170" t="s">
        <v>1304</v>
      </c>
      <c r="G170" t="s">
        <v>1266</v>
      </c>
      <c r="H170" t="s">
        <v>1305</v>
      </c>
      <c r="I170" t="s">
        <v>1303</v>
      </c>
      <c r="J170" t="s">
        <v>1267</v>
      </c>
      <c r="K170" t="s">
        <v>1275</v>
      </c>
      <c r="L170" s="2" t="s">
        <v>1274</v>
      </c>
      <c r="M170" t="str">
        <f t="shared" ref="M170:AB170" si="676">CONCATENATE("&lt;/li&gt;&lt;li&gt;&lt;a href=|http://",M1191,"/deuteronomy/17.htm","| ","title=|",M1190,"| target=|_top|&gt;",M1192,"&lt;/a&gt;")</f>
        <v>&lt;/li&gt;&lt;li&gt;&lt;a href=|http://niv.scripturetext.com/deuteronomy/17.htm| title=|New International Version| target=|_top|&gt;NIV&lt;/a&gt;</v>
      </c>
      <c r="N170" t="str">
        <f t="shared" si="676"/>
        <v>&lt;/li&gt;&lt;li&gt;&lt;a href=|http://nlt.scripturetext.com/deuteronomy/17.htm| title=|New Living Translation| target=|_top|&gt;NLT&lt;/a&gt;</v>
      </c>
      <c r="O170" t="str">
        <f t="shared" si="676"/>
        <v>&lt;/li&gt;&lt;li&gt;&lt;a href=|http://nasb.scripturetext.com/deuteronomy/17.htm| title=|New American Standard Bible| target=|_top|&gt;NAS&lt;/a&gt;</v>
      </c>
      <c r="P170" t="str">
        <f t="shared" si="676"/>
        <v>&lt;/li&gt;&lt;li&gt;&lt;a href=|http://gwt.scripturetext.com/deuteronomy/17.htm| title=|God's Word Translation| target=|_top|&gt;GWT&lt;/a&gt;</v>
      </c>
      <c r="Q170" t="str">
        <f t="shared" si="676"/>
        <v>&lt;/li&gt;&lt;li&gt;&lt;a href=|http://kingjbible.com/deuteronomy/17.htm| title=|King James Bible| target=|_top|&gt;KJV&lt;/a&gt;</v>
      </c>
      <c r="R170" t="str">
        <f t="shared" si="676"/>
        <v>&lt;/li&gt;&lt;li&gt;&lt;a href=|http://asvbible.com/deuteronomy/17.htm| title=|American Standard Version| target=|_top|&gt;ASV&lt;/a&gt;</v>
      </c>
      <c r="S170" t="str">
        <f t="shared" si="676"/>
        <v>&lt;/li&gt;&lt;li&gt;&lt;a href=|http://drb.scripturetext.com/deuteronomy/17.htm| title=|Douay-Rheims Bible| target=|_top|&gt;DRB&lt;/a&gt;</v>
      </c>
      <c r="T170" t="str">
        <f t="shared" si="676"/>
        <v>&lt;/li&gt;&lt;li&gt;&lt;a href=|http://erv.scripturetext.com/deuteronomy/17.htm| title=|English Revised Version| target=|_top|&gt;ERV&lt;/a&gt;</v>
      </c>
      <c r="V170" t="str">
        <f>CONCATENATE("&lt;/li&gt;&lt;li&gt;&lt;a href=|http://",V1191,"/deuteronomy/17.htm","| ","title=|",V1190,"| target=|_top|&gt;",V1192,"&lt;/a&gt;")</f>
        <v>&lt;/li&gt;&lt;li&gt;&lt;a href=|http://study.interlinearbible.org/deuteronomy/17.htm| title=|Hebrew Study Bible| target=|_top|&gt;Heb Study&lt;/a&gt;</v>
      </c>
      <c r="W170" t="str">
        <f t="shared" si="676"/>
        <v>&lt;/li&gt;&lt;li&gt;&lt;a href=|http://apostolic.interlinearbible.org/deuteronomy/17.htm| title=|Apostolic Bible Polyglot Interlinear| target=|_top|&gt;Polyglot&lt;/a&gt;</v>
      </c>
      <c r="X170" t="str">
        <f t="shared" si="676"/>
        <v>&lt;/li&gt;&lt;li&gt;&lt;a href=|http://interlinearbible.org/deuteronomy/17.htm| title=|Interlinear Bible| target=|_top|&gt;Interlin&lt;/a&gt;</v>
      </c>
      <c r="Y170" t="str">
        <f t="shared" ref="Y170" si="677">CONCATENATE("&lt;/li&gt;&lt;li&gt;&lt;a href=|http://",Y1191,"/deuteronomy/17.htm","| ","title=|",Y1190,"| target=|_top|&gt;",Y1192,"&lt;/a&gt;")</f>
        <v>&lt;/li&gt;&lt;li&gt;&lt;a href=|http://bibleoutline.org/deuteronomy/17.htm| title=|Outline with People and Places List| target=|_top|&gt;Outline&lt;/a&gt;</v>
      </c>
      <c r="Z170" t="str">
        <f t="shared" si="676"/>
        <v>&lt;/li&gt;&lt;li&gt;&lt;a href=|http://kjvs.scripturetext.com/deuteronomy/17.htm| title=|King James Bible with Strong's Numbers| target=|_top|&gt;Strong's&lt;/a&gt;</v>
      </c>
      <c r="AA170" t="str">
        <f t="shared" si="676"/>
        <v>&lt;/li&gt;&lt;li&gt;&lt;a href=|http://childrensbibleonline.com/deuteronomy/17.htm| title=|The Children's Bible| target=|_top|&gt;Children's&lt;/a&gt;</v>
      </c>
      <c r="AB170" s="2" t="str">
        <f t="shared" si="676"/>
        <v>&lt;/li&gt;&lt;li&gt;&lt;a href=|http://tsk.scripturetext.com/deuteronomy/17.htm| title=|Treasury of Scripture Knowledge| target=|_top|&gt;TSK&lt;/a&gt;</v>
      </c>
      <c r="AC170" t="str">
        <f>CONCATENATE("&lt;a href=|http://",AC1191,"/deuteronomy/17.htm","| ","title=|",AC1190,"| target=|_top|&gt;",AC1192,"&lt;/a&gt;")</f>
        <v>&lt;a href=|http://parallelbible.com/deuteronomy/17.htm| title=|Parallel Chapters| target=|_top|&gt;PAR&lt;/a&gt;</v>
      </c>
      <c r="AD170" s="2" t="str">
        <f t="shared" ref="AD170:AK170" si="678">CONCATENATE("&lt;/li&gt;&lt;li&gt;&lt;a href=|http://",AD1191,"/deuteronomy/17.htm","| ","title=|",AD1190,"| target=|_top|&gt;",AD1192,"&lt;/a&gt;")</f>
        <v>&lt;/li&gt;&lt;li&gt;&lt;a href=|http://gsb.biblecommenter.com/deuteronomy/17.htm| title=|Geneva Study Bible| target=|_top|&gt;GSB&lt;/a&gt;</v>
      </c>
      <c r="AE170" s="2" t="str">
        <f t="shared" si="678"/>
        <v>&lt;/li&gt;&lt;li&gt;&lt;a href=|http://jfb.biblecommenter.com/deuteronomy/17.htm| title=|Jamieson-Fausset-Brown Bible Commentary| target=|_top|&gt;JFB&lt;/a&gt;</v>
      </c>
      <c r="AF170" s="2" t="str">
        <f t="shared" si="678"/>
        <v>&lt;/li&gt;&lt;li&gt;&lt;a href=|http://kjt.biblecommenter.com/deuteronomy/17.htm| title=|King James Translators' Notes| target=|_top|&gt;KJT&lt;/a&gt;</v>
      </c>
      <c r="AG170" s="2" t="str">
        <f t="shared" si="678"/>
        <v>&lt;/li&gt;&lt;li&gt;&lt;a href=|http://mhc.biblecommenter.com/deuteronomy/17.htm| title=|Matthew Henry's Concise Commentary| target=|_top|&gt;MHC&lt;/a&gt;</v>
      </c>
      <c r="AH170" s="2" t="str">
        <f t="shared" si="678"/>
        <v>&lt;/li&gt;&lt;li&gt;&lt;a href=|http://sco.biblecommenter.com/deuteronomy/17.htm| title=|Scofield Reference Notes| target=|_top|&gt;SCO&lt;/a&gt;</v>
      </c>
      <c r="AI170" s="2" t="str">
        <f t="shared" si="678"/>
        <v>&lt;/li&gt;&lt;li&gt;&lt;a href=|http://wes.biblecommenter.com/deuteronomy/17.htm| title=|Wesley's Notes on the Bible| target=|_top|&gt;WES&lt;/a&gt;</v>
      </c>
      <c r="AJ170" t="str">
        <f t="shared" si="678"/>
        <v>&lt;/li&gt;&lt;li&gt;&lt;a href=|http://worldebible.com/deuteronomy/17.htm| title=|World English Bible| target=|_top|&gt;WEB&lt;/a&gt;</v>
      </c>
      <c r="AK170" t="str">
        <f t="shared" si="678"/>
        <v>&lt;/li&gt;&lt;li&gt;&lt;a href=|http://yltbible.com/deuteronomy/17.htm| title=|Young's Literal Translation| target=|_top|&gt;YLT&lt;/a&gt;</v>
      </c>
      <c r="AL170" t="str">
        <f>CONCATENATE("&lt;a href=|http://",AL1191,"/deuteronomy/17.htm","| ","title=|",AL1190,"| target=|_top|&gt;",AL1192,"&lt;/a&gt;")</f>
        <v>&lt;a href=|http://kjv.us/deuteronomy/17.htm| title=|American King James Version| target=|_top|&gt;AKJ&lt;/a&gt;</v>
      </c>
      <c r="AM170" t="str">
        <f t="shared" ref="AM170:AN170" si="679">CONCATENATE("&lt;/li&gt;&lt;li&gt;&lt;a href=|http://",AM1191,"/deuteronomy/17.htm","| ","title=|",AM1190,"| target=|_top|&gt;",AM1192,"&lt;/a&gt;")</f>
        <v>&lt;/li&gt;&lt;li&gt;&lt;a href=|http://basicenglishbible.com/deuteronomy/17.htm| title=|Bible in Basic English| target=|_top|&gt;BBE&lt;/a&gt;</v>
      </c>
      <c r="AN170" t="str">
        <f t="shared" si="679"/>
        <v>&lt;/li&gt;&lt;li&gt;&lt;a href=|http://darbybible.com/deuteronomy/17.htm| title=|Darby Bible Translation| target=|_top|&gt;DBY&lt;/a&gt;</v>
      </c>
      <c r="AO17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7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7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70" t="str">
        <f>CONCATENATE("&lt;/li&gt;&lt;li&gt;&lt;a href=|http://",AR1191,"/deuteronomy/17.htm","| ","title=|",AR1190,"| target=|_top|&gt;",AR1192,"&lt;/a&gt;")</f>
        <v>&lt;/li&gt;&lt;li&gt;&lt;a href=|http://websterbible.com/deuteronomy/17.htm| title=|Webster's Bible Translation| target=|_top|&gt;WBS&lt;/a&gt;</v>
      </c>
      <c r="AS17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70" t="str">
        <f>CONCATENATE("&lt;/li&gt;&lt;li&gt;&lt;a href=|http://",AT1191,"/deuteronomy/17-1.htm","| ","title=|",AT1190,"| target=|_top|&gt;",AT1192,"&lt;/a&gt;")</f>
        <v>&lt;/li&gt;&lt;li&gt;&lt;a href=|http://biblebrowser.com/deuteronomy/17-1.htm| title=|Split View| target=|_top|&gt;Split&lt;/a&gt;</v>
      </c>
      <c r="AU170" s="2" t="s">
        <v>1276</v>
      </c>
      <c r="AV170" t="s">
        <v>64</v>
      </c>
    </row>
    <row r="171" spans="1:48">
      <c r="A171" t="s">
        <v>622</v>
      </c>
      <c r="B171" t="s">
        <v>224</v>
      </c>
      <c r="C171" t="s">
        <v>624</v>
      </c>
      <c r="D171" t="s">
        <v>1268</v>
      </c>
      <c r="E171" t="s">
        <v>1277</v>
      </c>
      <c r="F171" t="s">
        <v>1304</v>
      </c>
      <c r="G171" t="s">
        <v>1266</v>
      </c>
      <c r="H171" t="s">
        <v>1305</v>
      </c>
      <c r="I171" t="s">
        <v>1303</v>
      </c>
      <c r="J171" t="s">
        <v>1267</v>
      </c>
      <c r="K171" t="s">
        <v>1275</v>
      </c>
      <c r="L171" s="2" t="s">
        <v>1274</v>
      </c>
      <c r="M171" t="str">
        <f t="shared" ref="M171:AB171" si="680">CONCATENATE("&lt;/li&gt;&lt;li&gt;&lt;a href=|http://",M1191,"/deuteronomy/18.htm","| ","title=|",M1190,"| target=|_top|&gt;",M1192,"&lt;/a&gt;")</f>
        <v>&lt;/li&gt;&lt;li&gt;&lt;a href=|http://niv.scripturetext.com/deuteronomy/18.htm| title=|New International Version| target=|_top|&gt;NIV&lt;/a&gt;</v>
      </c>
      <c r="N171" t="str">
        <f t="shared" si="680"/>
        <v>&lt;/li&gt;&lt;li&gt;&lt;a href=|http://nlt.scripturetext.com/deuteronomy/18.htm| title=|New Living Translation| target=|_top|&gt;NLT&lt;/a&gt;</v>
      </c>
      <c r="O171" t="str">
        <f t="shared" si="680"/>
        <v>&lt;/li&gt;&lt;li&gt;&lt;a href=|http://nasb.scripturetext.com/deuteronomy/18.htm| title=|New American Standard Bible| target=|_top|&gt;NAS&lt;/a&gt;</v>
      </c>
      <c r="P171" t="str">
        <f t="shared" si="680"/>
        <v>&lt;/li&gt;&lt;li&gt;&lt;a href=|http://gwt.scripturetext.com/deuteronomy/18.htm| title=|God's Word Translation| target=|_top|&gt;GWT&lt;/a&gt;</v>
      </c>
      <c r="Q171" t="str">
        <f t="shared" si="680"/>
        <v>&lt;/li&gt;&lt;li&gt;&lt;a href=|http://kingjbible.com/deuteronomy/18.htm| title=|King James Bible| target=|_top|&gt;KJV&lt;/a&gt;</v>
      </c>
      <c r="R171" t="str">
        <f t="shared" si="680"/>
        <v>&lt;/li&gt;&lt;li&gt;&lt;a href=|http://asvbible.com/deuteronomy/18.htm| title=|American Standard Version| target=|_top|&gt;ASV&lt;/a&gt;</v>
      </c>
      <c r="S171" t="str">
        <f t="shared" si="680"/>
        <v>&lt;/li&gt;&lt;li&gt;&lt;a href=|http://drb.scripturetext.com/deuteronomy/18.htm| title=|Douay-Rheims Bible| target=|_top|&gt;DRB&lt;/a&gt;</v>
      </c>
      <c r="T171" t="str">
        <f t="shared" si="680"/>
        <v>&lt;/li&gt;&lt;li&gt;&lt;a href=|http://erv.scripturetext.com/deuteronomy/18.htm| title=|English Revised Version| target=|_top|&gt;ERV&lt;/a&gt;</v>
      </c>
      <c r="V171" t="str">
        <f>CONCATENATE("&lt;/li&gt;&lt;li&gt;&lt;a href=|http://",V1191,"/deuteronomy/18.htm","| ","title=|",V1190,"| target=|_top|&gt;",V1192,"&lt;/a&gt;")</f>
        <v>&lt;/li&gt;&lt;li&gt;&lt;a href=|http://study.interlinearbible.org/deuteronomy/18.htm| title=|Hebrew Study Bible| target=|_top|&gt;Heb Study&lt;/a&gt;</v>
      </c>
      <c r="W171" t="str">
        <f t="shared" si="680"/>
        <v>&lt;/li&gt;&lt;li&gt;&lt;a href=|http://apostolic.interlinearbible.org/deuteronomy/18.htm| title=|Apostolic Bible Polyglot Interlinear| target=|_top|&gt;Polyglot&lt;/a&gt;</v>
      </c>
      <c r="X171" t="str">
        <f t="shared" si="680"/>
        <v>&lt;/li&gt;&lt;li&gt;&lt;a href=|http://interlinearbible.org/deuteronomy/18.htm| title=|Interlinear Bible| target=|_top|&gt;Interlin&lt;/a&gt;</v>
      </c>
      <c r="Y171" t="str">
        <f t="shared" ref="Y171" si="681">CONCATENATE("&lt;/li&gt;&lt;li&gt;&lt;a href=|http://",Y1191,"/deuteronomy/18.htm","| ","title=|",Y1190,"| target=|_top|&gt;",Y1192,"&lt;/a&gt;")</f>
        <v>&lt;/li&gt;&lt;li&gt;&lt;a href=|http://bibleoutline.org/deuteronomy/18.htm| title=|Outline with People and Places List| target=|_top|&gt;Outline&lt;/a&gt;</v>
      </c>
      <c r="Z171" t="str">
        <f t="shared" si="680"/>
        <v>&lt;/li&gt;&lt;li&gt;&lt;a href=|http://kjvs.scripturetext.com/deuteronomy/18.htm| title=|King James Bible with Strong's Numbers| target=|_top|&gt;Strong's&lt;/a&gt;</v>
      </c>
      <c r="AA171" t="str">
        <f t="shared" si="680"/>
        <v>&lt;/li&gt;&lt;li&gt;&lt;a href=|http://childrensbibleonline.com/deuteronomy/18.htm| title=|The Children's Bible| target=|_top|&gt;Children's&lt;/a&gt;</v>
      </c>
      <c r="AB171" s="2" t="str">
        <f t="shared" si="680"/>
        <v>&lt;/li&gt;&lt;li&gt;&lt;a href=|http://tsk.scripturetext.com/deuteronomy/18.htm| title=|Treasury of Scripture Knowledge| target=|_top|&gt;TSK&lt;/a&gt;</v>
      </c>
      <c r="AC171" t="str">
        <f>CONCATENATE("&lt;a href=|http://",AC1191,"/deuteronomy/18.htm","| ","title=|",AC1190,"| target=|_top|&gt;",AC1192,"&lt;/a&gt;")</f>
        <v>&lt;a href=|http://parallelbible.com/deuteronomy/18.htm| title=|Parallel Chapters| target=|_top|&gt;PAR&lt;/a&gt;</v>
      </c>
      <c r="AD171" s="2" t="str">
        <f t="shared" ref="AD171:AK171" si="682">CONCATENATE("&lt;/li&gt;&lt;li&gt;&lt;a href=|http://",AD1191,"/deuteronomy/18.htm","| ","title=|",AD1190,"| target=|_top|&gt;",AD1192,"&lt;/a&gt;")</f>
        <v>&lt;/li&gt;&lt;li&gt;&lt;a href=|http://gsb.biblecommenter.com/deuteronomy/18.htm| title=|Geneva Study Bible| target=|_top|&gt;GSB&lt;/a&gt;</v>
      </c>
      <c r="AE171" s="2" t="str">
        <f t="shared" si="682"/>
        <v>&lt;/li&gt;&lt;li&gt;&lt;a href=|http://jfb.biblecommenter.com/deuteronomy/18.htm| title=|Jamieson-Fausset-Brown Bible Commentary| target=|_top|&gt;JFB&lt;/a&gt;</v>
      </c>
      <c r="AF171" s="2" t="str">
        <f t="shared" si="682"/>
        <v>&lt;/li&gt;&lt;li&gt;&lt;a href=|http://kjt.biblecommenter.com/deuteronomy/18.htm| title=|King James Translators' Notes| target=|_top|&gt;KJT&lt;/a&gt;</v>
      </c>
      <c r="AG171" s="2" t="str">
        <f t="shared" si="682"/>
        <v>&lt;/li&gt;&lt;li&gt;&lt;a href=|http://mhc.biblecommenter.com/deuteronomy/18.htm| title=|Matthew Henry's Concise Commentary| target=|_top|&gt;MHC&lt;/a&gt;</v>
      </c>
      <c r="AH171" s="2" t="str">
        <f t="shared" si="682"/>
        <v>&lt;/li&gt;&lt;li&gt;&lt;a href=|http://sco.biblecommenter.com/deuteronomy/18.htm| title=|Scofield Reference Notes| target=|_top|&gt;SCO&lt;/a&gt;</v>
      </c>
      <c r="AI171" s="2" t="str">
        <f t="shared" si="682"/>
        <v>&lt;/li&gt;&lt;li&gt;&lt;a href=|http://wes.biblecommenter.com/deuteronomy/18.htm| title=|Wesley's Notes on the Bible| target=|_top|&gt;WES&lt;/a&gt;</v>
      </c>
      <c r="AJ171" t="str">
        <f t="shared" si="682"/>
        <v>&lt;/li&gt;&lt;li&gt;&lt;a href=|http://worldebible.com/deuteronomy/18.htm| title=|World English Bible| target=|_top|&gt;WEB&lt;/a&gt;</v>
      </c>
      <c r="AK171" t="str">
        <f t="shared" si="682"/>
        <v>&lt;/li&gt;&lt;li&gt;&lt;a href=|http://yltbible.com/deuteronomy/18.htm| title=|Young's Literal Translation| target=|_top|&gt;YLT&lt;/a&gt;</v>
      </c>
      <c r="AL171" t="str">
        <f>CONCATENATE("&lt;a href=|http://",AL1191,"/deuteronomy/18.htm","| ","title=|",AL1190,"| target=|_top|&gt;",AL1192,"&lt;/a&gt;")</f>
        <v>&lt;a href=|http://kjv.us/deuteronomy/18.htm| title=|American King James Version| target=|_top|&gt;AKJ&lt;/a&gt;</v>
      </c>
      <c r="AM171" t="str">
        <f t="shared" ref="AM171:AN171" si="683">CONCATENATE("&lt;/li&gt;&lt;li&gt;&lt;a href=|http://",AM1191,"/deuteronomy/18.htm","| ","title=|",AM1190,"| target=|_top|&gt;",AM1192,"&lt;/a&gt;")</f>
        <v>&lt;/li&gt;&lt;li&gt;&lt;a href=|http://basicenglishbible.com/deuteronomy/18.htm| title=|Bible in Basic English| target=|_top|&gt;BBE&lt;/a&gt;</v>
      </c>
      <c r="AN171" t="str">
        <f t="shared" si="683"/>
        <v>&lt;/li&gt;&lt;li&gt;&lt;a href=|http://darbybible.com/deuteronomy/18.htm| title=|Darby Bible Translation| target=|_top|&gt;DBY&lt;/a&gt;</v>
      </c>
      <c r="AO17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7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7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71" t="str">
        <f>CONCATENATE("&lt;/li&gt;&lt;li&gt;&lt;a href=|http://",AR1191,"/deuteronomy/18.htm","| ","title=|",AR1190,"| target=|_top|&gt;",AR1192,"&lt;/a&gt;")</f>
        <v>&lt;/li&gt;&lt;li&gt;&lt;a href=|http://websterbible.com/deuteronomy/18.htm| title=|Webster's Bible Translation| target=|_top|&gt;WBS&lt;/a&gt;</v>
      </c>
      <c r="AS17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71" t="str">
        <f>CONCATENATE("&lt;/li&gt;&lt;li&gt;&lt;a href=|http://",AT1191,"/deuteronomy/18-1.htm","| ","title=|",AT1190,"| target=|_top|&gt;",AT1192,"&lt;/a&gt;")</f>
        <v>&lt;/li&gt;&lt;li&gt;&lt;a href=|http://biblebrowser.com/deuteronomy/18-1.htm| title=|Split View| target=|_top|&gt;Split&lt;/a&gt;</v>
      </c>
      <c r="AU171" s="2" t="s">
        <v>1276</v>
      </c>
      <c r="AV171" t="s">
        <v>64</v>
      </c>
    </row>
    <row r="172" spans="1:48">
      <c r="A172" t="s">
        <v>622</v>
      </c>
      <c r="B172" t="s">
        <v>225</v>
      </c>
      <c r="C172" t="s">
        <v>624</v>
      </c>
      <c r="D172" t="s">
        <v>1268</v>
      </c>
      <c r="E172" t="s">
        <v>1277</v>
      </c>
      <c r="F172" t="s">
        <v>1304</v>
      </c>
      <c r="G172" t="s">
        <v>1266</v>
      </c>
      <c r="H172" t="s">
        <v>1305</v>
      </c>
      <c r="I172" t="s">
        <v>1303</v>
      </c>
      <c r="J172" t="s">
        <v>1267</v>
      </c>
      <c r="K172" t="s">
        <v>1275</v>
      </c>
      <c r="L172" s="2" t="s">
        <v>1274</v>
      </c>
      <c r="M172" t="str">
        <f t="shared" ref="M172:AB172" si="684">CONCATENATE("&lt;/li&gt;&lt;li&gt;&lt;a href=|http://",M1191,"/deuteronomy/19.htm","| ","title=|",M1190,"| target=|_top|&gt;",M1192,"&lt;/a&gt;")</f>
        <v>&lt;/li&gt;&lt;li&gt;&lt;a href=|http://niv.scripturetext.com/deuteronomy/19.htm| title=|New International Version| target=|_top|&gt;NIV&lt;/a&gt;</v>
      </c>
      <c r="N172" t="str">
        <f t="shared" si="684"/>
        <v>&lt;/li&gt;&lt;li&gt;&lt;a href=|http://nlt.scripturetext.com/deuteronomy/19.htm| title=|New Living Translation| target=|_top|&gt;NLT&lt;/a&gt;</v>
      </c>
      <c r="O172" t="str">
        <f t="shared" si="684"/>
        <v>&lt;/li&gt;&lt;li&gt;&lt;a href=|http://nasb.scripturetext.com/deuteronomy/19.htm| title=|New American Standard Bible| target=|_top|&gt;NAS&lt;/a&gt;</v>
      </c>
      <c r="P172" t="str">
        <f t="shared" si="684"/>
        <v>&lt;/li&gt;&lt;li&gt;&lt;a href=|http://gwt.scripturetext.com/deuteronomy/19.htm| title=|God's Word Translation| target=|_top|&gt;GWT&lt;/a&gt;</v>
      </c>
      <c r="Q172" t="str">
        <f t="shared" si="684"/>
        <v>&lt;/li&gt;&lt;li&gt;&lt;a href=|http://kingjbible.com/deuteronomy/19.htm| title=|King James Bible| target=|_top|&gt;KJV&lt;/a&gt;</v>
      </c>
      <c r="R172" t="str">
        <f t="shared" si="684"/>
        <v>&lt;/li&gt;&lt;li&gt;&lt;a href=|http://asvbible.com/deuteronomy/19.htm| title=|American Standard Version| target=|_top|&gt;ASV&lt;/a&gt;</v>
      </c>
      <c r="S172" t="str">
        <f t="shared" si="684"/>
        <v>&lt;/li&gt;&lt;li&gt;&lt;a href=|http://drb.scripturetext.com/deuteronomy/19.htm| title=|Douay-Rheims Bible| target=|_top|&gt;DRB&lt;/a&gt;</v>
      </c>
      <c r="T172" t="str">
        <f t="shared" si="684"/>
        <v>&lt;/li&gt;&lt;li&gt;&lt;a href=|http://erv.scripturetext.com/deuteronomy/19.htm| title=|English Revised Version| target=|_top|&gt;ERV&lt;/a&gt;</v>
      </c>
      <c r="V172" t="str">
        <f>CONCATENATE("&lt;/li&gt;&lt;li&gt;&lt;a href=|http://",V1191,"/deuteronomy/19.htm","| ","title=|",V1190,"| target=|_top|&gt;",V1192,"&lt;/a&gt;")</f>
        <v>&lt;/li&gt;&lt;li&gt;&lt;a href=|http://study.interlinearbible.org/deuteronomy/19.htm| title=|Hebrew Study Bible| target=|_top|&gt;Heb Study&lt;/a&gt;</v>
      </c>
      <c r="W172" t="str">
        <f t="shared" si="684"/>
        <v>&lt;/li&gt;&lt;li&gt;&lt;a href=|http://apostolic.interlinearbible.org/deuteronomy/19.htm| title=|Apostolic Bible Polyglot Interlinear| target=|_top|&gt;Polyglot&lt;/a&gt;</v>
      </c>
      <c r="X172" t="str">
        <f t="shared" si="684"/>
        <v>&lt;/li&gt;&lt;li&gt;&lt;a href=|http://interlinearbible.org/deuteronomy/19.htm| title=|Interlinear Bible| target=|_top|&gt;Interlin&lt;/a&gt;</v>
      </c>
      <c r="Y172" t="str">
        <f t="shared" ref="Y172" si="685">CONCATENATE("&lt;/li&gt;&lt;li&gt;&lt;a href=|http://",Y1191,"/deuteronomy/19.htm","| ","title=|",Y1190,"| target=|_top|&gt;",Y1192,"&lt;/a&gt;")</f>
        <v>&lt;/li&gt;&lt;li&gt;&lt;a href=|http://bibleoutline.org/deuteronomy/19.htm| title=|Outline with People and Places List| target=|_top|&gt;Outline&lt;/a&gt;</v>
      </c>
      <c r="Z172" t="str">
        <f t="shared" si="684"/>
        <v>&lt;/li&gt;&lt;li&gt;&lt;a href=|http://kjvs.scripturetext.com/deuteronomy/19.htm| title=|King James Bible with Strong's Numbers| target=|_top|&gt;Strong's&lt;/a&gt;</v>
      </c>
      <c r="AA172" t="str">
        <f t="shared" si="684"/>
        <v>&lt;/li&gt;&lt;li&gt;&lt;a href=|http://childrensbibleonline.com/deuteronomy/19.htm| title=|The Children's Bible| target=|_top|&gt;Children's&lt;/a&gt;</v>
      </c>
      <c r="AB172" s="2" t="str">
        <f t="shared" si="684"/>
        <v>&lt;/li&gt;&lt;li&gt;&lt;a href=|http://tsk.scripturetext.com/deuteronomy/19.htm| title=|Treasury of Scripture Knowledge| target=|_top|&gt;TSK&lt;/a&gt;</v>
      </c>
      <c r="AC172" t="str">
        <f>CONCATENATE("&lt;a href=|http://",AC1191,"/deuteronomy/19.htm","| ","title=|",AC1190,"| target=|_top|&gt;",AC1192,"&lt;/a&gt;")</f>
        <v>&lt;a href=|http://parallelbible.com/deuteronomy/19.htm| title=|Parallel Chapters| target=|_top|&gt;PAR&lt;/a&gt;</v>
      </c>
      <c r="AD172" s="2" t="str">
        <f t="shared" ref="AD172:AK172" si="686">CONCATENATE("&lt;/li&gt;&lt;li&gt;&lt;a href=|http://",AD1191,"/deuteronomy/19.htm","| ","title=|",AD1190,"| target=|_top|&gt;",AD1192,"&lt;/a&gt;")</f>
        <v>&lt;/li&gt;&lt;li&gt;&lt;a href=|http://gsb.biblecommenter.com/deuteronomy/19.htm| title=|Geneva Study Bible| target=|_top|&gt;GSB&lt;/a&gt;</v>
      </c>
      <c r="AE172" s="2" t="str">
        <f t="shared" si="686"/>
        <v>&lt;/li&gt;&lt;li&gt;&lt;a href=|http://jfb.biblecommenter.com/deuteronomy/19.htm| title=|Jamieson-Fausset-Brown Bible Commentary| target=|_top|&gt;JFB&lt;/a&gt;</v>
      </c>
      <c r="AF172" s="2" t="str">
        <f t="shared" si="686"/>
        <v>&lt;/li&gt;&lt;li&gt;&lt;a href=|http://kjt.biblecommenter.com/deuteronomy/19.htm| title=|King James Translators' Notes| target=|_top|&gt;KJT&lt;/a&gt;</v>
      </c>
      <c r="AG172" s="2" t="str">
        <f t="shared" si="686"/>
        <v>&lt;/li&gt;&lt;li&gt;&lt;a href=|http://mhc.biblecommenter.com/deuteronomy/19.htm| title=|Matthew Henry's Concise Commentary| target=|_top|&gt;MHC&lt;/a&gt;</v>
      </c>
      <c r="AH172" s="2" t="str">
        <f t="shared" si="686"/>
        <v>&lt;/li&gt;&lt;li&gt;&lt;a href=|http://sco.biblecommenter.com/deuteronomy/19.htm| title=|Scofield Reference Notes| target=|_top|&gt;SCO&lt;/a&gt;</v>
      </c>
      <c r="AI172" s="2" t="str">
        <f t="shared" si="686"/>
        <v>&lt;/li&gt;&lt;li&gt;&lt;a href=|http://wes.biblecommenter.com/deuteronomy/19.htm| title=|Wesley's Notes on the Bible| target=|_top|&gt;WES&lt;/a&gt;</v>
      </c>
      <c r="AJ172" t="str">
        <f t="shared" si="686"/>
        <v>&lt;/li&gt;&lt;li&gt;&lt;a href=|http://worldebible.com/deuteronomy/19.htm| title=|World English Bible| target=|_top|&gt;WEB&lt;/a&gt;</v>
      </c>
      <c r="AK172" t="str">
        <f t="shared" si="686"/>
        <v>&lt;/li&gt;&lt;li&gt;&lt;a href=|http://yltbible.com/deuteronomy/19.htm| title=|Young's Literal Translation| target=|_top|&gt;YLT&lt;/a&gt;</v>
      </c>
      <c r="AL172" t="str">
        <f>CONCATENATE("&lt;a href=|http://",AL1191,"/deuteronomy/19.htm","| ","title=|",AL1190,"| target=|_top|&gt;",AL1192,"&lt;/a&gt;")</f>
        <v>&lt;a href=|http://kjv.us/deuteronomy/19.htm| title=|American King James Version| target=|_top|&gt;AKJ&lt;/a&gt;</v>
      </c>
      <c r="AM172" t="str">
        <f t="shared" ref="AM172:AN172" si="687">CONCATENATE("&lt;/li&gt;&lt;li&gt;&lt;a href=|http://",AM1191,"/deuteronomy/19.htm","| ","title=|",AM1190,"| target=|_top|&gt;",AM1192,"&lt;/a&gt;")</f>
        <v>&lt;/li&gt;&lt;li&gt;&lt;a href=|http://basicenglishbible.com/deuteronomy/19.htm| title=|Bible in Basic English| target=|_top|&gt;BBE&lt;/a&gt;</v>
      </c>
      <c r="AN172" t="str">
        <f t="shared" si="687"/>
        <v>&lt;/li&gt;&lt;li&gt;&lt;a href=|http://darbybible.com/deuteronomy/19.htm| title=|Darby Bible Translation| target=|_top|&gt;DBY&lt;/a&gt;</v>
      </c>
      <c r="AO17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7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7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72" t="str">
        <f>CONCATENATE("&lt;/li&gt;&lt;li&gt;&lt;a href=|http://",AR1191,"/deuteronomy/19.htm","| ","title=|",AR1190,"| target=|_top|&gt;",AR1192,"&lt;/a&gt;")</f>
        <v>&lt;/li&gt;&lt;li&gt;&lt;a href=|http://websterbible.com/deuteronomy/19.htm| title=|Webster's Bible Translation| target=|_top|&gt;WBS&lt;/a&gt;</v>
      </c>
      <c r="AS17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72" t="str">
        <f>CONCATENATE("&lt;/li&gt;&lt;li&gt;&lt;a href=|http://",AT1191,"/deuteronomy/19-1.htm","| ","title=|",AT1190,"| target=|_top|&gt;",AT1192,"&lt;/a&gt;")</f>
        <v>&lt;/li&gt;&lt;li&gt;&lt;a href=|http://biblebrowser.com/deuteronomy/19-1.htm| title=|Split View| target=|_top|&gt;Split&lt;/a&gt;</v>
      </c>
      <c r="AU172" s="2" t="s">
        <v>1276</v>
      </c>
      <c r="AV172" t="s">
        <v>64</v>
      </c>
    </row>
    <row r="173" spans="1:48">
      <c r="A173" t="s">
        <v>622</v>
      </c>
      <c r="B173" t="s">
        <v>226</v>
      </c>
      <c r="C173" t="s">
        <v>624</v>
      </c>
      <c r="D173" t="s">
        <v>1268</v>
      </c>
      <c r="E173" t="s">
        <v>1277</v>
      </c>
      <c r="F173" t="s">
        <v>1304</v>
      </c>
      <c r="G173" t="s">
        <v>1266</v>
      </c>
      <c r="H173" t="s">
        <v>1305</v>
      </c>
      <c r="I173" t="s">
        <v>1303</v>
      </c>
      <c r="J173" t="s">
        <v>1267</v>
      </c>
      <c r="K173" t="s">
        <v>1275</v>
      </c>
      <c r="L173" s="2" t="s">
        <v>1274</v>
      </c>
      <c r="M173" t="str">
        <f t="shared" ref="M173:AB173" si="688">CONCATENATE("&lt;/li&gt;&lt;li&gt;&lt;a href=|http://",M1191,"/deuteronomy/20.htm","| ","title=|",M1190,"| target=|_top|&gt;",M1192,"&lt;/a&gt;")</f>
        <v>&lt;/li&gt;&lt;li&gt;&lt;a href=|http://niv.scripturetext.com/deuteronomy/20.htm| title=|New International Version| target=|_top|&gt;NIV&lt;/a&gt;</v>
      </c>
      <c r="N173" t="str">
        <f t="shared" si="688"/>
        <v>&lt;/li&gt;&lt;li&gt;&lt;a href=|http://nlt.scripturetext.com/deuteronomy/20.htm| title=|New Living Translation| target=|_top|&gt;NLT&lt;/a&gt;</v>
      </c>
      <c r="O173" t="str">
        <f t="shared" si="688"/>
        <v>&lt;/li&gt;&lt;li&gt;&lt;a href=|http://nasb.scripturetext.com/deuteronomy/20.htm| title=|New American Standard Bible| target=|_top|&gt;NAS&lt;/a&gt;</v>
      </c>
      <c r="P173" t="str">
        <f t="shared" si="688"/>
        <v>&lt;/li&gt;&lt;li&gt;&lt;a href=|http://gwt.scripturetext.com/deuteronomy/20.htm| title=|God's Word Translation| target=|_top|&gt;GWT&lt;/a&gt;</v>
      </c>
      <c r="Q173" t="str">
        <f t="shared" si="688"/>
        <v>&lt;/li&gt;&lt;li&gt;&lt;a href=|http://kingjbible.com/deuteronomy/20.htm| title=|King James Bible| target=|_top|&gt;KJV&lt;/a&gt;</v>
      </c>
      <c r="R173" t="str">
        <f t="shared" si="688"/>
        <v>&lt;/li&gt;&lt;li&gt;&lt;a href=|http://asvbible.com/deuteronomy/20.htm| title=|American Standard Version| target=|_top|&gt;ASV&lt;/a&gt;</v>
      </c>
      <c r="S173" t="str">
        <f t="shared" si="688"/>
        <v>&lt;/li&gt;&lt;li&gt;&lt;a href=|http://drb.scripturetext.com/deuteronomy/20.htm| title=|Douay-Rheims Bible| target=|_top|&gt;DRB&lt;/a&gt;</v>
      </c>
      <c r="T173" t="str">
        <f t="shared" si="688"/>
        <v>&lt;/li&gt;&lt;li&gt;&lt;a href=|http://erv.scripturetext.com/deuteronomy/20.htm| title=|English Revised Version| target=|_top|&gt;ERV&lt;/a&gt;</v>
      </c>
      <c r="V173" t="str">
        <f>CONCATENATE("&lt;/li&gt;&lt;li&gt;&lt;a href=|http://",V1191,"/deuteronomy/20.htm","| ","title=|",V1190,"| target=|_top|&gt;",V1192,"&lt;/a&gt;")</f>
        <v>&lt;/li&gt;&lt;li&gt;&lt;a href=|http://study.interlinearbible.org/deuteronomy/20.htm| title=|Hebrew Study Bible| target=|_top|&gt;Heb Study&lt;/a&gt;</v>
      </c>
      <c r="W173" t="str">
        <f t="shared" si="688"/>
        <v>&lt;/li&gt;&lt;li&gt;&lt;a href=|http://apostolic.interlinearbible.org/deuteronomy/20.htm| title=|Apostolic Bible Polyglot Interlinear| target=|_top|&gt;Polyglot&lt;/a&gt;</v>
      </c>
      <c r="X173" t="str">
        <f t="shared" si="688"/>
        <v>&lt;/li&gt;&lt;li&gt;&lt;a href=|http://interlinearbible.org/deuteronomy/20.htm| title=|Interlinear Bible| target=|_top|&gt;Interlin&lt;/a&gt;</v>
      </c>
      <c r="Y173" t="str">
        <f t="shared" ref="Y173" si="689">CONCATENATE("&lt;/li&gt;&lt;li&gt;&lt;a href=|http://",Y1191,"/deuteronomy/20.htm","| ","title=|",Y1190,"| target=|_top|&gt;",Y1192,"&lt;/a&gt;")</f>
        <v>&lt;/li&gt;&lt;li&gt;&lt;a href=|http://bibleoutline.org/deuteronomy/20.htm| title=|Outline with People and Places List| target=|_top|&gt;Outline&lt;/a&gt;</v>
      </c>
      <c r="Z173" t="str">
        <f t="shared" si="688"/>
        <v>&lt;/li&gt;&lt;li&gt;&lt;a href=|http://kjvs.scripturetext.com/deuteronomy/20.htm| title=|King James Bible with Strong's Numbers| target=|_top|&gt;Strong's&lt;/a&gt;</v>
      </c>
      <c r="AA173" t="str">
        <f t="shared" si="688"/>
        <v>&lt;/li&gt;&lt;li&gt;&lt;a href=|http://childrensbibleonline.com/deuteronomy/20.htm| title=|The Children's Bible| target=|_top|&gt;Children's&lt;/a&gt;</v>
      </c>
      <c r="AB173" s="2" t="str">
        <f t="shared" si="688"/>
        <v>&lt;/li&gt;&lt;li&gt;&lt;a href=|http://tsk.scripturetext.com/deuteronomy/20.htm| title=|Treasury of Scripture Knowledge| target=|_top|&gt;TSK&lt;/a&gt;</v>
      </c>
      <c r="AC173" t="str">
        <f>CONCATENATE("&lt;a href=|http://",AC1191,"/deuteronomy/20.htm","| ","title=|",AC1190,"| target=|_top|&gt;",AC1192,"&lt;/a&gt;")</f>
        <v>&lt;a href=|http://parallelbible.com/deuteronomy/20.htm| title=|Parallel Chapters| target=|_top|&gt;PAR&lt;/a&gt;</v>
      </c>
      <c r="AD173" s="2" t="str">
        <f t="shared" ref="AD173:AK173" si="690">CONCATENATE("&lt;/li&gt;&lt;li&gt;&lt;a href=|http://",AD1191,"/deuteronomy/20.htm","| ","title=|",AD1190,"| target=|_top|&gt;",AD1192,"&lt;/a&gt;")</f>
        <v>&lt;/li&gt;&lt;li&gt;&lt;a href=|http://gsb.biblecommenter.com/deuteronomy/20.htm| title=|Geneva Study Bible| target=|_top|&gt;GSB&lt;/a&gt;</v>
      </c>
      <c r="AE173" s="2" t="str">
        <f t="shared" si="690"/>
        <v>&lt;/li&gt;&lt;li&gt;&lt;a href=|http://jfb.biblecommenter.com/deuteronomy/20.htm| title=|Jamieson-Fausset-Brown Bible Commentary| target=|_top|&gt;JFB&lt;/a&gt;</v>
      </c>
      <c r="AF173" s="2" t="str">
        <f t="shared" si="690"/>
        <v>&lt;/li&gt;&lt;li&gt;&lt;a href=|http://kjt.biblecommenter.com/deuteronomy/20.htm| title=|King James Translators' Notes| target=|_top|&gt;KJT&lt;/a&gt;</v>
      </c>
      <c r="AG173" s="2" t="str">
        <f t="shared" si="690"/>
        <v>&lt;/li&gt;&lt;li&gt;&lt;a href=|http://mhc.biblecommenter.com/deuteronomy/20.htm| title=|Matthew Henry's Concise Commentary| target=|_top|&gt;MHC&lt;/a&gt;</v>
      </c>
      <c r="AH173" s="2" t="str">
        <f t="shared" si="690"/>
        <v>&lt;/li&gt;&lt;li&gt;&lt;a href=|http://sco.biblecommenter.com/deuteronomy/20.htm| title=|Scofield Reference Notes| target=|_top|&gt;SCO&lt;/a&gt;</v>
      </c>
      <c r="AI173" s="2" t="str">
        <f t="shared" si="690"/>
        <v>&lt;/li&gt;&lt;li&gt;&lt;a href=|http://wes.biblecommenter.com/deuteronomy/20.htm| title=|Wesley's Notes on the Bible| target=|_top|&gt;WES&lt;/a&gt;</v>
      </c>
      <c r="AJ173" t="str">
        <f t="shared" si="690"/>
        <v>&lt;/li&gt;&lt;li&gt;&lt;a href=|http://worldebible.com/deuteronomy/20.htm| title=|World English Bible| target=|_top|&gt;WEB&lt;/a&gt;</v>
      </c>
      <c r="AK173" t="str">
        <f t="shared" si="690"/>
        <v>&lt;/li&gt;&lt;li&gt;&lt;a href=|http://yltbible.com/deuteronomy/20.htm| title=|Young's Literal Translation| target=|_top|&gt;YLT&lt;/a&gt;</v>
      </c>
      <c r="AL173" t="str">
        <f>CONCATENATE("&lt;a href=|http://",AL1191,"/deuteronomy/20.htm","| ","title=|",AL1190,"| target=|_top|&gt;",AL1192,"&lt;/a&gt;")</f>
        <v>&lt;a href=|http://kjv.us/deuteronomy/20.htm| title=|American King James Version| target=|_top|&gt;AKJ&lt;/a&gt;</v>
      </c>
      <c r="AM173" t="str">
        <f t="shared" ref="AM173:AN173" si="691">CONCATENATE("&lt;/li&gt;&lt;li&gt;&lt;a href=|http://",AM1191,"/deuteronomy/20.htm","| ","title=|",AM1190,"| target=|_top|&gt;",AM1192,"&lt;/a&gt;")</f>
        <v>&lt;/li&gt;&lt;li&gt;&lt;a href=|http://basicenglishbible.com/deuteronomy/20.htm| title=|Bible in Basic English| target=|_top|&gt;BBE&lt;/a&gt;</v>
      </c>
      <c r="AN173" t="str">
        <f t="shared" si="691"/>
        <v>&lt;/li&gt;&lt;li&gt;&lt;a href=|http://darbybible.com/deuteronomy/20.htm| title=|Darby Bible Translation| target=|_top|&gt;DBY&lt;/a&gt;</v>
      </c>
      <c r="AO17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7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7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73" t="str">
        <f>CONCATENATE("&lt;/li&gt;&lt;li&gt;&lt;a href=|http://",AR1191,"/deuteronomy/20.htm","| ","title=|",AR1190,"| target=|_top|&gt;",AR1192,"&lt;/a&gt;")</f>
        <v>&lt;/li&gt;&lt;li&gt;&lt;a href=|http://websterbible.com/deuteronomy/20.htm| title=|Webster's Bible Translation| target=|_top|&gt;WBS&lt;/a&gt;</v>
      </c>
      <c r="AS17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73" t="str">
        <f>CONCATENATE("&lt;/li&gt;&lt;li&gt;&lt;a href=|http://",AT1191,"/deuteronomy/20-1.htm","| ","title=|",AT1190,"| target=|_top|&gt;",AT1192,"&lt;/a&gt;")</f>
        <v>&lt;/li&gt;&lt;li&gt;&lt;a href=|http://biblebrowser.com/deuteronomy/20-1.htm| title=|Split View| target=|_top|&gt;Split&lt;/a&gt;</v>
      </c>
      <c r="AU173" s="2" t="s">
        <v>1276</v>
      </c>
      <c r="AV173" t="s">
        <v>64</v>
      </c>
    </row>
    <row r="174" spans="1:48">
      <c r="A174" t="s">
        <v>622</v>
      </c>
      <c r="B174" t="s">
        <v>227</v>
      </c>
      <c r="C174" t="s">
        <v>624</v>
      </c>
      <c r="D174" t="s">
        <v>1268</v>
      </c>
      <c r="E174" t="s">
        <v>1277</v>
      </c>
      <c r="F174" t="s">
        <v>1304</v>
      </c>
      <c r="G174" t="s">
        <v>1266</v>
      </c>
      <c r="H174" t="s">
        <v>1305</v>
      </c>
      <c r="I174" t="s">
        <v>1303</v>
      </c>
      <c r="J174" t="s">
        <v>1267</v>
      </c>
      <c r="K174" t="s">
        <v>1275</v>
      </c>
      <c r="L174" s="2" t="s">
        <v>1274</v>
      </c>
      <c r="M174" t="str">
        <f t="shared" ref="M174:AB174" si="692">CONCATENATE("&lt;/li&gt;&lt;li&gt;&lt;a href=|http://",M1191,"/deuteronomy/21.htm","| ","title=|",M1190,"| target=|_top|&gt;",M1192,"&lt;/a&gt;")</f>
        <v>&lt;/li&gt;&lt;li&gt;&lt;a href=|http://niv.scripturetext.com/deuteronomy/21.htm| title=|New International Version| target=|_top|&gt;NIV&lt;/a&gt;</v>
      </c>
      <c r="N174" t="str">
        <f t="shared" si="692"/>
        <v>&lt;/li&gt;&lt;li&gt;&lt;a href=|http://nlt.scripturetext.com/deuteronomy/21.htm| title=|New Living Translation| target=|_top|&gt;NLT&lt;/a&gt;</v>
      </c>
      <c r="O174" t="str">
        <f t="shared" si="692"/>
        <v>&lt;/li&gt;&lt;li&gt;&lt;a href=|http://nasb.scripturetext.com/deuteronomy/21.htm| title=|New American Standard Bible| target=|_top|&gt;NAS&lt;/a&gt;</v>
      </c>
      <c r="P174" t="str">
        <f t="shared" si="692"/>
        <v>&lt;/li&gt;&lt;li&gt;&lt;a href=|http://gwt.scripturetext.com/deuteronomy/21.htm| title=|God's Word Translation| target=|_top|&gt;GWT&lt;/a&gt;</v>
      </c>
      <c r="Q174" t="str">
        <f t="shared" si="692"/>
        <v>&lt;/li&gt;&lt;li&gt;&lt;a href=|http://kingjbible.com/deuteronomy/21.htm| title=|King James Bible| target=|_top|&gt;KJV&lt;/a&gt;</v>
      </c>
      <c r="R174" t="str">
        <f t="shared" si="692"/>
        <v>&lt;/li&gt;&lt;li&gt;&lt;a href=|http://asvbible.com/deuteronomy/21.htm| title=|American Standard Version| target=|_top|&gt;ASV&lt;/a&gt;</v>
      </c>
      <c r="S174" t="str">
        <f t="shared" si="692"/>
        <v>&lt;/li&gt;&lt;li&gt;&lt;a href=|http://drb.scripturetext.com/deuteronomy/21.htm| title=|Douay-Rheims Bible| target=|_top|&gt;DRB&lt;/a&gt;</v>
      </c>
      <c r="T174" t="str">
        <f t="shared" si="692"/>
        <v>&lt;/li&gt;&lt;li&gt;&lt;a href=|http://erv.scripturetext.com/deuteronomy/21.htm| title=|English Revised Version| target=|_top|&gt;ERV&lt;/a&gt;</v>
      </c>
      <c r="V174" t="str">
        <f>CONCATENATE("&lt;/li&gt;&lt;li&gt;&lt;a href=|http://",V1191,"/deuteronomy/21.htm","| ","title=|",V1190,"| target=|_top|&gt;",V1192,"&lt;/a&gt;")</f>
        <v>&lt;/li&gt;&lt;li&gt;&lt;a href=|http://study.interlinearbible.org/deuteronomy/21.htm| title=|Hebrew Study Bible| target=|_top|&gt;Heb Study&lt;/a&gt;</v>
      </c>
      <c r="W174" t="str">
        <f t="shared" si="692"/>
        <v>&lt;/li&gt;&lt;li&gt;&lt;a href=|http://apostolic.interlinearbible.org/deuteronomy/21.htm| title=|Apostolic Bible Polyglot Interlinear| target=|_top|&gt;Polyglot&lt;/a&gt;</v>
      </c>
      <c r="X174" t="str">
        <f t="shared" si="692"/>
        <v>&lt;/li&gt;&lt;li&gt;&lt;a href=|http://interlinearbible.org/deuteronomy/21.htm| title=|Interlinear Bible| target=|_top|&gt;Interlin&lt;/a&gt;</v>
      </c>
      <c r="Y174" t="str">
        <f t="shared" ref="Y174" si="693">CONCATENATE("&lt;/li&gt;&lt;li&gt;&lt;a href=|http://",Y1191,"/deuteronomy/21.htm","| ","title=|",Y1190,"| target=|_top|&gt;",Y1192,"&lt;/a&gt;")</f>
        <v>&lt;/li&gt;&lt;li&gt;&lt;a href=|http://bibleoutline.org/deuteronomy/21.htm| title=|Outline with People and Places List| target=|_top|&gt;Outline&lt;/a&gt;</v>
      </c>
      <c r="Z174" t="str">
        <f t="shared" si="692"/>
        <v>&lt;/li&gt;&lt;li&gt;&lt;a href=|http://kjvs.scripturetext.com/deuteronomy/21.htm| title=|King James Bible with Strong's Numbers| target=|_top|&gt;Strong's&lt;/a&gt;</v>
      </c>
      <c r="AA174" t="str">
        <f t="shared" si="692"/>
        <v>&lt;/li&gt;&lt;li&gt;&lt;a href=|http://childrensbibleonline.com/deuteronomy/21.htm| title=|The Children's Bible| target=|_top|&gt;Children's&lt;/a&gt;</v>
      </c>
      <c r="AB174" s="2" t="str">
        <f t="shared" si="692"/>
        <v>&lt;/li&gt;&lt;li&gt;&lt;a href=|http://tsk.scripturetext.com/deuteronomy/21.htm| title=|Treasury of Scripture Knowledge| target=|_top|&gt;TSK&lt;/a&gt;</v>
      </c>
      <c r="AC174" t="str">
        <f>CONCATENATE("&lt;a href=|http://",AC1191,"/deuteronomy/21.htm","| ","title=|",AC1190,"| target=|_top|&gt;",AC1192,"&lt;/a&gt;")</f>
        <v>&lt;a href=|http://parallelbible.com/deuteronomy/21.htm| title=|Parallel Chapters| target=|_top|&gt;PAR&lt;/a&gt;</v>
      </c>
      <c r="AD174" s="2" t="str">
        <f t="shared" ref="AD174:AK174" si="694">CONCATENATE("&lt;/li&gt;&lt;li&gt;&lt;a href=|http://",AD1191,"/deuteronomy/21.htm","| ","title=|",AD1190,"| target=|_top|&gt;",AD1192,"&lt;/a&gt;")</f>
        <v>&lt;/li&gt;&lt;li&gt;&lt;a href=|http://gsb.biblecommenter.com/deuteronomy/21.htm| title=|Geneva Study Bible| target=|_top|&gt;GSB&lt;/a&gt;</v>
      </c>
      <c r="AE174" s="2" t="str">
        <f t="shared" si="694"/>
        <v>&lt;/li&gt;&lt;li&gt;&lt;a href=|http://jfb.biblecommenter.com/deuteronomy/21.htm| title=|Jamieson-Fausset-Brown Bible Commentary| target=|_top|&gt;JFB&lt;/a&gt;</v>
      </c>
      <c r="AF174" s="2" t="str">
        <f t="shared" si="694"/>
        <v>&lt;/li&gt;&lt;li&gt;&lt;a href=|http://kjt.biblecommenter.com/deuteronomy/21.htm| title=|King James Translators' Notes| target=|_top|&gt;KJT&lt;/a&gt;</v>
      </c>
      <c r="AG174" s="2" t="str">
        <f t="shared" si="694"/>
        <v>&lt;/li&gt;&lt;li&gt;&lt;a href=|http://mhc.biblecommenter.com/deuteronomy/21.htm| title=|Matthew Henry's Concise Commentary| target=|_top|&gt;MHC&lt;/a&gt;</v>
      </c>
      <c r="AH174" s="2" t="str">
        <f t="shared" si="694"/>
        <v>&lt;/li&gt;&lt;li&gt;&lt;a href=|http://sco.biblecommenter.com/deuteronomy/21.htm| title=|Scofield Reference Notes| target=|_top|&gt;SCO&lt;/a&gt;</v>
      </c>
      <c r="AI174" s="2" t="str">
        <f t="shared" si="694"/>
        <v>&lt;/li&gt;&lt;li&gt;&lt;a href=|http://wes.biblecommenter.com/deuteronomy/21.htm| title=|Wesley's Notes on the Bible| target=|_top|&gt;WES&lt;/a&gt;</v>
      </c>
      <c r="AJ174" t="str">
        <f t="shared" si="694"/>
        <v>&lt;/li&gt;&lt;li&gt;&lt;a href=|http://worldebible.com/deuteronomy/21.htm| title=|World English Bible| target=|_top|&gt;WEB&lt;/a&gt;</v>
      </c>
      <c r="AK174" t="str">
        <f t="shared" si="694"/>
        <v>&lt;/li&gt;&lt;li&gt;&lt;a href=|http://yltbible.com/deuteronomy/21.htm| title=|Young's Literal Translation| target=|_top|&gt;YLT&lt;/a&gt;</v>
      </c>
      <c r="AL174" t="str">
        <f>CONCATENATE("&lt;a href=|http://",AL1191,"/deuteronomy/21.htm","| ","title=|",AL1190,"| target=|_top|&gt;",AL1192,"&lt;/a&gt;")</f>
        <v>&lt;a href=|http://kjv.us/deuteronomy/21.htm| title=|American King James Version| target=|_top|&gt;AKJ&lt;/a&gt;</v>
      </c>
      <c r="AM174" t="str">
        <f t="shared" ref="AM174:AN174" si="695">CONCATENATE("&lt;/li&gt;&lt;li&gt;&lt;a href=|http://",AM1191,"/deuteronomy/21.htm","| ","title=|",AM1190,"| target=|_top|&gt;",AM1192,"&lt;/a&gt;")</f>
        <v>&lt;/li&gt;&lt;li&gt;&lt;a href=|http://basicenglishbible.com/deuteronomy/21.htm| title=|Bible in Basic English| target=|_top|&gt;BBE&lt;/a&gt;</v>
      </c>
      <c r="AN174" t="str">
        <f t="shared" si="695"/>
        <v>&lt;/li&gt;&lt;li&gt;&lt;a href=|http://darbybible.com/deuteronomy/21.htm| title=|Darby Bible Translation| target=|_top|&gt;DBY&lt;/a&gt;</v>
      </c>
      <c r="AO17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7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7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74" t="str">
        <f>CONCATENATE("&lt;/li&gt;&lt;li&gt;&lt;a href=|http://",AR1191,"/deuteronomy/21.htm","| ","title=|",AR1190,"| target=|_top|&gt;",AR1192,"&lt;/a&gt;")</f>
        <v>&lt;/li&gt;&lt;li&gt;&lt;a href=|http://websterbible.com/deuteronomy/21.htm| title=|Webster's Bible Translation| target=|_top|&gt;WBS&lt;/a&gt;</v>
      </c>
      <c r="AS17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74" t="str">
        <f>CONCATENATE("&lt;/li&gt;&lt;li&gt;&lt;a href=|http://",AT1191,"/deuteronomy/21-1.htm","| ","title=|",AT1190,"| target=|_top|&gt;",AT1192,"&lt;/a&gt;")</f>
        <v>&lt;/li&gt;&lt;li&gt;&lt;a href=|http://biblebrowser.com/deuteronomy/21-1.htm| title=|Split View| target=|_top|&gt;Split&lt;/a&gt;</v>
      </c>
      <c r="AU174" s="2" t="s">
        <v>1276</v>
      </c>
      <c r="AV174" t="s">
        <v>64</v>
      </c>
    </row>
    <row r="175" spans="1:48">
      <c r="A175" t="s">
        <v>622</v>
      </c>
      <c r="B175" t="s">
        <v>228</v>
      </c>
      <c r="C175" t="s">
        <v>624</v>
      </c>
      <c r="D175" t="s">
        <v>1268</v>
      </c>
      <c r="E175" t="s">
        <v>1277</v>
      </c>
      <c r="F175" t="s">
        <v>1304</v>
      </c>
      <c r="G175" t="s">
        <v>1266</v>
      </c>
      <c r="H175" t="s">
        <v>1305</v>
      </c>
      <c r="I175" t="s">
        <v>1303</v>
      </c>
      <c r="J175" t="s">
        <v>1267</v>
      </c>
      <c r="K175" t="s">
        <v>1275</v>
      </c>
      <c r="L175" s="2" t="s">
        <v>1274</v>
      </c>
      <c r="M175" t="str">
        <f t="shared" ref="M175:AB175" si="696">CONCATENATE("&lt;/li&gt;&lt;li&gt;&lt;a href=|http://",M1191,"/deuteronomy/22.htm","| ","title=|",M1190,"| target=|_top|&gt;",M1192,"&lt;/a&gt;")</f>
        <v>&lt;/li&gt;&lt;li&gt;&lt;a href=|http://niv.scripturetext.com/deuteronomy/22.htm| title=|New International Version| target=|_top|&gt;NIV&lt;/a&gt;</v>
      </c>
      <c r="N175" t="str">
        <f t="shared" si="696"/>
        <v>&lt;/li&gt;&lt;li&gt;&lt;a href=|http://nlt.scripturetext.com/deuteronomy/22.htm| title=|New Living Translation| target=|_top|&gt;NLT&lt;/a&gt;</v>
      </c>
      <c r="O175" t="str">
        <f t="shared" si="696"/>
        <v>&lt;/li&gt;&lt;li&gt;&lt;a href=|http://nasb.scripturetext.com/deuteronomy/22.htm| title=|New American Standard Bible| target=|_top|&gt;NAS&lt;/a&gt;</v>
      </c>
      <c r="P175" t="str">
        <f t="shared" si="696"/>
        <v>&lt;/li&gt;&lt;li&gt;&lt;a href=|http://gwt.scripturetext.com/deuteronomy/22.htm| title=|God's Word Translation| target=|_top|&gt;GWT&lt;/a&gt;</v>
      </c>
      <c r="Q175" t="str">
        <f t="shared" si="696"/>
        <v>&lt;/li&gt;&lt;li&gt;&lt;a href=|http://kingjbible.com/deuteronomy/22.htm| title=|King James Bible| target=|_top|&gt;KJV&lt;/a&gt;</v>
      </c>
      <c r="R175" t="str">
        <f t="shared" si="696"/>
        <v>&lt;/li&gt;&lt;li&gt;&lt;a href=|http://asvbible.com/deuteronomy/22.htm| title=|American Standard Version| target=|_top|&gt;ASV&lt;/a&gt;</v>
      </c>
      <c r="S175" t="str">
        <f t="shared" si="696"/>
        <v>&lt;/li&gt;&lt;li&gt;&lt;a href=|http://drb.scripturetext.com/deuteronomy/22.htm| title=|Douay-Rheims Bible| target=|_top|&gt;DRB&lt;/a&gt;</v>
      </c>
      <c r="T175" t="str">
        <f t="shared" si="696"/>
        <v>&lt;/li&gt;&lt;li&gt;&lt;a href=|http://erv.scripturetext.com/deuteronomy/22.htm| title=|English Revised Version| target=|_top|&gt;ERV&lt;/a&gt;</v>
      </c>
      <c r="V175" t="str">
        <f>CONCATENATE("&lt;/li&gt;&lt;li&gt;&lt;a href=|http://",V1191,"/deuteronomy/22.htm","| ","title=|",V1190,"| target=|_top|&gt;",V1192,"&lt;/a&gt;")</f>
        <v>&lt;/li&gt;&lt;li&gt;&lt;a href=|http://study.interlinearbible.org/deuteronomy/22.htm| title=|Hebrew Study Bible| target=|_top|&gt;Heb Study&lt;/a&gt;</v>
      </c>
      <c r="W175" t="str">
        <f t="shared" si="696"/>
        <v>&lt;/li&gt;&lt;li&gt;&lt;a href=|http://apostolic.interlinearbible.org/deuteronomy/22.htm| title=|Apostolic Bible Polyglot Interlinear| target=|_top|&gt;Polyglot&lt;/a&gt;</v>
      </c>
      <c r="X175" t="str">
        <f t="shared" si="696"/>
        <v>&lt;/li&gt;&lt;li&gt;&lt;a href=|http://interlinearbible.org/deuteronomy/22.htm| title=|Interlinear Bible| target=|_top|&gt;Interlin&lt;/a&gt;</v>
      </c>
      <c r="Y175" t="str">
        <f t="shared" ref="Y175" si="697">CONCATENATE("&lt;/li&gt;&lt;li&gt;&lt;a href=|http://",Y1191,"/deuteronomy/22.htm","| ","title=|",Y1190,"| target=|_top|&gt;",Y1192,"&lt;/a&gt;")</f>
        <v>&lt;/li&gt;&lt;li&gt;&lt;a href=|http://bibleoutline.org/deuteronomy/22.htm| title=|Outline with People and Places List| target=|_top|&gt;Outline&lt;/a&gt;</v>
      </c>
      <c r="Z175" t="str">
        <f t="shared" si="696"/>
        <v>&lt;/li&gt;&lt;li&gt;&lt;a href=|http://kjvs.scripturetext.com/deuteronomy/22.htm| title=|King James Bible with Strong's Numbers| target=|_top|&gt;Strong's&lt;/a&gt;</v>
      </c>
      <c r="AA175" t="str">
        <f t="shared" si="696"/>
        <v>&lt;/li&gt;&lt;li&gt;&lt;a href=|http://childrensbibleonline.com/deuteronomy/22.htm| title=|The Children's Bible| target=|_top|&gt;Children's&lt;/a&gt;</v>
      </c>
      <c r="AB175" s="2" t="str">
        <f t="shared" si="696"/>
        <v>&lt;/li&gt;&lt;li&gt;&lt;a href=|http://tsk.scripturetext.com/deuteronomy/22.htm| title=|Treasury of Scripture Knowledge| target=|_top|&gt;TSK&lt;/a&gt;</v>
      </c>
      <c r="AC175" t="str">
        <f>CONCATENATE("&lt;a href=|http://",AC1191,"/deuteronomy/22.htm","| ","title=|",AC1190,"| target=|_top|&gt;",AC1192,"&lt;/a&gt;")</f>
        <v>&lt;a href=|http://parallelbible.com/deuteronomy/22.htm| title=|Parallel Chapters| target=|_top|&gt;PAR&lt;/a&gt;</v>
      </c>
      <c r="AD175" s="2" t="str">
        <f t="shared" ref="AD175:AK175" si="698">CONCATENATE("&lt;/li&gt;&lt;li&gt;&lt;a href=|http://",AD1191,"/deuteronomy/22.htm","| ","title=|",AD1190,"| target=|_top|&gt;",AD1192,"&lt;/a&gt;")</f>
        <v>&lt;/li&gt;&lt;li&gt;&lt;a href=|http://gsb.biblecommenter.com/deuteronomy/22.htm| title=|Geneva Study Bible| target=|_top|&gt;GSB&lt;/a&gt;</v>
      </c>
      <c r="AE175" s="2" t="str">
        <f t="shared" si="698"/>
        <v>&lt;/li&gt;&lt;li&gt;&lt;a href=|http://jfb.biblecommenter.com/deuteronomy/22.htm| title=|Jamieson-Fausset-Brown Bible Commentary| target=|_top|&gt;JFB&lt;/a&gt;</v>
      </c>
      <c r="AF175" s="2" t="str">
        <f t="shared" si="698"/>
        <v>&lt;/li&gt;&lt;li&gt;&lt;a href=|http://kjt.biblecommenter.com/deuteronomy/22.htm| title=|King James Translators' Notes| target=|_top|&gt;KJT&lt;/a&gt;</v>
      </c>
      <c r="AG175" s="2" t="str">
        <f t="shared" si="698"/>
        <v>&lt;/li&gt;&lt;li&gt;&lt;a href=|http://mhc.biblecommenter.com/deuteronomy/22.htm| title=|Matthew Henry's Concise Commentary| target=|_top|&gt;MHC&lt;/a&gt;</v>
      </c>
      <c r="AH175" s="2" t="str">
        <f t="shared" si="698"/>
        <v>&lt;/li&gt;&lt;li&gt;&lt;a href=|http://sco.biblecommenter.com/deuteronomy/22.htm| title=|Scofield Reference Notes| target=|_top|&gt;SCO&lt;/a&gt;</v>
      </c>
      <c r="AI175" s="2" t="str">
        <f t="shared" si="698"/>
        <v>&lt;/li&gt;&lt;li&gt;&lt;a href=|http://wes.biblecommenter.com/deuteronomy/22.htm| title=|Wesley's Notes on the Bible| target=|_top|&gt;WES&lt;/a&gt;</v>
      </c>
      <c r="AJ175" t="str">
        <f t="shared" si="698"/>
        <v>&lt;/li&gt;&lt;li&gt;&lt;a href=|http://worldebible.com/deuteronomy/22.htm| title=|World English Bible| target=|_top|&gt;WEB&lt;/a&gt;</v>
      </c>
      <c r="AK175" t="str">
        <f t="shared" si="698"/>
        <v>&lt;/li&gt;&lt;li&gt;&lt;a href=|http://yltbible.com/deuteronomy/22.htm| title=|Young's Literal Translation| target=|_top|&gt;YLT&lt;/a&gt;</v>
      </c>
      <c r="AL175" t="str">
        <f>CONCATENATE("&lt;a href=|http://",AL1191,"/deuteronomy/22.htm","| ","title=|",AL1190,"| target=|_top|&gt;",AL1192,"&lt;/a&gt;")</f>
        <v>&lt;a href=|http://kjv.us/deuteronomy/22.htm| title=|American King James Version| target=|_top|&gt;AKJ&lt;/a&gt;</v>
      </c>
      <c r="AM175" t="str">
        <f t="shared" ref="AM175:AN175" si="699">CONCATENATE("&lt;/li&gt;&lt;li&gt;&lt;a href=|http://",AM1191,"/deuteronomy/22.htm","| ","title=|",AM1190,"| target=|_top|&gt;",AM1192,"&lt;/a&gt;")</f>
        <v>&lt;/li&gt;&lt;li&gt;&lt;a href=|http://basicenglishbible.com/deuteronomy/22.htm| title=|Bible in Basic English| target=|_top|&gt;BBE&lt;/a&gt;</v>
      </c>
      <c r="AN175" t="str">
        <f t="shared" si="699"/>
        <v>&lt;/li&gt;&lt;li&gt;&lt;a href=|http://darbybible.com/deuteronomy/22.htm| title=|Darby Bible Translation| target=|_top|&gt;DBY&lt;/a&gt;</v>
      </c>
      <c r="AO17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7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7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75" t="str">
        <f>CONCATENATE("&lt;/li&gt;&lt;li&gt;&lt;a href=|http://",AR1191,"/deuteronomy/22.htm","| ","title=|",AR1190,"| target=|_top|&gt;",AR1192,"&lt;/a&gt;")</f>
        <v>&lt;/li&gt;&lt;li&gt;&lt;a href=|http://websterbible.com/deuteronomy/22.htm| title=|Webster's Bible Translation| target=|_top|&gt;WBS&lt;/a&gt;</v>
      </c>
      <c r="AS17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75" t="str">
        <f>CONCATENATE("&lt;/li&gt;&lt;li&gt;&lt;a href=|http://",AT1191,"/deuteronomy/22-1.htm","| ","title=|",AT1190,"| target=|_top|&gt;",AT1192,"&lt;/a&gt;")</f>
        <v>&lt;/li&gt;&lt;li&gt;&lt;a href=|http://biblebrowser.com/deuteronomy/22-1.htm| title=|Split View| target=|_top|&gt;Split&lt;/a&gt;</v>
      </c>
      <c r="AU175" s="2" t="s">
        <v>1276</v>
      </c>
      <c r="AV175" t="s">
        <v>64</v>
      </c>
    </row>
    <row r="176" spans="1:48">
      <c r="A176" t="s">
        <v>622</v>
      </c>
      <c r="B176" t="s">
        <v>229</v>
      </c>
      <c r="C176" t="s">
        <v>624</v>
      </c>
      <c r="D176" t="s">
        <v>1268</v>
      </c>
      <c r="E176" t="s">
        <v>1277</v>
      </c>
      <c r="F176" t="s">
        <v>1304</v>
      </c>
      <c r="G176" t="s">
        <v>1266</v>
      </c>
      <c r="H176" t="s">
        <v>1305</v>
      </c>
      <c r="I176" t="s">
        <v>1303</v>
      </c>
      <c r="J176" t="s">
        <v>1267</v>
      </c>
      <c r="K176" t="s">
        <v>1275</v>
      </c>
      <c r="L176" s="2" t="s">
        <v>1274</v>
      </c>
      <c r="M176" t="str">
        <f t="shared" ref="M176:AB176" si="700">CONCATENATE("&lt;/li&gt;&lt;li&gt;&lt;a href=|http://",M1191,"/deuteronomy/23.htm","| ","title=|",M1190,"| target=|_top|&gt;",M1192,"&lt;/a&gt;")</f>
        <v>&lt;/li&gt;&lt;li&gt;&lt;a href=|http://niv.scripturetext.com/deuteronomy/23.htm| title=|New International Version| target=|_top|&gt;NIV&lt;/a&gt;</v>
      </c>
      <c r="N176" t="str">
        <f t="shared" si="700"/>
        <v>&lt;/li&gt;&lt;li&gt;&lt;a href=|http://nlt.scripturetext.com/deuteronomy/23.htm| title=|New Living Translation| target=|_top|&gt;NLT&lt;/a&gt;</v>
      </c>
      <c r="O176" t="str">
        <f t="shared" si="700"/>
        <v>&lt;/li&gt;&lt;li&gt;&lt;a href=|http://nasb.scripturetext.com/deuteronomy/23.htm| title=|New American Standard Bible| target=|_top|&gt;NAS&lt;/a&gt;</v>
      </c>
      <c r="P176" t="str">
        <f t="shared" si="700"/>
        <v>&lt;/li&gt;&lt;li&gt;&lt;a href=|http://gwt.scripturetext.com/deuteronomy/23.htm| title=|God's Word Translation| target=|_top|&gt;GWT&lt;/a&gt;</v>
      </c>
      <c r="Q176" t="str">
        <f t="shared" si="700"/>
        <v>&lt;/li&gt;&lt;li&gt;&lt;a href=|http://kingjbible.com/deuteronomy/23.htm| title=|King James Bible| target=|_top|&gt;KJV&lt;/a&gt;</v>
      </c>
      <c r="R176" t="str">
        <f t="shared" si="700"/>
        <v>&lt;/li&gt;&lt;li&gt;&lt;a href=|http://asvbible.com/deuteronomy/23.htm| title=|American Standard Version| target=|_top|&gt;ASV&lt;/a&gt;</v>
      </c>
      <c r="S176" t="str">
        <f t="shared" si="700"/>
        <v>&lt;/li&gt;&lt;li&gt;&lt;a href=|http://drb.scripturetext.com/deuteronomy/23.htm| title=|Douay-Rheims Bible| target=|_top|&gt;DRB&lt;/a&gt;</v>
      </c>
      <c r="T176" t="str">
        <f t="shared" si="700"/>
        <v>&lt;/li&gt;&lt;li&gt;&lt;a href=|http://erv.scripturetext.com/deuteronomy/23.htm| title=|English Revised Version| target=|_top|&gt;ERV&lt;/a&gt;</v>
      </c>
      <c r="V176" t="str">
        <f>CONCATENATE("&lt;/li&gt;&lt;li&gt;&lt;a href=|http://",V1191,"/deuteronomy/23.htm","| ","title=|",V1190,"| target=|_top|&gt;",V1192,"&lt;/a&gt;")</f>
        <v>&lt;/li&gt;&lt;li&gt;&lt;a href=|http://study.interlinearbible.org/deuteronomy/23.htm| title=|Hebrew Study Bible| target=|_top|&gt;Heb Study&lt;/a&gt;</v>
      </c>
      <c r="W176" t="str">
        <f t="shared" si="700"/>
        <v>&lt;/li&gt;&lt;li&gt;&lt;a href=|http://apostolic.interlinearbible.org/deuteronomy/23.htm| title=|Apostolic Bible Polyglot Interlinear| target=|_top|&gt;Polyglot&lt;/a&gt;</v>
      </c>
      <c r="X176" t="str">
        <f t="shared" si="700"/>
        <v>&lt;/li&gt;&lt;li&gt;&lt;a href=|http://interlinearbible.org/deuteronomy/23.htm| title=|Interlinear Bible| target=|_top|&gt;Interlin&lt;/a&gt;</v>
      </c>
      <c r="Y176" t="str">
        <f t="shared" ref="Y176" si="701">CONCATENATE("&lt;/li&gt;&lt;li&gt;&lt;a href=|http://",Y1191,"/deuteronomy/23.htm","| ","title=|",Y1190,"| target=|_top|&gt;",Y1192,"&lt;/a&gt;")</f>
        <v>&lt;/li&gt;&lt;li&gt;&lt;a href=|http://bibleoutline.org/deuteronomy/23.htm| title=|Outline with People and Places List| target=|_top|&gt;Outline&lt;/a&gt;</v>
      </c>
      <c r="Z176" t="str">
        <f t="shared" si="700"/>
        <v>&lt;/li&gt;&lt;li&gt;&lt;a href=|http://kjvs.scripturetext.com/deuteronomy/23.htm| title=|King James Bible with Strong's Numbers| target=|_top|&gt;Strong's&lt;/a&gt;</v>
      </c>
      <c r="AA176" t="str">
        <f t="shared" si="700"/>
        <v>&lt;/li&gt;&lt;li&gt;&lt;a href=|http://childrensbibleonline.com/deuteronomy/23.htm| title=|The Children's Bible| target=|_top|&gt;Children's&lt;/a&gt;</v>
      </c>
      <c r="AB176" s="2" t="str">
        <f t="shared" si="700"/>
        <v>&lt;/li&gt;&lt;li&gt;&lt;a href=|http://tsk.scripturetext.com/deuteronomy/23.htm| title=|Treasury of Scripture Knowledge| target=|_top|&gt;TSK&lt;/a&gt;</v>
      </c>
      <c r="AC176" t="str">
        <f>CONCATENATE("&lt;a href=|http://",AC1191,"/deuteronomy/23.htm","| ","title=|",AC1190,"| target=|_top|&gt;",AC1192,"&lt;/a&gt;")</f>
        <v>&lt;a href=|http://parallelbible.com/deuteronomy/23.htm| title=|Parallel Chapters| target=|_top|&gt;PAR&lt;/a&gt;</v>
      </c>
      <c r="AD176" s="2" t="str">
        <f t="shared" ref="AD176:AK176" si="702">CONCATENATE("&lt;/li&gt;&lt;li&gt;&lt;a href=|http://",AD1191,"/deuteronomy/23.htm","| ","title=|",AD1190,"| target=|_top|&gt;",AD1192,"&lt;/a&gt;")</f>
        <v>&lt;/li&gt;&lt;li&gt;&lt;a href=|http://gsb.biblecommenter.com/deuteronomy/23.htm| title=|Geneva Study Bible| target=|_top|&gt;GSB&lt;/a&gt;</v>
      </c>
      <c r="AE176" s="2" t="str">
        <f t="shared" si="702"/>
        <v>&lt;/li&gt;&lt;li&gt;&lt;a href=|http://jfb.biblecommenter.com/deuteronomy/23.htm| title=|Jamieson-Fausset-Brown Bible Commentary| target=|_top|&gt;JFB&lt;/a&gt;</v>
      </c>
      <c r="AF176" s="2" t="str">
        <f t="shared" si="702"/>
        <v>&lt;/li&gt;&lt;li&gt;&lt;a href=|http://kjt.biblecommenter.com/deuteronomy/23.htm| title=|King James Translators' Notes| target=|_top|&gt;KJT&lt;/a&gt;</v>
      </c>
      <c r="AG176" s="2" t="str">
        <f t="shared" si="702"/>
        <v>&lt;/li&gt;&lt;li&gt;&lt;a href=|http://mhc.biblecommenter.com/deuteronomy/23.htm| title=|Matthew Henry's Concise Commentary| target=|_top|&gt;MHC&lt;/a&gt;</v>
      </c>
      <c r="AH176" s="2" t="str">
        <f t="shared" si="702"/>
        <v>&lt;/li&gt;&lt;li&gt;&lt;a href=|http://sco.biblecommenter.com/deuteronomy/23.htm| title=|Scofield Reference Notes| target=|_top|&gt;SCO&lt;/a&gt;</v>
      </c>
      <c r="AI176" s="2" t="str">
        <f t="shared" si="702"/>
        <v>&lt;/li&gt;&lt;li&gt;&lt;a href=|http://wes.biblecommenter.com/deuteronomy/23.htm| title=|Wesley's Notes on the Bible| target=|_top|&gt;WES&lt;/a&gt;</v>
      </c>
      <c r="AJ176" t="str">
        <f t="shared" si="702"/>
        <v>&lt;/li&gt;&lt;li&gt;&lt;a href=|http://worldebible.com/deuteronomy/23.htm| title=|World English Bible| target=|_top|&gt;WEB&lt;/a&gt;</v>
      </c>
      <c r="AK176" t="str">
        <f t="shared" si="702"/>
        <v>&lt;/li&gt;&lt;li&gt;&lt;a href=|http://yltbible.com/deuteronomy/23.htm| title=|Young's Literal Translation| target=|_top|&gt;YLT&lt;/a&gt;</v>
      </c>
      <c r="AL176" t="str">
        <f>CONCATENATE("&lt;a href=|http://",AL1191,"/deuteronomy/23.htm","| ","title=|",AL1190,"| target=|_top|&gt;",AL1192,"&lt;/a&gt;")</f>
        <v>&lt;a href=|http://kjv.us/deuteronomy/23.htm| title=|American King James Version| target=|_top|&gt;AKJ&lt;/a&gt;</v>
      </c>
      <c r="AM176" t="str">
        <f t="shared" ref="AM176:AN176" si="703">CONCATENATE("&lt;/li&gt;&lt;li&gt;&lt;a href=|http://",AM1191,"/deuteronomy/23.htm","| ","title=|",AM1190,"| target=|_top|&gt;",AM1192,"&lt;/a&gt;")</f>
        <v>&lt;/li&gt;&lt;li&gt;&lt;a href=|http://basicenglishbible.com/deuteronomy/23.htm| title=|Bible in Basic English| target=|_top|&gt;BBE&lt;/a&gt;</v>
      </c>
      <c r="AN176" t="str">
        <f t="shared" si="703"/>
        <v>&lt;/li&gt;&lt;li&gt;&lt;a href=|http://darbybible.com/deuteronomy/23.htm| title=|Darby Bible Translation| target=|_top|&gt;DBY&lt;/a&gt;</v>
      </c>
      <c r="AO17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7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7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76" t="str">
        <f>CONCATENATE("&lt;/li&gt;&lt;li&gt;&lt;a href=|http://",AR1191,"/deuteronomy/23.htm","| ","title=|",AR1190,"| target=|_top|&gt;",AR1192,"&lt;/a&gt;")</f>
        <v>&lt;/li&gt;&lt;li&gt;&lt;a href=|http://websterbible.com/deuteronomy/23.htm| title=|Webster's Bible Translation| target=|_top|&gt;WBS&lt;/a&gt;</v>
      </c>
      <c r="AS17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76" t="str">
        <f>CONCATENATE("&lt;/li&gt;&lt;li&gt;&lt;a href=|http://",AT1191,"/deuteronomy/23-1.htm","| ","title=|",AT1190,"| target=|_top|&gt;",AT1192,"&lt;/a&gt;")</f>
        <v>&lt;/li&gt;&lt;li&gt;&lt;a href=|http://biblebrowser.com/deuteronomy/23-1.htm| title=|Split View| target=|_top|&gt;Split&lt;/a&gt;</v>
      </c>
      <c r="AU176" s="2" t="s">
        <v>1276</v>
      </c>
      <c r="AV176" t="s">
        <v>64</v>
      </c>
    </row>
    <row r="177" spans="1:48">
      <c r="A177" t="s">
        <v>622</v>
      </c>
      <c r="B177" t="s">
        <v>230</v>
      </c>
      <c r="C177" t="s">
        <v>624</v>
      </c>
      <c r="D177" t="s">
        <v>1268</v>
      </c>
      <c r="E177" t="s">
        <v>1277</v>
      </c>
      <c r="F177" t="s">
        <v>1304</v>
      </c>
      <c r="G177" t="s">
        <v>1266</v>
      </c>
      <c r="H177" t="s">
        <v>1305</v>
      </c>
      <c r="I177" t="s">
        <v>1303</v>
      </c>
      <c r="J177" t="s">
        <v>1267</v>
      </c>
      <c r="K177" t="s">
        <v>1275</v>
      </c>
      <c r="L177" s="2" t="s">
        <v>1274</v>
      </c>
      <c r="M177" t="str">
        <f t="shared" ref="M177:AB177" si="704">CONCATENATE("&lt;/li&gt;&lt;li&gt;&lt;a href=|http://",M1191,"/deuteronomy/24.htm","| ","title=|",M1190,"| target=|_top|&gt;",M1192,"&lt;/a&gt;")</f>
        <v>&lt;/li&gt;&lt;li&gt;&lt;a href=|http://niv.scripturetext.com/deuteronomy/24.htm| title=|New International Version| target=|_top|&gt;NIV&lt;/a&gt;</v>
      </c>
      <c r="N177" t="str">
        <f t="shared" si="704"/>
        <v>&lt;/li&gt;&lt;li&gt;&lt;a href=|http://nlt.scripturetext.com/deuteronomy/24.htm| title=|New Living Translation| target=|_top|&gt;NLT&lt;/a&gt;</v>
      </c>
      <c r="O177" t="str">
        <f t="shared" si="704"/>
        <v>&lt;/li&gt;&lt;li&gt;&lt;a href=|http://nasb.scripturetext.com/deuteronomy/24.htm| title=|New American Standard Bible| target=|_top|&gt;NAS&lt;/a&gt;</v>
      </c>
      <c r="P177" t="str">
        <f t="shared" si="704"/>
        <v>&lt;/li&gt;&lt;li&gt;&lt;a href=|http://gwt.scripturetext.com/deuteronomy/24.htm| title=|God's Word Translation| target=|_top|&gt;GWT&lt;/a&gt;</v>
      </c>
      <c r="Q177" t="str">
        <f t="shared" si="704"/>
        <v>&lt;/li&gt;&lt;li&gt;&lt;a href=|http://kingjbible.com/deuteronomy/24.htm| title=|King James Bible| target=|_top|&gt;KJV&lt;/a&gt;</v>
      </c>
      <c r="R177" t="str">
        <f t="shared" si="704"/>
        <v>&lt;/li&gt;&lt;li&gt;&lt;a href=|http://asvbible.com/deuteronomy/24.htm| title=|American Standard Version| target=|_top|&gt;ASV&lt;/a&gt;</v>
      </c>
      <c r="S177" t="str">
        <f t="shared" si="704"/>
        <v>&lt;/li&gt;&lt;li&gt;&lt;a href=|http://drb.scripturetext.com/deuteronomy/24.htm| title=|Douay-Rheims Bible| target=|_top|&gt;DRB&lt;/a&gt;</v>
      </c>
      <c r="T177" t="str">
        <f t="shared" si="704"/>
        <v>&lt;/li&gt;&lt;li&gt;&lt;a href=|http://erv.scripturetext.com/deuteronomy/24.htm| title=|English Revised Version| target=|_top|&gt;ERV&lt;/a&gt;</v>
      </c>
      <c r="V177" t="str">
        <f>CONCATENATE("&lt;/li&gt;&lt;li&gt;&lt;a href=|http://",V1191,"/deuteronomy/24.htm","| ","title=|",V1190,"| target=|_top|&gt;",V1192,"&lt;/a&gt;")</f>
        <v>&lt;/li&gt;&lt;li&gt;&lt;a href=|http://study.interlinearbible.org/deuteronomy/24.htm| title=|Hebrew Study Bible| target=|_top|&gt;Heb Study&lt;/a&gt;</v>
      </c>
      <c r="W177" t="str">
        <f t="shared" si="704"/>
        <v>&lt;/li&gt;&lt;li&gt;&lt;a href=|http://apostolic.interlinearbible.org/deuteronomy/24.htm| title=|Apostolic Bible Polyglot Interlinear| target=|_top|&gt;Polyglot&lt;/a&gt;</v>
      </c>
      <c r="X177" t="str">
        <f t="shared" si="704"/>
        <v>&lt;/li&gt;&lt;li&gt;&lt;a href=|http://interlinearbible.org/deuteronomy/24.htm| title=|Interlinear Bible| target=|_top|&gt;Interlin&lt;/a&gt;</v>
      </c>
      <c r="Y177" t="str">
        <f t="shared" ref="Y177" si="705">CONCATENATE("&lt;/li&gt;&lt;li&gt;&lt;a href=|http://",Y1191,"/deuteronomy/24.htm","| ","title=|",Y1190,"| target=|_top|&gt;",Y1192,"&lt;/a&gt;")</f>
        <v>&lt;/li&gt;&lt;li&gt;&lt;a href=|http://bibleoutline.org/deuteronomy/24.htm| title=|Outline with People and Places List| target=|_top|&gt;Outline&lt;/a&gt;</v>
      </c>
      <c r="Z177" t="str">
        <f t="shared" si="704"/>
        <v>&lt;/li&gt;&lt;li&gt;&lt;a href=|http://kjvs.scripturetext.com/deuteronomy/24.htm| title=|King James Bible with Strong's Numbers| target=|_top|&gt;Strong's&lt;/a&gt;</v>
      </c>
      <c r="AA177" t="str">
        <f t="shared" si="704"/>
        <v>&lt;/li&gt;&lt;li&gt;&lt;a href=|http://childrensbibleonline.com/deuteronomy/24.htm| title=|The Children's Bible| target=|_top|&gt;Children's&lt;/a&gt;</v>
      </c>
      <c r="AB177" s="2" t="str">
        <f t="shared" si="704"/>
        <v>&lt;/li&gt;&lt;li&gt;&lt;a href=|http://tsk.scripturetext.com/deuteronomy/24.htm| title=|Treasury of Scripture Knowledge| target=|_top|&gt;TSK&lt;/a&gt;</v>
      </c>
      <c r="AC177" t="str">
        <f>CONCATENATE("&lt;a href=|http://",AC1191,"/deuteronomy/24.htm","| ","title=|",AC1190,"| target=|_top|&gt;",AC1192,"&lt;/a&gt;")</f>
        <v>&lt;a href=|http://parallelbible.com/deuteronomy/24.htm| title=|Parallel Chapters| target=|_top|&gt;PAR&lt;/a&gt;</v>
      </c>
      <c r="AD177" s="2" t="str">
        <f t="shared" ref="AD177:AK177" si="706">CONCATENATE("&lt;/li&gt;&lt;li&gt;&lt;a href=|http://",AD1191,"/deuteronomy/24.htm","| ","title=|",AD1190,"| target=|_top|&gt;",AD1192,"&lt;/a&gt;")</f>
        <v>&lt;/li&gt;&lt;li&gt;&lt;a href=|http://gsb.biblecommenter.com/deuteronomy/24.htm| title=|Geneva Study Bible| target=|_top|&gt;GSB&lt;/a&gt;</v>
      </c>
      <c r="AE177" s="2" t="str">
        <f t="shared" si="706"/>
        <v>&lt;/li&gt;&lt;li&gt;&lt;a href=|http://jfb.biblecommenter.com/deuteronomy/24.htm| title=|Jamieson-Fausset-Brown Bible Commentary| target=|_top|&gt;JFB&lt;/a&gt;</v>
      </c>
      <c r="AF177" s="2" t="str">
        <f t="shared" si="706"/>
        <v>&lt;/li&gt;&lt;li&gt;&lt;a href=|http://kjt.biblecommenter.com/deuteronomy/24.htm| title=|King James Translators' Notes| target=|_top|&gt;KJT&lt;/a&gt;</v>
      </c>
      <c r="AG177" s="2" t="str">
        <f t="shared" si="706"/>
        <v>&lt;/li&gt;&lt;li&gt;&lt;a href=|http://mhc.biblecommenter.com/deuteronomy/24.htm| title=|Matthew Henry's Concise Commentary| target=|_top|&gt;MHC&lt;/a&gt;</v>
      </c>
      <c r="AH177" s="2" t="str">
        <f t="shared" si="706"/>
        <v>&lt;/li&gt;&lt;li&gt;&lt;a href=|http://sco.biblecommenter.com/deuteronomy/24.htm| title=|Scofield Reference Notes| target=|_top|&gt;SCO&lt;/a&gt;</v>
      </c>
      <c r="AI177" s="2" t="str">
        <f t="shared" si="706"/>
        <v>&lt;/li&gt;&lt;li&gt;&lt;a href=|http://wes.biblecommenter.com/deuteronomy/24.htm| title=|Wesley's Notes on the Bible| target=|_top|&gt;WES&lt;/a&gt;</v>
      </c>
      <c r="AJ177" t="str">
        <f t="shared" si="706"/>
        <v>&lt;/li&gt;&lt;li&gt;&lt;a href=|http://worldebible.com/deuteronomy/24.htm| title=|World English Bible| target=|_top|&gt;WEB&lt;/a&gt;</v>
      </c>
      <c r="AK177" t="str">
        <f t="shared" si="706"/>
        <v>&lt;/li&gt;&lt;li&gt;&lt;a href=|http://yltbible.com/deuteronomy/24.htm| title=|Young's Literal Translation| target=|_top|&gt;YLT&lt;/a&gt;</v>
      </c>
      <c r="AL177" t="str">
        <f>CONCATENATE("&lt;a href=|http://",AL1191,"/deuteronomy/24.htm","| ","title=|",AL1190,"| target=|_top|&gt;",AL1192,"&lt;/a&gt;")</f>
        <v>&lt;a href=|http://kjv.us/deuteronomy/24.htm| title=|American King James Version| target=|_top|&gt;AKJ&lt;/a&gt;</v>
      </c>
      <c r="AM177" t="str">
        <f t="shared" ref="AM177:AN177" si="707">CONCATENATE("&lt;/li&gt;&lt;li&gt;&lt;a href=|http://",AM1191,"/deuteronomy/24.htm","| ","title=|",AM1190,"| target=|_top|&gt;",AM1192,"&lt;/a&gt;")</f>
        <v>&lt;/li&gt;&lt;li&gt;&lt;a href=|http://basicenglishbible.com/deuteronomy/24.htm| title=|Bible in Basic English| target=|_top|&gt;BBE&lt;/a&gt;</v>
      </c>
      <c r="AN177" t="str">
        <f t="shared" si="707"/>
        <v>&lt;/li&gt;&lt;li&gt;&lt;a href=|http://darbybible.com/deuteronomy/24.htm| title=|Darby Bible Translation| target=|_top|&gt;DBY&lt;/a&gt;</v>
      </c>
      <c r="AO17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7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7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77" t="str">
        <f>CONCATENATE("&lt;/li&gt;&lt;li&gt;&lt;a href=|http://",AR1191,"/deuteronomy/24.htm","| ","title=|",AR1190,"| target=|_top|&gt;",AR1192,"&lt;/a&gt;")</f>
        <v>&lt;/li&gt;&lt;li&gt;&lt;a href=|http://websterbible.com/deuteronomy/24.htm| title=|Webster's Bible Translation| target=|_top|&gt;WBS&lt;/a&gt;</v>
      </c>
      <c r="AS17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77" t="str">
        <f>CONCATENATE("&lt;/li&gt;&lt;li&gt;&lt;a href=|http://",AT1191,"/deuteronomy/24-1.htm","| ","title=|",AT1190,"| target=|_top|&gt;",AT1192,"&lt;/a&gt;")</f>
        <v>&lt;/li&gt;&lt;li&gt;&lt;a href=|http://biblebrowser.com/deuteronomy/24-1.htm| title=|Split View| target=|_top|&gt;Split&lt;/a&gt;</v>
      </c>
      <c r="AU177" s="2" t="s">
        <v>1276</v>
      </c>
      <c r="AV177" t="s">
        <v>64</v>
      </c>
    </row>
    <row r="178" spans="1:48">
      <c r="A178" t="s">
        <v>622</v>
      </c>
      <c r="B178" t="s">
        <v>231</v>
      </c>
      <c r="C178" t="s">
        <v>624</v>
      </c>
      <c r="D178" t="s">
        <v>1268</v>
      </c>
      <c r="E178" t="s">
        <v>1277</v>
      </c>
      <c r="F178" t="s">
        <v>1304</v>
      </c>
      <c r="G178" t="s">
        <v>1266</v>
      </c>
      <c r="H178" t="s">
        <v>1305</v>
      </c>
      <c r="I178" t="s">
        <v>1303</v>
      </c>
      <c r="J178" t="s">
        <v>1267</v>
      </c>
      <c r="K178" t="s">
        <v>1275</v>
      </c>
      <c r="L178" s="2" t="s">
        <v>1274</v>
      </c>
      <c r="M178" t="str">
        <f t="shared" ref="M178:AB178" si="708">CONCATENATE("&lt;/li&gt;&lt;li&gt;&lt;a href=|http://",M1191,"/deuteronomy/25.htm","| ","title=|",M1190,"| target=|_top|&gt;",M1192,"&lt;/a&gt;")</f>
        <v>&lt;/li&gt;&lt;li&gt;&lt;a href=|http://niv.scripturetext.com/deuteronomy/25.htm| title=|New International Version| target=|_top|&gt;NIV&lt;/a&gt;</v>
      </c>
      <c r="N178" t="str">
        <f t="shared" si="708"/>
        <v>&lt;/li&gt;&lt;li&gt;&lt;a href=|http://nlt.scripturetext.com/deuteronomy/25.htm| title=|New Living Translation| target=|_top|&gt;NLT&lt;/a&gt;</v>
      </c>
      <c r="O178" t="str">
        <f t="shared" si="708"/>
        <v>&lt;/li&gt;&lt;li&gt;&lt;a href=|http://nasb.scripturetext.com/deuteronomy/25.htm| title=|New American Standard Bible| target=|_top|&gt;NAS&lt;/a&gt;</v>
      </c>
      <c r="P178" t="str">
        <f t="shared" si="708"/>
        <v>&lt;/li&gt;&lt;li&gt;&lt;a href=|http://gwt.scripturetext.com/deuteronomy/25.htm| title=|God's Word Translation| target=|_top|&gt;GWT&lt;/a&gt;</v>
      </c>
      <c r="Q178" t="str">
        <f t="shared" si="708"/>
        <v>&lt;/li&gt;&lt;li&gt;&lt;a href=|http://kingjbible.com/deuteronomy/25.htm| title=|King James Bible| target=|_top|&gt;KJV&lt;/a&gt;</v>
      </c>
      <c r="R178" t="str">
        <f t="shared" si="708"/>
        <v>&lt;/li&gt;&lt;li&gt;&lt;a href=|http://asvbible.com/deuteronomy/25.htm| title=|American Standard Version| target=|_top|&gt;ASV&lt;/a&gt;</v>
      </c>
      <c r="S178" t="str">
        <f t="shared" si="708"/>
        <v>&lt;/li&gt;&lt;li&gt;&lt;a href=|http://drb.scripturetext.com/deuteronomy/25.htm| title=|Douay-Rheims Bible| target=|_top|&gt;DRB&lt;/a&gt;</v>
      </c>
      <c r="T178" t="str">
        <f t="shared" si="708"/>
        <v>&lt;/li&gt;&lt;li&gt;&lt;a href=|http://erv.scripturetext.com/deuteronomy/25.htm| title=|English Revised Version| target=|_top|&gt;ERV&lt;/a&gt;</v>
      </c>
      <c r="V178" t="str">
        <f>CONCATENATE("&lt;/li&gt;&lt;li&gt;&lt;a href=|http://",V1191,"/deuteronomy/25.htm","| ","title=|",V1190,"| target=|_top|&gt;",V1192,"&lt;/a&gt;")</f>
        <v>&lt;/li&gt;&lt;li&gt;&lt;a href=|http://study.interlinearbible.org/deuteronomy/25.htm| title=|Hebrew Study Bible| target=|_top|&gt;Heb Study&lt;/a&gt;</v>
      </c>
      <c r="W178" t="str">
        <f t="shared" si="708"/>
        <v>&lt;/li&gt;&lt;li&gt;&lt;a href=|http://apostolic.interlinearbible.org/deuteronomy/25.htm| title=|Apostolic Bible Polyglot Interlinear| target=|_top|&gt;Polyglot&lt;/a&gt;</v>
      </c>
      <c r="X178" t="str">
        <f t="shared" si="708"/>
        <v>&lt;/li&gt;&lt;li&gt;&lt;a href=|http://interlinearbible.org/deuteronomy/25.htm| title=|Interlinear Bible| target=|_top|&gt;Interlin&lt;/a&gt;</v>
      </c>
      <c r="Y178" t="str">
        <f t="shared" ref="Y178" si="709">CONCATENATE("&lt;/li&gt;&lt;li&gt;&lt;a href=|http://",Y1191,"/deuteronomy/25.htm","| ","title=|",Y1190,"| target=|_top|&gt;",Y1192,"&lt;/a&gt;")</f>
        <v>&lt;/li&gt;&lt;li&gt;&lt;a href=|http://bibleoutline.org/deuteronomy/25.htm| title=|Outline with People and Places List| target=|_top|&gt;Outline&lt;/a&gt;</v>
      </c>
      <c r="Z178" t="str">
        <f t="shared" si="708"/>
        <v>&lt;/li&gt;&lt;li&gt;&lt;a href=|http://kjvs.scripturetext.com/deuteronomy/25.htm| title=|King James Bible with Strong's Numbers| target=|_top|&gt;Strong's&lt;/a&gt;</v>
      </c>
      <c r="AA178" t="str">
        <f t="shared" si="708"/>
        <v>&lt;/li&gt;&lt;li&gt;&lt;a href=|http://childrensbibleonline.com/deuteronomy/25.htm| title=|The Children's Bible| target=|_top|&gt;Children's&lt;/a&gt;</v>
      </c>
      <c r="AB178" s="2" t="str">
        <f t="shared" si="708"/>
        <v>&lt;/li&gt;&lt;li&gt;&lt;a href=|http://tsk.scripturetext.com/deuteronomy/25.htm| title=|Treasury of Scripture Knowledge| target=|_top|&gt;TSK&lt;/a&gt;</v>
      </c>
      <c r="AC178" t="str">
        <f>CONCATENATE("&lt;a href=|http://",AC1191,"/deuteronomy/25.htm","| ","title=|",AC1190,"| target=|_top|&gt;",AC1192,"&lt;/a&gt;")</f>
        <v>&lt;a href=|http://parallelbible.com/deuteronomy/25.htm| title=|Parallel Chapters| target=|_top|&gt;PAR&lt;/a&gt;</v>
      </c>
      <c r="AD178" s="2" t="str">
        <f t="shared" ref="AD178:AK178" si="710">CONCATENATE("&lt;/li&gt;&lt;li&gt;&lt;a href=|http://",AD1191,"/deuteronomy/25.htm","| ","title=|",AD1190,"| target=|_top|&gt;",AD1192,"&lt;/a&gt;")</f>
        <v>&lt;/li&gt;&lt;li&gt;&lt;a href=|http://gsb.biblecommenter.com/deuteronomy/25.htm| title=|Geneva Study Bible| target=|_top|&gt;GSB&lt;/a&gt;</v>
      </c>
      <c r="AE178" s="2" t="str">
        <f t="shared" si="710"/>
        <v>&lt;/li&gt;&lt;li&gt;&lt;a href=|http://jfb.biblecommenter.com/deuteronomy/25.htm| title=|Jamieson-Fausset-Brown Bible Commentary| target=|_top|&gt;JFB&lt;/a&gt;</v>
      </c>
      <c r="AF178" s="2" t="str">
        <f t="shared" si="710"/>
        <v>&lt;/li&gt;&lt;li&gt;&lt;a href=|http://kjt.biblecommenter.com/deuteronomy/25.htm| title=|King James Translators' Notes| target=|_top|&gt;KJT&lt;/a&gt;</v>
      </c>
      <c r="AG178" s="2" t="str">
        <f t="shared" si="710"/>
        <v>&lt;/li&gt;&lt;li&gt;&lt;a href=|http://mhc.biblecommenter.com/deuteronomy/25.htm| title=|Matthew Henry's Concise Commentary| target=|_top|&gt;MHC&lt;/a&gt;</v>
      </c>
      <c r="AH178" s="2" t="str">
        <f t="shared" si="710"/>
        <v>&lt;/li&gt;&lt;li&gt;&lt;a href=|http://sco.biblecommenter.com/deuteronomy/25.htm| title=|Scofield Reference Notes| target=|_top|&gt;SCO&lt;/a&gt;</v>
      </c>
      <c r="AI178" s="2" t="str">
        <f t="shared" si="710"/>
        <v>&lt;/li&gt;&lt;li&gt;&lt;a href=|http://wes.biblecommenter.com/deuteronomy/25.htm| title=|Wesley's Notes on the Bible| target=|_top|&gt;WES&lt;/a&gt;</v>
      </c>
      <c r="AJ178" t="str">
        <f t="shared" si="710"/>
        <v>&lt;/li&gt;&lt;li&gt;&lt;a href=|http://worldebible.com/deuteronomy/25.htm| title=|World English Bible| target=|_top|&gt;WEB&lt;/a&gt;</v>
      </c>
      <c r="AK178" t="str">
        <f t="shared" si="710"/>
        <v>&lt;/li&gt;&lt;li&gt;&lt;a href=|http://yltbible.com/deuteronomy/25.htm| title=|Young's Literal Translation| target=|_top|&gt;YLT&lt;/a&gt;</v>
      </c>
      <c r="AL178" t="str">
        <f>CONCATENATE("&lt;a href=|http://",AL1191,"/deuteronomy/25.htm","| ","title=|",AL1190,"| target=|_top|&gt;",AL1192,"&lt;/a&gt;")</f>
        <v>&lt;a href=|http://kjv.us/deuteronomy/25.htm| title=|American King James Version| target=|_top|&gt;AKJ&lt;/a&gt;</v>
      </c>
      <c r="AM178" t="str">
        <f t="shared" ref="AM178:AN178" si="711">CONCATENATE("&lt;/li&gt;&lt;li&gt;&lt;a href=|http://",AM1191,"/deuteronomy/25.htm","| ","title=|",AM1190,"| target=|_top|&gt;",AM1192,"&lt;/a&gt;")</f>
        <v>&lt;/li&gt;&lt;li&gt;&lt;a href=|http://basicenglishbible.com/deuteronomy/25.htm| title=|Bible in Basic English| target=|_top|&gt;BBE&lt;/a&gt;</v>
      </c>
      <c r="AN178" t="str">
        <f t="shared" si="711"/>
        <v>&lt;/li&gt;&lt;li&gt;&lt;a href=|http://darbybible.com/deuteronomy/25.htm| title=|Darby Bible Translation| target=|_top|&gt;DBY&lt;/a&gt;</v>
      </c>
      <c r="AO17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7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7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78" t="str">
        <f>CONCATENATE("&lt;/li&gt;&lt;li&gt;&lt;a href=|http://",AR1191,"/deuteronomy/25.htm","| ","title=|",AR1190,"| target=|_top|&gt;",AR1192,"&lt;/a&gt;")</f>
        <v>&lt;/li&gt;&lt;li&gt;&lt;a href=|http://websterbible.com/deuteronomy/25.htm| title=|Webster's Bible Translation| target=|_top|&gt;WBS&lt;/a&gt;</v>
      </c>
      <c r="AS17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78" t="str">
        <f>CONCATENATE("&lt;/li&gt;&lt;li&gt;&lt;a href=|http://",AT1191,"/deuteronomy/25-1.htm","| ","title=|",AT1190,"| target=|_top|&gt;",AT1192,"&lt;/a&gt;")</f>
        <v>&lt;/li&gt;&lt;li&gt;&lt;a href=|http://biblebrowser.com/deuteronomy/25-1.htm| title=|Split View| target=|_top|&gt;Split&lt;/a&gt;</v>
      </c>
      <c r="AU178" s="2" t="s">
        <v>1276</v>
      </c>
      <c r="AV178" t="s">
        <v>64</v>
      </c>
    </row>
    <row r="179" spans="1:48">
      <c r="A179" t="s">
        <v>622</v>
      </c>
      <c r="B179" t="s">
        <v>232</v>
      </c>
      <c r="C179" t="s">
        <v>624</v>
      </c>
      <c r="D179" t="s">
        <v>1268</v>
      </c>
      <c r="E179" t="s">
        <v>1277</v>
      </c>
      <c r="F179" t="s">
        <v>1304</v>
      </c>
      <c r="G179" t="s">
        <v>1266</v>
      </c>
      <c r="H179" t="s">
        <v>1305</v>
      </c>
      <c r="I179" t="s">
        <v>1303</v>
      </c>
      <c r="J179" t="s">
        <v>1267</v>
      </c>
      <c r="K179" t="s">
        <v>1275</v>
      </c>
      <c r="L179" s="2" t="s">
        <v>1274</v>
      </c>
      <c r="M179" t="str">
        <f t="shared" ref="M179:AB179" si="712">CONCATENATE("&lt;/li&gt;&lt;li&gt;&lt;a href=|http://",M1191,"/deuteronomy/26.htm","| ","title=|",M1190,"| target=|_top|&gt;",M1192,"&lt;/a&gt;")</f>
        <v>&lt;/li&gt;&lt;li&gt;&lt;a href=|http://niv.scripturetext.com/deuteronomy/26.htm| title=|New International Version| target=|_top|&gt;NIV&lt;/a&gt;</v>
      </c>
      <c r="N179" t="str">
        <f t="shared" si="712"/>
        <v>&lt;/li&gt;&lt;li&gt;&lt;a href=|http://nlt.scripturetext.com/deuteronomy/26.htm| title=|New Living Translation| target=|_top|&gt;NLT&lt;/a&gt;</v>
      </c>
      <c r="O179" t="str">
        <f t="shared" si="712"/>
        <v>&lt;/li&gt;&lt;li&gt;&lt;a href=|http://nasb.scripturetext.com/deuteronomy/26.htm| title=|New American Standard Bible| target=|_top|&gt;NAS&lt;/a&gt;</v>
      </c>
      <c r="P179" t="str">
        <f t="shared" si="712"/>
        <v>&lt;/li&gt;&lt;li&gt;&lt;a href=|http://gwt.scripturetext.com/deuteronomy/26.htm| title=|God's Word Translation| target=|_top|&gt;GWT&lt;/a&gt;</v>
      </c>
      <c r="Q179" t="str">
        <f t="shared" si="712"/>
        <v>&lt;/li&gt;&lt;li&gt;&lt;a href=|http://kingjbible.com/deuteronomy/26.htm| title=|King James Bible| target=|_top|&gt;KJV&lt;/a&gt;</v>
      </c>
      <c r="R179" t="str">
        <f t="shared" si="712"/>
        <v>&lt;/li&gt;&lt;li&gt;&lt;a href=|http://asvbible.com/deuteronomy/26.htm| title=|American Standard Version| target=|_top|&gt;ASV&lt;/a&gt;</v>
      </c>
      <c r="S179" t="str">
        <f t="shared" si="712"/>
        <v>&lt;/li&gt;&lt;li&gt;&lt;a href=|http://drb.scripturetext.com/deuteronomy/26.htm| title=|Douay-Rheims Bible| target=|_top|&gt;DRB&lt;/a&gt;</v>
      </c>
      <c r="T179" t="str">
        <f t="shared" si="712"/>
        <v>&lt;/li&gt;&lt;li&gt;&lt;a href=|http://erv.scripturetext.com/deuteronomy/26.htm| title=|English Revised Version| target=|_top|&gt;ERV&lt;/a&gt;</v>
      </c>
      <c r="V179" t="str">
        <f>CONCATENATE("&lt;/li&gt;&lt;li&gt;&lt;a href=|http://",V1191,"/deuteronomy/26.htm","| ","title=|",V1190,"| target=|_top|&gt;",V1192,"&lt;/a&gt;")</f>
        <v>&lt;/li&gt;&lt;li&gt;&lt;a href=|http://study.interlinearbible.org/deuteronomy/26.htm| title=|Hebrew Study Bible| target=|_top|&gt;Heb Study&lt;/a&gt;</v>
      </c>
      <c r="W179" t="str">
        <f t="shared" si="712"/>
        <v>&lt;/li&gt;&lt;li&gt;&lt;a href=|http://apostolic.interlinearbible.org/deuteronomy/26.htm| title=|Apostolic Bible Polyglot Interlinear| target=|_top|&gt;Polyglot&lt;/a&gt;</v>
      </c>
      <c r="X179" t="str">
        <f t="shared" si="712"/>
        <v>&lt;/li&gt;&lt;li&gt;&lt;a href=|http://interlinearbible.org/deuteronomy/26.htm| title=|Interlinear Bible| target=|_top|&gt;Interlin&lt;/a&gt;</v>
      </c>
      <c r="Y179" t="str">
        <f t="shared" ref="Y179" si="713">CONCATENATE("&lt;/li&gt;&lt;li&gt;&lt;a href=|http://",Y1191,"/deuteronomy/26.htm","| ","title=|",Y1190,"| target=|_top|&gt;",Y1192,"&lt;/a&gt;")</f>
        <v>&lt;/li&gt;&lt;li&gt;&lt;a href=|http://bibleoutline.org/deuteronomy/26.htm| title=|Outline with People and Places List| target=|_top|&gt;Outline&lt;/a&gt;</v>
      </c>
      <c r="Z179" t="str">
        <f t="shared" si="712"/>
        <v>&lt;/li&gt;&lt;li&gt;&lt;a href=|http://kjvs.scripturetext.com/deuteronomy/26.htm| title=|King James Bible with Strong's Numbers| target=|_top|&gt;Strong's&lt;/a&gt;</v>
      </c>
      <c r="AA179" t="str">
        <f t="shared" si="712"/>
        <v>&lt;/li&gt;&lt;li&gt;&lt;a href=|http://childrensbibleonline.com/deuteronomy/26.htm| title=|The Children's Bible| target=|_top|&gt;Children's&lt;/a&gt;</v>
      </c>
      <c r="AB179" s="2" t="str">
        <f t="shared" si="712"/>
        <v>&lt;/li&gt;&lt;li&gt;&lt;a href=|http://tsk.scripturetext.com/deuteronomy/26.htm| title=|Treasury of Scripture Knowledge| target=|_top|&gt;TSK&lt;/a&gt;</v>
      </c>
      <c r="AC179" t="str">
        <f>CONCATENATE("&lt;a href=|http://",AC1191,"/deuteronomy/26.htm","| ","title=|",AC1190,"| target=|_top|&gt;",AC1192,"&lt;/a&gt;")</f>
        <v>&lt;a href=|http://parallelbible.com/deuteronomy/26.htm| title=|Parallel Chapters| target=|_top|&gt;PAR&lt;/a&gt;</v>
      </c>
      <c r="AD179" s="2" t="str">
        <f t="shared" ref="AD179:AK179" si="714">CONCATENATE("&lt;/li&gt;&lt;li&gt;&lt;a href=|http://",AD1191,"/deuteronomy/26.htm","| ","title=|",AD1190,"| target=|_top|&gt;",AD1192,"&lt;/a&gt;")</f>
        <v>&lt;/li&gt;&lt;li&gt;&lt;a href=|http://gsb.biblecommenter.com/deuteronomy/26.htm| title=|Geneva Study Bible| target=|_top|&gt;GSB&lt;/a&gt;</v>
      </c>
      <c r="AE179" s="2" t="str">
        <f t="shared" si="714"/>
        <v>&lt;/li&gt;&lt;li&gt;&lt;a href=|http://jfb.biblecommenter.com/deuteronomy/26.htm| title=|Jamieson-Fausset-Brown Bible Commentary| target=|_top|&gt;JFB&lt;/a&gt;</v>
      </c>
      <c r="AF179" s="2" t="str">
        <f t="shared" si="714"/>
        <v>&lt;/li&gt;&lt;li&gt;&lt;a href=|http://kjt.biblecommenter.com/deuteronomy/26.htm| title=|King James Translators' Notes| target=|_top|&gt;KJT&lt;/a&gt;</v>
      </c>
      <c r="AG179" s="2" t="str">
        <f t="shared" si="714"/>
        <v>&lt;/li&gt;&lt;li&gt;&lt;a href=|http://mhc.biblecommenter.com/deuteronomy/26.htm| title=|Matthew Henry's Concise Commentary| target=|_top|&gt;MHC&lt;/a&gt;</v>
      </c>
      <c r="AH179" s="2" t="str">
        <f t="shared" si="714"/>
        <v>&lt;/li&gt;&lt;li&gt;&lt;a href=|http://sco.biblecommenter.com/deuteronomy/26.htm| title=|Scofield Reference Notes| target=|_top|&gt;SCO&lt;/a&gt;</v>
      </c>
      <c r="AI179" s="2" t="str">
        <f t="shared" si="714"/>
        <v>&lt;/li&gt;&lt;li&gt;&lt;a href=|http://wes.biblecommenter.com/deuteronomy/26.htm| title=|Wesley's Notes on the Bible| target=|_top|&gt;WES&lt;/a&gt;</v>
      </c>
      <c r="AJ179" t="str">
        <f t="shared" si="714"/>
        <v>&lt;/li&gt;&lt;li&gt;&lt;a href=|http://worldebible.com/deuteronomy/26.htm| title=|World English Bible| target=|_top|&gt;WEB&lt;/a&gt;</v>
      </c>
      <c r="AK179" t="str">
        <f t="shared" si="714"/>
        <v>&lt;/li&gt;&lt;li&gt;&lt;a href=|http://yltbible.com/deuteronomy/26.htm| title=|Young's Literal Translation| target=|_top|&gt;YLT&lt;/a&gt;</v>
      </c>
      <c r="AL179" t="str">
        <f>CONCATENATE("&lt;a href=|http://",AL1191,"/deuteronomy/26.htm","| ","title=|",AL1190,"| target=|_top|&gt;",AL1192,"&lt;/a&gt;")</f>
        <v>&lt;a href=|http://kjv.us/deuteronomy/26.htm| title=|American King James Version| target=|_top|&gt;AKJ&lt;/a&gt;</v>
      </c>
      <c r="AM179" t="str">
        <f t="shared" ref="AM179:AN179" si="715">CONCATENATE("&lt;/li&gt;&lt;li&gt;&lt;a href=|http://",AM1191,"/deuteronomy/26.htm","| ","title=|",AM1190,"| target=|_top|&gt;",AM1192,"&lt;/a&gt;")</f>
        <v>&lt;/li&gt;&lt;li&gt;&lt;a href=|http://basicenglishbible.com/deuteronomy/26.htm| title=|Bible in Basic English| target=|_top|&gt;BBE&lt;/a&gt;</v>
      </c>
      <c r="AN179" t="str">
        <f t="shared" si="715"/>
        <v>&lt;/li&gt;&lt;li&gt;&lt;a href=|http://darbybible.com/deuteronomy/26.htm| title=|Darby Bible Translation| target=|_top|&gt;DBY&lt;/a&gt;</v>
      </c>
      <c r="AO17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7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7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79" t="str">
        <f>CONCATENATE("&lt;/li&gt;&lt;li&gt;&lt;a href=|http://",AR1191,"/deuteronomy/26.htm","| ","title=|",AR1190,"| target=|_top|&gt;",AR1192,"&lt;/a&gt;")</f>
        <v>&lt;/li&gt;&lt;li&gt;&lt;a href=|http://websterbible.com/deuteronomy/26.htm| title=|Webster's Bible Translation| target=|_top|&gt;WBS&lt;/a&gt;</v>
      </c>
      <c r="AS17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79" t="str">
        <f>CONCATENATE("&lt;/li&gt;&lt;li&gt;&lt;a href=|http://",AT1191,"/deuteronomy/26-1.htm","| ","title=|",AT1190,"| target=|_top|&gt;",AT1192,"&lt;/a&gt;")</f>
        <v>&lt;/li&gt;&lt;li&gt;&lt;a href=|http://biblebrowser.com/deuteronomy/26-1.htm| title=|Split View| target=|_top|&gt;Split&lt;/a&gt;</v>
      </c>
      <c r="AU179" s="2" t="s">
        <v>1276</v>
      </c>
      <c r="AV179" t="s">
        <v>64</v>
      </c>
    </row>
    <row r="180" spans="1:48">
      <c r="A180" t="s">
        <v>622</v>
      </c>
      <c r="B180" t="s">
        <v>233</v>
      </c>
      <c r="C180" t="s">
        <v>624</v>
      </c>
      <c r="D180" t="s">
        <v>1268</v>
      </c>
      <c r="E180" t="s">
        <v>1277</v>
      </c>
      <c r="F180" t="s">
        <v>1304</v>
      </c>
      <c r="G180" t="s">
        <v>1266</v>
      </c>
      <c r="H180" t="s">
        <v>1305</v>
      </c>
      <c r="I180" t="s">
        <v>1303</v>
      </c>
      <c r="J180" t="s">
        <v>1267</v>
      </c>
      <c r="K180" t="s">
        <v>1275</v>
      </c>
      <c r="L180" s="2" t="s">
        <v>1274</v>
      </c>
      <c r="M180" t="str">
        <f t="shared" ref="M180:AB180" si="716">CONCATENATE("&lt;/li&gt;&lt;li&gt;&lt;a href=|http://",M1191,"/deuteronomy/27.htm","| ","title=|",M1190,"| target=|_top|&gt;",M1192,"&lt;/a&gt;")</f>
        <v>&lt;/li&gt;&lt;li&gt;&lt;a href=|http://niv.scripturetext.com/deuteronomy/27.htm| title=|New International Version| target=|_top|&gt;NIV&lt;/a&gt;</v>
      </c>
      <c r="N180" t="str">
        <f t="shared" si="716"/>
        <v>&lt;/li&gt;&lt;li&gt;&lt;a href=|http://nlt.scripturetext.com/deuteronomy/27.htm| title=|New Living Translation| target=|_top|&gt;NLT&lt;/a&gt;</v>
      </c>
      <c r="O180" t="str">
        <f t="shared" si="716"/>
        <v>&lt;/li&gt;&lt;li&gt;&lt;a href=|http://nasb.scripturetext.com/deuteronomy/27.htm| title=|New American Standard Bible| target=|_top|&gt;NAS&lt;/a&gt;</v>
      </c>
      <c r="P180" t="str">
        <f t="shared" si="716"/>
        <v>&lt;/li&gt;&lt;li&gt;&lt;a href=|http://gwt.scripturetext.com/deuteronomy/27.htm| title=|God's Word Translation| target=|_top|&gt;GWT&lt;/a&gt;</v>
      </c>
      <c r="Q180" t="str">
        <f t="shared" si="716"/>
        <v>&lt;/li&gt;&lt;li&gt;&lt;a href=|http://kingjbible.com/deuteronomy/27.htm| title=|King James Bible| target=|_top|&gt;KJV&lt;/a&gt;</v>
      </c>
      <c r="R180" t="str">
        <f t="shared" si="716"/>
        <v>&lt;/li&gt;&lt;li&gt;&lt;a href=|http://asvbible.com/deuteronomy/27.htm| title=|American Standard Version| target=|_top|&gt;ASV&lt;/a&gt;</v>
      </c>
      <c r="S180" t="str">
        <f t="shared" si="716"/>
        <v>&lt;/li&gt;&lt;li&gt;&lt;a href=|http://drb.scripturetext.com/deuteronomy/27.htm| title=|Douay-Rheims Bible| target=|_top|&gt;DRB&lt;/a&gt;</v>
      </c>
      <c r="T180" t="str">
        <f t="shared" si="716"/>
        <v>&lt;/li&gt;&lt;li&gt;&lt;a href=|http://erv.scripturetext.com/deuteronomy/27.htm| title=|English Revised Version| target=|_top|&gt;ERV&lt;/a&gt;</v>
      </c>
      <c r="V180" t="str">
        <f>CONCATENATE("&lt;/li&gt;&lt;li&gt;&lt;a href=|http://",V1191,"/deuteronomy/27.htm","| ","title=|",V1190,"| target=|_top|&gt;",V1192,"&lt;/a&gt;")</f>
        <v>&lt;/li&gt;&lt;li&gt;&lt;a href=|http://study.interlinearbible.org/deuteronomy/27.htm| title=|Hebrew Study Bible| target=|_top|&gt;Heb Study&lt;/a&gt;</v>
      </c>
      <c r="W180" t="str">
        <f t="shared" si="716"/>
        <v>&lt;/li&gt;&lt;li&gt;&lt;a href=|http://apostolic.interlinearbible.org/deuteronomy/27.htm| title=|Apostolic Bible Polyglot Interlinear| target=|_top|&gt;Polyglot&lt;/a&gt;</v>
      </c>
      <c r="X180" t="str">
        <f t="shared" si="716"/>
        <v>&lt;/li&gt;&lt;li&gt;&lt;a href=|http://interlinearbible.org/deuteronomy/27.htm| title=|Interlinear Bible| target=|_top|&gt;Interlin&lt;/a&gt;</v>
      </c>
      <c r="Y180" t="str">
        <f t="shared" ref="Y180" si="717">CONCATENATE("&lt;/li&gt;&lt;li&gt;&lt;a href=|http://",Y1191,"/deuteronomy/27.htm","| ","title=|",Y1190,"| target=|_top|&gt;",Y1192,"&lt;/a&gt;")</f>
        <v>&lt;/li&gt;&lt;li&gt;&lt;a href=|http://bibleoutline.org/deuteronomy/27.htm| title=|Outline with People and Places List| target=|_top|&gt;Outline&lt;/a&gt;</v>
      </c>
      <c r="Z180" t="str">
        <f t="shared" si="716"/>
        <v>&lt;/li&gt;&lt;li&gt;&lt;a href=|http://kjvs.scripturetext.com/deuteronomy/27.htm| title=|King James Bible with Strong's Numbers| target=|_top|&gt;Strong's&lt;/a&gt;</v>
      </c>
      <c r="AA180" t="str">
        <f t="shared" si="716"/>
        <v>&lt;/li&gt;&lt;li&gt;&lt;a href=|http://childrensbibleonline.com/deuteronomy/27.htm| title=|The Children's Bible| target=|_top|&gt;Children's&lt;/a&gt;</v>
      </c>
      <c r="AB180" s="2" t="str">
        <f t="shared" si="716"/>
        <v>&lt;/li&gt;&lt;li&gt;&lt;a href=|http://tsk.scripturetext.com/deuteronomy/27.htm| title=|Treasury of Scripture Knowledge| target=|_top|&gt;TSK&lt;/a&gt;</v>
      </c>
      <c r="AC180" t="str">
        <f>CONCATENATE("&lt;a href=|http://",AC1191,"/deuteronomy/27.htm","| ","title=|",AC1190,"| target=|_top|&gt;",AC1192,"&lt;/a&gt;")</f>
        <v>&lt;a href=|http://parallelbible.com/deuteronomy/27.htm| title=|Parallel Chapters| target=|_top|&gt;PAR&lt;/a&gt;</v>
      </c>
      <c r="AD180" s="2" t="str">
        <f t="shared" ref="AD180:AK180" si="718">CONCATENATE("&lt;/li&gt;&lt;li&gt;&lt;a href=|http://",AD1191,"/deuteronomy/27.htm","| ","title=|",AD1190,"| target=|_top|&gt;",AD1192,"&lt;/a&gt;")</f>
        <v>&lt;/li&gt;&lt;li&gt;&lt;a href=|http://gsb.biblecommenter.com/deuteronomy/27.htm| title=|Geneva Study Bible| target=|_top|&gt;GSB&lt;/a&gt;</v>
      </c>
      <c r="AE180" s="2" t="str">
        <f t="shared" si="718"/>
        <v>&lt;/li&gt;&lt;li&gt;&lt;a href=|http://jfb.biblecommenter.com/deuteronomy/27.htm| title=|Jamieson-Fausset-Brown Bible Commentary| target=|_top|&gt;JFB&lt;/a&gt;</v>
      </c>
      <c r="AF180" s="2" t="str">
        <f t="shared" si="718"/>
        <v>&lt;/li&gt;&lt;li&gt;&lt;a href=|http://kjt.biblecommenter.com/deuteronomy/27.htm| title=|King James Translators' Notes| target=|_top|&gt;KJT&lt;/a&gt;</v>
      </c>
      <c r="AG180" s="2" t="str">
        <f t="shared" si="718"/>
        <v>&lt;/li&gt;&lt;li&gt;&lt;a href=|http://mhc.biblecommenter.com/deuteronomy/27.htm| title=|Matthew Henry's Concise Commentary| target=|_top|&gt;MHC&lt;/a&gt;</v>
      </c>
      <c r="AH180" s="2" t="str">
        <f t="shared" si="718"/>
        <v>&lt;/li&gt;&lt;li&gt;&lt;a href=|http://sco.biblecommenter.com/deuteronomy/27.htm| title=|Scofield Reference Notes| target=|_top|&gt;SCO&lt;/a&gt;</v>
      </c>
      <c r="AI180" s="2" t="str">
        <f t="shared" si="718"/>
        <v>&lt;/li&gt;&lt;li&gt;&lt;a href=|http://wes.biblecommenter.com/deuteronomy/27.htm| title=|Wesley's Notes on the Bible| target=|_top|&gt;WES&lt;/a&gt;</v>
      </c>
      <c r="AJ180" t="str">
        <f t="shared" si="718"/>
        <v>&lt;/li&gt;&lt;li&gt;&lt;a href=|http://worldebible.com/deuteronomy/27.htm| title=|World English Bible| target=|_top|&gt;WEB&lt;/a&gt;</v>
      </c>
      <c r="AK180" t="str">
        <f t="shared" si="718"/>
        <v>&lt;/li&gt;&lt;li&gt;&lt;a href=|http://yltbible.com/deuteronomy/27.htm| title=|Young's Literal Translation| target=|_top|&gt;YLT&lt;/a&gt;</v>
      </c>
      <c r="AL180" t="str">
        <f>CONCATENATE("&lt;a href=|http://",AL1191,"/deuteronomy/27.htm","| ","title=|",AL1190,"| target=|_top|&gt;",AL1192,"&lt;/a&gt;")</f>
        <v>&lt;a href=|http://kjv.us/deuteronomy/27.htm| title=|American King James Version| target=|_top|&gt;AKJ&lt;/a&gt;</v>
      </c>
      <c r="AM180" t="str">
        <f t="shared" ref="AM180:AN180" si="719">CONCATENATE("&lt;/li&gt;&lt;li&gt;&lt;a href=|http://",AM1191,"/deuteronomy/27.htm","| ","title=|",AM1190,"| target=|_top|&gt;",AM1192,"&lt;/a&gt;")</f>
        <v>&lt;/li&gt;&lt;li&gt;&lt;a href=|http://basicenglishbible.com/deuteronomy/27.htm| title=|Bible in Basic English| target=|_top|&gt;BBE&lt;/a&gt;</v>
      </c>
      <c r="AN180" t="str">
        <f t="shared" si="719"/>
        <v>&lt;/li&gt;&lt;li&gt;&lt;a href=|http://darbybible.com/deuteronomy/27.htm| title=|Darby Bible Translation| target=|_top|&gt;DBY&lt;/a&gt;</v>
      </c>
      <c r="AO18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8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8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80" t="str">
        <f>CONCATENATE("&lt;/li&gt;&lt;li&gt;&lt;a href=|http://",AR1191,"/deuteronomy/27.htm","| ","title=|",AR1190,"| target=|_top|&gt;",AR1192,"&lt;/a&gt;")</f>
        <v>&lt;/li&gt;&lt;li&gt;&lt;a href=|http://websterbible.com/deuteronomy/27.htm| title=|Webster's Bible Translation| target=|_top|&gt;WBS&lt;/a&gt;</v>
      </c>
      <c r="AS18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80" t="str">
        <f>CONCATENATE("&lt;/li&gt;&lt;li&gt;&lt;a href=|http://",AT1191,"/deuteronomy/27-1.htm","| ","title=|",AT1190,"| target=|_top|&gt;",AT1192,"&lt;/a&gt;")</f>
        <v>&lt;/li&gt;&lt;li&gt;&lt;a href=|http://biblebrowser.com/deuteronomy/27-1.htm| title=|Split View| target=|_top|&gt;Split&lt;/a&gt;</v>
      </c>
      <c r="AU180" s="2" t="s">
        <v>1276</v>
      </c>
      <c r="AV180" t="s">
        <v>64</v>
      </c>
    </row>
    <row r="181" spans="1:48">
      <c r="A181" t="s">
        <v>622</v>
      </c>
      <c r="B181" t="s">
        <v>234</v>
      </c>
      <c r="C181" t="s">
        <v>624</v>
      </c>
      <c r="D181" t="s">
        <v>1268</v>
      </c>
      <c r="E181" t="s">
        <v>1277</v>
      </c>
      <c r="F181" t="s">
        <v>1304</v>
      </c>
      <c r="G181" t="s">
        <v>1266</v>
      </c>
      <c r="H181" t="s">
        <v>1305</v>
      </c>
      <c r="I181" t="s">
        <v>1303</v>
      </c>
      <c r="J181" t="s">
        <v>1267</v>
      </c>
      <c r="K181" t="s">
        <v>1275</v>
      </c>
      <c r="L181" s="2" t="s">
        <v>1274</v>
      </c>
      <c r="M181" t="str">
        <f t="shared" ref="M181:AB181" si="720">CONCATENATE("&lt;/li&gt;&lt;li&gt;&lt;a href=|http://",M1191,"/deuteronomy/28.htm","| ","title=|",M1190,"| target=|_top|&gt;",M1192,"&lt;/a&gt;")</f>
        <v>&lt;/li&gt;&lt;li&gt;&lt;a href=|http://niv.scripturetext.com/deuteronomy/28.htm| title=|New International Version| target=|_top|&gt;NIV&lt;/a&gt;</v>
      </c>
      <c r="N181" t="str">
        <f t="shared" si="720"/>
        <v>&lt;/li&gt;&lt;li&gt;&lt;a href=|http://nlt.scripturetext.com/deuteronomy/28.htm| title=|New Living Translation| target=|_top|&gt;NLT&lt;/a&gt;</v>
      </c>
      <c r="O181" t="str">
        <f t="shared" si="720"/>
        <v>&lt;/li&gt;&lt;li&gt;&lt;a href=|http://nasb.scripturetext.com/deuteronomy/28.htm| title=|New American Standard Bible| target=|_top|&gt;NAS&lt;/a&gt;</v>
      </c>
      <c r="P181" t="str">
        <f t="shared" si="720"/>
        <v>&lt;/li&gt;&lt;li&gt;&lt;a href=|http://gwt.scripturetext.com/deuteronomy/28.htm| title=|God's Word Translation| target=|_top|&gt;GWT&lt;/a&gt;</v>
      </c>
      <c r="Q181" t="str">
        <f t="shared" si="720"/>
        <v>&lt;/li&gt;&lt;li&gt;&lt;a href=|http://kingjbible.com/deuteronomy/28.htm| title=|King James Bible| target=|_top|&gt;KJV&lt;/a&gt;</v>
      </c>
      <c r="R181" t="str">
        <f t="shared" si="720"/>
        <v>&lt;/li&gt;&lt;li&gt;&lt;a href=|http://asvbible.com/deuteronomy/28.htm| title=|American Standard Version| target=|_top|&gt;ASV&lt;/a&gt;</v>
      </c>
      <c r="S181" t="str">
        <f t="shared" si="720"/>
        <v>&lt;/li&gt;&lt;li&gt;&lt;a href=|http://drb.scripturetext.com/deuteronomy/28.htm| title=|Douay-Rheims Bible| target=|_top|&gt;DRB&lt;/a&gt;</v>
      </c>
      <c r="T181" t="str">
        <f t="shared" si="720"/>
        <v>&lt;/li&gt;&lt;li&gt;&lt;a href=|http://erv.scripturetext.com/deuteronomy/28.htm| title=|English Revised Version| target=|_top|&gt;ERV&lt;/a&gt;</v>
      </c>
      <c r="V181" t="str">
        <f>CONCATENATE("&lt;/li&gt;&lt;li&gt;&lt;a href=|http://",V1191,"/deuteronomy/28.htm","| ","title=|",V1190,"| target=|_top|&gt;",V1192,"&lt;/a&gt;")</f>
        <v>&lt;/li&gt;&lt;li&gt;&lt;a href=|http://study.interlinearbible.org/deuteronomy/28.htm| title=|Hebrew Study Bible| target=|_top|&gt;Heb Study&lt;/a&gt;</v>
      </c>
      <c r="W181" t="str">
        <f t="shared" si="720"/>
        <v>&lt;/li&gt;&lt;li&gt;&lt;a href=|http://apostolic.interlinearbible.org/deuteronomy/28.htm| title=|Apostolic Bible Polyglot Interlinear| target=|_top|&gt;Polyglot&lt;/a&gt;</v>
      </c>
      <c r="X181" t="str">
        <f t="shared" si="720"/>
        <v>&lt;/li&gt;&lt;li&gt;&lt;a href=|http://interlinearbible.org/deuteronomy/28.htm| title=|Interlinear Bible| target=|_top|&gt;Interlin&lt;/a&gt;</v>
      </c>
      <c r="Y181" t="str">
        <f t="shared" ref="Y181" si="721">CONCATENATE("&lt;/li&gt;&lt;li&gt;&lt;a href=|http://",Y1191,"/deuteronomy/28.htm","| ","title=|",Y1190,"| target=|_top|&gt;",Y1192,"&lt;/a&gt;")</f>
        <v>&lt;/li&gt;&lt;li&gt;&lt;a href=|http://bibleoutline.org/deuteronomy/28.htm| title=|Outline with People and Places List| target=|_top|&gt;Outline&lt;/a&gt;</v>
      </c>
      <c r="Z181" t="str">
        <f t="shared" si="720"/>
        <v>&lt;/li&gt;&lt;li&gt;&lt;a href=|http://kjvs.scripturetext.com/deuteronomy/28.htm| title=|King James Bible with Strong's Numbers| target=|_top|&gt;Strong's&lt;/a&gt;</v>
      </c>
      <c r="AA181" t="str">
        <f t="shared" si="720"/>
        <v>&lt;/li&gt;&lt;li&gt;&lt;a href=|http://childrensbibleonline.com/deuteronomy/28.htm| title=|The Children's Bible| target=|_top|&gt;Children's&lt;/a&gt;</v>
      </c>
      <c r="AB181" s="2" t="str">
        <f t="shared" si="720"/>
        <v>&lt;/li&gt;&lt;li&gt;&lt;a href=|http://tsk.scripturetext.com/deuteronomy/28.htm| title=|Treasury of Scripture Knowledge| target=|_top|&gt;TSK&lt;/a&gt;</v>
      </c>
      <c r="AC181" t="str">
        <f>CONCATENATE("&lt;a href=|http://",AC1191,"/deuteronomy/28.htm","| ","title=|",AC1190,"| target=|_top|&gt;",AC1192,"&lt;/a&gt;")</f>
        <v>&lt;a href=|http://parallelbible.com/deuteronomy/28.htm| title=|Parallel Chapters| target=|_top|&gt;PAR&lt;/a&gt;</v>
      </c>
      <c r="AD181" s="2" t="str">
        <f t="shared" ref="AD181:AK181" si="722">CONCATENATE("&lt;/li&gt;&lt;li&gt;&lt;a href=|http://",AD1191,"/deuteronomy/28.htm","| ","title=|",AD1190,"| target=|_top|&gt;",AD1192,"&lt;/a&gt;")</f>
        <v>&lt;/li&gt;&lt;li&gt;&lt;a href=|http://gsb.biblecommenter.com/deuteronomy/28.htm| title=|Geneva Study Bible| target=|_top|&gt;GSB&lt;/a&gt;</v>
      </c>
      <c r="AE181" s="2" t="str">
        <f t="shared" si="722"/>
        <v>&lt;/li&gt;&lt;li&gt;&lt;a href=|http://jfb.biblecommenter.com/deuteronomy/28.htm| title=|Jamieson-Fausset-Brown Bible Commentary| target=|_top|&gt;JFB&lt;/a&gt;</v>
      </c>
      <c r="AF181" s="2" t="str">
        <f t="shared" si="722"/>
        <v>&lt;/li&gt;&lt;li&gt;&lt;a href=|http://kjt.biblecommenter.com/deuteronomy/28.htm| title=|King James Translators' Notes| target=|_top|&gt;KJT&lt;/a&gt;</v>
      </c>
      <c r="AG181" s="2" t="str">
        <f t="shared" si="722"/>
        <v>&lt;/li&gt;&lt;li&gt;&lt;a href=|http://mhc.biblecommenter.com/deuteronomy/28.htm| title=|Matthew Henry's Concise Commentary| target=|_top|&gt;MHC&lt;/a&gt;</v>
      </c>
      <c r="AH181" s="2" t="str">
        <f t="shared" si="722"/>
        <v>&lt;/li&gt;&lt;li&gt;&lt;a href=|http://sco.biblecommenter.com/deuteronomy/28.htm| title=|Scofield Reference Notes| target=|_top|&gt;SCO&lt;/a&gt;</v>
      </c>
      <c r="AI181" s="2" t="str">
        <f t="shared" si="722"/>
        <v>&lt;/li&gt;&lt;li&gt;&lt;a href=|http://wes.biblecommenter.com/deuteronomy/28.htm| title=|Wesley's Notes on the Bible| target=|_top|&gt;WES&lt;/a&gt;</v>
      </c>
      <c r="AJ181" t="str">
        <f t="shared" si="722"/>
        <v>&lt;/li&gt;&lt;li&gt;&lt;a href=|http://worldebible.com/deuteronomy/28.htm| title=|World English Bible| target=|_top|&gt;WEB&lt;/a&gt;</v>
      </c>
      <c r="AK181" t="str">
        <f t="shared" si="722"/>
        <v>&lt;/li&gt;&lt;li&gt;&lt;a href=|http://yltbible.com/deuteronomy/28.htm| title=|Young's Literal Translation| target=|_top|&gt;YLT&lt;/a&gt;</v>
      </c>
      <c r="AL181" t="str">
        <f>CONCATENATE("&lt;a href=|http://",AL1191,"/deuteronomy/28.htm","| ","title=|",AL1190,"| target=|_top|&gt;",AL1192,"&lt;/a&gt;")</f>
        <v>&lt;a href=|http://kjv.us/deuteronomy/28.htm| title=|American King James Version| target=|_top|&gt;AKJ&lt;/a&gt;</v>
      </c>
      <c r="AM181" t="str">
        <f t="shared" ref="AM181:AN181" si="723">CONCATENATE("&lt;/li&gt;&lt;li&gt;&lt;a href=|http://",AM1191,"/deuteronomy/28.htm","| ","title=|",AM1190,"| target=|_top|&gt;",AM1192,"&lt;/a&gt;")</f>
        <v>&lt;/li&gt;&lt;li&gt;&lt;a href=|http://basicenglishbible.com/deuteronomy/28.htm| title=|Bible in Basic English| target=|_top|&gt;BBE&lt;/a&gt;</v>
      </c>
      <c r="AN181" t="str">
        <f t="shared" si="723"/>
        <v>&lt;/li&gt;&lt;li&gt;&lt;a href=|http://darbybible.com/deuteronomy/28.htm| title=|Darby Bible Translation| target=|_top|&gt;DBY&lt;/a&gt;</v>
      </c>
      <c r="AO18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8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8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81" t="str">
        <f>CONCATENATE("&lt;/li&gt;&lt;li&gt;&lt;a href=|http://",AR1191,"/deuteronomy/28.htm","| ","title=|",AR1190,"| target=|_top|&gt;",AR1192,"&lt;/a&gt;")</f>
        <v>&lt;/li&gt;&lt;li&gt;&lt;a href=|http://websterbible.com/deuteronomy/28.htm| title=|Webster's Bible Translation| target=|_top|&gt;WBS&lt;/a&gt;</v>
      </c>
      <c r="AS18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81" t="str">
        <f>CONCATENATE("&lt;/li&gt;&lt;li&gt;&lt;a href=|http://",AT1191,"/deuteronomy/28-1.htm","| ","title=|",AT1190,"| target=|_top|&gt;",AT1192,"&lt;/a&gt;")</f>
        <v>&lt;/li&gt;&lt;li&gt;&lt;a href=|http://biblebrowser.com/deuteronomy/28-1.htm| title=|Split View| target=|_top|&gt;Split&lt;/a&gt;</v>
      </c>
      <c r="AU181" s="2" t="s">
        <v>1276</v>
      </c>
      <c r="AV181" t="s">
        <v>64</v>
      </c>
    </row>
    <row r="182" spans="1:48">
      <c r="A182" t="s">
        <v>622</v>
      </c>
      <c r="B182" t="s">
        <v>235</v>
      </c>
      <c r="C182" t="s">
        <v>624</v>
      </c>
      <c r="D182" t="s">
        <v>1268</v>
      </c>
      <c r="E182" t="s">
        <v>1277</v>
      </c>
      <c r="F182" t="s">
        <v>1304</v>
      </c>
      <c r="G182" t="s">
        <v>1266</v>
      </c>
      <c r="H182" t="s">
        <v>1305</v>
      </c>
      <c r="I182" t="s">
        <v>1303</v>
      </c>
      <c r="J182" t="s">
        <v>1267</v>
      </c>
      <c r="K182" t="s">
        <v>1275</v>
      </c>
      <c r="L182" s="2" t="s">
        <v>1274</v>
      </c>
      <c r="M182" t="str">
        <f t="shared" ref="M182:AB182" si="724">CONCATENATE("&lt;/li&gt;&lt;li&gt;&lt;a href=|http://",M1191,"/deuteronomy/29.htm","| ","title=|",M1190,"| target=|_top|&gt;",M1192,"&lt;/a&gt;")</f>
        <v>&lt;/li&gt;&lt;li&gt;&lt;a href=|http://niv.scripturetext.com/deuteronomy/29.htm| title=|New International Version| target=|_top|&gt;NIV&lt;/a&gt;</v>
      </c>
      <c r="N182" t="str">
        <f t="shared" si="724"/>
        <v>&lt;/li&gt;&lt;li&gt;&lt;a href=|http://nlt.scripturetext.com/deuteronomy/29.htm| title=|New Living Translation| target=|_top|&gt;NLT&lt;/a&gt;</v>
      </c>
      <c r="O182" t="str">
        <f t="shared" si="724"/>
        <v>&lt;/li&gt;&lt;li&gt;&lt;a href=|http://nasb.scripturetext.com/deuteronomy/29.htm| title=|New American Standard Bible| target=|_top|&gt;NAS&lt;/a&gt;</v>
      </c>
      <c r="P182" t="str">
        <f t="shared" si="724"/>
        <v>&lt;/li&gt;&lt;li&gt;&lt;a href=|http://gwt.scripturetext.com/deuteronomy/29.htm| title=|God's Word Translation| target=|_top|&gt;GWT&lt;/a&gt;</v>
      </c>
      <c r="Q182" t="str">
        <f t="shared" si="724"/>
        <v>&lt;/li&gt;&lt;li&gt;&lt;a href=|http://kingjbible.com/deuteronomy/29.htm| title=|King James Bible| target=|_top|&gt;KJV&lt;/a&gt;</v>
      </c>
      <c r="R182" t="str">
        <f t="shared" si="724"/>
        <v>&lt;/li&gt;&lt;li&gt;&lt;a href=|http://asvbible.com/deuteronomy/29.htm| title=|American Standard Version| target=|_top|&gt;ASV&lt;/a&gt;</v>
      </c>
      <c r="S182" t="str">
        <f t="shared" si="724"/>
        <v>&lt;/li&gt;&lt;li&gt;&lt;a href=|http://drb.scripturetext.com/deuteronomy/29.htm| title=|Douay-Rheims Bible| target=|_top|&gt;DRB&lt;/a&gt;</v>
      </c>
      <c r="T182" t="str">
        <f t="shared" si="724"/>
        <v>&lt;/li&gt;&lt;li&gt;&lt;a href=|http://erv.scripturetext.com/deuteronomy/29.htm| title=|English Revised Version| target=|_top|&gt;ERV&lt;/a&gt;</v>
      </c>
      <c r="V182" t="str">
        <f>CONCATENATE("&lt;/li&gt;&lt;li&gt;&lt;a href=|http://",V1191,"/deuteronomy/29.htm","| ","title=|",V1190,"| target=|_top|&gt;",V1192,"&lt;/a&gt;")</f>
        <v>&lt;/li&gt;&lt;li&gt;&lt;a href=|http://study.interlinearbible.org/deuteronomy/29.htm| title=|Hebrew Study Bible| target=|_top|&gt;Heb Study&lt;/a&gt;</v>
      </c>
      <c r="W182" t="str">
        <f t="shared" si="724"/>
        <v>&lt;/li&gt;&lt;li&gt;&lt;a href=|http://apostolic.interlinearbible.org/deuteronomy/29.htm| title=|Apostolic Bible Polyglot Interlinear| target=|_top|&gt;Polyglot&lt;/a&gt;</v>
      </c>
      <c r="X182" t="str">
        <f t="shared" si="724"/>
        <v>&lt;/li&gt;&lt;li&gt;&lt;a href=|http://interlinearbible.org/deuteronomy/29.htm| title=|Interlinear Bible| target=|_top|&gt;Interlin&lt;/a&gt;</v>
      </c>
      <c r="Y182" t="str">
        <f t="shared" ref="Y182" si="725">CONCATENATE("&lt;/li&gt;&lt;li&gt;&lt;a href=|http://",Y1191,"/deuteronomy/29.htm","| ","title=|",Y1190,"| target=|_top|&gt;",Y1192,"&lt;/a&gt;")</f>
        <v>&lt;/li&gt;&lt;li&gt;&lt;a href=|http://bibleoutline.org/deuteronomy/29.htm| title=|Outline with People and Places List| target=|_top|&gt;Outline&lt;/a&gt;</v>
      </c>
      <c r="Z182" t="str">
        <f t="shared" si="724"/>
        <v>&lt;/li&gt;&lt;li&gt;&lt;a href=|http://kjvs.scripturetext.com/deuteronomy/29.htm| title=|King James Bible with Strong's Numbers| target=|_top|&gt;Strong's&lt;/a&gt;</v>
      </c>
      <c r="AA182" t="str">
        <f t="shared" si="724"/>
        <v>&lt;/li&gt;&lt;li&gt;&lt;a href=|http://childrensbibleonline.com/deuteronomy/29.htm| title=|The Children's Bible| target=|_top|&gt;Children's&lt;/a&gt;</v>
      </c>
      <c r="AB182" s="2" t="str">
        <f t="shared" si="724"/>
        <v>&lt;/li&gt;&lt;li&gt;&lt;a href=|http://tsk.scripturetext.com/deuteronomy/29.htm| title=|Treasury of Scripture Knowledge| target=|_top|&gt;TSK&lt;/a&gt;</v>
      </c>
      <c r="AC182" t="str">
        <f>CONCATENATE("&lt;a href=|http://",AC1191,"/deuteronomy/29.htm","| ","title=|",AC1190,"| target=|_top|&gt;",AC1192,"&lt;/a&gt;")</f>
        <v>&lt;a href=|http://parallelbible.com/deuteronomy/29.htm| title=|Parallel Chapters| target=|_top|&gt;PAR&lt;/a&gt;</v>
      </c>
      <c r="AD182" s="2" t="str">
        <f t="shared" ref="AD182:AK182" si="726">CONCATENATE("&lt;/li&gt;&lt;li&gt;&lt;a href=|http://",AD1191,"/deuteronomy/29.htm","| ","title=|",AD1190,"| target=|_top|&gt;",AD1192,"&lt;/a&gt;")</f>
        <v>&lt;/li&gt;&lt;li&gt;&lt;a href=|http://gsb.biblecommenter.com/deuteronomy/29.htm| title=|Geneva Study Bible| target=|_top|&gt;GSB&lt;/a&gt;</v>
      </c>
      <c r="AE182" s="2" t="str">
        <f t="shared" si="726"/>
        <v>&lt;/li&gt;&lt;li&gt;&lt;a href=|http://jfb.biblecommenter.com/deuteronomy/29.htm| title=|Jamieson-Fausset-Brown Bible Commentary| target=|_top|&gt;JFB&lt;/a&gt;</v>
      </c>
      <c r="AF182" s="2" t="str">
        <f t="shared" si="726"/>
        <v>&lt;/li&gt;&lt;li&gt;&lt;a href=|http://kjt.biblecommenter.com/deuteronomy/29.htm| title=|King James Translators' Notes| target=|_top|&gt;KJT&lt;/a&gt;</v>
      </c>
      <c r="AG182" s="2" t="str">
        <f t="shared" si="726"/>
        <v>&lt;/li&gt;&lt;li&gt;&lt;a href=|http://mhc.biblecommenter.com/deuteronomy/29.htm| title=|Matthew Henry's Concise Commentary| target=|_top|&gt;MHC&lt;/a&gt;</v>
      </c>
      <c r="AH182" s="2" t="str">
        <f t="shared" si="726"/>
        <v>&lt;/li&gt;&lt;li&gt;&lt;a href=|http://sco.biblecommenter.com/deuteronomy/29.htm| title=|Scofield Reference Notes| target=|_top|&gt;SCO&lt;/a&gt;</v>
      </c>
      <c r="AI182" s="2" t="str">
        <f t="shared" si="726"/>
        <v>&lt;/li&gt;&lt;li&gt;&lt;a href=|http://wes.biblecommenter.com/deuteronomy/29.htm| title=|Wesley's Notes on the Bible| target=|_top|&gt;WES&lt;/a&gt;</v>
      </c>
      <c r="AJ182" t="str">
        <f t="shared" si="726"/>
        <v>&lt;/li&gt;&lt;li&gt;&lt;a href=|http://worldebible.com/deuteronomy/29.htm| title=|World English Bible| target=|_top|&gt;WEB&lt;/a&gt;</v>
      </c>
      <c r="AK182" t="str">
        <f t="shared" si="726"/>
        <v>&lt;/li&gt;&lt;li&gt;&lt;a href=|http://yltbible.com/deuteronomy/29.htm| title=|Young's Literal Translation| target=|_top|&gt;YLT&lt;/a&gt;</v>
      </c>
      <c r="AL182" t="str">
        <f>CONCATENATE("&lt;a href=|http://",AL1191,"/deuteronomy/29.htm","| ","title=|",AL1190,"| target=|_top|&gt;",AL1192,"&lt;/a&gt;")</f>
        <v>&lt;a href=|http://kjv.us/deuteronomy/29.htm| title=|American King James Version| target=|_top|&gt;AKJ&lt;/a&gt;</v>
      </c>
      <c r="AM182" t="str">
        <f t="shared" ref="AM182:AN182" si="727">CONCATENATE("&lt;/li&gt;&lt;li&gt;&lt;a href=|http://",AM1191,"/deuteronomy/29.htm","| ","title=|",AM1190,"| target=|_top|&gt;",AM1192,"&lt;/a&gt;")</f>
        <v>&lt;/li&gt;&lt;li&gt;&lt;a href=|http://basicenglishbible.com/deuteronomy/29.htm| title=|Bible in Basic English| target=|_top|&gt;BBE&lt;/a&gt;</v>
      </c>
      <c r="AN182" t="str">
        <f t="shared" si="727"/>
        <v>&lt;/li&gt;&lt;li&gt;&lt;a href=|http://darbybible.com/deuteronomy/29.htm| title=|Darby Bible Translation| target=|_top|&gt;DBY&lt;/a&gt;</v>
      </c>
      <c r="AO18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8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8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82" t="str">
        <f>CONCATENATE("&lt;/li&gt;&lt;li&gt;&lt;a href=|http://",AR1191,"/deuteronomy/29.htm","| ","title=|",AR1190,"| target=|_top|&gt;",AR1192,"&lt;/a&gt;")</f>
        <v>&lt;/li&gt;&lt;li&gt;&lt;a href=|http://websterbible.com/deuteronomy/29.htm| title=|Webster's Bible Translation| target=|_top|&gt;WBS&lt;/a&gt;</v>
      </c>
      <c r="AS18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82" t="str">
        <f>CONCATENATE("&lt;/li&gt;&lt;li&gt;&lt;a href=|http://",AT1191,"/deuteronomy/29-1.htm","| ","title=|",AT1190,"| target=|_top|&gt;",AT1192,"&lt;/a&gt;")</f>
        <v>&lt;/li&gt;&lt;li&gt;&lt;a href=|http://biblebrowser.com/deuteronomy/29-1.htm| title=|Split View| target=|_top|&gt;Split&lt;/a&gt;</v>
      </c>
      <c r="AU182" s="2" t="s">
        <v>1276</v>
      </c>
      <c r="AV182" t="s">
        <v>64</v>
      </c>
    </row>
    <row r="183" spans="1:48">
      <c r="A183" t="s">
        <v>622</v>
      </c>
      <c r="B183" t="s">
        <v>236</v>
      </c>
      <c r="C183" t="s">
        <v>624</v>
      </c>
      <c r="D183" t="s">
        <v>1268</v>
      </c>
      <c r="E183" t="s">
        <v>1277</v>
      </c>
      <c r="F183" t="s">
        <v>1304</v>
      </c>
      <c r="G183" t="s">
        <v>1266</v>
      </c>
      <c r="H183" t="s">
        <v>1305</v>
      </c>
      <c r="I183" t="s">
        <v>1303</v>
      </c>
      <c r="J183" t="s">
        <v>1267</v>
      </c>
      <c r="K183" t="s">
        <v>1275</v>
      </c>
      <c r="L183" s="2" t="s">
        <v>1274</v>
      </c>
      <c r="M183" t="str">
        <f t="shared" ref="M183:AB183" si="728">CONCATENATE("&lt;/li&gt;&lt;li&gt;&lt;a href=|http://",M1191,"/deuteronomy/30.htm","| ","title=|",M1190,"| target=|_top|&gt;",M1192,"&lt;/a&gt;")</f>
        <v>&lt;/li&gt;&lt;li&gt;&lt;a href=|http://niv.scripturetext.com/deuteronomy/30.htm| title=|New International Version| target=|_top|&gt;NIV&lt;/a&gt;</v>
      </c>
      <c r="N183" t="str">
        <f t="shared" si="728"/>
        <v>&lt;/li&gt;&lt;li&gt;&lt;a href=|http://nlt.scripturetext.com/deuteronomy/30.htm| title=|New Living Translation| target=|_top|&gt;NLT&lt;/a&gt;</v>
      </c>
      <c r="O183" t="str">
        <f t="shared" si="728"/>
        <v>&lt;/li&gt;&lt;li&gt;&lt;a href=|http://nasb.scripturetext.com/deuteronomy/30.htm| title=|New American Standard Bible| target=|_top|&gt;NAS&lt;/a&gt;</v>
      </c>
      <c r="P183" t="str">
        <f t="shared" si="728"/>
        <v>&lt;/li&gt;&lt;li&gt;&lt;a href=|http://gwt.scripturetext.com/deuteronomy/30.htm| title=|God's Word Translation| target=|_top|&gt;GWT&lt;/a&gt;</v>
      </c>
      <c r="Q183" t="str">
        <f t="shared" si="728"/>
        <v>&lt;/li&gt;&lt;li&gt;&lt;a href=|http://kingjbible.com/deuteronomy/30.htm| title=|King James Bible| target=|_top|&gt;KJV&lt;/a&gt;</v>
      </c>
      <c r="R183" t="str">
        <f t="shared" si="728"/>
        <v>&lt;/li&gt;&lt;li&gt;&lt;a href=|http://asvbible.com/deuteronomy/30.htm| title=|American Standard Version| target=|_top|&gt;ASV&lt;/a&gt;</v>
      </c>
      <c r="S183" t="str">
        <f t="shared" si="728"/>
        <v>&lt;/li&gt;&lt;li&gt;&lt;a href=|http://drb.scripturetext.com/deuteronomy/30.htm| title=|Douay-Rheims Bible| target=|_top|&gt;DRB&lt;/a&gt;</v>
      </c>
      <c r="T183" t="str">
        <f t="shared" si="728"/>
        <v>&lt;/li&gt;&lt;li&gt;&lt;a href=|http://erv.scripturetext.com/deuteronomy/30.htm| title=|English Revised Version| target=|_top|&gt;ERV&lt;/a&gt;</v>
      </c>
      <c r="V183" t="str">
        <f>CONCATENATE("&lt;/li&gt;&lt;li&gt;&lt;a href=|http://",V1191,"/deuteronomy/30.htm","| ","title=|",V1190,"| target=|_top|&gt;",V1192,"&lt;/a&gt;")</f>
        <v>&lt;/li&gt;&lt;li&gt;&lt;a href=|http://study.interlinearbible.org/deuteronomy/30.htm| title=|Hebrew Study Bible| target=|_top|&gt;Heb Study&lt;/a&gt;</v>
      </c>
      <c r="W183" t="str">
        <f t="shared" si="728"/>
        <v>&lt;/li&gt;&lt;li&gt;&lt;a href=|http://apostolic.interlinearbible.org/deuteronomy/30.htm| title=|Apostolic Bible Polyglot Interlinear| target=|_top|&gt;Polyglot&lt;/a&gt;</v>
      </c>
      <c r="X183" t="str">
        <f t="shared" si="728"/>
        <v>&lt;/li&gt;&lt;li&gt;&lt;a href=|http://interlinearbible.org/deuteronomy/30.htm| title=|Interlinear Bible| target=|_top|&gt;Interlin&lt;/a&gt;</v>
      </c>
      <c r="Y183" t="str">
        <f t="shared" ref="Y183" si="729">CONCATENATE("&lt;/li&gt;&lt;li&gt;&lt;a href=|http://",Y1191,"/deuteronomy/30.htm","| ","title=|",Y1190,"| target=|_top|&gt;",Y1192,"&lt;/a&gt;")</f>
        <v>&lt;/li&gt;&lt;li&gt;&lt;a href=|http://bibleoutline.org/deuteronomy/30.htm| title=|Outline with People and Places List| target=|_top|&gt;Outline&lt;/a&gt;</v>
      </c>
      <c r="Z183" t="str">
        <f t="shared" si="728"/>
        <v>&lt;/li&gt;&lt;li&gt;&lt;a href=|http://kjvs.scripturetext.com/deuteronomy/30.htm| title=|King James Bible with Strong's Numbers| target=|_top|&gt;Strong's&lt;/a&gt;</v>
      </c>
      <c r="AA183" t="str">
        <f t="shared" si="728"/>
        <v>&lt;/li&gt;&lt;li&gt;&lt;a href=|http://childrensbibleonline.com/deuteronomy/30.htm| title=|The Children's Bible| target=|_top|&gt;Children's&lt;/a&gt;</v>
      </c>
      <c r="AB183" s="2" t="str">
        <f t="shared" si="728"/>
        <v>&lt;/li&gt;&lt;li&gt;&lt;a href=|http://tsk.scripturetext.com/deuteronomy/30.htm| title=|Treasury of Scripture Knowledge| target=|_top|&gt;TSK&lt;/a&gt;</v>
      </c>
      <c r="AC183" t="str">
        <f>CONCATENATE("&lt;a href=|http://",AC1191,"/deuteronomy/30.htm","| ","title=|",AC1190,"| target=|_top|&gt;",AC1192,"&lt;/a&gt;")</f>
        <v>&lt;a href=|http://parallelbible.com/deuteronomy/30.htm| title=|Parallel Chapters| target=|_top|&gt;PAR&lt;/a&gt;</v>
      </c>
      <c r="AD183" s="2" t="str">
        <f t="shared" ref="AD183:AK183" si="730">CONCATENATE("&lt;/li&gt;&lt;li&gt;&lt;a href=|http://",AD1191,"/deuteronomy/30.htm","| ","title=|",AD1190,"| target=|_top|&gt;",AD1192,"&lt;/a&gt;")</f>
        <v>&lt;/li&gt;&lt;li&gt;&lt;a href=|http://gsb.biblecommenter.com/deuteronomy/30.htm| title=|Geneva Study Bible| target=|_top|&gt;GSB&lt;/a&gt;</v>
      </c>
      <c r="AE183" s="2" t="str">
        <f t="shared" si="730"/>
        <v>&lt;/li&gt;&lt;li&gt;&lt;a href=|http://jfb.biblecommenter.com/deuteronomy/30.htm| title=|Jamieson-Fausset-Brown Bible Commentary| target=|_top|&gt;JFB&lt;/a&gt;</v>
      </c>
      <c r="AF183" s="2" t="str">
        <f t="shared" si="730"/>
        <v>&lt;/li&gt;&lt;li&gt;&lt;a href=|http://kjt.biblecommenter.com/deuteronomy/30.htm| title=|King James Translators' Notes| target=|_top|&gt;KJT&lt;/a&gt;</v>
      </c>
      <c r="AG183" s="2" t="str">
        <f t="shared" si="730"/>
        <v>&lt;/li&gt;&lt;li&gt;&lt;a href=|http://mhc.biblecommenter.com/deuteronomy/30.htm| title=|Matthew Henry's Concise Commentary| target=|_top|&gt;MHC&lt;/a&gt;</v>
      </c>
      <c r="AH183" s="2" t="str">
        <f t="shared" si="730"/>
        <v>&lt;/li&gt;&lt;li&gt;&lt;a href=|http://sco.biblecommenter.com/deuteronomy/30.htm| title=|Scofield Reference Notes| target=|_top|&gt;SCO&lt;/a&gt;</v>
      </c>
      <c r="AI183" s="2" t="str">
        <f t="shared" si="730"/>
        <v>&lt;/li&gt;&lt;li&gt;&lt;a href=|http://wes.biblecommenter.com/deuteronomy/30.htm| title=|Wesley's Notes on the Bible| target=|_top|&gt;WES&lt;/a&gt;</v>
      </c>
      <c r="AJ183" t="str">
        <f t="shared" si="730"/>
        <v>&lt;/li&gt;&lt;li&gt;&lt;a href=|http://worldebible.com/deuteronomy/30.htm| title=|World English Bible| target=|_top|&gt;WEB&lt;/a&gt;</v>
      </c>
      <c r="AK183" t="str">
        <f t="shared" si="730"/>
        <v>&lt;/li&gt;&lt;li&gt;&lt;a href=|http://yltbible.com/deuteronomy/30.htm| title=|Young's Literal Translation| target=|_top|&gt;YLT&lt;/a&gt;</v>
      </c>
      <c r="AL183" t="str">
        <f>CONCATENATE("&lt;a href=|http://",AL1191,"/deuteronomy/30.htm","| ","title=|",AL1190,"| target=|_top|&gt;",AL1192,"&lt;/a&gt;")</f>
        <v>&lt;a href=|http://kjv.us/deuteronomy/30.htm| title=|American King James Version| target=|_top|&gt;AKJ&lt;/a&gt;</v>
      </c>
      <c r="AM183" t="str">
        <f t="shared" ref="AM183:AN183" si="731">CONCATENATE("&lt;/li&gt;&lt;li&gt;&lt;a href=|http://",AM1191,"/deuteronomy/30.htm","| ","title=|",AM1190,"| target=|_top|&gt;",AM1192,"&lt;/a&gt;")</f>
        <v>&lt;/li&gt;&lt;li&gt;&lt;a href=|http://basicenglishbible.com/deuteronomy/30.htm| title=|Bible in Basic English| target=|_top|&gt;BBE&lt;/a&gt;</v>
      </c>
      <c r="AN183" t="str">
        <f t="shared" si="731"/>
        <v>&lt;/li&gt;&lt;li&gt;&lt;a href=|http://darbybible.com/deuteronomy/30.htm| title=|Darby Bible Translation| target=|_top|&gt;DBY&lt;/a&gt;</v>
      </c>
      <c r="AO18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8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8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83" t="str">
        <f>CONCATENATE("&lt;/li&gt;&lt;li&gt;&lt;a href=|http://",AR1191,"/deuteronomy/30.htm","| ","title=|",AR1190,"| target=|_top|&gt;",AR1192,"&lt;/a&gt;")</f>
        <v>&lt;/li&gt;&lt;li&gt;&lt;a href=|http://websterbible.com/deuteronomy/30.htm| title=|Webster's Bible Translation| target=|_top|&gt;WBS&lt;/a&gt;</v>
      </c>
      <c r="AS18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83" t="str">
        <f>CONCATENATE("&lt;/li&gt;&lt;li&gt;&lt;a href=|http://",AT1191,"/deuteronomy/30-1.htm","| ","title=|",AT1190,"| target=|_top|&gt;",AT1192,"&lt;/a&gt;")</f>
        <v>&lt;/li&gt;&lt;li&gt;&lt;a href=|http://biblebrowser.com/deuteronomy/30-1.htm| title=|Split View| target=|_top|&gt;Split&lt;/a&gt;</v>
      </c>
      <c r="AU183" s="2" t="s">
        <v>1276</v>
      </c>
      <c r="AV183" t="s">
        <v>64</v>
      </c>
    </row>
    <row r="184" spans="1:48">
      <c r="A184" t="s">
        <v>622</v>
      </c>
      <c r="B184" t="s">
        <v>237</v>
      </c>
      <c r="C184" t="s">
        <v>624</v>
      </c>
      <c r="D184" t="s">
        <v>1268</v>
      </c>
      <c r="E184" t="s">
        <v>1277</v>
      </c>
      <c r="F184" t="s">
        <v>1304</v>
      </c>
      <c r="G184" t="s">
        <v>1266</v>
      </c>
      <c r="H184" t="s">
        <v>1305</v>
      </c>
      <c r="I184" t="s">
        <v>1303</v>
      </c>
      <c r="J184" t="s">
        <v>1267</v>
      </c>
      <c r="K184" t="s">
        <v>1275</v>
      </c>
      <c r="L184" s="2" t="s">
        <v>1274</v>
      </c>
      <c r="M184" t="str">
        <f t="shared" ref="M184:AB184" si="732">CONCATENATE("&lt;/li&gt;&lt;li&gt;&lt;a href=|http://",M1191,"/deuteronomy/31.htm","| ","title=|",M1190,"| target=|_top|&gt;",M1192,"&lt;/a&gt;")</f>
        <v>&lt;/li&gt;&lt;li&gt;&lt;a href=|http://niv.scripturetext.com/deuteronomy/31.htm| title=|New International Version| target=|_top|&gt;NIV&lt;/a&gt;</v>
      </c>
      <c r="N184" t="str">
        <f t="shared" si="732"/>
        <v>&lt;/li&gt;&lt;li&gt;&lt;a href=|http://nlt.scripturetext.com/deuteronomy/31.htm| title=|New Living Translation| target=|_top|&gt;NLT&lt;/a&gt;</v>
      </c>
      <c r="O184" t="str">
        <f t="shared" si="732"/>
        <v>&lt;/li&gt;&lt;li&gt;&lt;a href=|http://nasb.scripturetext.com/deuteronomy/31.htm| title=|New American Standard Bible| target=|_top|&gt;NAS&lt;/a&gt;</v>
      </c>
      <c r="P184" t="str">
        <f t="shared" si="732"/>
        <v>&lt;/li&gt;&lt;li&gt;&lt;a href=|http://gwt.scripturetext.com/deuteronomy/31.htm| title=|God's Word Translation| target=|_top|&gt;GWT&lt;/a&gt;</v>
      </c>
      <c r="Q184" t="str">
        <f t="shared" si="732"/>
        <v>&lt;/li&gt;&lt;li&gt;&lt;a href=|http://kingjbible.com/deuteronomy/31.htm| title=|King James Bible| target=|_top|&gt;KJV&lt;/a&gt;</v>
      </c>
      <c r="R184" t="str">
        <f t="shared" si="732"/>
        <v>&lt;/li&gt;&lt;li&gt;&lt;a href=|http://asvbible.com/deuteronomy/31.htm| title=|American Standard Version| target=|_top|&gt;ASV&lt;/a&gt;</v>
      </c>
      <c r="S184" t="str">
        <f t="shared" si="732"/>
        <v>&lt;/li&gt;&lt;li&gt;&lt;a href=|http://drb.scripturetext.com/deuteronomy/31.htm| title=|Douay-Rheims Bible| target=|_top|&gt;DRB&lt;/a&gt;</v>
      </c>
      <c r="T184" t="str">
        <f t="shared" si="732"/>
        <v>&lt;/li&gt;&lt;li&gt;&lt;a href=|http://erv.scripturetext.com/deuteronomy/31.htm| title=|English Revised Version| target=|_top|&gt;ERV&lt;/a&gt;</v>
      </c>
      <c r="V184" t="str">
        <f>CONCATENATE("&lt;/li&gt;&lt;li&gt;&lt;a href=|http://",V1191,"/deuteronomy/31.htm","| ","title=|",V1190,"| target=|_top|&gt;",V1192,"&lt;/a&gt;")</f>
        <v>&lt;/li&gt;&lt;li&gt;&lt;a href=|http://study.interlinearbible.org/deuteronomy/31.htm| title=|Hebrew Study Bible| target=|_top|&gt;Heb Study&lt;/a&gt;</v>
      </c>
      <c r="W184" t="str">
        <f t="shared" si="732"/>
        <v>&lt;/li&gt;&lt;li&gt;&lt;a href=|http://apostolic.interlinearbible.org/deuteronomy/31.htm| title=|Apostolic Bible Polyglot Interlinear| target=|_top|&gt;Polyglot&lt;/a&gt;</v>
      </c>
      <c r="X184" t="str">
        <f t="shared" si="732"/>
        <v>&lt;/li&gt;&lt;li&gt;&lt;a href=|http://interlinearbible.org/deuteronomy/31.htm| title=|Interlinear Bible| target=|_top|&gt;Interlin&lt;/a&gt;</v>
      </c>
      <c r="Y184" t="str">
        <f t="shared" ref="Y184" si="733">CONCATENATE("&lt;/li&gt;&lt;li&gt;&lt;a href=|http://",Y1191,"/deuteronomy/31.htm","| ","title=|",Y1190,"| target=|_top|&gt;",Y1192,"&lt;/a&gt;")</f>
        <v>&lt;/li&gt;&lt;li&gt;&lt;a href=|http://bibleoutline.org/deuteronomy/31.htm| title=|Outline with People and Places List| target=|_top|&gt;Outline&lt;/a&gt;</v>
      </c>
      <c r="Z184" t="str">
        <f t="shared" si="732"/>
        <v>&lt;/li&gt;&lt;li&gt;&lt;a href=|http://kjvs.scripturetext.com/deuteronomy/31.htm| title=|King James Bible with Strong's Numbers| target=|_top|&gt;Strong's&lt;/a&gt;</v>
      </c>
      <c r="AA184" t="str">
        <f t="shared" si="732"/>
        <v>&lt;/li&gt;&lt;li&gt;&lt;a href=|http://childrensbibleonline.com/deuteronomy/31.htm| title=|The Children's Bible| target=|_top|&gt;Children's&lt;/a&gt;</v>
      </c>
      <c r="AB184" s="2" t="str">
        <f t="shared" si="732"/>
        <v>&lt;/li&gt;&lt;li&gt;&lt;a href=|http://tsk.scripturetext.com/deuteronomy/31.htm| title=|Treasury of Scripture Knowledge| target=|_top|&gt;TSK&lt;/a&gt;</v>
      </c>
      <c r="AC184" t="str">
        <f>CONCATENATE("&lt;a href=|http://",AC1191,"/deuteronomy/31.htm","| ","title=|",AC1190,"| target=|_top|&gt;",AC1192,"&lt;/a&gt;")</f>
        <v>&lt;a href=|http://parallelbible.com/deuteronomy/31.htm| title=|Parallel Chapters| target=|_top|&gt;PAR&lt;/a&gt;</v>
      </c>
      <c r="AD184" s="2" t="str">
        <f t="shared" ref="AD184:AK184" si="734">CONCATENATE("&lt;/li&gt;&lt;li&gt;&lt;a href=|http://",AD1191,"/deuteronomy/31.htm","| ","title=|",AD1190,"| target=|_top|&gt;",AD1192,"&lt;/a&gt;")</f>
        <v>&lt;/li&gt;&lt;li&gt;&lt;a href=|http://gsb.biblecommenter.com/deuteronomy/31.htm| title=|Geneva Study Bible| target=|_top|&gt;GSB&lt;/a&gt;</v>
      </c>
      <c r="AE184" s="2" t="str">
        <f t="shared" si="734"/>
        <v>&lt;/li&gt;&lt;li&gt;&lt;a href=|http://jfb.biblecommenter.com/deuteronomy/31.htm| title=|Jamieson-Fausset-Brown Bible Commentary| target=|_top|&gt;JFB&lt;/a&gt;</v>
      </c>
      <c r="AF184" s="2" t="str">
        <f t="shared" si="734"/>
        <v>&lt;/li&gt;&lt;li&gt;&lt;a href=|http://kjt.biblecommenter.com/deuteronomy/31.htm| title=|King James Translators' Notes| target=|_top|&gt;KJT&lt;/a&gt;</v>
      </c>
      <c r="AG184" s="2" t="str">
        <f t="shared" si="734"/>
        <v>&lt;/li&gt;&lt;li&gt;&lt;a href=|http://mhc.biblecommenter.com/deuteronomy/31.htm| title=|Matthew Henry's Concise Commentary| target=|_top|&gt;MHC&lt;/a&gt;</v>
      </c>
      <c r="AH184" s="2" t="str">
        <f t="shared" si="734"/>
        <v>&lt;/li&gt;&lt;li&gt;&lt;a href=|http://sco.biblecommenter.com/deuteronomy/31.htm| title=|Scofield Reference Notes| target=|_top|&gt;SCO&lt;/a&gt;</v>
      </c>
      <c r="AI184" s="2" t="str">
        <f t="shared" si="734"/>
        <v>&lt;/li&gt;&lt;li&gt;&lt;a href=|http://wes.biblecommenter.com/deuteronomy/31.htm| title=|Wesley's Notes on the Bible| target=|_top|&gt;WES&lt;/a&gt;</v>
      </c>
      <c r="AJ184" t="str">
        <f t="shared" si="734"/>
        <v>&lt;/li&gt;&lt;li&gt;&lt;a href=|http://worldebible.com/deuteronomy/31.htm| title=|World English Bible| target=|_top|&gt;WEB&lt;/a&gt;</v>
      </c>
      <c r="AK184" t="str">
        <f t="shared" si="734"/>
        <v>&lt;/li&gt;&lt;li&gt;&lt;a href=|http://yltbible.com/deuteronomy/31.htm| title=|Young's Literal Translation| target=|_top|&gt;YLT&lt;/a&gt;</v>
      </c>
      <c r="AL184" t="str">
        <f>CONCATENATE("&lt;a href=|http://",AL1191,"/deuteronomy/31.htm","| ","title=|",AL1190,"| target=|_top|&gt;",AL1192,"&lt;/a&gt;")</f>
        <v>&lt;a href=|http://kjv.us/deuteronomy/31.htm| title=|American King James Version| target=|_top|&gt;AKJ&lt;/a&gt;</v>
      </c>
      <c r="AM184" t="str">
        <f t="shared" ref="AM184:AN184" si="735">CONCATENATE("&lt;/li&gt;&lt;li&gt;&lt;a href=|http://",AM1191,"/deuteronomy/31.htm","| ","title=|",AM1190,"| target=|_top|&gt;",AM1192,"&lt;/a&gt;")</f>
        <v>&lt;/li&gt;&lt;li&gt;&lt;a href=|http://basicenglishbible.com/deuteronomy/31.htm| title=|Bible in Basic English| target=|_top|&gt;BBE&lt;/a&gt;</v>
      </c>
      <c r="AN184" t="str">
        <f t="shared" si="735"/>
        <v>&lt;/li&gt;&lt;li&gt;&lt;a href=|http://darbybible.com/deuteronomy/31.htm| title=|Darby Bible Translation| target=|_top|&gt;DBY&lt;/a&gt;</v>
      </c>
      <c r="AO18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8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8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84" t="str">
        <f>CONCATENATE("&lt;/li&gt;&lt;li&gt;&lt;a href=|http://",AR1191,"/deuteronomy/31.htm","| ","title=|",AR1190,"| target=|_top|&gt;",AR1192,"&lt;/a&gt;")</f>
        <v>&lt;/li&gt;&lt;li&gt;&lt;a href=|http://websterbible.com/deuteronomy/31.htm| title=|Webster's Bible Translation| target=|_top|&gt;WBS&lt;/a&gt;</v>
      </c>
      <c r="AS18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84" t="str">
        <f>CONCATENATE("&lt;/li&gt;&lt;li&gt;&lt;a href=|http://",AT1191,"/deuteronomy/31-1.htm","| ","title=|",AT1190,"| target=|_top|&gt;",AT1192,"&lt;/a&gt;")</f>
        <v>&lt;/li&gt;&lt;li&gt;&lt;a href=|http://biblebrowser.com/deuteronomy/31-1.htm| title=|Split View| target=|_top|&gt;Split&lt;/a&gt;</v>
      </c>
      <c r="AU184" s="2" t="s">
        <v>1276</v>
      </c>
      <c r="AV184" t="s">
        <v>64</v>
      </c>
    </row>
    <row r="185" spans="1:48">
      <c r="A185" t="s">
        <v>622</v>
      </c>
      <c r="B185" t="s">
        <v>238</v>
      </c>
      <c r="C185" t="s">
        <v>624</v>
      </c>
      <c r="D185" t="s">
        <v>1268</v>
      </c>
      <c r="E185" t="s">
        <v>1277</v>
      </c>
      <c r="F185" t="s">
        <v>1304</v>
      </c>
      <c r="G185" t="s">
        <v>1266</v>
      </c>
      <c r="H185" t="s">
        <v>1305</v>
      </c>
      <c r="I185" t="s">
        <v>1303</v>
      </c>
      <c r="J185" t="s">
        <v>1267</v>
      </c>
      <c r="K185" t="s">
        <v>1275</v>
      </c>
      <c r="L185" s="2" t="s">
        <v>1274</v>
      </c>
      <c r="M185" t="str">
        <f t="shared" ref="M185:AB185" si="736">CONCATENATE("&lt;/li&gt;&lt;li&gt;&lt;a href=|http://",M1191,"/deuteronomy/32.htm","| ","title=|",M1190,"| target=|_top|&gt;",M1192,"&lt;/a&gt;")</f>
        <v>&lt;/li&gt;&lt;li&gt;&lt;a href=|http://niv.scripturetext.com/deuteronomy/32.htm| title=|New International Version| target=|_top|&gt;NIV&lt;/a&gt;</v>
      </c>
      <c r="N185" t="str">
        <f t="shared" si="736"/>
        <v>&lt;/li&gt;&lt;li&gt;&lt;a href=|http://nlt.scripturetext.com/deuteronomy/32.htm| title=|New Living Translation| target=|_top|&gt;NLT&lt;/a&gt;</v>
      </c>
      <c r="O185" t="str">
        <f t="shared" si="736"/>
        <v>&lt;/li&gt;&lt;li&gt;&lt;a href=|http://nasb.scripturetext.com/deuteronomy/32.htm| title=|New American Standard Bible| target=|_top|&gt;NAS&lt;/a&gt;</v>
      </c>
      <c r="P185" t="str">
        <f t="shared" si="736"/>
        <v>&lt;/li&gt;&lt;li&gt;&lt;a href=|http://gwt.scripturetext.com/deuteronomy/32.htm| title=|God's Word Translation| target=|_top|&gt;GWT&lt;/a&gt;</v>
      </c>
      <c r="Q185" t="str">
        <f t="shared" si="736"/>
        <v>&lt;/li&gt;&lt;li&gt;&lt;a href=|http://kingjbible.com/deuteronomy/32.htm| title=|King James Bible| target=|_top|&gt;KJV&lt;/a&gt;</v>
      </c>
      <c r="R185" t="str">
        <f t="shared" si="736"/>
        <v>&lt;/li&gt;&lt;li&gt;&lt;a href=|http://asvbible.com/deuteronomy/32.htm| title=|American Standard Version| target=|_top|&gt;ASV&lt;/a&gt;</v>
      </c>
      <c r="S185" t="str">
        <f t="shared" si="736"/>
        <v>&lt;/li&gt;&lt;li&gt;&lt;a href=|http://drb.scripturetext.com/deuteronomy/32.htm| title=|Douay-Rheims Bible| target=|_top|&gt;DRB&lt;/a&gt;</v>
      </c>
      <c r="T185" t="str">
        <f t="shared" si="736"/>
        <v>&lt;/li&gt;&lt;li&gt;&lt;a href=|http://erv.scripturetext.com/deuteronomy/32.htm| title=|English Revised Version| target=|_top|&gt;ERV&lt;/a&gt;</v>
      </c>
      <c r="V185" t="str">
        <f>CONCATENATE("&lt;/li&gt;&lt;li&gt;&lt;a href=|http://",V1191,"/deuteronomy/32.htm","| ","title=|",V1190,"| target=|_top|&gt;",V1192,"&lt;/a&gt;")</f>
        <v>&lt;/li&gt;&lt;li&gt;&lt;a href=|http://study.interlinearbible.org/deuteronomy/32.htm| title=|Hebrew Study Bible| target=|_top|&gt;Heb Study&lt;/a&gt;</v>
      </c>
      <c r="W185" t="str">
        <f t="shared" si="736"/>
        <v>&lt;/li&gt;&lt;li&gt;&lt;a href=|http://apostolic.interlinearbible.org/deuteronomy/32.htm| title=|Apostolic Bible Polyglot Interlinear| target=|_top|&gt;Polyglot&lt;/a&gt;</v>
      </c>
      <c r="X185" t="str">
        <f t="shared" si="736"/>
        <v>&lt;/li&gt;&lt;li&gt;&lt;a href=|http://interlinearbible.org/deuteronomy/32.htm| title=|Interlinear Bible| target=|_top|&gt;Interlin&lt;/a&gt;</v>
      </c>
      <c r="Y185" t="str">
        <f t="shared" ref="Y185" si="737">CONCATENATE("&lt;/li&gt;&lt;li&gt;&lt;a href=|http://",Y1191,"/deuteronomy/32.htm","| ","title=|",Y1190,"| target=|_top|&gt;",Y1192,"&lt;/a&gt;")</f>
        <v>&lt;/li&gt;&lt;li&gt;&lt;a href=|http://bibleoutline.org/deuteronomy/32.htm| title=|Outline with People and Places List| target=|_top|&gt;Outline&lt;/a&gt;</v>
      </c>
      <c r="Z185" t="str">
        <f t="shared" si="736"/>
        <v>&lt;/li&gt;&lt;li&gt;&lt;a href=|http://kjvs.scripturetext.com/deuteronomy/32.htm| title=|King James Bible with Strong's Numbers| target=|_top|&gt;Strong's&lt;/a&gt;</v>
      </c>
      <c r="AA185" t="str">
        <f t="shared" si="736"/>
        <v>&lt;/li&gt;&lt;li&gt;&lt;a href=|http://childrensbibleonline.com/deuteronomy/32.htm| title=|The Children's Bible| target=|_top|&gt;Children's&lt;/a&gt;</v>
      </c>
      <c r="AB185" s="2" t="str">
        <f t="shared" si="736"/>
        <v>&lt;/li&gt;&lt;li&gt;&lt;a href=|http://tsk.scripturetext.com/deuteronomy/32.htm| title=|Treasury of Scripture Knowledge| target=|_top|&gt;TSK&lt;/a&gt;</v>
      </c>
      <c r="AC185" t="str">
        <f>CONCATENATE("&lt;a href=|http://",AC1191,"/deuteronomy/32.htm","| ","title=|",AC1190,"| target=|_top|&gt;",AC1192,"&lt;/a&gt;")</f>
        <v>&lt;a href=|http://parallelbible.com/deuteronomy/32.htm| title=|Parallel Chapters| target=|_top|&gt;PAR&lt;/a&gt;</v>
      </c>
      <c r="AD185" s="2" t="str">
        <f t="shared" ref="AD185:AK185" si="738">CONCATENATE("&lt;/li&gt;&lt;li&gt;&lt;a href=|http://",AD1191,"/deuteronomy/32.htm","| ","title=|",AD1190,"| target=|_top|&gt;",AD1192,"&lt;/a&gt;")</f>
        <v>&lt;/li&gt;&lt;li&gt;&lt;a href=|http://gsb.biblecommenter.com/deuteronomy/32.htm| title=|Geneva Study Bible| target=|_top|&gt;GSB&lt;/a&gt;</v>
      </c>
      <c r="AE185" s="2" t="str">
        <f t="shared" si="738"/>
        <v>&lt;/li&gt;&lt;li&gt;&lt;a href=|http://jfb.biblecommenter.com/deuteronomy/32.htm| title=|Jamieson-Fausset-Brown Bible Commentary| target=|_top|&gt;JFB&lt;/a&gt;</v>
      </c>
      <c r="AF185" s="2" t="str">
        <f t="shared" si="738"/>
        <v>&lt;/li&gt;&lt;li&gt;&lt;a href=|http://kjt.biblecommenter.com/deuteronomy/32.htm| title=|King James Translators' Notes| target=|_top|&gt;KJT&lt;/a&gt;</v>
      </c>
      <c r="AG185" s="2" t="str">
        <f t="shared" si="738"/>
        <v>&lt;/li&gt;&lt;li&gt;&lt;a href=|http://mhc.biblecommenter.com/deuteronomy/32.htm| title=|Matthew Henry's Concise Commentary| target=|_top|&gt;MHC&lt;/a&gt;</v>
      </c>
      <c r="AH185" s="2" t="str">
        <f t="shared" si="738"/>
        <v>&lt;/li&gt;&lt;li&gt;&lt;a href=|http://sco.biblecommenter.com/deuteronomy/32.htm| title=|Scofield Reference Notes| target=|_top|&gt;SCO&lt;/a&gt;</v>
      </c>
      <c r="AI185" s="2" t="str">
        <f t="shared" si="738"/>
        <v>&lt;/li&gt;&lt;li&gt;&lt;a href=|http://wes.biblecommenter.com/deuteronomy/32.htm| title=|Wesley's Notes on the Bible| target=|_top|&gt;WES&lt;/a&gt;</v>
      </c>
      <c r="AJ185" t="str">
        <f t="shared" si="738"/>
        <v>&lt;/li&gt;&lt;li&gt;&lt;a href=|http://worldebible.com/deuteronomy/32.htm| title=|World English Bible| target=|_top|&gt;WEB&lt;/a&gt;</v>
      </c>
      <c r="AK185" t="str">
        <f t="shared" si="738"/>
        <v>&lt;/li&gt;&lt;li&gt;&lt;a href=|http://yltbible.com/deuteronomy/32.htm| title=|Young's Literal Translation| target=|_top|&gt;YLT&lt;/a&gt;</v>
      </c>
      <c r="AL185" t="str">
        <f>CONCATENATE("&lt;a href=|http://",AL1191,"/deuteronomy/32.htm","| ","title=|",AL1190,"| target=|_top|&gt;",AL1192,"&lt;/a&gt;")</f>
        <v>&lt;a href=|http://kjv.us/deuteronomy/32.htm| title=|American King James Version| target=|_top|&gt;AKJ&lt;/a&gt;</v>
      </c>
      <c r="AM185" t="str">
        <f t="shared" ref="AM185:AN185" si="739">CONCATENATE("&lt;/li&gt;&lt;li&gt;&lt;a href=|http://",AM1191,"/deuteronomy/32.htm","| ","title=|",AM1190,"| target=|_top|&gt;",AM1192,"&lt;/a&gt;")</f>
        <v>&lt;/li&gt;&lt;li&gt;&lt;a href=|http://basicenglishbible.com/deuteronomy/32.htm| title=|Bible in Basic English| target=|_top|&gt;BBE&lt;/a&gt;</v>
      </c>
      <c r="AN185" t="str">
        <f t="shared" si="739"/>
        <v>&lt;/li&gt;&lt;li&gt;&lt;a href=|http://darbybible.com/deuteronomy/32.htm| title=|Darby Bible Translation| target=|_top|&gt;DBY&lt;/a&gt;</v>
      </c>
      <c r="AO18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8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8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85" t="str">
        <f>CONCATENATE("&lt;/li&gt;&lt;li&gt;&lt;a href=|http://",AR1191,"/deuteronomy/32.htm","| ","title=|",AR1190,"| target=|_top|&gt;",AR1192,"&lt;/a&gt;")</f>
        <v>&lt;/li&gt;&lt;li&gt;&lt;a href=|http://websterbible.com/deuteronomy/32.htm| title=|Webster's Bible Translation| target=|_top|&gt;WBS&lt;/a&gt;</v>
      </c>
      <c r="AS18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85" t="str">
        <f>CONCATENATE("&lt;/li&gt;&lt;li&gt;&lt;a href=|http://",AT1191,"/deuteronomy/32-1.htm","| ","title=|",AT1190,"| target=|_top|&gt;",AT1192,"&lt;/a&gt;")</f>
        <v>&lt;/li&gt;&lt;li&gt;&lt;a href=|http://biblebrowser.com/deuteronomy/32-1.htm| title=|Split View| target=|_top|&gt;Split&lt;/a&gt;</v>
      </c>
      <c r="AU185" s="2" t="s">
        <v>1276</v>
      </c>
      <c r="AV185" t="s">
        <v>64</v>
      </c>
    </row>
    <row r="186" spans="1:48">
      <c r="A186" t="s">
        <v>622</v>
      </c>
      <c r="B186" t="s">
        <v>239</v>
      </c>
      <c r="C186" t="s">
        <v>624</v>
      </c>
      <c r="D186" t="s">
        <v>1268</v>
      </c>
      <c r="E186" t="s">
        <v>1277</v>
      </c>
      <c r="F186" t="s">
        <v>1304</v>
      </c>
      <c r="G186" t="s">
        <v>1266</v>
      </c>
      <c r="H186" t="s">
        <v>1305</v>
      </c>
      <c r="I186" t="s">
        <v>1303</v>
      </c>
      <c r="J186" t="s">
        <v>1267</v>
      </c>
      <c r="K186" t="s">
        <v>1275</v>
      </c>
      <c r="L186" s="2" t="s">
        <v>1274</v>
      </c>
      <c r="M186" t="str">
        <f t="shared" ref="M186:AB186" si="740">CONCATENATE("&lt;/li&gt;&lt;li&gt;&lt;a href=|http://",M1191,"/deuteronomy/33.htm","| ","title=|",M1190,"| target=|_top|&gt;",M1192,"&lt;/a&gt;")</f>
        <v>&lt;/li&gt;&lt;li&gt;&lt;a href=|http://niv.scripturetext.com/deuteronomy/33.htm| title=|New International Version| target=|_top|&gt;NIV&lt;/a&gt;</v>
      </c>
      <c r="N186" t="str">
        <f t="shared" si="740"/>
        <v>&lt;/li&gt;&lt;li&gt;&lt;a href=|http://nlt.scripturetext.com/deuteronomy/33.htm| title=|New Living Translation| target=|_top|&gt;NLT&lt;/a&gt;</v>
      </c>
      <c r="O186" t="str">
        <f t="shared" si="740"/>
        <v>&lt;/li&gt;&lt;li&gt;&lt;a href=|http://nasb.scripturetext.com/deuteronomy/33.htm| title=|New American Standard Bible| target=|_top|&gt;NAS&lt;/a&gt;</v>
      </c>
      <c r="P186" t="str">
        <f t="shared" si="740"/>
        <v>&lt;/li&gt;&lt;li&gt;&lt;a href=|http://gwt.scripturetext.com/deuteronomy/33.htm| title=|God's Word Translation| target=|_top|&gt;GWT&lt;/a&gt;</v>
      </c>
      <c r="Q186" t="str">
        <f t="shared" si="740"/>
        <v>&lt;/li&gt;&lt;li&gt;&lt;a href=|http://kingjbible.com/deuteronomy/33.htm| title=|King James Bible| target=|_top|&gt;KJV&lt;/a&gt;</v>
      </c>
      <c r="R186" t="str">
        <f t="shared" si="740"/>
        <v>&lt;/li&gt;&lt;li&gt;&lt;a href=|http://asvbible.com/deuteronomy/33.htm| title=|American Standard Version| target=|_top|&gt;ASV&lt;/a&gt;</v>
      </c>
      <c r="S186" t="str">
        <f t="shared" si="740"/>
        <v>&lt;/li&gt;&lt;li&gt;&lt;a href=|http://drb.scripturetext.com/deuteronomy/33.htm| title=|Douay-Rheims Bible| target=|_top|&gt;DRB&lt;/a&gt;</v>
      </c>
      <c r="T186" t="str">
        <f t="shared" si="740"/>
        <v>&lt;/li&gt;&lt;li&gt;&lt;a href=|http://erv.scripturetext.com/deuteronomy/33.htm| title=|English Revised Version| target=|_top|&gt;ERV&lt;/a&gt;</v>
      </c>
      <c r="V186" t="str">
        <f>CONCATENATE("&lt;/li&gt;&lt;li&gt;&lt;a href=|http://",V1191,"/deuteronomy/33.htm","| ","title=|",V1190,"| target=|_top|&gt;",V1192,"&lt;/a&gt;")</f>
        <v>&lt;/li&gt;&lt;li&gt;&lt;a href=|http://study.interlinearbible.org/deuteronomy/33.htm| title=|Hebrew Study Bible| target=|_top|&gt;Heb Study&lt;/a&gt;</v>
      </c>
      <c r="W186" t="str">
        <f t="shared" si="740"/>
        <v>&lt;/li&gt;&lt;li&gt;&lt;a href=|http://apostolic.interlinearbible.org/deuteronomy/33.htm| title=|Apostolic Bible Polyglot Interlinear| target=|_top|&gt;Polyglot&lt;/a&gt;</v>
      </c>
      <c r="X186" t="str">
        <f t="shared" si="740"/>
        <v>&lt;/li&gt;&lt;li&gt;&lt;a href=|http://interlinearbible.org/deuteronomy/33.htm| title=|Interlinear Bible| target=|_top|&gt;Interlin&lt;/a&gt;</v>
      </c>
      <c r="Y186" t="str">
        <f t="shared" ref="Y186" si="741">CONCATENATE("&lt;/li&gt;&lt;li&gt;&lt;a href=|http://",Y1191,"/deuteronomy/33.htm","| ","title=|",Y1190,"| target=|_top|&gt;",Y1192,"&lt;/a&gt;")</f>
        <v>&lt;/li&gt;&lt;li&gt;&lt;a href=|http://bibleoutline.org/deuteronomy/33.htm| title=|Outline with People and Places List| target=|_top|&gt;Outline&lt;/a&gt;</v>
      </c>
      <c r="Z186" t="str">
        <f t="shared" si="740"/>
        <v>&lt;/li&gt;&lt;li&gt;&lt;a href=|http://kjvs.scripturetext.com/deuteronomy/33.htm| title=|King James Bible with Strong's Numbers| target=|_top|&gt;Strong's&lt;/a&gt;</v>
      </c>
      <c r="AA186" t="str">
        <f t="shared" si="740"/>
        <v>&lt;/li&gt;&lt;li&gt;&lt;a href=|http://childrensbibleonline.com/deuteronomy/33.htm| title=|The Children's Bible| target=|_top|&gt;Children's&lt;/a&gt;</v>
      </c>
      <c r="AB186" s="2" t="str">
        <f t="shared" si="740"/>
        <v>&lt;/li&gt;&lt;li&gt;&lt;a href=|http://tsk.scripturetext.com/deuteronomy/33.htm| title=|Treasury of Scripture Knowledge| target=|_top|&gt;TSK&lt;/a&gt;</v>
      </c>
      <c r="AC186" t="str">
        <f>CONCATENATE("&lt;a href=|http://",AC1191,"/deuteronomy/33.htm","| ","title=|",AC1190,"| target=|_top|&gt;",AC1192,"&lt;/a&gt;")</f>
        <v>&lt;a href=|http://parallelbible.com/deuteronomy/33.htm| title=|Parallel Chapters| target=|_top|&gt;PAR&lt;/a&gt;</v>
      </c>
      <c r="AD186" s="2" t="str">
        <f t="shared" ref="AD186:AK186" si="742">CONCATENATE("&lt;/li&gt;&lt;li&gt;&lt;a href=|http://",AD1191,"/deuteronomy/33.htm","| ","title=|",AD1190,"| target=|_top|&gt;",AD1192,"&lt;/a&gt;")</f>
        <v>&lt;/li&gt;&lt;li&gt;&lt;a href=|http://gsb.biblecommenter.com/deuteronomy/33.htm| title=|Geneva Study Bible| target=|_top|&gt;GSB&lt;/a&gt;</v>
      </c>
      <c r="AE186" s="2" t="str">
        <f t="shared" si="742"/>
        <v>&lt;/li&gt;&lt;li&gt;&lt;a href=|http://jfb.biblecommenter.com/deuteronomy/33.htm| title=|Jamieson-Fausset-Brown Bible Commentary| target=|_top|&gt;JFB&lt;/a&gt;</v>
      </c>
      <c r="AF186" s="2" t="str">
        <f t="shared" si="742"/>
        <v>&lt;/li&gt;&lt;li&gt;&lt;a href=|http://kjt.biblecommenter.com/deuteronomy/33.htm| title=|King James Translators' Notes| target=|_top|&gt;KJT&lt;/a&gt;</v>
      </c>
      <c r="AG186" s="2" t="str">
        <f t="shared" si="742"/>
        <v>&lt;/li&gt;&lt;li&gt;&lt;a href=|http://mhc.biblecommenter.com/deuteronomy/33.htm| title=|Matthew Henry's Concise Commentary| target=|_top|&gt;MHC&lt;/a&gt;</v>
      </c>
      <c r="AH186" s="2" t="str">
        <f t="shared" si="742"/>
        <v>&lt;/li&gt;&lt;li&gt;&lt;a href=|http://sco.biblecommenter.com/deuteronomy/33.htm| title=|Scofield Reference Notes| target=|_top|&gt;SCO&lt;/a&gt;</v>
      </c>
      <c r="AI186" s="2" t="str">
        <f t="shared" si="742"/>
        <v>&lt;/li&gt;&lt;li&gt;&lt;a href=|http://wes.biblecommenter.com/deuteronomy/33.htm| title=|Wesley's Notes on the Bible| target=|_top|&gt;WES&lt;/a&gt;</v>
      </c>
      <c r="AJ186" t="str">
        <f t="shared" si="742"/>
        <v>&lt;/li&gt;&lt;li&gt;&lt;a href=|http://worldebible.com/deuteronomy/33.htm| title=|World English Bible| target=|_top|&gt;WEB&lt;/a&gt;</v>
      </c>
      <c r="AK186" t="str">
        <f t="shared" si="742"/>
        <v>&lt;/li&gt;&lt;li&gt;&lt;a href=|http://yltbible.com/deuteronomy/33.htm| title=|Young's Literal Translation| target=|_top|&gt;YLT&lt;/a&gt;</v>
      </c>
      <c r="AL186" t="str">
        <f>CONCATENATE("&lt;a href=|http://",AL1191,"/deuteronomy/33.htm","| ","title=|",AL1190,"| target=|_top|&gt;",AL1192,"&lt;/a&gt;")</f>
        <v>&lt;a href=|http://kjv.us/deuteronomy/33.htm| title=|American King James Version| target=|_top|&gt;AKJ&lt;/a&gt;</v>
      </c>
      <c r="AM186" t="str">
        <f t="shared" ref="AM186:AN186" si="743">CONCATENATE("&lt;/li&gt;&lt;li&gt;&lt;a href=|http://",AM1191,"/deuteronomy/33.htm","| ","title=|",AM1190,"| target=|_top|&gt;",AM1192,"&lt;/a&gt;")</f>
        <v>&lt;/li&gt;&lt;li&gt;&lt;a href=|http://basicenglishbible.com/deuteronomy/33.htm| title=|Bible in Basic English| target=|_top|&gt;BBE&lt;/a&gt;</v>
      </c>
      <c r="AN186" t="str">
        <f t="shared" si="743"/>
        <v>&lt;/li&gt;&lt;li&gt;&lt;a href=|http://darbybible.com/deuteronomy/33.htm| title=|Darby Bible Translation| target=|_top|&gt;DBY&lt;/a&gt;</v>
      </c>
      <c r="AO18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8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8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86" t="str">
        <f>CONCATENATE("&lt;/li&gt;&lt;li&gt;&lt;a href=|http://",AR1191,"/deuteronomy/33.htm","| ","title=|",AR1190,"| target=|_top|&gt;",AR1192,"&lt;/a&gt;")</f>
        <v>&lt;/li&gt;&lt;li&gt;&lt;a href=|http://websterbible.com/deuteronomy/33.htm| title=|Webster's Bible Translation| target=|_top|&gt;WBS&lt;/a&gt;</v>
      </c>
      <c r="AS18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86" t="str">
        <f>CONCATENATE("&lt;/li&gt;&lt;li&gt;&lt;a href=|http://",AT1191,"/deuteronomy/33-1.htm","| ","title=|",AT1190,"| target=|_top|&gt;",AT1192,"&lt;/a&gt;")</f>
        <v>&lt;/li&gt;&lt;li&gt;&lt;a href=|http://biblebrowser.com/deuteronomy/33-1.htm| title=|Split View| target=|_top|&gt;Split&lt;/a&gt;</v>
      </c>
      <c r="AU186" s="2" t="s">
        <v>1276</v>
      </c>
      <c r="AV186" t="s">
        <v>64</v>
      </c>
    </row>
    <row r="187" spans="1:48">
      <c r="A187" t="s">
        <v>622</v>
      </c>
      <c r="B187" t="s">
        <v>240</v>
      </c>
      <c r="C187" t="s">
        <v>624</v>
      </c>
      <c r="D187" t="s">
        <v>1268</v>
      </c>
      <c r="E187" t="s">
        <v>1277</v>
      </c>
      <c r="F187" t="s">
        <v>1304</v>
      </c>
      <c r="G187" t="s">
        <v>1266</v>
      </c>
      <c r="H187" t="s">
        <v>1305</v>
      </c>
      <c r="I187" t="s">
        <v>1303</v>
      </c>
      <c r="J187" t="s">
        <v>1267</v>
      </c>
      <c r="K187" t="s">
        <v>1275</v>
      </c>
      <c r="L187" s="2" t="s">
        <v>1274</v>
      </c>
      <c r="M187" t="str">
        <f t="shared" ref="M187:AB187" si="744">CONCATENATE("&lt;/li&gt;&lt;li&gt;&lt;a href=|http://",M1191,"/deuteronomy/34.htm","| ","title=|",M1190,"| target=|_top|&gt;",M1192,"&lt;/a&gt;")</f>
        <v>&lt;/li&gt;&lt;li&gt;&lt;a href=|http://niv.scripturetext.com/deuteronomy/34.htm| title=|New International Version| target=|_top|&gt;NIV&lt;/a&gt;</v>
      </c>
      <c r="N187" t="str">
        <f t="shared" si="744"/>
        <v>&lt;/li&gt;&lt;li&gt;&lt;a href=|http://nlt.scripturetext.com/deuteronomy/34.htm| title=|New Living Translation| target=|_top|&gt;NLT&lt;/a&gt;</v>
      </c>
      <c r="O187" t="str">
        <f t="shared" si="744"/>
        <v>&lt;/li&gt;&lt;li&gt;&lt;a href=|http://nasb.scripturetext.com/deuteronomy/34.htm| title=|New American Standard Bible| target=|_top|&gt;NAS&lt;/a&gt;</v>
      </c>
      <c r="P187" t="str">
        <f t="shared" si="744"/>
        <v>&lt;/li&gt;&lt;li&gt;&lt;a href=|http://gwt.scripturetext.com/deuteronomy/34.htm| title=|God's Word Translation| target=|_top|&gt;GWT&lt;/a&gt;</v>
      </c>
      <c r="Q187" t="str">
        <f t="shared" si="744"/>
        <v>&lt;/li&gt;&lt;li&gt;&lt;a href=|http://kingjbible.com/deuteronomy/34.htm| title=|King James Bible| target=|_top|&gt;KJV&lt;/a&gt;</v>
      </c>
      <c r="R187" t="str">
        <f t="shared" si="744"/>
        <v>&lt;/li&gt;&lt;li&gt;&lt;a href=|http://asvbible.com/deuteronomy/34.htm| title=|American Standard Version| target=|_top|&gt;ASV&lt;/a&gt;</v>
      </c>
      <c r="S187" t="str">
        <f t="shared" si="744"/>
        <v>&lt;/li&gt;&lt;li&gt;&lt;a href=|http://drb.scripturetext.com/deuteronomy/34.htm| title=|Douay-Rheims Bible| target=|_top|&gt;DRB&lt;/a&gt;</v>
      </c>
      <c r="T187" t="str">
        <f t="shared" si="744"/>
        <v>&lt;/li&gt;&lt;li&gt;&lt;a href=|http://erv.scripturetext.com/deuteronomy/34.htm| title=|English Revised Version| target=|_top|&gt;ERV&lt;/a&gt;</v>
      </c>
      <c r="V187" t="str">
        <f>CONCATENATE("&lt;/li&gt;&lt;li&gt;&lt;a href=|http://",V1191,"/deuteronomy/34.htm","| ","title=|",V1190,"| target=|_top|&gt;",V1192,"&lt;/a&gt;")</f>
        <v>&lt;/li&gt;&lt;li&gt;&lt;a href=|http://study.interlinearbible.org/deuteronomy/34.htm| title=|Hebrew Study Bible| target=|_top|&gt;Heb Study&lt;/a&gt;</v>
      </c>
      <c r="W187" t="str">
        <f t="shared" si="744"/>
        <v>&lt;/li&gt;&lt;li&gt;&lt;a href=|http://apostolic.interlinearbible.org/deuteronomy/34.htm| title=|Apostolic Bible Polyglot Interlinear| target=|_top|&gt;Polyglot&lt;/a&gt;</v>
      </c>
      <c r="X187" t="str">
        <f t="shared" si="744"/>
        <v>&lt;/li&gt;&lt;li&gt;&lt;a href=|http://interlinearbible.org/deuteronomy/34.htm| title=|Interlinear Bible| target=|_top|&gt;Interlin&lt;/a&gt;</v>
      </c>
      <c r="Y187" t="str">
        <f t="shared" ref="Y187" si="745">CONCATENATE("&lt;/li&gt;&lt;li&gt;&lt;a href=|http://",Y1191,"/deuteronomy/34.htm","| ","title=|",Y1190,"| target=|_top|&gt;",Y1192,"&lt;/a&gt;")</f>
        <v>&lt;/li&gt;&lt;li&gt;&lt;a href=|http://bibleoutline.org/deuteronomy/34.htm| title=|Outline with People and Places List| target=|_top|&gt;Outline&lt;/a&gt;</v>
      </c>
      <c r="Z187" t="str">
        <f t="shared" si="744"/>
        <v>&lt;/li&gt;&lt;li&gt;&lt;a href=|http://kjvs.scripturetext.com/deuteronomy/34.htm| title=|King James Bible with Strong's Numbers| target=|_top|&gt;Strong's&lt;/a&gt;</v>
      </c>
      <c r="AA187" t="str">
        <f t="shared" si="744"/>
        <v>&lt;/li&gt;&lt;li&gt;&lt;a href=|http://childrensbibleonline.com/deuteronomy/34.htm| title=|The Children's Bible| target=|_top|&gt;Children's&lt;/a&gt;</v>
      </c>
      <c r="AB187" s="2" t="str">
        <f t="shared" si="744"/>
        <v>&lt;/li&gt;&lt;li&gt;&lt;a href=|http://tsk.scripturetext.com/deuteronomy/34.htm| title=|Treasury of Scripture Knowledge| target=|_top|&gt;TSK&lt;/a&gt;</v>
      </c>
      <c r="AC187" t="str">
        <f>CONCATENATE("&lt;a href=|http://",AC1191,"/deuteronomy/34.htm","| ","title=|",AC1190,"| target=|_top|&gt;",AC1192,"&lt;/a&gt;")</f>
        <v>&lt;a href=|http://parallelbible.com/deuteronomy/34.htm| title=|Parallel Chapters| target=|_top|&gt;PAR&lt;/a&gt;</v>
      </c>
      <c r="AD187" s="2" t="str">
        <f t="shared" ref="AD187:AK187" si="746">CONCATENATE("&lt;/li&gt;&lt;li&gt;&lt;a href=|http://",AD1191,"/deuteronomy/34.htm","| ","title=|",AD1190,"| target=|_top|&gt;",AD1192,"&lt;/a&gt;")</f>
        <v>&lt;/li&gt;&lt;li&gt;&lt;a href=|http://gsb.biblecommenter.com/deuteronomy/34.htm| title=|Geneva Study Bible| target=|_top|&gt;GSB&lt;/a&gt;</v>
      </c>
      <c r="AE187" s="2" t="str">
        <f t="shared" si="746"/>
        <v>&lt;/li&gt;&lt;li&gt;&lt;a href=|http://jfb.biblecommenter.com/deuteronomy/34.htm| title=|Jamieson-Fausset-Brown Bible Commentary| target=|_top|&gt;JFB&lt;/a&gt;</v>
      </c>
      <c r="AF187" s="2" t="str">
        <f t="shared" si="746"/>
        <v>&lt;/li&gt;&lt;li&gt;&lt;a href=|http://kjt.biblecommenter.com/deuteronomy/34.htm| title=|King James Translators' Notes| target=|_top|&gt;KJT&lt;/a&gt;</v>
      </c>
      <c r="AG187" s="2" t="str">
        <f t="shared" si="746"/>
        <v>&lt;/li&gt;&lt;li&gt;&lt;a href=|http://mhc.biblecommenter.com/deuteronomy/34.htm| title=|Matthew Henry's Concise Commentary| target=|_top|&gt;MHC&lt;/a&gt;</v>
      </c>
      <c r="AH187" s="2" t="str">
        <f t="shared" si="746"/>
        <v>&lt;/li&gt;&lt;li&gt;&lt;a href=|http://sco.biblecommenter.com/deuteronomy/34.htm| title=|Scofield Reference Notes| target=|_top|&gt;SCO&lt;/a&gt;</v>
      </c>
      <c r="AI187" s="2" t="str">
        <f t="shared" si="746"/>
        <v>&lt;/li&gt;&lt;li&gt;&lt;a href=|http://wes.biblecommenter.com/deuteronomy/34.htm| title=|Wesley's Notes on the Bible| target=|_top|&gt;WES&lt;/a&gt;</v>
      </c>
      <c r="AJ187" t="str">
        <f t="shared" si="746"/>
        <v>&lt;/li&gt;&lt;li&gt;&lt;a href=|http://worldebible.com/deuteronomy/34.htm| title=|World English Bible| target=|_top|&gt;WEB&lt;/a&gt;</v>
      </c>
      <c r="AK187" t="str">
        <f t="shared" si="746"/>
        <v>&lt;/li&gt;&lt;li&gt;&lt;a href=|http://yltbible.com/deuteronomy/34.htm| title=|Young's Literal Translation| target=|_top|&gt;YLT&lt;/a&gt;</v>
      </c>
      <c r="AL187" t="str">
        <f>CONCATENATE("&lt;a href=|http://",AL1191,"/deuteronomy/34.htm","| ","title=|",AL1190,"| target=|_top|&gt;",AL1192,"&lt;/a&gt;")</f>
        <v>&lt;a href=|http://kjv.us/deuteronomy/34.htm| title=|American King James Version| target=|_top|&gt;AKJ&lt;/a&gt;</v>
      </c>
      <c r="AM187" t="str">
        <f t="shared" ref="AM187:AN187" si="747">CONCATENATE("&lt;/li&gt;&lt;li&gt;&lt;a href=|http://",AM1191,"/deuteronomy/34.htm","| ","title=|",AM1190,"| target=|_top|&gt;",AM1192,"&lt;/a&gt;")</f>
        <v>&lt;/li&gt;&lt;li&gt;&lt;a href=|http://basicenglishbible.com/deuteronomy/34.htm| title=|Bible in Basic English| target=|_top|&gt;BBE&lt;/a&gt;</v>
      </c>
      <c r="AN187" t="str">
        <f t="shared" si="747"/>
        <v>&lt;/li&gt;&lt;li&gt;&lt;a href=|http://darbybible.com/deuteronomy/34.htm| title=|Darby Bible Translation| target=|_top|&gt;DBY&lt;/a&gt;</v>
      </c>
      <c r="AO18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8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8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87" t="str">
        <f>CONCATENATE("&lt;/li&gt;&lt;li&gt;&lt;a href=|http://",AR1191,"/deuteronomy/34.htm","| ","title=|",AR1190,"| target=|_top|&gt;",AR1192,"&lt;/a&gt;")</f>
        <v>&lt;/li&gt;&lt;li&gt;&lt;a href=|http://websterbible.com/deuteronomy/34.htm| title=|Webster's Bible Translation| target=|_top|&gt;WBS&lt;/a&gt;</v>
      </c>
      <c r="AS18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87" t="str">
        <f>CONCATENATE("&lt;/li&gt;&lt;li&gt;&lt;a href=|http://",AT1191,"/deuteronomy/34-1.htm","| ","title=|",AT1190,"| target=|_top|&gt;",AT1192,"&lt;/a&gt;")</f>
        <v>&lt;/li&gt;&lt;li&gt;&lt;a href=|http://biblebrowser.com/deuteronomy/34-1.htm| title=|Split View| target=|_top|&gt;Split&lt;/a&gt;</v>
      </c>
      <c r="AU187" s="2" t="s">
        <v>1276</v>
      </c>
      <c r="AV187" t="s">
        <v>64</v>
      </c>
    </row>
    <row r="188" spans="1:48">
      <c r="A188" t="s">
        <v>622</v>
      </c>
      <c r="B188" t="s">
        <v>241</v>
      </c>
      <c r="C188" t="s">
        <v>624</v>
      </c>
      <c r="D188" t="s">
        <v>1268</v>
      </c>
      <c r="E188" t="s">
        <v>1277</v>
      </c>
      <c r="F188" t="s">
        <v>1304</v>
      </c>
      <c r="G188" t="s">
        <v>1266</v>
      </c>
      <c r="H188" t="s">
        <v>1305</v>
      </c>
      <c r="I188" t="s">
        <v>1303</v>
      </c>
      <c r="J188" t="s">
        <v>1267</v>
      </c>
      <c r="K188" t="s">
        <v>1275</v>
      </c>
      <c r="L188" s="2" t="s">
        <v>1274</v>
      </c>
      <c r="M188" t="str">
        <f t="shared" ref="M188:AB188" si="748">CONCATENATE("&lt;/li&gt;&lt;li&gt;&lt;a href=|http://",M1191,"/joshua/1.htm","| ","title=|",M1190,"| target=|_top|&gt;",M1192,"&lt;/a&gt;")</f>
        <v>&lt;/li&gt;&lt;li&gt;&lt;a href=|http://niv.scripturetext.com/joshua/1.htm| title=|New International Version| target=|_top|&gt;NIV&lt;/a&gt;</v>
      </c>
      <c r="N188" t="str">
        <f t="shared" si="748"/>
        <v>&lt;/li&gt;&lt;li&gt;&lt;a href=|http://nlt.scripturetext.com/joshua/1.htm| title=|New Living Translation| target=|_top|&gt;NLT&lt;/a&gt;</v>
      </c>
      <c r="O188" t="str">
        <f t="shared" si="748"/>
        <v>&lt;/li&gt;&lt;li&gt;&lt;a href=|http://nasb.scripturetext.com/joshua/1.htm| title=|New American Standard Bible| target=|_top|&gt;NAS&lt;/a&gt;</v>
      </c>
      <c r="P188" t="str">
        <f t="shared" si="748"/>
        <v>&lt;/li&gt;&lt;li&gt;&lt;a href=|http://gwt.scripturetext.com/joshua/1.htm| title=|God's Word Translation| target=|_top|&gt;GWT&lt;/a&gt;</v>
      </c>
      <c r="Q188" t="str">
        <f t="shared" si="748"/>
        <v>&lt;/li&gt;&lt;li&gt;&lt;a href=|http://kingjbible.com/joshua/1.htm| title=|King James Bible| target=|_top|&gt;KJV&lt;/a&gt;</v>
      </c>
      <c r="R188" t="str">
        <f t="shared" si="748"/>
        <v>&lt;/li&gt;&lt;li&gt;&lt;a href=|http://asvbible.com/joshua/1.htm| title=|American Standard Version| target=|_top|&gt;ASV&lt;/a&gt;</v>
      </c>
      <c r="S188" t="str">
        <f t="shared" si="748"/>
        <v>&lt;/li&gt;&lt;li&gt;&lt;a href=|http://drb.scripturetext.com/joshua/1.htm| title=|Douay-Rheims Bible| target=|_top|&gt;DRB&lt;/a&gt;</v>
      </c>
      <c r="T188" t="str">
        <f t="shared" si="748"/>
        <v>&lt;/li&gt;&lt;li&gt;&lt;a href=|http://erv.scripturetext.com/joshua/1.htm| title=|English Revised Version| target=|_top|&gt;ERV&lt;/a&gt;</v>
      </c>
      <c r="V188" t="str">
        <f>CONCATENATE("&lt;/li&gt;&lt;li&gt;&lt;a href=|http://",V1191,"/joshua/1.htm","| ","title=|",V1190,"| target=|_top|&gt;",V1192,"&lt;/a&gt;")</f>
        <v>&lt;/li&gt;&lt;li&gt;&lt;a href=|http://study.interlinearbible.org/joshua/1.htm| title=|Hebrew Study Bible| target=|_top|&gt;Heb Study&lt;/a&gt;</v>
      </c>
      <c r="W188" t="str">
        <f t="shared" si="748"/>
        <v>&lt;/li&gt;&lt;li&gt;&lt;a href=|http://apostolic.interlinearbible.org/joshua/1.htm| title=|Apostolic Bible Polyglot Interlinear| target=|_top|&gt;Polyglot&lt;/a&gt;</v>
      </c>
      <c r="X188" t="str">
        <f t="shared" si="748"/>
        <v>&lt;/li&gt;&lt;li&gt;&lt;a href=|http://interlinearbible.org/joshua/1.htm| title=|Interlinear Bible| target=|_top|&gt;Interlin&lt;/a&gt;</v>
      </c>
      <c r="Y188" t="str">
        <f t="shared" ref="Y188" si="749">CONCATENATE("&lt;/li&gt;&lt;li&gt;&lt;a href=|http://",Y1191,"/joshua/1.htm","| ","title=|",Y1190,"| target=|_top|&gt;",Y1192,"&lt;/a&gt;")</f>
        <v>&lt;/li&gt;&lt;li&gt;&lt;a href=|http://bibleoutline.org/joshua/1.htm| title=|Outline with People and Places List| target=|_top|&gt;Outline&lt;/a&gt;</v>
      </c>
      <c r="Z188" t="str">
        <f t="shared" si="748"/>
        <v>&lt;/li&gt;&lt;li&gt;&lt;a href=|http://kjvs.scripturetext.com/joshua/1.htm| title=|King James Bible with Strong's Numbers| target=|_top|&gt;Strong's&lt;/a&gt;</v>
      </c>
      <c r="AA188" t="str">
        <f t="shared" si="748"/>
        <v>&lt;/li&gt;&lt;li&gt;&lt;a href=|http://childrensbibleonline.com/joshua/1.htm| title=|The Children's Bible| target=|_top|&gt;Children's&lt;/a&gt;</v>
      </c>
      <c r="AB188" s="2" t="str">
        <f t="shared" si="748"/>
        <v>&lt;/li&gt;&lt;li&gt;&lt;a href=|http://tsk.scripturetext.com/joshua/1.htm| title=|Treasury of Scripture Knowledge| target=|_top|&gt;TSK&lt;/a&gt;</v>
      </c>
      <c r="AC188" t="str">
        <f>CONCATENATE("&lt;a href=|http://",AC1191,"/joshua/1.htm","| ","title=|",AC1190,"| target=|_top|&gt;",AC1192,"&lt;/a&gt;")</f>
        <v>&lt;a href=|http://parallelbible.com/joshua/1.htm| title=|Parallel Chapters| target=|_top|&gt;PAR&lt;/a&gt;</v>
      </c>
      <c r="AD188" s="2" t="str">
        <f t="shared" ref="AD188:AK188" si="750">CONCATENATE("&lt;/li&gt;&lt;li&gt;&lt;a href=|http://",AD1191,"/joshua/1.htm","| ","title=|",AD1190,"| target=|_top|&gt;",AD1192,"&lt;/a&gt;")</f>
        <v>&lt;/li&gt;&lt;li&gt;&lt;a href=|http://gsb.biblecommenter.com/joshua/1.htm| title=|Geneva Study Bible| target=|_top|&gt;GSB&lt;/a&gt;</v>
      </c>
      <c r="AE188" s="2" t="str">
        <f t="shared" si="750"/>
        <v>&lt;/li&gt;&lt;li&gt;&lt;a href=|http://jfb.biblecommenter.com/joshua/1.htm| title=|Jamieson-Fausset-Brown Bible Commentary| target=|_top|&gt;JFB&lt;/a&gt;</v>
      </c>
      <c r="AF188" s="2" t="str">
        <f t="shared" si="750"/>
        <v>&lt;/li&gt;&lt;li&gt;&lt;a href=|http://kjt.biblecommenter.com/joshua/1.htm| title=|King James Translators' Notes| target=|_top|&gt;KJT&lt;/a&gt;</v>
      </c>
      <c r="AG188" s="2" t="str">
        <f t="shared" si="750"/>
        <v>&lt;/li&gt;&lt;li&gt;&lt;a href=|http://mhc.biblecommenter.com/joshua/1.htm| title=|Matthew Henry's Concise Commentary| target=|_top|&gt;MHC&lt;/a&gt;</v>
      </c>
      <c r="AH188" s="2" t="str">
        <f t="shared" si="750"/>
        <v>&lt;/li&gt;&lt;li&gt;&lt;a href=|http://sco.biblecommenter.com/joshua/1.htm| title=|Scofield Reference Notes| target=|_top|&gt;SCO&lt;/a&gt;</v>
      </c>
      <c r="AI188" s="2" t="str">
        <f t="shared" si="750"/>
        <v>&lt;/li&gt;&lt;li&gt;&lt;a href=|http://wes.biblecommenter.com/joshua/1.htm| title=|Wesley's Notes on the Bible| target=|_top|&gt;WES&lt;/a&gt;</v>
      </c>
      <c r="AJ188" t="str">
        <f t="shared" si="750"/>
        <v>&lt;/li&gt;&lt;li&gt;&lt;a href=|http://worldebible.com/joshua/1.htm| title=|World English Bible| target=|_top|&gt;WEB&lt;/a&gt;</v>
      </c>
      <c r="AK188" t="str">
        <f t="shared" si="750"/>
        <v>&lt;/li&gt;&lt;li&gt;&lt;a href=|http://yltbible.com/joshua/1.htm| title=|Young's Literal Translation| target=|_top|&gt;YLT&lt;/a&gt;</v>
      </c>
      <c r="AL188" t="str">
        <f>CONCATENATE("&lt;a href=|http://",AL1191,"/joshua/1.htm","| ","title=|",AL1190,"| target=|_top|&gt;",AL1192,"&lt;/a&gt;")</f>
        <v>&lt;a href=|http://kjv.us/joshua/1.htm| title=|American King James Version| target=|_top|&gt;AKJ&lt;/a&gt;</v>
      </c>
      <c r="AM188" t="str">
        <f t="shared" ref="AM188:AN188" si="751">CONCATENATE("&lt;/li&gt;&lt;li&gt;&lt;a href=|http://",AM1191,"/joshua/1.htm","| ","title=|",AM1190,"| target=|_top|&gt;",AM1192,"&lt;/a&gt;")</f>
        <v>&lt;/li&gt;&lt;li&gt;&lt;a href=|http://basicenglishbible.com/joshua/1.htm| title=|Bible in Basic English| target=|_top|&gt;BBE&lt;/a&gt;</v>
      </c>
      <c r="AN188" t="str">
        <f t="shared" si="751"/>
        <v>&lt;/li&gt;&lt;li&gt;&lt;a href=|http://darbybible.com/joshua/1.htm| title=|Darby Bible Translation| target=|_top|&gt;DBY&lt;/a&gt;</v>
      </c>
      <c r="AO18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8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8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88" t="str">
        <f>CONCATENATE("&lt;/li&gt;&lt;li&gt;&lt;a href=|http://",AR1191,"/joshua/1.htm","| ","title=|",AR1190,"| target=|_top|&gt;",AR1192,"&lt;/a&gt;")</f>
        <v>&lt;/li&gt;&lt;li&gt;&lt;a href=|http://websterbible.com/joshua/1.htm| title=|Webster's Bible Translation| target=|_top|&gt;WBS&lt;/a&gt;</v>
      </c>
      <c r="AS18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88" t="str">
        <f>CONCATENATE("&lt;/li&gt;&lt;li&gt;&lt;a href=|http://",AT1191,"/joshua/1-1.htm","| ","title=|",AT1190,"| target=|_top|&gt;",AT1192,"&lt;/a&gt;")</f>
        <v>&lt;/li&gt;&lt;li&gt;&lt;a href=|http://biblebrowser.com/joshua/1-1.htm| title=|Split View| target=|_top|&gt;Split&lt;/a&gt;</v>
      </c>
      <c r="AU188" s="2" t="s">
        <v>1276</v>
      </c>
      <c r="AV188" t="s">
        <v>64</v>
      </c>
    </row>
    <row r="189" spans="1:48">
      <c r="A189" t="s">
        <v>622</v>
      </c>
      <c r="B189" t="s">
        <v>242</v>
      </c>
      <c r="C189" t="s">
        <v>624</v>
      </c>
      <c r="D189" t="s">
        <v>1268</v>
      </c>
      <c r="E189" t="s">
        <v>1277</v>
      </c>
      <c r="F189" t="s">
        <v>1304</v>
      </c>
      <c r="G189" t="s">
        <v>1266</v>
      </c>
      <c r="H189" t="s">
        <v>1305</v>
      </c>
      <c r="I189" t="s">
        <v>1303</v>
      </c>
      <c r="J189" t="s">
        <v>1267</v>
      </c>
      <c r="K189" t="s">
        <v>1275</v>
      </c>
      <c r="L189" s="2" t="s">
        <v>1274</v>
      </c>
      <c r="M189" t="str">
        <f t="shared" ref="M189:AB189" si="752">CONCATENATE("&lt;/li&gt;&lt;li&gt;&lt;a href=|http://",M1191,"/joshua/2.htm","| ","title=|",M1190,"| target=|_top|&gt;",M1192,"&lt;/a&gt;")</f>
        <v>&lt;/li&gt;&lt;li&gt;&lt;a href=|http://niv.scripturetext.com/joshua/2.htm| title=|New International Version| target=|_top|&gt;NIV&lt;/a&gt;</v>
      </c>
      <c r="N189" t="str">
        <f t="shared" si="752"/>
        <v>&lt;/li&gt;&lt;li&gt;&lt;a href=|http://nlt.scripturetext.com/joshua/2.htm| title=|New Living Translation| target=|_top|&gt;NLT&lt;/a&gt;</v>
      </c>
      <c r="O189" t="str">
        <f t="shared" si="752"/>
        <v>&lt;/li&gt;&lt;li&gt;&lt;a href=|http://nasb.scripturetext.com/joshua/2.htm| title=|New American Standard Bible| target=|_top|&gt;NAS&lt;/a&gt;</v>
      </c>
      <c r="P189" t="str">
        <f t="shared" si="752"/>
        <v>&lt;/li&gt;&lt;li&gt;&lt;a href=|http://gwt.scripturetext.com/joshua/2.htm| title=|God's Word Translation| target=|_top|&gt;GWT&lt;/a&gt;</v>
      </c>
      <c r="Q189" t="str">
        <f t="shared" si="752"/>
        <v>&lt;/li&gt;&lt;li&gt;&lt;a href=|http://kingjbible.com/joshua/2.htm| title=|King James Bible| target=|_top|&gt;KJV&lt;/a&gt;</v>
      </c>
      <c r="R189" t="str">
        <f t="shared" si="752"/>
        <v>&lt;/li&gt;&lt;li&gt;&lt;a href=|http://asvbible.com/joshua/2.htm| title=|American Standard Version| target=|_top|&gt;ASV&lt;/a&gt;</v>
      </c>
      <c r="S189" t="str">
        <f t="shared" si="752"/>
        <v>&lt;/li&gt;&lt;li&gt;&lt;a href=|http://drb.scripturetext.com/joshua/2.htm| title=|Douay-Rheims Bible| target=|_top|&gt;DRB&lt;/a&gt;</v>
      </c>
      <c r="T189" t="str">
        <f t="shared" si="752"/>
        <v>&lt;/li&gt;&lt;li&gt;&lt;a href=|http://erv.scripturetext.com/joshua/2.htm| title=|English Revised Version| target=|_top|&gt;ERV&lt;/a&gt;</v>
      </c>
      <c r="V189" t="str">
        <f>CONCATENATE("&lt;/li&gt;&lt;li&gt;&lt;a href=|http://",V1191,"/joshua/2.htm","| ","title=|",V1190,"| target=|_top|&gt;",V1192,"&lt;/a&gt;")</f>
        <v>&lt;/li&gt;&lt;li&gt;&lt;a href=|http://study.interlinearbible.org/joshua/2.htm| title=|Hebrew Study Bible| target=|_top|&gt;Heb Study&lt;/a&gt;</v>
      </c>
      <c r="W189" t="str">
        <f t="shared" si="752"/>
        <v>&lt;/li&gt;&lt;li&gt;&lt;a href=|http://apostolic.interlinearbible.org/joshua/2.htm| title=|Apostolic Bible Polyglot Interlinear| target=|_top|&gt;Polyglot&lt;/a&gt;</v>
      </c>
      <c r="X189" t="str">
        <f t="shared" si="752"/>
        <v>&lt;/li&gt;&lt;li&gt;&lt;a href=|http://interlinearbible.org/joshua/2.htm| title=|Interlinear Bible| target=|_top|&gt;Interlin&lt;/a&gt;</v>
      </c>
      <c r="Y189" t="str">
        <f t="shared" ref="Y189" si="753">CONCATENATE("&lt;/li&gt;&lt;li&gt;&lt;a href=|http://",Y1191,"/joshua/2.htm","| ","title=|",Y1190,"| target=|_top|&gt;",Y1192,"&lt;/a&gt;")</f>
        <v>&lt;/li&gt;&lt;li&gt;&lt;a href=|http://bibleoutline.org/joshua/2.htm| title=|Outline with People and Places List| target=|_top|&gt;Outline&lt;/a&gt;</v>
      </c>
      <c r="Z189" t="str">
        <f t="shared" si="752"/>
        <v>&lt;/li&gt;&lt;li&gt;&lt;a href=|http://kjvs.scripturetext.com/joshua/2.htm| title=|King James Bible with Strong's Numbers| target=|_top|&gt;Strong's&lt;/a&gt;</v>
      </c>
      <c r="AA189" t="str">
        <f t="shared" si="752"/>
        <v>&lt;/li&gt;&lt;li&gt;&lt;a href=|http://childrensbibleonline.com/joshua/2.htm| title=|The Children's Bible| target=|_top|&gt;Children's&lt;/a&gt;</v>
      </c>
      <c r="AB189" s="2" t="str">
        <f t="shared" si="752"/>
        <v>&lt;/li&gt;&lt;li&gt;&lt;a href=|http://tsk.scripturetext.com/joshua/2.htm| title=|Treasury of Scripture Knowledge| target=|_top|&gt;TSK&lt;/a&gt;</v>
      </c>
      <c r="AC189" t="str">
        <f>CONCATENATE("&lt;a href=|http://",AC1191,"/joshua/2.htm","| ","title=|",AC1190,"| target=|_top|&gt;",AC1192,"&lt;/a&gt;")</f>
        <v>&lt;a href=|http://parallelbible.com/joshua/2.htm| title=|Parallel Chapters| target=|_top|&gt;PAR&lt;/a&gt;</v>
      </c>
      <c r="AD189" s="2" t="str">
        <f t="shared" ref="AD189:AK189" si="754">CONCATENATE("&lt;/li&gt;&lt;li&gt;&lt;a href=|http://",AD1191,"/joshua/2.htm","| ","title=|",AD1190,"| target=|_top|&gt;",AD1192,"&lt;/a&gt;")</f>
        <v>&lt;/li&gt;&lt;li&gt;&lt;a href=|http://gsb.biblecommenter.com/joshua/2.htm| title=|Geneva Study Bible| target=|_top|&gt;GSB&lt;/a&gt;</v>
      </c>
      <c r="AE189" s="2" t="str">
        <f t="shared" si="754"/>
        <v>&lt;/li&gt;&lt;li&gt;&lt;a href=|http://jfb.biblecommenter.com/joshua/2.htm| title=|Jamieson-Fausset-Brown Bible Commentary| target=|_top|&gt;JFB&lt;/a&gt;</v>
      </c>
      <c r="AF189" s="2" t="str">
        <f t="shared" si="754"/>
        <v>&lt;/li&gt;&lt;li&gt;&lt;a href=|http://kjt.biblecommenter.com/joshua/2.htm| title=|King James Translators' Notes| target=|_top|&gt;KJT&lt;/a&gt;</v>
      </c>
      <c r="AG189" s="2" t="str">
        <f t="shared" si="754"/>
        <v>&lt;/li&gt;&lt;li&gt;&lt;a href=|http://mhc.biblecommenter.com/joshua/2.htm| title=|Matthew Henry's Concise Commentary| target=|_top|&gt;MHC&lt;/a&gt;</v>
      </c>
      <c r="AH189" s="2" t="str">
        <f t="shared" si="754"/>
        <v>&lt;/li&gt;&lt;li&gt;&lt;a href=|http://sco.biblecommenter.com/joshua/2.htm| title=|Scofield Reference Notes| target=|_top|&gt;SCO&lt;/a&gt;</v>
      </c>
      <c r="AI189" s="2" t="str">
        <f t="shared" si="754"/>
        <v>&lt;/li&gt;&lt;li&gt;&lt;a href=|http://wes.biblecommenter.com/joshua/2.htm| title=|Wesley's Notes on the Bible| target=|_top|&gt;WES&lt;/a&gt;</v>
      </c>
      <c r="AJ189" t="str">
        <f t="shared" si="754"/>
        <v>&lt;/li&gt;&lt;li&gt;&lt;a href=|http://worldebible.com/joshua/2.htm| title=|World English Bible| target=|_top|&gt;WEB&lt;/a&gt;</v>
      </c>
      <c r="AK189" t="str">
        <f t="shared" si="754"/>
        <v>&lt;/li&gt;&lt;li&gt;&lt;a href=|http://yltbible.com/joshua/2.htm| title=|Young's Literal Translation| target=|_top|&gt;YLT&lt;/a&gt;</v>
      </c>
      <c r="AL189" t="str">
        <f>CONCATENATE("&lt;a href=|http://",AL1191,"/joshua/2.htm","| ","title=|",AL1190,"| target=|_top|&gt;",AL1192,"&lt;/a&gt;")</f>
        <v>&lt;a href=|http://kjv.us/joshua/2.htm| title=|American King James Version| target=|_top|&gt;AKJ&lt;/a&gt;</v>
      </c>
      <c r="AM189" t="str">
        <f t="shared" ref="AM189:AN189" si="755">CONCATENATE("&lt;/li&gt;&lt;li&gt;&lt;a href=|http://",AM1191,"/joshua/2.htm","| ","title=|",AM1190,"| target=|_top|&gt;",AM1192,"&lt;/a&gt;")</f>
        <v>&lt;/li&gt;&lt;li&gt;&lt;a href=|http://basicenglishbible.com/joshua/2.htm| title=|Bible in Basic English| target=|_top|&gt;BBE&lt;/a&gt;</v>
      </c>
      <c r="AN189" t="str">
        <f t="shared" si="755"/>
        <v>&lt;/li&gt;&lt;li&gt;&lt;a href=|http://darbybible.com/joshua/2.htm| title=|Darby Bible Translation| target=|_top|&gt;DBY&lt;/a&gt;</v>
      </c>
      <c r="AO18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8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8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89" t="str">
        <f>CONCATENATE("&lt;/li&gt;&lt;li&gt;&lt;a href=|http://",AR1191,"/joshua/2.htm","| ","title=|",AR1190,"| target=|_top|&gt;",AR1192,"&lt;/a&gt;")</f>
        <v>&lt;/li&gt;&lt;li&gt;&lt;a href=|http://websterbible.com/joshua/2.htm| title=|Webster's Bible Translation| target=|_top|&gt;WBS&lt;/a&gt;</v>
      </c>
      <c r="AS18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89" t="str">
        <f>CONCATENATE("&lt;/li&gt;&lt;li&gt;&lt;a href=|http://",AT1191,"/joshua/2-1.htm","| ","title=|",AT1190,"| target=|_top|&gt;",AT1192,"&lt;/a&gt;")</f>
        <v>&lt;/li&gt;&lt;li&gt;&lt;a href=|http://biblebrowser.com/joshua/2-1.htm| title=|Split View| target=|_top|&gt;Split&lt;/a&gt;</v>
      </c>
      <c r="AU189" s="2" t="s">
        <v>1276</v>
      </c>
      <c r="AV189" t="s">
        <v>64</v>
      </c>
    </row>
    <row r="190" spans="1:48">
      <c r="A190" t="s">
        <v>622</v>
      </c>
      <c r="B190" t="s">
        <v>243</v>
      </c>
      <c r="C190" t="s">
        <v>624</v>
      </c>
      <c r="D190" t="s">
        <v>1268</v>
      </c>
      <c r="E190" t="s">
        <v>1277</v>
      </c>
      <c r="F190" t="s">
        <v>1304</v>
      </c>
      <c r="G190" t="s">
        <v>1266</v>
      </c>
      <c r="H190" t="s">
        <v>1305</v>
      </c>
      <c r="I190" t="s">
        <v>1303</v>
      </c>
      <c r="J190" t="s">
        <v>1267</v>
      </c>
      <c r="K190" t="s">
        <v>1275</v>
      </c>
      <c r="L190" s="2" t="s">
        <v>1274</v>
      </c>
      <c r="M190" t="str">
        <f t="shared" ref="M190:AB190" si="756">CONCATENATE("&lt;/li&gt;&lt;li&gt;&lt;a href=|http://",M1191,"/joshua/3.htm","| ","title=|",M1190,"| target=|_top|&gt;",M1192,"&lt;/a&gt;")</f>
        <v>&lt;/li&gt;&lt;li&gt;&lt;a href=|http://niv.scripturetext.com/joshua/3.htm| title=|New International Version| target=|_top|&gt;NIV&lt;/a&gt;</v>
      </c>
      <c r="N190" t="str">
        <f t="shared" si="756"/>
        <v>&lt;/li&gt;&lt;li&gt;&lt;a href=|http://nlt.scripturetext.com/joshua/3.htm| title=|New Living Translation| target=|_top|&gt;NLT&lt;/a&gt;</v>
      </c>
      <c r="O190" t="str">
        <f t="shared" si="756"/>
        <v>&lt;/li&gt;&lt;li&gt;&lt;a href=|http://nasb.scripturetext.com/joshua/3.htm| title=|New American Standard Bible| target=|_top|&gt;NAS&lt;/a&gt;</v>
      </c>
      <c r="P190" t="str">
        <f t="shared" si="756"/>
        <v>&lt;/li&gt;&lt;li&gt;&lt;a href=|http://gwt.scripturetext.com/joshua/3.htm| title=|God's Word Translation| target=|_top|&gt;GWT&lt;/a&gt;</v>
      </c>
      <c r="Q190" t="str">
        <f t="shared" si="756"/>
        <v>&lt;/li&gt;&lt;li&gt;&lt;a href=|http://kingjbible.com/joshua/3.htm| title=|King James Bible| target=|_top|&gt;KJV&lt;/a&gt;</v>
      </c>
      <c r="R190" t="str">
        <f t="shared" si="756"/>
        <v>&lt;/li&gt;&lt;li&gt;&lt;a href=|http://asvbible.com/joshua/3.htm| title=|American Standard Version| target=|_top|&gt;ASV&lt;/a&gt;</v>
      </c>
      <c r="S190" t="str">
        <f t="shared" si="756"/>
        <v>&lt;/li&gt;&lt;li&gt;&lt;a href=|http://drb.scripturetext.com/joshua/3.htm| title=|Douay-Rheims Bible| target=|_top|&gt;DRB&lt;/a&gt;</v>
      </c>
      <c r="T190" t="str">
        <f t="shared" si="756"/>
        <v>&lt;/li&gt;&lt;li&gt;&lt;a href=|http://erv.scripturetext.com/joshua/3.htm| title=|English Revised Version| target=|_top|&gt;ERV&lt;/a&gt;</v>
      </c>
      <c r="V190" t="str">
        <f>CONCATENATE("&lt;/li&gt;&lt;li&gt;&lt;a href=|http://",V1191,"/joshua/3.htm","| ","title=|",V1190,"| target=|_top|&gt;",V1192,"&lt;/a&gt;")</f>
        <v>&lt;/li&gt;&lt;li&gt;&lt;a href=|http://study.interlinearbible.org/joshua/3.htm| title=|Hebrew Study Bible| target=|_top|&gt;Heb Study&lt;/a&gt;</v>
      </c>
      <c r="W190" t="str">
        <f t="shared" si="756"/>
        <v>&lt;/li&gt;&lt;li&gt;&lt;a href=|http://apostolic.interlinearbible.org/joshua/3.htm| title=|Apostolic Bible Polyglot Interlinear| target=|_top|&gt;Polyglot&lt;/a&gt;</v>
      </c>
      <c r="X190" t="str">
        <f t="shared" si="756"/>
        <v>&lt;/li&gt;&lt;li&gt;&lt;a href=|http://interlinearbible.org/joshua/3.htm| title=|Interlinear Bible| target=|_top|&gt;Interlin&lt;/a&gt;</v>
      </c>
      <c r="Y190" t="str">
        <f t="shared" ref="Y190" si="757">CONCATENATE("&lt;/li&gt;&lt;li&gt;&lt;a href=|http://",Y1191,"/joshua/3.htm","| ","title=|",Y1190,"| target=|_top|&gt;",Y1192,"&lt;/a&gt;")</f>
        <v>&lt;/li&gt;&lt;li&gt;&lt;a href=|http://bibleoutline.org/joshua/3.htm| title=|Outline with People and Places List| target=|_top|&gt;Outline&lt;/a&gt;</v>
      </c>
      <c r="Z190" t="str">
        <f t="shared" si="756"/>
        <v>&lt;/li&gt;&lt;li&gt;&lt;a href=|http://kjvs.scripturetext.com/joshua/3.htm| title=|King James Bible with Strong's Numbers| target=|_top|&gt;Strong's&lt;/a&gt;</v>
      </c>
      <c r="AA190" t="str">
        <f t="shared" si="756"/>
        <v>&lt;/li&gt;&lt;li&gt;&lt;a href=|http://childrensbibleonline.com/joshua/3.htm| title=|The Children's Bible| target=|_top|&gt;Children's&lt;/a&gt;</v>
      </c>
      <c r="AB190" s="2" t="str">
        <f t="shared" si="756"/>
        <v>&lt;/li&gt;&lt;li&gt;&lt;a href=|http://tsk.scripturetext.com/joshua/3.htm| title=|Treasury of Scripture Knowledge| target=|_top|&gt;TSK&lt;/a&gt;</v>
      </c>
      <c r="AC190" t="str">
        <f>CONCATENATE("&lt;a href=|http://",AC1191,"/joshua/3.htm","| ","title=|",AC1190,"| target=|_top|&gt;",AC1192,"&lt;/a&gt;")</f>
        <v>&lt;a href=|http://parallelbible.com/joshua/3.htm| title=|Parallel Chapters| target=|_top|&gt;PAR&lt;/a&gt;</v>
      </c>
      <c r="AD190" s="2" t="str">
        <f t="shared" ref="AD190:AK190" si="758">CONCATENATE("&lt;/li&gt;&lt;li&gt;&lt;a href=|http://",AD1191,"/joshua/3.htm","| ","title=|",AD1190,"| target=|_top|&gt;",AD1192,"&lt;/a&gt;")</f>
        <v>&lt;/li&gt;&lt;li&gt;&lt;a href=|http://gsb.biblecommenter.com/joshua/3.htm| title=|Geneva Study Bible| target=|_top|&gt;GSB&lt;/a&gt;</v>
      </c>
      <c r="AE190" s="2" t="str">
        <f t="shared" si="758"/>
        <v>&lt;/li&gt;&lt;li&gt;&lt;a href=|http://jfb.biblecommenter.com/joshua/3.htm| title=|Jamieson-Fausset-Brown Bible Commentary| target=|_top|&gt;JFB&lt;/a&gt;</v>
      </c>
      <c r="AF190" s="2" t="str">
        <f t="shared" si="758"/>
        <v>&lt;/li&gt;&lt;li&gt;&lt;a href=|http://kjt.biblecommenter.com/joshua/3.htm| title=|King James Translators' Notes| target=|_top|&gt;KJT&lt;/a&gt;</v>
      </c>
      <c r="AG190" s="2" t="str">
        <f t="shared" si="758"/>
        <v>&lt;/li&gt;&lt;li&gt;&lt;a href=|http://mhc.biblecommenter.com/joshua/3.htm| title=|Matthew Henry's Concise Commentary| target=|_top|&gt;MHC&lt;/a&gt;</v>
      </c>
      <c r="AH190" s="2" t="str">
        <f t="shared" si="758"/>
        <v>&lt;/li&gt;&lt;li&gt;&lt;a href=|http://sco.biblecommenter.com/joshua/3.htm| title=|Scofield Reference Notes| target=|_top|&gt;SCO&lt;/a&gt;</v>
      </c>
      <c r="AI190" s="2" t="str">
        <f t="shared" si="758"/>
        <v>&lt;/li&gt;&lt;li&gt;&lt;a href=|http://wes.biblecommenter.com/joshua/3.htm| title=|Wesley's Notes on the Bible| target=|_top|&gt;WES&lt;/a&gt;</v>
      </c>
      <c r="AJ190" t="str">
        <f t="shared" si="758"/>
        <v>&lt;/li&gt;&lt;li&gt;&lt;a href=|http://worldebible.com/joshua/3.htm| title=|World English Bible| target=|_top|&gt;WEB&lt;/a&gt;</v>
      </c>
      <c r="AK190" t="str">
        <f t="shared" si="758"/>
        <v>&lt;/li&gt;&lt;li&gt;&lt;a href=|http://yltbible.com/joshua/3.htm| title=|Young's Literal Translation| target=|_top|&gt;YLT&lt;/a&gt;</v>
      </c>
      <c r="AL190" t="str">
        <f>CONCATENATE("&lt;a href=|http://",AL1191,"/joshua/3.htm","| ","title=|",AL1190,"| target=|_top|&gt;",AL1192,"&lt;/a&gt;")</f>
        <v>&lt;a href=|http://kjv.us/joshua/3.htm| title=|American King James Version| target=|_top|&gt;AKJ&lt;/a&gt;</v>
      </c>
      <c r="AM190" t="str">
        <f t="shared" ref="AM190:AN190" si="759">CONCATENATE("&lt;/li&gt;&lt;li&gt;&lt;a href=|http://",AM1191,"/joshua/3.htm","| ","title=|",AM1190,"| target=|_top|&gt;",AM1192,"&lt;/a&gt;")</f>
        <v>&lt;/li&gt;&lt;li&gt;&lt;a href=|http://basicenglishbible.com/joshua/3.htm| title=|Bible in Basic English| target=|_top|&gt;BBE&lt;/a&gt;</v>
      </c>
      <c r="AN190" t="str">
        <f t="shared" si="759"/>
        <v>&lt;/li&gt;&lt;li&gt;&lt;a href=|http://darbybible.com/joshua/3.htm| title=|Darby Bible Translation| target=|_top|&gt;DBY&lt;/a&gt;</v>
      </c>
      <c r="AO19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9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9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90" t="str">
        <f>CONCATENATE("&lt;/li&gt;&lt;li&gt;&lt;a href=|http://",AR1191,"/joshua/3.htm","| ","title=|",AR1190,"| target=|_top|&gt;",AR1192,"&lt;/a&gt;")</f>
        <v>&lt;/li&gt;&lt;li&gt;&lt;a href=|http://websterbible.com/joshua/3.htm| title=|Webster's Bible Translation| target=|_top|&gt;WBS&lt;/a&gt;</v>
      </c>
      <c r="AS19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90" t="str">
        <f>CONCATENATE("&lt;/li&gt;&lt;li&gt;&lt;a href=|http://",AT1191,"/joshua/3-1.htm","| ","title=|",AT1190,"| target=|_top|&gt;",AT1192,"&lt;/a&gt;")</f>
        <v>&lt;/li&gt;&lt;li&gt;&lt;a href=|http://biblebrowser.com/joshua/3-1.htm| title=|Split View| target=|_top|&gt;Split&lt;/a&gt;</v>
      </c>
      <c r="AU190" s="2" t="s">
        <v>1276</v>
      </c>
      <c r="AV190" t="s">
        <v>64</v>
      </c>
    </row>
    <row r="191" spans="1:48">
      <c r="A191" t="s">
        <v>622</v>
      </c>
      <c r="B191" t="s">
        <v>244</v>
      </c>
      <c r="C191" t="s">
        <v>624</v>
      </c>
      <c r="D191" t="s">
        <v>1268</v>
      </c>
      <c r="E191" t="s">
        <v>1277</v>
      </c>
      <c r="F191" t="s">
        <v>1304</v>
      </c>
      <c r="G191" t="s">
        <v>1266</v>
      </c>
      <c r="H191" t="s">
        <v>1305</v>
      </c>
      <c r="I191" t="s">
        <v>1303</v>
      </c>
      <c r="J191" t="s">
        <v>1267</v>
      </c>
      <c r="K191" t="s">
        <v>1275</v>
      </c>
      <c r="L191" s="2" t="s">
        <v>1274</v>
      </c>
      <c r="M191" t="str">
        <f t="shared" ref="M191:AB191" si="760">CONCATENATE("&lt;/li&gt;&lt;li&gt;&lt;a href=|http://",M1191,"/joshua/4.htm","| ","title=|",M1190,"| target=|_top|&gt;",M1192,"&lt;/a&gt;")</f>
        <v>&lt;/li&gt;&lt;li&gt;&lt;a href=|http://niv.scripturetext.com/joshua/4.htm| title=|New International Version| target=|_top|&gt;NIV&lt;/a&gt;</v>
      </c>
      <c r="N191" t="str">
        <f t="shared" si="760"/>
        <v>&lt;/li&gt;&lt;li&gt;&lt;a href=|http://nlt.scripturetext.com/joshua/4.htm| title=|New Living Translation| target=|_top|&gt;NLT&lt;/a&gt;</v>
      </c>
      <c r="O191" t="str">
        <f t="shared" si="760"/>
        <v>&lt;/li&gt;&lt;li&gt;&lt;a href=|http://nasb.scripturetext.com/joshua/4.htm| title=|New American Standard Bible| target=|_top|&gt;NAS&lt;/a&gt;</v>
      </c>
      <c r="P191" t="str">
        <f t="shared" si="760"/>
        <v>&lt;/li&gt;&lt;li&gt;&lt;a href=|http://gwt.scripturetext.com/joshua/4.htm| title=|God's Word Translation| target=|_top|&gt;GWT&lt;/a&gt;</v>
      </c>
      <c r="Q191" t="str">
        <f t="shared" si="760"/>
        <v>&lt;/li&gt;&lt;li&gt;&lt;a href=|http://kingjbible.com/joshua/4.htm| title=|King James Bible| target=|_top|&gt;KJV&lt;/a&gt;</v>
      </c>
      <c r="R191" t="str">
        <f t="shared" si="760"/>
        <v>&lt;/li&gt;&lt;li&gt;&lt;a href=|http://asvbible.com/joshua/4.htm| title=|American Standard Version| target=|_top|&gt;ASV&lt;/a&gt;</v>
      </c>
      <c r="S191" t="str">
        <f t="shared" si="760"/>
        <v>&lt;/li&gt;&lt;li&gt;&lt;a href=|http://drb.scripturetext.com/joshua/4.htm| title=|Douay-Rheims Bible| target=|_top|&gt;DRB&lt;/a&gt;</v>
      </c>
      <c r="T191" t="str">
        <f t="shared" si="760"/>
        <v>&lt;/li&gt;&lt;li&gt;&lt;a href=|http://erv.scripturetext.com/joshua/4.htm| title=|English Revised Version| target=|_top|&gt;ERV&lt;/a&gt;</v>
      </c>
      <c r="V191" t="str">
        <f>CONCATENATE("&lt;/li&gt;&lt;li&gt;&lt;a href=|http://",V1191,"/joshua/4.htm","| ","title=|",V1190,"| target=|_top|&gt;",V1192,"&lt;/a&gt;")</f>
        <v>&lt;/li&gt;&lt;li&gt;&lt;a href=|http://study.interlinearbible.org/joshua/4.htm| title=|Hebrew Study Bible| target=|_top|&gt;Heb Study&lt;/a&gt;</v>
      </c>
      <c r="W191" t="str">
        <f t="shared" si="760"/>
        <v>&lt;/li&gt;&lt;li&gt;&lt;a href=|http://apostolic.interlinearbible.org/joshua/4.htm| title=|Apostolic Bible Polyglot Interlinear| target=|_top|&gt;Polyglot&lt;/a&gt;</v>
      </c>
      <c r="X191" t="str">
        <f t="shared" si="760"/>
        <v>&lt;/li&gt;&lt;li&gt;&lt;a href=|http://interlinearbible.org/joshua/4.htm| title=|Interlinear Bible| target=|_top|&gt;Interlin&lt;/a&gt;</v>
      </c>
      <c r="Y191" t="str">
        <f t="shared" ref="Y191" si="761">CONCATENATE("&lt;/li&gt;&lt;li&gt;&lt;a href=|http://",Y1191,"/joshua/4.htm","| ","title=|",Y1190,"| target=|_top|&gt;",Y1192,"&lt;/a&gt;")</f>
        <v>&lt;/li&gt;&lt;li&gt;&lt;a href=|http://bibleoutline.org/joshua/4.htm| title=|Outline with People and Places List| target=|_top|&gt;Outline&lt;/a&gt;</v>
      </c>
      <c r="Z191" t="str">
        <f t="shared" si="760"/>
        <v>&lt;/li&gt;&lt;li&gt;&lt;a href=|http://kjvs.scripturetext.com/joshua/4.htm| title=|King James Bible with Strong's Numbers| target=|_top|&gt;Strong's&lt;/a&gt;</v>
      </c>
      <c r="AA191" t="str">
        <f t="shared" si="760"/>
        <v>&lt;/li&gt;&lt;li&gt;&lt;a href=|http://childrensbibleonline.com/joshua/4.htm| title=|The Children's Bible| target=|_top|&gt;Children's&lt;/a&gt;</v>
      </c>
      <c r="AB191" s="2" t="str">
        <f t="shared" si="760"/>
        <v>&lt;/li&gt;&lt;li&gt;&lt;a href=|http://tsk.scripturetext.com/joshua/4.htm| title=|Treasury of Scripture Knowledge| target=|_top|&gt;TSK&lt;/a&gt;</v>
      </c>
      <c r="AC191" t="str">
        <f>CONCATENATE("&lt;a href=|http://",AC1191,"/joshua/4.htm","| ","title=|",AC1190,"| target=|_top|&gt;",AC1192,"&lt;/a&gt;")</f>
        <v>&lt;a href=|http://parallelbible.com/joshua/4.htm| title=|Parallel Chapters| target=|_top|&gt;PAR&lt;/a&gt;</v>
      </c>
      <c r="AD191" s="2" t="str">
        <f t="shared" ref="AD191:AK191" si="762">CONCATENATE("&lt;/li&gt;&lt;li&gt;&lt;a href=|http://",AD1191,"/joshua/4.htm","| ","title=|",AD1190,"| target=|_top|&gt;",AD1192,"&lt;/a&gt;")</f>
        <v>&lt;/li&gt;&lt;li&gt;&lt;a href=|http://gsb.biblecommenter.com/joshua/4.htm| title=|Geneva Study Bible| target=|_top|&gt;GSB&lt;/a&gt;</v>
      </c>
      <c r="AE191" s="2" t="str">
        <f t="shared" si="762"/>
        <v>&lt;/li&gt;&lt;li&gt;&lt;a href=|http://jfb.biblecommenter.com/joshua/4.htm| title=|Jamieson-Fausset-Brown Bible Commentary| target=|_top|&gt;JFB&lt;/a&gt;</v>
      </c>
      <c r="AF191" s="2" t="str">
        <f t="shared" si="762"/>
        <v>&lt;/li&gt;&lt;li&gt;&lt;a href=|http://kjt.biblecommenter.com/joshua/4.htm| title=|King James Translators' Notes| target=|_top|&gt;KJT&lt;/a&gt;</v>
      </c>
      <c r="AG191" s="2" t="str">
        <f t="shared" si="762"/>
        <v>&lt;/li&gt;&lt;li&gt;&lt;a href=|http://mhc.biblecommenter.com/joshua/4.htm| title=|Matthew Henry's Concise Commentary| target=|_top|&gt;MHC&lt;/a&gt;</v>
      </c>
      <c r="AH191" s="2" t="str">
        <f t="shared" si="762"/>
        <v>&lt;/li&gt;&lt;li&gt;&lt;a href=|http://sco.biblecommenter.com/joshua/4.htm| title=|Scofield Reference Notes| target=|_top|&gt;SCO&lt;/a&gt;</v>
      </c>
      <c r="AI191" s="2" t="str">
        <f t="shared" si="762"/>
        <v>&lt;/li&gt;&lt;li&gt;&lt;a href=|http://wes.biblecommenter.com/joshua/4.htm| title=|Wesley's Notes on the Bible| target=|_top|&gt;WES&lt;/a&gt;</v>
      </c>
      <c r="AJ191" t="str">
        <f t="shared" si="762"/>
        <v>&lt;/li&gt;&lt;li&gt;&lt;a href=|http://worldebible.com/joshua/4.htm| title=|World English Bible| target=|_top|&gt;WEB&lt;/a&gt;</v>
      </c>
      <c r="AK191" t="str">
        <f t="shared" si="762"/>
        <v>&lt;/li&gt;&lt;li&gt;&lt;a href=|http://yltbible.com/joshua/4.htm| title=|Young's Literal Translation| target=|_top|&gt;YLT&lt;/a&gt;</v>
      </c>
      <c r="AL191" t="str">
        <f>CONCATENATE("&lt;a href=|http://",AL1191,"/joshua/4.htm","| ","title=|",AL1190,"| target=|_top|&gt;",AL1192,"&lt;/a&gt;")</f>
        <v>&lt;a href=|http://kjv.us/joshua/4.htm| title=|American King James Version| target=|_top|&gt;AKJ&lt;/a&gt;</v>
      </c>
      <c r="AM191" t="str">
        <f t="shared" ref="AM191:AN191" si="763">CONCATENATE("&lt;/li&gt;&lt;li&gt;&lt;a href=|http://",AM1191,"/joshua/4.htm","| ","title=|",AM1190,"| target=|_top|&gt;",AM1192,"&lt;/a&gt;")</f>
        <v>&lt;/li&gt;&lt;li&gt;&lt;a href=|http://basicenglishbible.com/joshua/4.htm| title=|Bible in Basic English| target=|_top|&gt;BBE&lt;/a&gt;</v>
      </c>
      <c r="AN191" t="str">
        <f t="shared" si="763"/>
        <v>&lt;/li&gt;&lt;li&gt;&lt;a href=|http://darbybible.com/joshua/4.htm| title=|Darby Bible Translation| target=|_top|&gt;DBY&lt;/a&gt;</v>
      </c>
      <c r="AO19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9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9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91" t="str">
        <f>CONCATENATE("&lt;/li&gt;&lt;li&gt;&lt;a href=|http://",AR1191,"/joshua/4.htm","| ","title=|",AR1190,"| target=|_top|&gt;",AR1192,"&lt;/a&gt;")</f>
        <v>&lt;/li&gt;&lt;li&gt;&lt;a href=|http://websterbible.com/joshua/4.htm| title=|Webster's Bible Translation| target=|_top|&gt;WBS&lt;/a&gt;</v>
      </c>
      <c r="AS19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91" t="str">
        <f>CONCATENATE("&lt;/li&gt;&lt;li&gt;&lt;a href=|http://",AT1191,"/joshua/4-1.htm","| ","title=|",AT1190,"| target=|_top|&gt;",AT1192,"&lt;/a&gt;")</f>
        <v>&lt;/li&gt;&lt;li&gt;&lt;a href=|http://biblebrowser.com/joshua/4-1.htm| title=|Split View| target=|_top|&gt;Split&lt;/a&gt;</v>
      </c>
      <c r="AU191" s="2" t="s">
        <v>1276</v>
      </c>
      <c r="AV191" t="s">
        <v>64</v>
      </c>
    </row>
    <row r="192" spans="1:48">
      <c r="A192" t="s">
        <v>622</v>
      </c>
      <c r="B192" t="s">
        <v>245</v>
      </c>
      <c r="C192" t="s">
        <v>624</v>
      </c>
      <c r="D192" t="s">
        <v>1268</v>
      </c>
      <c r="E192" t="s">
        <v>1277</v>
      </c>
      <c r="F192" t="s">
        <v>1304</v>
      </c>
      <c r="G192" t="s">
        <v>1266</v>
      </c>
      <c r="H192" t="s">
        <v>1305</v>
      </c>
      <c r="I192" t="s">
        <v>1303</v>
      </c>
      <c r="J192" t="s">
        <v>1267</v>
      </c>
      <c r="K192" t="s">
        <v>1275</v>
      </c>
      <c r="L192" s="2" t="s">
        <v>1274</v>
      </c>
      <c r="M192" t="str">
        <f t="shared" ref="M192:AB192" si="764">CONCATENATE("&lt;/li&gt;&lt;li&gt;&lt;a href=|http://",M1191,"/joshua/5.htm","| ","title=|",M1190,"| target=|_top|&gt;",M1192,"&lt;/a&gt;")</f>
        <v>&lt;/li&gt;&lt;li&gt;&lt;a href=|http://niv.scripturetext.com/joshua/5.htm| title=|New International Version| target=|_top|&gt;NIV&lt;/a&gt;</v>
      </c>
      <c r="N192" t="str">
        <f t="shared" si="764"/>
        <v>&lt;/li&gt;&lt;li&gt;&lt;a href=|http://nlt.scripturetext.com/joshua/5.htm| title=|New Living Translation| target=|_top|&gt;NLT&lt;/a&gt;</v>
      </c>
      <c r="O192" t="str">
        <f t="shared" si="764"/>
        <v>&lt;/li&gt;&lt;li&gt;&lt;a href=|http://nasb.scripturetext.com/joshua/5.htm| title=|New American Standard Bible| target=|_top|&gt;NAS&lt;/a&gt;</v>
      </c>
      <c r="P192" t="str">
        <f t="shared" si="764"/>
        <v>&lt;/li&gt;&lt;li&gt;&lt;a href=|http://gwt.scripturetext.com/joshua/5.htm| title=|God's Word Translation| target=|_top|&gt;GWT&lt;/a&gt;</v>
      </c>
      <c r="Q192" t="str">
        <f t="shared" si="764"/>
        <v>&lt;/li&gt;&lt;li&gt;&lt;a href=|http://kingjbible.com/joshua/5.htm| title=|King James Bible| target=|_top|&gt;KJV&lt;/a&gt;</v>
      </c>
      <c r="R192" t="str">
        <f t="shared" si="764"/>
        <v>&lt;/li&gt;&lt;li&gt;&lt;a href=|http://asvbible.com/joshua/5.htm| title=|American Standard Version| target=|_top|&gt;ASV&lt;/a&gt;</v>
      </c>
      <c r="S192" t="str">
        <f t="shared" si="764"/>
        <v>&lt;/li&gt;&lt;li&gt;&lt;a href=|http://drb.scripturetext.com/joshua/5.htm| title=|Douay-Rheims Bible| target=|_top|&gt;DRB&lt;/a&gt;</v>
      </c>
      <c r="T192" t="str">
        <f t="shared" si="764"/>
        <v>&lt;/li&gt;&lt;li&gt;&lt;a href=|http://erv.scripturetext.com/joshua/5.htm| title=|English Revised Version| target=|_top|&gt;ERV&lt;/a&gt;</v>
      </c>
      <c r="V192" t="str">
        <f>CONCATENATE("&lt;/li&gt;&lt;li&gt;&lt;a href=|http://",V1191,"/joshua/5.htm","| ","title=|",V1190,"| target=|_top|&gt;",V1192,"&lt;/a&gt;")</f>
        <v>&lt;/li&gt;&lt;li&gt;&lt;a href=|http://study.interlinearbible.org/joshua/5.htm| title=|Hebrew Study Bible| target=|_top|&gt;Heb Study&lt;/a&gt;</v>
      </c>
      <c r="W192" t="str">
        <f t="shared" si="764"/>
        <v>&lt;/li&gt;&lt;li&gt;&lt;a href=|http://apostolic.interlinearbible.org/joshua/5.htm| title=|Apostolic Bible Polyglot Interlinear| target=|_top|&gt;Polyglot&lt;/a&gt;</v>
      </c>
      <c r="X192" t="str">
        <f t="shared" si="764"/>
        <v>&lt;/li&gt;&lt;li&gt;&lt;a href=|http://interlinearbible.org/joshua/5.htm| title=|Interlinear Bible| target=|_top|&gt;Interlin&lt;/a&gt;</v>
      </c>
      <c r="Y192" t="str">
        <f t="shared" ref="Y192" si="765">CONCATENATE("&lt;/li&gt;&lt;li&gt;&lt;a href=|http://",Y1191,"/joshua/5.htm","| ","title=|",Y1190,"| target=|_top|&gt;",Y1192,"&lt;/a&gt;")</f>
        <v>&lt;/li&gt;&lt;li&gt;&lt;a href=|http://bibleoutline.org/joshua/5.htm| title=|Outline with People and Places List| target=|_top|&gt;Outline&lt;/a&gt;</v>
      </c>
      <c r="Z192" t="str">
        <f t="shared" si="764"/>
        <v>&lt;/li&gt;&lt;li&gt;&lt;a href=|http://kjvs.scripturetext.com/joshua/5.htm| title=|King James Bible with Strong's Numbers| target=|_top|&gt;Strong's&lt;/a&gt;</v>
      </c>
      <c r="AA192" t="str">
        <f t="shared" si="764"/>
        <v>&lt;/li&gt;&lt;li&gt;&lt;a href=|http://childrensbibleonline.com/joshua/5.htm| title=|The Children's Bible| target=|_top|&gt;Children's&lt;/a&gt;</v>
      </c>
      <c r="AB192" s="2" t="str">
        <f t="shared" si="764"/>
        <v>&lt;/li&gt;&lt;li&gt;&lt;a href=|http://tsk.scripturetext.com/joshua/5.htm| title=|Treasury of Scripture Knowledge| target=|_top|&gt;TSK&lt;/a&gt;</v>
      </c>
      <c r="AC192" t="str">
        <f>CONCATENATE("&lt;a href=|http://",AC1191,"/joshua/5.htm","| ","title=|",AC1190,"| target=|_top|&gt;",AC1192,"&lt;/a&gt;")</f>
        <v>&lt;a href=|http://parallelbible.com/joshua/5.htm| title=|Parallel Chapters| target=|_top|&gt;PAR&lt;/a&gt;</v>
      </c>
      <c r="AD192" s="2" t="str">
        <f t="shared" ref="AD192:AK192" si="766">CONCATENATE("&lt;/li&gt;&lt;li&gt;&lt;a href=|http://",AD1191,"/joshua/5.htm","| ","title=|",AD1190,"| target=|_top|&gt;",AD1192,"&lt;/a&gt;")</f>
        <v>&lt;/li&gt;&lt;li&gt;&lt;a href=|http://gsb.biblecommenter.com/joshua/5.htm| title=|Geneva Study Bible| target=|_top|&gt;GSB&lt;/a&gt;</v>
      </c>
      <c r="AE192" s="2" t="str">
        <f t="shared" si="766"/>
        <v>&lt;/li&gt;&lt;li&gt;&lt;a href=|http://jfb.biblecommenter.com/joshua/5.htm| title=|Jamieson-Fausset-Brown Bible Commentary| target=|_top|&gt;JFB&lt;/a&gt;</v>
      </c>
      <c r="AF192" s="2" t="str">
        <f t="shared" si="766"/>
        <v>&lt;/li&gt;&lt;li&gt;&lt;a href=|http://kjt.biblecommenter.com/joshua/5.htm| title=|King James Translators' Notes| target=|_top|&gt;KJT&lt;/a&gt;</v>
      </c>
      <c r="AG192" s="2" t="str">
        <f t="shared" si="766"/>
        <v>&lt;/li&gt;&lt;li&gt;&lt;a href=|http://mhc.biblecommenter.com/joshua/5.htm| title=|Matthew Henry's Concise Commentary| target=|_top|&gt;MHC&lt;/a&gt;</v>
      </c>
      <c r="AH192" s="2" t="str">
        <f t="shared" si="766"/>
        <v>&lt;/li&gt;&lt;li&gt;&lt;a href=|http://sco.biblecommenter.com/joshua/5.htm| title=|Scofield Reference Notes| target=|_top|&gt;SCO&lt;/a&gt;</v>
      </c>
      <c r="AI192" s="2" t="str">
        <f t="shared" si="766"/>
        <v>&lt;/li&gt;&lt;li&gt;&lt;a href=|http://wes.biblecommenter.com/joshua/5.htm| title=|Wesley's Notes on the Bible| target=|_top|&gt;WES&lt;/a&gt;</v>
      </c>
      <c r="AJ192" t="str">
        <f t="shared" si="766"/>
        <v>&lt;/li&gt;&lt;li&gt;&lt;a href=|http://worldebible.com/joshua/5.htm| title=|World English Bible| target=|_top|&gt;WEB&lt;/a&gt;</v>
      </c>
      <c r="AK192" t="str">
        <f t="shared" si="766"/>
        <v>&lt;/li&gt;&lt;li&gt;&lt;a href=|http://yltbible.com/joshua/5.htm| title=|Young's Literal Translation| target=|_top|&gt;YLT&lt;/a&gt;</v>
      </c>
      <c r="AL192" t="str">
        <f>CONCATENATE("&lt;a href=|http://",AL1191,"/joshua/5.htm","| ","title=|",AL1190,"| target=|_top|&gt;",AL1192,"&lt;/a&gt;")</f>
        <v>&lt;a href=|http://kjv.us/joshua/5.htm| title=|American King James Version| target=|_top|&gt;AKJ&lt;/a&gt;</v>
      </c>
      <c r="AM192" t="str">
        <f t="shared" ref="AM192:AN192" si="767">CONCATENATE("&lt;/li&gt;&lt;li&gt;&lt;a href=|http://",AM1191,"/joshua/5.htm","| ","title=|",AM1190,"| target=|_top|&gt;",AM1192,"&lt;/a&gt;")</f>
        <v>&lt;/li&gt;&lt;li&gt;&lt;a href=|http://basicenglishbible.com/joshua/5.htm| title=|Bible in Basic English| target=|_top|&gt;BBE&lt;/a&gt;</v>
      </c>
      <c r="AN192" t="str">
        <f t="shared" si="767"/>
        <v>&lt;/li&gt;&lt;li&gt;&lt;a href=|http://darbybible.com/joshua/5.htm| title=|Darby Bible Translation| target=|_top|&gt;DBY&lt;/a&gt;</v>
      </c>
      <c r="AO19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9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9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92" t="str">
        <f>CONCATENATE("&lt;/li&gt;&lt;li&gt;&lt;a href=|http://",AR1191,"/joshua/5.htm","| ","title=|",AR1190,"| target=|_top|&gt;",AR1192,"&lt;/a&gt;")</f>
        <v>&lt;/li&gt;&lt;li&gt;&lt;a href=|http://websterbible.com/joshua/5.htm| title=|Webster's Bible Translation| target=|_top|&gt;WBS&lt;/a&gt;</v>
      </c>
      <c r="AS19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92" t="str">
        <f>CONCATENATE("&lt;/li&gt;&lt;li&gt;&lt;a href=|http://",AT1191,"/joshua/5-1.htm","| ","title=|",AT1190,"| target=|_top|&gt;",AT1192,"&lt;/a&gt;")</f>
        <v>&lt;/li&gt;&lt;li&gt;&lt;a href=|http://biblebrowser.com/joshua/5-1.htm| title=|Split View| target=|_top|&gt;Split&lt;/a&gt;</v>
      </c>
      <c r="AU192" s="2" t="s">
        <v>1276</v>
      </c>
      <c r="AV192" t="s">
        <v>64</v>
      </c>
    </row>
    <row r="193" spans="1:48">
      <c r="A193" t="s">
        <v>622</v>
      </c>
      <c r="B193" t="s">
        <v>246</v>
      </c>
      <c r="C193" t="s">
        <v>624</v>
      </c>
      <c r="D193" t="s">
        <v>1268</v>
      </c>
      <c r="E193" t="s">
        <v>1277</v>
      </c>
      <c r="F193" t="s">
        <v>1304</v>
      </c>
      <c r="G193" t="s">
        <v>1266</v>
      </c>
      <c r="H193" t="s">
        <v>1305</v>
      </c>
      <c r="I193" t="s">
        <v>1303</v>
      </c>
      <c r="J193" t="s">
        <v>1267</v>
      </c>
      <c r="K193" t="s">
        <v>1275</v>
      </c>
      <c r="L193" s="2" t="s">
        <v>1274</v>
      </c>
      <c r="M193" t="str">
        <f t="shared" ref="M193:AB193" si="768">CONCATENATE("&lt;/li&gt;&lt;li&gt;&lt;a href=|http://",M1191,"/joshua/6.htm","| ","title=|",M1190,"| target=|_top|&gt;",M1192,"&lt;/a&gt;")</f>
        <v>&lt;/li&gt;&lt;li&gt;&lt;a href=|http://niv.scripturetext.com/joshua/6.htm| title=|New International Version| target=|_top|&gt;NIV&lt;/a&gt;</v>
      </c>
      <c r="N193" t="str">
        <f t="shared" si="768"/>
        <v>&lt;/li&gt;&lt;li&gt;&lt;a href=|http://nlt.scripturetext.com/joshua/6.htm| title=|New Living Translation| target=|_top|&gt;NLT&lt;/a&gt;</v>
      </c>
      <c r="O193" t="str">
        <f t="shared" si="768"/>
        <v>&lt;/li&gt;&lt;li&gt;&lt;a href=|http://nasb.scripturetext.com/joshua/6.htm| title=|New American Standard Bible| target=|_top|&gt;NAS&lt;/a&gt;</v>
      </c>
      <c r="P193" t="str">
        <f t="shared" si="768"/>
        <v>&lt;/li&gt;&lt;li&gt;&lt;a href=|http://gwt.scripturetext.com/joshua/6.htm| title=|God's Word Translation| target=|_top|&gt;GWT&lt;/a&gt;</v>
      </c>
      <c r="Q193" t="str">
        <f t="shared" si="768"/>
        <v>&lt;/li&gt;&lt;li&gt;&lt;a href=|http://kingjbible.com/joshua/6.htm| title=|King James Bible| target=|_top|&gt;KJV&lt;/a&gt;</v>
      </c>
      <c r="R193" t="str">
        <f t="shared" si="768"/>
        <v>&lt;/li&gt;&lt;li&gt;&lt;a href=|http://asvbible.com/joshua/6.htm| title=|American Standard Version| target=|_top|&gt;ASV&lt;/a&gt;</v>
      </c>
      <c r="S193" t="str">
        <f t="shared" si="768"/>
        <v>&lt;/li&gt;&lt;li&gt;&lt;a href=|http://drb.scripturetext.com/joshua/6.htm| title=|Douay-Rheims Bible| target=|_top|&gt;DRB&lt;/a&gt;</v>
      </c>
      <c r="T193" t="str">
        <f t="shared" si="768"/>
        <v>&lt;/li&gt;&lt;li&gt;&lt;a href=|http://erv.scripturetext.com/joshua/6.htm| title=|English Revised Version| target=|_top|&gt;ERV&lt;/a&gt;</v>
      </c>
      <c r="V193" t="str">
        <f>CONCATENATE("&lt;/li&gt;&lt;li&gt;&lt;a href=|http://",V1191,"/joshua/6.htm","| ","title=|",V1190,"| target=|_top|&gt;",V1192,"&lt;/a&gt;")</f>
        <v>&lt;/li&gt;&lt;li&gt;&lt;a href=|http://study.interlinearbible.org/joshua/6.htm| title=|Hebrew Study Bible| target=|_top|&gt;Heb Study&lt;/a&gt;</v>
      </c>
      <c r="W193" t="str">
        <f t="shared" si="768"/>
        <v>&lt;/li&gt;&lt;li&gt;&lt;a href=|http://apostolic.interlinearbible.org/joshua/6.htm| title=|Apostolic Bible Polyglot Interlinear| target=|_top|&gt;Polyglot&lt;/a&gt;</v>
      </c>
      <c r="X193" t="str">
        <f t="shared" si="768"/>
        <v>&lt;/li&gt;&lt;li&gt;&lt;a href=|http://interlinearbible.org/joshua/6.htm| title=|Interlinear Bible| target=|_top|&gt;Interlin&lt;/a&gt;</v>
      </c>
      <c r="Y193" t="str">
        <f t="shared" ref="Y193" si="769">CONCATENATE("&lt;/li&gt;&lt;li&gt;&lt;a href=|http://",Y1191,"/joshua/6.htm","| ","title=|",Y1190,"| target=|_top|&gt;",Y1192,"&lt;/a&gt;")</f>
        <v>&lt;/li&gt;&lt;li&gt;&lt;a href=|http://bibleoutline.org/joshua/6.htm| title=|Outline with People and Places List| target=|_top|&gt;Outline&lt;/a&gt;</v>
      </c>
      <c r="Z193" t="str">
        <f t="shared" si="768"/>
        <v>&lt;/li&gt;&lt;li&gt;&lt;a href=|http://kjvs.scripturetext.com/joshua/6.htm| title=|King James Bible with Strong's Numbers| target=|_top|&gt;Strong's&lt;/a&gt;</v>
      </c>
      <c r="AA193" t="str">
        <f t="shared" si="768"/>
        <v>&lt;/li&gt;&lt;li&gt;&lt;a href=|http://childrensbibleonline.com/joshua/6.htm| title=|The Children's Bible| target=|_top|&gt;Children's&lt;/a&gt;</v>
      </c>
      <c r="AB193" s="2" t="str">
        <f t="shared" si="768"/>
        <v>&lt;/li&gt;&lt;li&gt;&lt;a href=|http://tsk.scripturetext.com/joshua/6.htm| title=|Treasury of Scripture Knowledge| target=|_top|&gt;TSK&lt;/a&gt;</v>
      </c>
      <c r="AC193" t="str">
        <f>CONCATENATE("&lt;a href=|http://",AC1191,"/joshua/6.htm","| ","title=|",AC1190,"| target=|_top|&gt;",AC1192,"&lt;/a&gt;")</f>
        <v>&lt;a href=|http://parallelbible.com/joshua/6.htm| title=|Parallel Chapters| target=|_top|&gt;PAR&lt;/a&gt;</v>
      </c>
      <c r="AD193" s="2" t="str">
        <f t="shared" ref="AD193:AK193" si="770">CONCATENATE("&lt;/li&gt;&lt;li&gt;&lt;a href=|http://",AD1191,"/joshua/6.htm","| ","title=|",AD1190,"| target=|_top|&gt;",AD1192,"&lt;/a&gt;")</f>
        <v>&lt;/li&gt;&lt;li&gt;&lt;a href=|http://gsb.biblecommenter.com/joshua/6.htm| title=|Geneva Study Bible| target=|_top|&gt;GSB&lt;/a&gt;</v>
      </c>
      <c r="AE193" s="2" t="str">
        <f t="shared" si="770"/>
        <v>&lt;/li&gt;&lt;li&gt;&lt;a href=|http://jfb.biblecommenter.com/joshua/6.htm| title=|Jamieson-Fausset-Brown Bible Commentary| target=|_top|&gt;JFB&lt;/a&gt;</v>
      </c>
      <c r="AF193" s="2" t="str">
        <f t="shared" si="770"/>
        <v>&lt;/li&gt;&lt;li&gt;&lt;a href=|http://kjt.biblecommenter.com/joshua/6.htm| title=|King James Translators' Notes| target=|_top|&gt;KJT&lt;/a&gt;</v>
      </c>
      <c r="AG193" s="2" t="str">
        <f t="shared" si="770"/>
        <v>&lt;/li&gt;&lt;li&gt;&lt;a href=|http://mhc.biblecommenter.com/joshua/6.htm| title=|Matthew Henry's Concise Commentary| target=|_top|&gt;MHC&lt;/a&gt;</v>
      </c>
      <c r="AH193" s="2" t="str">
        <f t="shared" si="770"/>
        <v>&lt;/li&gt;&lt;li&gt;&lt;a href=|http://sco.biblecommenter.com/joshua/6.htm| title=|Scofield Reference Notes| target=|_top|&gt;SCO&lt;/a&gt;</v>
      </c>
      <c r="AI193" s="2" t="str">
        <f t="shared" si="770"/>
        <v>&lt;/li&gt;&lt;li&gt;&lt;a href=|http://wes.biblecommenter.com/joshua/6.htm| title=|Wesley's Notes on the Bible| target=|_top|&gt;WES&lt;/a&gt;</v>
      </c>
      <c r="AJ193" t="str">
        <f t="shared" si="770"/>
        <v>&lt;/li&gt;&lt;li&gt;&lt;a href=|http://worldebible.com/joshua/6.htm| title=|World English Bible| target=|_top|&gt;WEB&lt;/a&gt;</v>
      </c>
      <c r="AK193" t="str">
        <f t="shared" si="770"/>
        <v>&lt;/li&gt;&lt;li&gt;&lt;a href=|http://yltbible.com/joshua/6.htm| title=|Young's Literal Translation| target=|_top|&gt;YLT&lt;/a&gt;</v>
      </c>
      <c r="AL193" t="str">
        <f>CONCATENATE("&lt;a href=|http://",AL1191,"/joshua/6.htm","| ","title=|",AL1190,"| target=|_top|&gt;",AL1192,"&lt;/a&gt;")</f>
        <v>&lt;a href=|http://kjv.us/joshua/6.htm| title=|American King James Version| target=|_top|&gt;AKJ&lt;/a&gt;</v>
      </c>
      <c r="AM193" t="str">
        <f t="shared" ref="AM193:AN193" si="771">CONCATENATE("&lt;/li&gt;&lt;li&gt;&lt;a href=|http://",AM1191,"/joshua/6.htm","| ","title=|",AM1190,"| target=|_top|&gt;",AM1192,"&lt;/a&gt;")</f>
        <v>&lt;/li&gt;&lt;li&gt;&lt;a href=|http://basicenglishbible.com/joshua/6.htm| title=|Bible in Basic English| target=|_top|&gt;BBE&lt;/a&gt;</v>
      </c>
      <c r="AN193" t="str">
        <f t="shared" si="771"/>
        <v>&lt;/li&gt;&lt;li&gt;&lt;a href=|http://darbybible.com/joshua/6.htm| title=|Darby Bible Translation| target=|_top|&gt;DBY&lt;/a&gt;</v>
      </c>
      <c r="AO19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9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9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93" t="str">
        <f>CONCATENATE("&lt;/li&gt;&lt;li&gt;&lt;a href=|http://",AR1191,"/joshua/6.htm","| ","title=|",AR1190,"| target=|_top|&gt;",AR1192,"&lt;/a&gt;")</f>
        <v>&lt;/li&gt;&lt;li&gt;&lt;a href=|http://websterbible.com/joshua/6.htm| title=|Webster's Bible Translation| target=|_top|&gt;WBS&lt;/a&gt;</v>
      </c>
      <c r="AS19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93" t="str">
        <f>CONCATENATE("&lt;/li&gt;&lt;li&gt;&lt;a href=|http://",AT1191,"/joshua/6-1.htm","| ","title=|",AT1190,"| target=|_top|&gt;",AT1192,"&lt;/a&gt;")</f>
        <v>&lt;/li&gt;&lt;li&gt;&lt;a href=|http://biblebrowser.com/joshua/6-1.htm| title=|Split View| target=|_top|&gt;Split&lt;/a&gt;</v>
      </c>
      <c r="AU193" s="2" t="s">
        <v>1276</v>
      </c>
      <c r="AV193" t="s">
        <v>64</v>
      </c>
    </row>
    <row r="194" spans="1:48">
      <c r="A194" t="s">
        <v>622</v>
      </c>
      <c r="B194" t="s">
        <v>247</v>
      </c>
      <c r="C194" t="s">
        <v>624</v>
      </c>
      <c r="D194" t="s">
        <v>1268</v>
      </c>
      <c r="E194" t="s">
        <v>1277</v>
      </c>
      <c r="F194" t="s">
        <v>1304</v>
      </c>
      <c r="G194" t="s">
        <v>1266</v>
      </c>
      <c r="H194" t="s">
        <v>1305</v>
      </c>
      <c r="I194" t="s">
        <v>1303</v>
      </c>
      <c r="J194" t="s">
        <v>1267</v>
      </c>
      <c r="K194" t="s">
        <v>1275</v>
      </c>
      <c r="L194" s="2" t="s">
        <v>1274</v>
      </c>
      <c r="M194" t="str">
        <f t="shared" ref="M194:AB194" si="772">CONCATENATE("&lt;/li&gt;&lt;li&gt;&lt;a href=|http://",M1191,"/joshua/7.htm","| ","title=|",M1190,"| target=|_top|&gt;",M1192,"&lt;/a&gt;")</f>
        <v>&lt;/li&gt;&lt;li&gt;&lt;a href=|http://niv.scripturetext.com/joshua/7.htm| title=|New International Version| target=|_top|&gt;NIV&lt;/a&gt;</v>
      </c>
      <c r="N194" t="str">
        <f t="shared" si="772"/>
        <v>&lt;/li&gt;&lt;li&gt;&lt;a href=|http://nlt.scripturetext.com/joshua/7.htm| title=|New Living Translation| target=|_top|&gt;NLT&lt;/a&gt;</v>
      </c>
      <c r="O194" t="str">
        <f t="shared" si="772"/>
        <v>&lt;/li&gt;&lt;li&gt;&lt;a href=|http://nasb.scripturetext.com/joshua/7.htm| title=|New American Standard Bible| target=|_top|&gt;NAS&lt;/a&gt;</v>
      </c>
      <c r="P194" t="str">
        <f t="shared" si="772"/>
        <v>&lt;/li&gt;&lt;li&gt;&lt;a href=|http://gwt.scripturetext.com/joshua/7.htm| title=|God's Word Translation| target=|_top|&gt;GWT&lt;/a&gt;</v>
      </c>
      <c r="Q194" t="str">
        <f t="shared" si="772"/>
        <v>&lt;/li&gt;&lt;li&gt;&lt;a href=|http://kingjbible.com/joshua/7.htm| title=|King James Bible| target=|_top|&gt;KJV&lt;/a&gt;</v>
      </c>
      <c r="R194" t="str">
        <f t="shared" si="772"/>
        <v>&lt;/li&gt;&lt;li&gt;&lt;a href=|http://asvbible.com/joshua/7.htm| title=|American Standard Version| target=|_top|&gt;ASV&lt;/a&gt;</v>
      </c>
      <c r="S194" t="str">
        <f t="shared" si="772"/>
        <v>&lt;/li&gt;&lt;li&gt;&lt;a href=|http://drb.scripturetext.com/joshua/7.htm| title=|Douay-Rheims Bible| target=|_top|&gt;DRB&lt;/a&gt;</v>
      </c>
      <c r="T194" t="str">
        <f t="shared" si="772"/>
        <v>&lt;/li&gt;&lt;li&gt;&lt;a href=|http://erv.scripturetext.com/joshua/7.htm| title=|English Revised Version| target=|_top|&gt;ERV&lt;/a&gt;</v>
      </c>
      <c r="V194" t="str">
        <f>CONCATENATE("&lt;/li&gt;&lt;li&gt;&lt;a href=|http://",V1191,"/joshua/7.htm","| ","title=|",V1190,"| target=|_top|&gt;",V1192,"&lt;/a&gt;")</f>
        <v>&lt;/li&gt;&lt;li&gt;&lt;a href=|http://study.interlinearbible.org/joshua/7.htm| title=|Hebrew Study Bible| target=|_top|&gt;Heb Study&lt;/a&gt;</v>
      </c>
      <c r="W194" t="str">
        <f t="shared" si="772"/>
        <v>&lt;/li&gt;&lt;li&gt;&lt;a href=|http://apostolic.interlinearbible.org/joshua/7.htm| title=|Apostolic Bible Polyglot Interlinear| target=|_top|&gt;Polyglot&lt;/a&gt;</v>
      </c>
      <c r="X194" t="str">
        <f t="shared" si="772"/>
        <v>&lt;/li&gt;&lt;li&gt;&lt;a href=|http://interlinearbible.org/joshua/7.htm| title=|Interlinear Bible| target=|_top|&gt;Interlin&lt;/a&gt;</v>
      </c>
      <c r="Y194" t="str">
        <f t="shared" ref="Y194" si="773">CONCATENATE("&lt;/li&gt;&lt;li&gt;&lt;a href=|http://",Y1191,"/joshua/7.htm","| ","title=|",Y1190,"| target=|_top|&gt;",Y1192,"&lt;/a&gt;")</f>
        <v>&lt;/li&gt;&lt;li&gt;&lt;a href=|http://bibleoutline.org/joshua/7.htm| title=|Outline with People and Places List| target=|_top|&gt;Outline&lt;/a&gt;</v>
      </c>
      <c r="Z194" t="str">
        <f t="shared" si="772"/>
        <v>&lt;/li&gt;&lt;li&gt;&lt;a href=|http://kjvs.scripturetext.com/joshua/7.htm| title=|King James Bible with Strong's Numbers| target=|_top|&gt;Strong's&lt;/a&gt;</v>
      </c>
      <c r="AA194" t="str">
        <f t="shared" si="772"/>
        <v>&lt;/li&gt;&lt;li&gt;&lt;a href=|http://childrensbibleonline.com/joshua/7.htm| title=|The Children's Bible| target=|_top|&gt;Children's&lt;/a&gt;</v>
      </c>
      <c r="AB194" s="2" t="str">
        <f t="shared" si="772"/>
        <v>&lt;/li&gt;&lt;li&gt;&lt;a href=|http://tsk.scripturetext.com/joshua/7.htm| title=|Treasury of Scripture Knowledge| target=|_top|&gt;TSK&lt;/a&gt;</v>
      </c>
      <c r="AC194" t="str">
        <f>CONCATENATE("&lt;a href=|http://",AC1191,"/joshua/7.htm","| ","title=|",AC1190,"| target=|_top|&gt;",AC1192,"&lt;/a&gt;")</f>
        <v>&lt;a href=|http://parallelbible.com/joshua/7.htm| title=|Parallel Chapters| target=|_top|&gt;PAR&lt;/a&gt;</v>
      </c>
      <c r="AD194" s="2" t="str">
        <f t="shared" ref="AD194:AK194" si="774">CONCATENATE("&lt;/li&gt;&lt;li&gt;&lt;a href=|http://",AD1191,"/joshua/7.htm","| ","title=|",AD1190,"| target=|_top|&gt;",AD1192,"&lt;/a&gt;")</f>
        <v>&lt;/li&gt;&lt;li&gt;&lt;a href=|http://gsb.biblecommenter.com/joshua/7.htm| title=|Geneva Study Bible| target=|_top|&gt;GSB&lt;/a&gt;</v>
      </c>
      <c r="AE194" s="2" t="str">
        <f t="shared" si="774"/>
        <v>&lt;/li&gt;&lt;li&gt;&lt;a href=|http://jfb.biblecommenter.com/joshua/7.htm| title=|Jamieson-Fausset-Brown Bible Commentary| target=|_top|&gt;JFB&lt;/a&gt;</v>
      </c>
      <c r="AF194" s="2" t="str">
        <f t="shared" si="774"/>
        <v>&lt;/li&gt;&lt;li&gt;&lt;a href=|http://kjt.biblecommenter.com/joshua/7.htm| title=|King James Translators' Notes| target=|_top|&gt;KJT&lt;/a&gt;</v>
      </c>
      <c r="AG194" s="2" t="str">
        <f t="shared" si="774"/>
        <v>&lt;/li&gt;&lt;li&gt;&lt;a href=|http://mhc.biblecommenter.com/joshua/7.htm| title=|Matthew Henry's Concise Commentary| target=|_top|&gt;MHC&lt;/a&gt;</v>
      </c>
      <c r="AH194" s="2" t="str">
        <f t="shared" si="774"/>
        <v>&lt;/li&gt;&lt;li&gt;&lt;a href=|http://sco.biblecommenter.com/joshua/7.htm| title=|Scofield Reference Notes| target=|_top|&gt;SCO&lt;/a&gt;</v>
      </c>
      <c r="AI194" s="2" t="str">
        <f t="shared" si="774"/>
        <v>&lt;/li&gt;&lt;li&gt;&lt;a href=|http://wes.biblecommenter.com/joshua/7.htm| title=|Wesley's Notes on the Bible| target=|_top|&gt;WES&lt;/a&gt;</v>
      </c>
      <c r="AJ194" t="str">
        <f t="shared" si="774"/>
        <v>&lt;/li&gt;&lt;li&gt;&lt;a href=|http://worldebible.com/joshua/7.htm| title=|World English Bible| target=|_top|&gt;WEB&lt;/a&gt;</v>
      </c>
      <c r="AK194" t="str">
        <f t="shared" si="774"/>
        <v>&lt;/li&gt;&lt;li&gt;&lt;a href=|http://yltbible.com/joshua/7.htm| title=|Young's Literal Translation| target=|_top|&gt;YLT&lt;/a&gt;</v>
      </c>
      <c r="AL194" t="str">
        <f>CONCATENATE("&lt;a href=|http://",AL1191,"/joshua/7.htm","| ","title=|",AL1190,"| target=|_top|&gt;",AL1192,"&lt;/a&gt;")</f>
        <v>&lt;a href=|http://kjv.us/joshua/7.htm| title=|American King James Version| target=|_top|&gt;AKJ&lt;/a&gt;</v>
      </c>
      <c r="AM194" t="str">
        <f t="shared" ref="AM194:AN194" si="775">CONCATENATE("&lt;/li&gt;&lt;li&gt;&lt;a href=|http://",AM1191,"/joshua/7.htm","| ","title=|",AM1190,"| target=|_top|&gt;",AM1192,"&lt;/a&gt;")</f>
        <v>&lt;/li&gt;&lt;li&gt;&lt;a href=|http://basicenglishbible.com/joshua/7.htm| title=|Bible in Basic English| target=|_top|&gt;BBE&lt;/a&gt;</v>
      </c>
      <c r="AN194" t="str">
        <f t="shared" si="775"/>
        <v>&lt;/li&gt;&lt;li&gt;&lt;a href=|http://darbybible.com/joshua/7.htm| title=|Darby Bible Translation| target=|_top|&gt;DBY&lt;/a&gt;</v>
      </c>
      <c r="AO19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9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9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94" t="str">
        <f>CONCATENATE("&lt;/li&gt;&lt;li&gt;&lt;a href=|http://",AR1191,"/joshua/7.htm","| ","title=|",AR1190,"| target=|_top|&gt;",AR1192,"&lt;/a&gt;")</f>
        <v>&lt;/li&gt;&lt;li&gt;&lt;a href=|http://websterbible.com/joshua/7.htm| title=|Webster's Bible Translation| target=|_top|&gt;WBS&lt;/a&gt;</v>
      </c>
      <c r="AS19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94" t="str">
        <f>CONCATENATE("&lt;/li&gt;&lt;li&gt;&lt;a href=|http://",AT1191,"/joshua/7-1.htm","| ","title=|",AT1190,"| target=|_top|&gt;",AT1192,"&lt;/a&gt;")</f>
        <v>&lt;/li&gt;&lt;li&gt;&lt;a href=|http://biblebrowser.com/joshua/7-1.htm| title=|Split View| target=|_top|&gt;Split&lt;/a&gt;</v>
      </c>
      <c r="AU194" s="2" t="s">
        <v>1276</v>
      </c>
      <c r="AV194" t="s">
        <v>64</v>
      </c>
    </row>
    <row r="195" spans="1:48">
      <c r="A195" t="s">
        <v>622</v>
      </c>
      <c r="B195" t="s">
        <v>248</v>
      </c>
      <c r="C195" t="s">
        <v>624</v>
      </c>
      <c r="D195" t="s">
        <v>1268</v>
      </c>
      <c r="E195" t="s">
        <v>1277</v>
      </c>
      <c r="F195" t="s">
        <v>1304</v>
      </c>
      <c r="G195" t="s">
        <v>1266</v>
      </c>
      <c r="H195" t="s">
        <v>1305</v>
      </c>
      <c r="I195" t="s">
        <v>1303</v>
      </c>
      <c r="J195" t="s">
        <v>1267</v>
      </c>
      <c r="K195" t="s">
        <v>1275</v>
      </c>
      <c r="L195" s="2" t="s">
        <v>1274</v>
      </c>
      <c r="M195" t="str">
        <f t="shared" ref="M195:AB195" si="776">CONCATENATE("&lt;/li&gt;&lt;li&gt;&lt;a href=|http://",M1191,"/joshua/8.htm","| ","title=|",M1190,"| target=|_top|&gt;",M1192,"&lt;/a&gt;")</f>
        <v>&lt;/li&gt;&lt;li&gt;&lt;a href=|http://niv.scripturetext.com/joshua/8.htm| title=|New International Version| target=|_top|&gt;NIV&lt;/a&gt;</v>
      </c>
      <c r="N195" t="str">
        <f t="shared" si="776"/>
        <v>&lt;/li&gt;&lt;li&gt;&lt;a href=|http://nlt.scripturetext.com/joshua/8.htm| title=|New Living Translation| target=|_top|&gt;NLT&lt;/a&gt;</v>
      </c>
      <c r="O195" t="str">
        <f t="shared" si="776"/>
        <v>&lt;/li&gt;&lt;li&gt;&lt;a href=|http://nasb.scripturetext.com/joshua/8.htm| title=|New American Standard Bible| target=|_top|&gt;NAS&lt;/a&gt;</v>
      </c>
      <c r="P195" t="str">
        <f t="shared" si="776"/>
        <v>&lt;/li&gt;&lt;li&gt;&lt;a href=|http://gwt.scripturetext.com/joshua/8.htm| title=|God's Word Translation| target=|_top|&gt;GWT&lt;/a&gt;</v>
      </c>
      <c r="Q195" t="str">
        <f t="shared" si="776"/>
        <v>&lt;/li&gt;&lt;li&gt;&lt;a href=|http://kingjbible.com/joshua/8.htm| title=|King James Bible| target=|_top|&gt;KJV&lt;/a&gt;</v>
      </c>
      <c r="R195" t="str">
        <f t="shared" si="776"/>
        <v>&lt;/li&gt;&lt;li&gt;&lt;a href=|http://asvbible.com/joshua/8.htm| title=|American Standard Version| target=|_top|&gt;ASV&lt;/a&gt;</v>
      </c>
      <c r="S195" t="str">
        <f t="shared" si="776"/>
        <v>&lt;/li&gt;&lt;li&gt;&lt;a href=|http://drb.scripturetext.com/joshua/8.htm| title=|Douay-Rheims Bible| target=|_top|&gt;DRB&lt;/a&gt;</v>
      </c>
      <c r="T195" t="str">
        <f t="shared" si="776"/>
        <v>&lt;/li&gt;&lt;li&gt;&lt;a href=|http://erv.scripturetext.com/joshua/8.htm| title=|English Revised Version| target=|_top|&gt;ERV&lt;/a&gt;</v>
      </c>
      <c r="V195" t="str">
        <f>CONCATENATE("&lt;/li&gt;&lt;li&gt;&lt;a href=|http://",V1191,"/joshua/8.htm","| ","title=|",V1190,"| target=|_top|&gt;",V1192,"&lt;/a&gt;")</f>
        <v>&lt;/li&gt;&lt;li&gt;&lt;a href=|http://study.interlinearbible.org/joshua/8.htm| title=|Hebrew Study Bible| target=|_top|&gt;Heb Study&lt;/a&gt;</v>
      </c>
      <c r="W195" t="str">
        <f t="shared" si="776"/>
        <v>&lt;/li&gt;&lt;li&gt;&lt;a href=|http://apostolic.interlinearbible.org/joshua/8.htm| title=|Apostolic Bible Polyglot Interlinear| target=|_top|&gt;Polyglot&lt;/a&gt;</v>
      </c>
      <c r="X195" t="str">
        <f t="shared" si="776"/>
        <v>&lt;/li&gt;&lt;li&gt;&lt;a href=|http://interlinearbible.org/joshua/8.htm| title=|Interlinear Bible| target=|_top|&gt;Interlin&lt;/a&gt;</v>
      </c>
      <c r="Y195" t="str">
        <f t="shared" ref="Y195" si="777">CONCATENATE("&lt;/li&gt;&lt;li&gt;&lt;a href=|http://",Y1191,"/joshua/8.htm","| ","title=|",Y1190,"| target=|_top|&gt;",Y1192,"&lt;/a&gt;")</f>
        <v>&lt;/li&gt;&lt;li&gt;&lt;a href=|http://bibleoutline.org/joshua/8.htm| title=|Outline with People and Places List| target=|_top|&gt;Outline&lt;/a&gt;</v>
      </c>
      <c r="Z195" t="str">
        <f t="shared" si="776"/>
        <v>&lt;/li&gt;&lt;li&gt;&lt;a href=|http://kjvs.scripturetext.com/joshua/8.htm| title=|King James Bible with Strong's Numbers| target=|_top|&gt;Strong's&lt;/a&gt;</v>
      </c>
      <c r="AA195" t="str">
        <f t="shared" si="776"/>
        <v>&lt;/li&gt;&lt;li&gt;&lt;a href=|http://childrensbibleonline.com/joshua/8.htm| title=|The Children's Bible| target=|_top|&gt;Children's&lt;/a&gt;</v>
      </c>
      <c r="AB195" s="2" t="str">
        <f t="shared" si="776"/>
        <v>&lt;/li&gt;&lt;li&gt;&lt;a href=|http://tsk.scripturetext.com/joshua/8.htm| title=|Treasury of Scripture Knowledge| target=|_top|&gt;TSK&lt;/a&gt;</v>
      </c>
      <c r="AC195" t="str">
        <f>CONCATENATE("&lt;a href=|http://",AC1191,"/joshua/8.htm","| ","title=|",AC1190,"| target=|_top|&gt;",AC1192,"&lt;/a&gt;")</f>
        <v>&lt;a href=|http://parallelbible.com/joshua/8.htm| title=|Parallel Chapters| target=|_top|&gt;PAR&lt;/a&gt;</v>
      </c>
      <c r="AD195" s="2" t="str">
        <f t="shared" ref="AD195:AK195" si="778">CONCATENATE("&lt;/li&gt;&lt;li&gt;&lt;a href=|http://",AD1191,"/joshua/8.htm","| ","title=|",AD1190,"| target=|_top|&gt;",AD1192,"&lt;/a&gt;")</f>
        <v>&lt;/li&gt;&lt;li&gt;&lt;a href=|http://gsb.biblecommenter.com/joshua/8.htm| title=|Geneva Study Bible| target=|_top|&gt;GSB&lt;/a&gt;</v>
      </c>
      <c r="AE195" s="2" t="str">
        <f t="shared" si="778"/>
        <v>&lt;/li&gt;&lt;li&gt;&lt;a href=|http://jfb.biblecommenter.com/joshua/8.htm| title=|Jamieson-Fausset-Brown Bible Commentary| target=|_top|&gt;JFB&lt;/a&gt;</v>
      </c>
      <c r="AF195" s="2" t="str">
        <f t="shared" si="778"/>
        <v>&lt;/li&gt;&lt;li&gt;&lt;a href=|http://kjt.biblecommenter.com/joshua/8.htm| title=|King James Translators' Notes| target=|_top|&gt;KJT&lt;/a&gt;</v>
      </c>
      <c r="AG195" s="2" t="str">
        <f t="shared" si="778"/>
        <v>&lt;/li&gt;&lt;li&gt;&lt;a href=|http://mhc.biblecommenter.com/joshua/8.htm| title=|Matthew Henry's Concise Commentary| target=|_top|&gt;MHC&lt;/a&gt;</v>
      </c>
      <c r="AH195" s="2" t="str">
        <f t="shared" si="778"/>
        <v>&lt;/li&gt;&lt;li&gt;&lt;a href=|http://sco.biblecommenter.com/joshua/8.htm| title=|Scofield Reference Notes| target=|_top|&gt;SCO&lt;/a&gt;</v>
      </c>
      <c r="AI195" s="2" t="str">
        <f t="shared" si="778"/>
        <v>&lt;/li&gt;&lt;li&gt;&lt;a href=|http://wes.biblecommenter.com/joshua/8.htm| title=|Wesley's Notes on the Bible| target=|_top|&gt;WES&lt;/a&gt;</v>
      </c>
      <c r="AJ195" t="str">
        <f t="shared" si="778"/>
        <v>&lt;/li&gt;&lt;li&gt;&lt;a href=|http://worldebible.com/joshua/8.htm| title=|World English Bible| target=|_top|&gt;WEB&lt;/a&gt;</v>
      </c>
      <c r="AK195" t="str">
        <f t="shared" si="778"/>
        <v>&lt;/li&gt;&lt;li&gt;&lt;a href=|http://yltbible.com/joshua/8.htm| title=|Young's Literal Translation| target=|_top|&gt;YLT&lt;/a&gt;</v>
      </c>
      <c r="AL195" t="str">
        <f>CONCATENATE("&lt;a href=|http://",AL1191,"/joshua/8.htm","| ","title=|",AL1190,"| target=|_top|&gt;",AL1192,"&lt;/a&gt;")</f>
        <v>&lt;a href=|http://kjv.us/joshua/8.htm| title=|American King James Version| target=|_top|&gt;AKJ&lt;/a&gt;</v>
      </c>
      <c r="AM195" t="str">
        <f t="shared" ref="AM195:AN195" si="779">CONCATENATE("&lt;/li&gt;&lt;li&gt;&lt;a href=|http://",AM1191,"/joshua/8.htm","| ","title=|",AM1190,"| target=|_top|&gt;",AM1192,"&lt;/a&gt;")</f>
        <v>&lt;/li&gt;&lt;li&gt;&lt;a href=|http://basicenglishbible.com/joshua/8.htm| title=|Bible in Basic English| target=|_top|&gt;BBE&lt;/a&gt;</v>
      </c>
      <c r="AN195" t="str">
        <f t="shared" si="779"/>
        <v>&lt;/li&gt;&lt;li&gt;&lt;a href=|http://darbybible.com/joshua/8.htm| title=|Darby Bible Translation| target=|_top|&gt;DBY&lt;/a&gt;</v>
      </c>
      <c r="AO19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9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9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95" t="str">
        <f>CONCATENATE("&lt;/li&gt;&lt;li&gt;&lt;a href=|http://",AR1191,"/joshua/8.htm","| ","title=|",AR1190,"| target=|_top|&gt;",AR1192,"&lt;/a&gt;")</f>
        <v>&lt;/li&gt;&lt;li&gt;&lt;a href=|http://websterbible.com/joshua/8.htm| title=|Webster's Bible Translation| target=|_top|&gt;WBS&lt;/a&gt;</v>
      </c>
      <c r="AS19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95" t="str">
        <f>CONCATENATE("&lt;/li&gt;&lt;li&gt;&lt;a href=|http://",AT1191,"/joshua/8-1.htm","| ","title=|",AT1190,"| target=|_top|&gt;",AT1192,"&lt;/a&gt;")</f>
        <v>&lt;/li&gt;&lt;li&gt;&lt;a href=|http://biblebrowser.com/joshua/8-1.htm| title=|Split View| target=|_top|&gt;Split&lt;/a&gt;</v>
      </c>
      <c r="AU195" s="2" t="s">
        <v>1276</v>
      </c>
      <c r="AV195" t="s">
        <v>64</v>
      </c>
    </row>
    <row r="196" spans="1:48">
      <c r="A196" t="s">
        <v>622</v>
      </c>
      <c r="B196" t="s">
        <v>249</v>
      </c>
      <c r="C196" t="s">
        <v>624</v>
      </c>
      <c r="D196" t="s">
        <v>1268</v>
      </c>
      <c r="E196" t="s">
        <v>1277</v>
      </c>
      <c r="F196" t="s">
        <v>1304</v>
      </c>
      <c r="G196" t="s">
        <v>1266</v>
      </c>
      <c r="H196" t="s">
        <v>1305</v>
      </c>
      <c r="I196" t="s">
        <v>1303</v>
      </c>
      <c r="J196" t="s">
        <v>1267</v>
      </c>
      <c r="K196" t="s">
        <v>1275</v>
      </c>
      <c r="L196" s="2" t="s">
        <v>1274</v>
      </c>
      <c r="M196" t="str">
        <f t="shared" ref="M196:AB196" si="780">CONCATENATE("&lt;/li&gt;&lt;li&gt;&lt;a href=|http://",M1191,"/joshua/9.htm","| ","title=|",M1190,"| target=|_top|&gt;",M1192,"&lt;/a&gt;")</f>
        <v>&lt;/li&gt;&lt;li&gt;&lt;a href=|http://niv.scripturetext.com/joshua/9.htm| title=|New International Version| target=|_top|&gt;NIV&lt;/a&gt;</v>
      </c>
      <c r="N196" t="str">
        <f t="shared" si="780"/>
        <v>&lt;/li&gt;&lt;li&gt;&lt;a href=|http://nlt.scripturetext.com/joshua/9.htm| title=|New Living Translation| target=|_top|&gt;NLT&lt;/a&gt;</v>
      </c>
      <c r="O196" t="str">
        <f t="shared" si="780"/>
        <v>&lt;/li&gt;&lt;li&gt;&lt;a href=|http://nasb.scripturetext.com/joshua/9.htm| title=|New American Standard Bible| target=|_top|&gt;NAS&lt;/a&gt;</v>
      </c>
      <c r="P196" t="str">
        <f t="shared" si="780"/>
        <v>&lt;/li&gt;&lt;li&gt;&lt;a href=|http://gwt.scripturetext.com/joshua/9.htm| title=|God's Word Translation| target=|_top|&gt;GWT&lt;/a&gt;</v>
      </c>
      <c r="Q196" t="str">
        <f t="shared" si="780"/>
        <v>&lt;/li&gt;&lt;li&gt;&lt;a href=|http://kingjbible.com/joshua/9.htm| title=|King James Bible| target=|_top|&gt;KJV&lt;/a&gt;</v>
      </c>
      <c r="R196" t="str">
        <f t="shared" si="780"/>
        <v>&lt;/li&gt;&lt;li&gt;&lt;a href=|http://asvbible.com/joshua/9.htm| title=|American Standard Version| target=|_top|&gt;ASV&lt;/a&gt;</v>
      </c>
      <c r="S196" t="str">
        <f t="shared" si="780"/>
        <v>&lt;/li&gt;&lt;li&gt;&lt;a href=|http://drb.scripturetext.com/joshua/9.htm| title=|Douay-Rheims Bible| target=|_top|&gt;DRB&lt;/a&gt;</v>
      </c>
      <c r="T196" t="str">
        <f t="shared" si="780"/>
        <v>&lt;/li&gt;&lt;li&gt;&lt;a href=|http://erv.scripturetext.com/joshua/9.htm| title=|English Revised Version| target=|_top|&gt;ERV&lt;/a&gt;</v>
      </c>
      <c r="V196" t="str">
        <f>CONCATENATE("&lt;/li&gt;&lt;li&gt;&lt;a href=|http://",V1191,"/joshua/9.htm","| ","title=|",V1190,"| target=|_top|&gt;",V1192,"&lt;/a&gt;")</f>
        <v>&lt;/li&gt;&lt;li&gt;&lt;a href=|http://study.interlinearbible.org/joshua/9.htm| title=|Hebrew Study Bible| target=|_top|&gt;Heb Study&lt;/a&gt;</v>
      </c>
      <c r="W196" t="str">
        <f t="shared" si="780"/>
        <v>&lt;/li&gt;&lt;li&gt;&lt;a href=|http://apostolic.interlinearbible.org/joshua/9.htm| title=|Apostolic Bible Polyglot Interlinear| target=|_top|&gt;Polyglot&lt;/a&gt;</v>
      </c>
      <c r="X196" t="str">
        <f t="shared" si="780"/>
        <v>&lt;/li&gt;&lt;li&gt;&lt;a href=|http://interlinearbible.org/joshua/9.htm| title=|Interlinear Bible| target=|_top|&gt;Interlin&lt;/a&gt;</v>
      </c>
      <c r="Y196" t="str">
        <f t="shared" ref="Y196" si="781">CONCATENATE("&lt;/li&gt;&lt;li&gt;&lt;a href=|http://",Y1191,"/joshua/9.htm","| ","title=|",Y1190,"| target=|_top|&gt;",Y1192,"&lt;/a&gt;")</f>
        <v>&lt;/li&gt;&lt;li&gt;&lt;a href=|http://bibleoutline.org/joshua/9.htm| title=|Outline with People and Places List| target=|_top|&gt;Outline&lt;/a&gt;</v>
      </c>
      <c r="Z196" t="str">
        <f t="shared" si="780"/>
        <v>&lt;/li&gt;&lt;li&gt;&lt;a href=|http://kjvs.scripturetext.com/joshua/9.htm| title=|King James Bible with Strong's Numbers| target=|_top|&gt;Strong's&lt;/a&gt;</v>
      </c>
      <c r="AA196" t="str">
        <f t="shared" si="780"/>
        <v>&lt;/li&gt;&lt;li&gt;&lt;a href=|http://childrensbibleonline.com/joshua/9.htm| title=|The Children's Bible| target=|_top|&gt;Children's&lt;/a&gt;</v>
      </c>
      <c r="AB196" s="2" t="str">
        <f t="shared" si="780"/>
        <v>&lt;/li&gt;&lt;li&gt;&lt;a href=|http://tsk.scripturetext.com/joshua/9.htm| title=|Treasury of Scripture Knowledge| target=|_top|&gt;TSK&lt;/a&gt;</v>
      </c>
      <c r="AC196" t="str">
        <f>CONCATENATE("&lt;a href=|http://",AC1191,"/joshua/9.htm","| ","title=|",AC1190,"| target=|_top|&gt;",AC1192,"&lt;/a&gt;")</f>
        <v>&lt;a href=|http://parallelbible.com/joshua/9.htm| title=|Parallel Chapters| target=|_top|&gt;PAR&lt;/a&gt;</v>
      </c>
      <c r="AD196" s="2" t="str">
        <f t="shared" ref="AD196:AK196" si="782">CONCATENATE("&lt;/li&gt;&lt;li&gt;&lt;a href=|http://",AD1191,"/joshua/9.htm","| ","title=|",AD1190,"| target=|_top|&gt;",AD1192,"&lt;/a&gt;")</f>
        <v>&lt;/li&gt;&lt;li&gt;&lt;a href=|http://gsb.biblecommenter.com/joshua/9.htm| title=|Geneva Study Bible| target=|_top|&gt;GSB&lt;/a&gt;</v>
      </c>
      <c r="AE196" s="2" t="str">
        <f t="shared" si="782"/>
        <v>&lt;/li&gt;&lt;li&gt;&lt;a href=|http://jfb.biblecommenter.com/joshua/9.htm| title=|Jamieson-Fausset-Brown Bible Commentary| target=|_top|&gt;JFB&lt;/a&gt;</v>
      </c>
      <c r="AF196" s="2" t="str">
        <f t="shared" si="782"/>
        <v>&lt;/li&gt;&lt;li&gt;&lt;a href=|http://kjt.biblecommenter.com/joshua/9.htm| title=|King James Translators' Notes| target=|_top|&gt;KJT&lt;/a&gt;</v>
      </c>
      <c r="AG196" s="2" t="str">
        <f t="shared" si="782"/>
        <v>&lt;/li&gt;&lt;li&gt;&lt;a href=|http://mhc.biblecommenter.com/joshua/9.htm| title=|Matthew Henry's Concise Commentary| target=|_top|&gt;MHC&lt;/a&gt;</v>
      </c>
      <c r="AH196" s="2" t="str">
        <f t="shared" si="782"/>
        <v>&lt;/li&gt;&lt;li&gt;&lt;a href=|http://sco.biblecommenter.com/joshua/9.htm| title=|Scofield Reference Notes| target=|_top|&gt;SCO&lt;/a&gt;</v>
      </c>
      <c r="AI196" s="2" t="str">
        <f t="shared" si="782"/>
        <v>&lt;/li&gt;&lt;li&gt;&lt;a href=|http://wes.biblecommenter.com/joshua/9.htm| title=|Wesley's Notes on the Bible| target=|_top|&gt;WES&lt;/a&gt;</v>
      </c>
      <c r="AJ196" t="str">
        <f t="shared" si="782"/>
        <v>&lt;/li&gt;&lt;li&gt;&lt;a href=|http://worldebible.com/joshua/9.htm| title=|World English Bible| target=|_top|&gt;WEB&lt;/a&gt;</v>
      </c>
      <c r="AK196" t="str">
        <f t="shared" si="782"/>
        <v>&lt;/li&gt;&lt;li&gt;&lt;a href=|http://yltbible.com/joshua/9.htm| title=|Young's Literal Translation| target=|_top|&gt;YLT&lt;/a&gt;</v>
      </c>
      <c r="AL196" t="str">
        <f>CONCATENATE("&lt;a href=|http://",AL1191,"/joshua/9.htm","| ","title=|",AL1190,"| target=|_top|&gt;",AL1192,"&lt;/a&gt;")</f>
        <v>&lt;a href=|http://kjv.us/joshua/9.htm| title=|American King James Version| target=|_top|&gt;AKJ&lt;/a&gt;</v>
      </c>
      <c r="AM196" t="str">
        <f t="shared" ref="AM196:AN196" si="783">CONCATENATE("&lt;/li&gt;&lt;li&gt;&lt;a href=|http://",AM1191,"/joshua/9.htm","| ","title=|",AM1190,"| target=|_top|&gt;",AM1192,"&lt;/a&gt;")</f>
        <v>&lt;/li&gt;&lt;li&gt;&lt;a href=|http://basicenglishbible.com/joshua/9.htm| title=|Bible in Basic English| target=|_top|&gt;BBE&lt;/a&gt;</v>
      </c>
      <c r="AN196" t="str">
        <f t="shared" si="783"/>
        <v>&lt;/li&gt;&lt;li&gt;&lt;a href=|http://darbybible.com/joshua/9.htm| title=|Darby Bible Translation| target=|_top|&gt;DBY&lt;/a&gt;</v>
      </c>
      <c r="AO19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9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9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96" t="str">
        <f>CONCATENATE("&lt;/li&gt;&lt;li&gt;&lt;a href=|http://",AR1191,"/joshua/9.htm","| ","title=|",AR1190,"| target=|_top|&gt;",AR1192,"&lt;/a&gt;")</f>
        <v>&lt;/li&gt;&lt;li&gt;&lt;a href=|http://websterbible.com/joshua/9.htm| title=|Webster's Bible Translation| target=|_top|&gt;WBS&lt;/a&gt;</v>
      </c>
      <c r="AS19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96" t="str">
        <f>CONCATENATE("&lt;/li&gt;&lt;li&gt;&lt;a href=|http://",AT1191,"/joshua/9-1.htm","| ","title=|",AT1190,"| target=|_top|&gt;",AT1192,"&lt;/a&gt;")</f>
        <v>&lt;/li&gt;&lt;li&gt;&lt;a href=|http://biblebrowser.com/joshua/9-1.htm| title=|Split View| target=|_top|&gt;Split&lt;/a&gt;</v>
      </c>
      <c r="AU196" s="2" t="s">
        <v>1276</v>
      </c>
      <c r="AV196" t="s">
        <v>64</v>
      </c>
    </row>
    <row r="197" spans="1:48">
      <c r="A197" t="s">
        <v>622</v>
      </c>
      <c r="B197" t="s">
        <v>250</v>
      </c>
      <c r="C197" t="s">
        <v>624</v>
      </c>
      <c r="D197" t="s">
        <v>1268</v>
      </c>
      <c r="E197" t="s">
        <v>1277</v>
      </c>
      <c r="F197" t="s">
        <v>1304</v>
      </c>
      <c r="G197" t="s">
        <v>1266</v>
      </c>
      <c r="H197" t="s">
        <v>1305</v>
      </c>
      <c r="I197" t="s">
        <v>1303</v>
      </c>
      <c r="J197" t="s">
        <v>1267</v>
      </c>
      <c r="K197" t="s">
        <v>1275</v>
      </c>
      <c r="L197" s="2" t="s">
        <v>1274</v>
      </c>
      <c r="M197" t="str">
        <f t="shared" ref="M197:AB197" si="784">CONCATENATE("&lt;/li&gt;&lt;li&gt;&lt;a href=|http://",M1191,"/joshua/10.htm","| ","title=|",M1190,"| target=|_top|&gt;",M1192,"&lt;/a&gt;")</f>
        <v>&lt;/li&gt;&lt;li&gt;&lt;a href=|http://niv.scripturetext.com/joshua/10.htm| title=|New International Version| target=|_top|&gt;NIV&lt;/a&gt;</v>
      </c>
      <c r="N197" t="str">
        <f t="shared" si="784"/>
        <v>&lt;/li&gt;&lt;li&gt;&lt;a href=|http://nlt.scripturetext.com/joshua/10.htm| title=|New Living Translation| target=|_top|&gt;NLT&lt;/a&gt;</v>
      </c>
      <c r="O197" t="str">
        <f t="shared" si="784"/>
        <v>&lt;/li&gt;&lt;li&gt;&lt;a href=|http://nasb.scripturetext.com/joshua/10.htm| title=|New American Standard Bible| target=|_top|&gt;NAS&lt;/a&gt;</v>
      </c>
      <c r="P197" t="str">
        <f t="shared" si="784"/>
        <v>&lt;/li&gt;&lt;li&gt;&lt;a href=|http://gwt.scripturetext.com/joshua/10.htm| title=|God's Word Translation| target=|_top|&gt;GWT&lt;/a&gt;</v>
      </c>
      <c r="Q197" t="str">
        <f t="shared" si="784"/>
        <v>&lt;/li&gt;&lt;li&gt;&lt;a href=|http://kingjbible.com/joshua/10.htm| title=|King James Bible| target=|_top|&gt;KJV&lt;/a&gt;</v>
      </c>
      <c r="R197" t="str">
        <f t="shared" si="784"/>
        <v>&lt;/li&gt;&lt;li&gt;&lt;a href=|http://asvbible.com/joshua/10.htm| title=|American Standard Version| target=|_top|&gt;ASV&lt;/a&gt;</v>
      </c>
      <c r="S197" t="str">
        <f t="shared" si="784"/>
        <v>&lt;/li&gt;&lt;li&gt;&lt;a href=|http://drb.scripturetext.com/joshua/10.htm| title=|Douay-Rheims Bible| target=|_top|&gt;DRB&lt;/a&gt;</v>
      </c>
      <c r="T197" t="str">
        <f t="shared" si="784"/>
        <v>&lt;/li&gt;&lt;li&gt;&lt;a href=|http://erv.scripturetext.com/joshua/10.htm| title=|English Revised Version| target=|_top|&gt;ERV&lt;/a&gt;</v>
      </c>
      <c r="V197" t="str">
        <f>CONCATENATE("&lt;/li&gt;&lt;li&gt;&lt;a href=|http://",V1191,"/joshua/10.htm","| ","title=|",V1190,"| target=|_top|&gt;",V1192,"&lt;/a&gt;")</f>
        <v>&lt;/li&gt;&lt;li&gt;&lt;a href=|http://study.interlinearbible.org/joshua/10.htm| title=|Hebrew Study Bible| target=|_top|&gt;Heb Study&lt;/a&gt;</v>
      </c>
      <c r="W197" t="str">
        <f t="shared" si="784"/>
        <v>&lt;/li&gt;&lt;li&gt;&lt;a href=|http://apostolic.interlinearbible.org/joshua/10.htm| title=|Apostolic Bible Polyglot Interlinear| target=|_top|&gt;Polyglot&lt;/a&gt;</v>
      </c>
      <c r="X197" t="str">
        <f t="shared" si="784"/>
        <v>&lt;/li&gt;&lt;li&gt;&lt;a href=|http://interlinearbible.org/joshua/10.htm| title=|Interlinear Bible| target=|_top|&gt;Interlin&lt;/a&gt;</v>
      </c>
      <c r="Y197" t="str">
        <f t="shared" ref="Y197" si="785">CONCATENATE("&lt;/li&gt;&lt;li&gt;&lt;a href=|http://",Y1191,"/joshua/10.htm","| ","title=|",Y1190,"| target=|_top|&gt;",Y1192,"&lt;/a&gt;")</f>
        <v>&lt;/li&gt;&lt;li&gt;&lt;a href=|http://bibleoutline.org/joshua/10.htm| title=|Outline with People and Places List| target=|_top|&gt;Outline&lt;/a&gt;</v>
      </c>
      <c r="Z197" t="str">
        <f t="shared" si="784"/>
        <v>&lt;/li&gt;&lt;li&gt;&lt;a href=|http://kjvs.scripturetext.com/joshua/10.htm| title=|King James Bible with Strong's Numbers| target=|_top|&gt;Strong's&lt;/a&gt;</v>
      </c>
      <c r="AA197" t="str">
        <f t="shared" si="784"/>
        <v>&lt;/li&gt;&lt;li&gt;&lt;a href=|http://childrensbibleonline.com/joshua/10.htm| title=|The Children's Bible| target=|_top|&gt;Children's&lt;/a&gt;</v>
      </c>
      <c r="AB197" s="2" t="str">
        <f t="shared" si="784"/>
        <v>&lt;/li&gt;&lt;li&gt;&lt;a href=|http://tsk.scripturetext.com/joshua/10.htm| title=|Treasury of Scripture Knowledge| target=|_top|&gt;TSK&lt;/a&gt;</v>
      </c>
      <c r="AC197" t="str">
        <f>CONCATENATE("&lt;a href=|http://",AC1191,"/joshua/10.htm","| ","title=|",AC1190,"| target=|_top|&gt;",AC1192,"&lt;/a&gt;")</f>
        <v>&lt;a href=|http://parallelbible.com/joshua/10.htm| title=|Parallel Chapters| target=|_top|&gt;PAR&lt;/a&gt;</v>
      </c>
      <c r="AD197" s="2" t="str">
        <f t="shared" ref="AD197:AK197" si="786">CONCATENATE("&lt;/li&gt;&lt;li&gt;&lt;a href=|http://",AD1191,"/joshua/10.htm","| ","title=|",AD1190,"| target=|_top|&gt;",AD1192,"&lt;/a&gt;")</f>
        <v>&lt;/li&gt;&lt;li&gt;&lt;a href=|http://gsb.biblecommenter.com/joshua/10.htm| title=|Geneva Study Bible| target=|_top|&gt;GSB&lt;/a&gt;</v>
      </c>
      <c r="AE197" s="2" t="str">
        <f t="shared" si="786"/>
        <v>&lt;/li&gt;&lt;li&gt;&lt;a href=|http://jfb.biblecommenter.com/joshua/10.htm| title=|Jamieson-Fausset-Brown Bible Commentary| target=|_top|&gt;JFB&lt;/a&gt;</v>
      </c>
      <c r="AF197" s="2" t="str">
        <f t="shared" si="786"/>
        <v>&lt;/li&gt;&lt;li&gt;&lt;a href=|http://kjt.biblecommenter.com/joshua/10.htm| title=|King James Translators' Notes| target=|_top|&gt;KJT&lt;/a&gt;</v>
      </c>
      <c r="AG197" s="2" t="str">
        <f t="shared" si="786"/>
        <v>&lt;/li&gt;&lt;li&gt;&lt;a href=|http://mhc.biblecommenter.com/joshua/10.htm| title=|Matthew Henry's Concise Commentary| target=|_top|&gt;MHC&lt;/a&gt;</v>
      </c>
      <c r="AH197" s="2" t="str">
        <f t="shared" si="786"/>
        <v>&lt;/li&gt;&lt;li&gt;&lt;a href=|http://sco.biblecommenter.com/joshua/10.htm| title=|Scofield Reference Notes| target=|_top|&gt;SCO&lt;/a&gt;</v>
      </c>
      <c r="AI197" s="2" t="str">
        <f t="shared" si="786"/>
        <v>&lt;/li&gt;&lt;li&gt;&lt;a href=|http://wes.biblecommenter.com/joshua/10.htm| title=|Wesley's Notes on the Bible| target=|_top|&gt;WES&lt;/a&gt;</v>
      </c>
      <c r="AJ197" t="str">
        <f t="shared" si="786"/>
        <v>&lt;/li&gt;&lt;li&gt;&lt;a href=|http://worldebible.com/joshua/10.htm| title=|World English Bible| target=|_top|&gt;WEB&lt;/a&gt;</v>
      </c>
      <c r="AK197" t="str">
        <f t="shared" si="786"/>
        <v>&lt;/li&gt;&lt;li&gt;&lt;a href=|http://yltbible.com/joshua/10.htm| title=|Young's Literal Translation| target=|_top|&gt;YLT&lt;/a&gt;</v>
      </c>
      <c r="AL197" t="str">
        <f>CONCATENATE("&lt;a href=|http://",AL1191,"/joshua/10.htm","| ","title=|",AL1190,"| target=|_top|&gt;",AL1192,"&lt;/a&gt;")</f>
        <v>&lt;a href=|http://kjv.us/joshua/10.htm| title=|American King James Version| target=|_top|&gt;AKJ&lt;/a&gt;</v>
      </c>
      <c r="AM197" t="str">
        <f t="shared" ref="AM197:AN197" si="787">CONCATENATE("&lt;/li&gt;&lt;li&gt;&lt;a href=|http://",AM1191,"/joshua/10.htm","| ","title=|",AM1190,"| target=|_top|&gt;",AM1192,"&lt;/a&gt;")</f>
        <v>&lt;/li&gt;&lt;li&gt;&lt;a href=|http://basicenglishbible.com/joshua/10.htm| title=|Bible in Basic English| target=|_top|&gt;BBE&lt;/a&gt;</v>
      </c>
      <c r="AN197" t="str">
        <f t="shared" si="787"/>
        <v>&lt;/li&gt;&lt;li&gt;&lt;a href=|http://darbybible.com/joshua/10.htm| title=|Darby Bible Translation| target=|_top|&gt;DBY&lt;/a&gt;</v>
      </c>
      <c r="AO19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9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9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97" t="str">
        <f>CONCATENATE("&lt;/li&gt;&lt;li&gt;&lt;a href=|http://",AR1191,"/joshua/10.htm","| ","title=|",AR1190,"| target=|_top|&gt;",AR1192,"&lt;/a&gt;")</f>
        <v>&lt;/li&gt;&lt;li&gt;&lt;a href=|http://websterbible.com/joshua/10.htm| title=|Webster's Bible Translation| target=|_top|&gt;WBS&lt;/a&gt;</v>
      </c>
      <c r="AS19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97" t="str">
        <f>CONCATENATE("&lt;/li&gt;&lt;li&gt;&lt;a href=|http://",AT1191,"/joshua/10-1.htm","| ","title=|",AT1190,"| target=|_top|&gt;",AT1192,"&lt;/a&gt;")</f>
        <v>&lt;/li&gt;&lt;li&gt;&lt;a href=|http://biblebrowser.com/joshua/10-1.htm| title=|Split View| target=|_top|&gt;Split&lt;/a&gt;</v>
      </c>
      <c r="AU197" s="2" t="s">
        <v>1276</v>
      </c>
      <c r="AV197" t="s">
        <v>64</v>
      </c>
    </row>
    <row r="198" spans="1:48">
      <c r="A198" t="s">
        <v>622</v>
      </c>
      <c r="B198" t="s">
        <v>251</v>
      </c>
      <c r="C198" t="s">
        <v>624</v>
      </c>
      <c r="D198" t="s">
        <v>1268</v>
      </c>
      <c r="E198" t="s">
        <v>1277</v>
      </c>
      <c r="F198" t="s">
        <v>1304</v>
      </c>
      <c r="G198" t="s">
        <v>1266</v>
      </c>
      <c r="H198" t="s">
        <v>1305</v>
      </c>
      <c r="I198" t="s">
        <v>1303</v>
      </c>
      <c r="J198" t="s">
        <v>1267</v>
      </c>
      <c r="K198" t="s">
        <v>1275</v>
      </c>
      <c r="L198" s="2" t="s">
        <v>1274</v>
      </c>
      <c r="M198" t="str">
        <f t="shared" ref="M198:AB198" si="788">CONCATENATE("&lt;/li&gt;&lt;li&gt;&lt;a href=|http://",M1191,"/joshua/11.htm","| ","title=|",M1190,"| target=|_top|&gt;",M1192,"&lt;/a&gt;")</f>
        <v>&lt;/li&gt;&lt;li&gt;&lt;a href=|http://niv.scripturetext.com/joshua/11.htm| title=|New International Version| target=|_top|&gt;NIV&lt;/a&gt;</v>
      </c>
      <c r="N198" t="str">
        <f t="shared" si="788"/>
        <v>&lt;/li&gt;&lt;li&gt;&lt;a href=|http://nlt.scripturetext.com/joshua/11.htm| title=|New Living Translation| target=|_top|&gt;NLT&lt;/a&gt;</v>
      </c>
      <c r="O198" t="str">
        <f t="shared" si="788"/>
        <v>&lt;/li&gt;&lt;li&gt;&lt;a href=|http://nasb.scripturetext.com/joshua/11.htm| title=|New American Standard Bible| target=|_top|&gt;NAS&lt;/a&gt;</v>
      </c>
      <c r="P198" t="str">
        <f t="shared" si="788"/>
        <v>&lt;/li&gt;&lt;li&gt;&lt;a href=|http://gwt.scripturetext.com/joshua/11.htm| title=|God's Word Translation| target=|_top|&gt;GWT&lt;/a&gt;</v>
      </c>
      <c r="Q198" t="str">
        <f t="shared" si="788"/>
        <v>&lt;/li&gt;&lt;li&gt;&lt;a href=|http://kingjbible.com/joshua/11.htm| title=|King James Bible| target=|_top|&gt;KJV&lt;/a&gt;</v>
      </c>
      <c r="R198" t="str">
        <f t="shared" si="788"/>
        <v>&lt;/li&gt;&lt;li&gt;&lt;a href=|http://asvbible.com/joshua/11.htm| title=|American Standard Version| target=|_top|&gt;ASV&lt;/a&gt;</v>
      </c>
      <c r="S198" t="str">
        <f t="shared" si="788"/>
        <v>&lt;/li&gt;&lt;li&gt;&lt;a href=|http://drb.scripturetext.com/joshua/11.htm| title=|Douay-Rheims Bible| target=|_top|&gt;DRB&lt;/a&gt;</v>
      </c>
      <c r="T198" t="str">
        <f t="shared" si="788"/>
        <v>&lt;/li&gt;&lt;li&gt;&lt;a href=|http://erv.scripturetext.com/joshua/11.htm| title=|English Revised Version| target=|_top|&gt;ERV&lt;/a&gt;</v>
      </c>
      <c r="V198" t="str">
        <f>CONCATENATE("&lt;/li&gt;&lt;li&gt;&lt;a href=|http://",V1191,"/joshua/11.htm","| ","title=|",V1190,"| target=|_top|&gt;",V1192,"&lt;/a&gt;")</f>
        <v>&lt;/li&gt;&lt;li&gt;&lt;a href=|http://study.interlinearbible.org/joshua/11.htm| title=|Hebrew Study Bible| target=|_top|&gt;Heb Study&lt;/a&gt;</v>
      </c>
      <c r="W198" t="str">
        <f t="shared" si="788"/>
        <v>&lt;/li&gt;&lt;li&gt;&lt;a href=|http://apostolic.interlinearbible.org/joshua/11.htm| title=|Apostolic Bible Polyglot Interlinear| target=|_top|&gt;Polyglot&lt;/a&gt;</v>
      </c>
      <c r="X198" t="str">
        <f t="shared" si="788"/>
        <v>&lt;/li&gt;&lt;li&gt;&lt;a href=|http://interlinearbible.org/joshua/11.htm| title=|Interlinear Bible| target=|_top|&gt;Interlin&lt;/a&gt;</v>
      </c>
      <c r="Y198" t="str">
        <f t="shared" ref="Y198" si="789">CONCATENATE("&lt;/li&gt;&lt;li&gt;&lt;a href=|http://",Y1191,"/joshua/11.htm","| ","title=|",Y1190,"| target=|_top|&gt;",Y1192,"&lt;/a&gt;")</f>
        <v>&lt;/li&gt;&lt;li&gt;&lt;a href=|http://bibleoutline.org/joshua/11.htm| title=|Outline with People and Places List| target=|_top|&gt;Outline&lt;/a&gt;</v>
      </c>
      <c r="Z198" t="str">
        <f t="shared" si="788"/>
        <v>&lt;/li&gt;&lt;li&gt;&lt;a href=|http://kjvs.scripturetext.com/joshua/11.htm| title=|King James Bible with Strong's Numbers| target=|_top|&gt;Strong's&lt;/a&gt;</v>
      </c>
      <c r="AA198" t="str">
        <f t="shared" si="788"/>
        <v>&lt;/li&gt;&lt;li&gt;&lt;a href=|http://childrensbibleonline.com/joshua/11.htm| title=|The Children's Bible| target=|_top|&gt;Children's&lt;/a&gt;</v>
      </c>
      <c r="AB198" s="2" t="str">
        <f t="shared" si="788"/>
        <v>&lt;/li&gt;&lt;li&gt;&lt;a href=|http://tsk.scripturetext.com/joshua/11.htm| title=|Treasury of Scripture Knowledge| target=|_top|&gt;TSK&lt;/a&gt;</v>
      </c>
      <c r="AC198" t="str">
        <f>CONCATENATE("&lt;a href=|http://",AC1191,"/joshua/11.htm","| ","title=|",AC1190,"| target=|_top|&gt;",AC1192,"&lt;/a&gt;")</f>
        <v>&lt;a href=|http://parallelbible.com/joshua/11.htm| title=|Parallel Chapters| target=|_top|&gt;PAR&lt;/a&gt;</v>
      </c>
      <c r="AD198" s="2" t="str">
        <f t="shared" ref="AD198:AK198" si="790">CONCATENATE("&lt;/li&gt;&lt;li&gt;&lt;a href=|http://",AD1191,"/joshua/11.htm","| ","title=|",AD1190,"| target=|_top|&gt;",AD1192,"&lt;/a&gt;")</f>
        <v>&lt;/li&gt;&lt;li&gt;&lt;a href=|http://gsb.biblecommenter.com/joshua/11.htm| title=|Geneva Study Bible| target=|_top|&gt;GSB&lt;/a&gt;</v>
      </c>
      <c r="AE198" s="2" t="str">
        <f t="shared" si="790"/>
        <v>&lt;/li&gt;&lt;li&gt;&lt;a href=|http://jfb.biblecommenter.com/joshua/11.htm| title=|Jamieson-Fausset-Brown Bible Commentary| target=|_top|&gt;JFB&lt;/a&gt;</v>
      </c>
      <c r="AF198" s="2" t="str">
        <f t="shared" si="790"/>
        <v>&lt;/li&gt;&lt;li&gt;&lt;a href=|http://kjt.biblecommenter.com/joshua/11.htm| title=|King James Translators' Notes| target=|_top|&gt;KJT&lt;/a&gt;</v>
      </c>
      <c r="AG198" s="2" t="str">
        <f t="shared" si="790"/>
        <v>&lt;/li&gt;&lt;li&gt;&lt;a href=|http://mhc.biblecommenter.com/joshua/11.htm| title=|Matthew Henry's Concise Commentary| target=|_top|&gt;MHC&lt;/a&gt;</v>
      </c>
      <c r="AH198" s="2" t="str">
        <f t="shared" si="790"/>
        <v>&lt;/li&gt;&lt;li&gt;&lt;a href=|http://sco.biblecommenter.com/joshua/11.htm| title=|Scofield Reference Notes| target=|_top|&gt;SCO&lt;/a&gt;</v>
      </c>
      <c r="AI198" s="2" t="str">
        <f t="shared" si="790"/>
        <v>&lt;/li&gt;&lt;li&gt;&lt;a href=|http://wes.biblecommenter.com/joshua/11.htm| title=|Wesley's Notes on the Bible| target=|_top|&gt;WES&lt;/a&gt;</v>
      </c>
      <c r="AJ198" t="str">
        <f t="shared" si="790"/>
        <v>&lt;/li&gt;&lt;li&gt;&lt;a href=|http://worldebible.com/joshua/11.htm| title=|World English Bible| target=|_top|&gt;WEB&lt;/a&gt;</v>
      </c>
      <c r="AK198" t="str">
        <f t="shared" si="790"/>
        <v>&lt;/li&gt;&lt;li&gt;&lt;a href=|http://yltbible.com/joshua/11.htm| title=|Young's Literal Translation| target=|_top|&gt;YLT&lt;/a&gt;</v>
      </c>
      <c r="AL198" t="str">
        <f>CONCATENATE("&lt;a href=|http://",AL1191,"/joshua/11.htm","| ","title=|",AL1190,"| target=|_top|&gt;",AL1192,"&lt;/a&gt;")</f>
        <v>&lt;a href=|http://kjv.us/joshua/11.htm| title=|American King James Version| target=|_top|&gt;AKJ&lt;/a&gt;</v>
      </c>
      <c r="AM198" t="str">
        <f t="shared" ref="AM198:AN198" si="791">CONCATENATE("&lt;/li&gt;&lt;li&gt;&lt;a href=|http://",AM1191,"/joshua/11.htm","| ","title=|",AM1190,"| target=|_top|&gt;",AM1192,"&lt;/a&gt;")</f>
        <v>&lt;/li&gt;&lt;li&gt;&lt;a href=|http://basicenglishbible.com/joshua/11.htm| title=|Bible in Basic English| target=|_top|&gt;BBE&lt;/a&gt;</v>
      </c>
      <c r="AN198" t="str">
        <f t="shared" si="791"/>
        <v>&lt;/li&gt;&lt;li&gt;&lt;a href=|http://darbybible.com/joshua/11.htm| title=|Darby Bible Translation| target=|_top|&gt;DBY&lt;/a&gt;</v>
      </c>
      <c r="AO19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9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9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98" t="str">
        <f>CONCATENATE("&lt;/li&gt;&lt;li&gt;&lt;a href=|http://",AR1191,"/joshua/11.htm","| ","title=|",AR1190,"| target=|_top|&gt;",AR1192,"&lt;/a&gt;")</f>
        <v>&lt;/li&gt;&lt;li&gt;&lt;a href=|http://websterbible.com/joshua/11.htm| title=|Webster's Bible Translation| target=|_top|&gt;WBS&lt;/a&gt;</v>
      </c>
      <c r="AS19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98" t="str">
        <f>CONCATENATE("&lt;/li&gt;&lt;li&gt;&lt;a href=|http://",AT1191,"/joshua/11-1.htm","| ","title=|",AT1190,"| target=|_top|&gt;",AT1192,"&lt;/a&gt;")</f>
        <v>&lt;/li&gt;&lt;li&gt;&lt;a href=|http://biblebrowser.com/joshua/11-1.htm| title=|Split View| target=|_top|&gt;Split&lt;/a&gt;</v>
      </c>
      <c r="AU198" s="2" t="s">
        <v>1276</v>
      </c>
      <c r="AV198" t="s">
        <v>64</v>
      </c>
    </row>
    <row r="199" spans="1:48">
      <c r="A199" t="s">
        <v>622</v>
      </c>
      <c r="B199" t="s">
        <v>252</v>
      </c>
      <c r="C199" t="s">
        <v>624</v>
      </c>
      <c r="D199" t="s">
        <v>1268</v>
      </c>
      <c r="E199" t="s">
        <v>1277</v>
      </c>
      <c r="F199" t="s">
        <v>1304</v>
      </c>
      <c r="G199" t="s">
        <v>1266</v>
      </c>
      <c r="H199" t="s">
        <v>1305</v>
      </c>
      <c r="I199" t="s">
        <v>1303</v>
      </c>
      <c r="J199" t="s">
        <v>1267</v>
      </c>
      <c r="K199" t="s">
        <v>1275</v>
      </c>
      <c r="L199" s="2" t="s">
        <v>1274</v>
      </c>
      <c r="M199" t="str">
        <f t="shared" ref="M199:AB199" si="792">CONCATENATE("&lt;/li&gt;&lt;li&gt;&lt;a href=|http://",M1191,"/joshua/12.htm","| ","title=|",M1190,"| target=|_top|&gt;",M1192,"&lt;/a&gt;")</f>
        <v>&lt;/li&gt;&lt;li&gt;&lt;a href=|http://niv.scripturetext.com/joshua/12.htm| title=|New International Version| target=|_top|&gt;NIV&lt;/a&gt;</v>
      </c>
      <c r="N199" t="str">
        <f t="shared" si="792"/>
        <v>&lt;/li&gt;&lt;li&gt;&lt;a href=|http://nlt.scripturetext.com/joshua/12.htm| title=|New Living Translation| target=|_top|&gt;NLT&lt;/a&gt;</v>
      </c>
      <c r="O199" t="str">
        <f t="shared" si="792"/>
        <v>&lt;/li&gt;&lt;li&gt;&lt;a href=|http://nasb.scripturetext.com/joshua/12.htm| title=|New American Standard Bible| target=|_top|&gt;NAS&lt;/a&gt;</v>
      </c>
      <c r="P199" t="str">
        <f t="shared" si="792"/>
        <v>&lt;/li&gt;&lt;li&gt;&lt;a href=|http://gwt.scripturetext.com/joshua/12.htm| title=|God's Word Translation| target=|_top|&gt;GWT&lt;/a&gt;</v>
      </c>
      <c r="Q199" t="str">
        <f t="shared" si="792"/>
        <v>&lt;/li&gt;&lt;li&gt;&lt;a href=|http://kingjbible.com/joshua/12.htm| title=|King James Bible| target=|_top|&gt;KJV&lt;/a&gt;</v>
      </c>
      <c r="R199" t="str">
        <f t="shared" si="792"/>
        <v>&lt;/li&gt;&lt;li&gt;&lt;a href=|http://asvbible.com/joshua/12.htm| title=|American Standard Version| target=|_top|&gt;ASV&lt;/a&gt;</v>
      </c>
      <c r="S199" t="str">
        <f t="shared" si="792"/>
        <v>&lt;/li&gt;&lt;li&gt;&lt;a href=|http://drb.scripturetext.com/joshua/12.htm| title=|Douay-Rheims Bible| target=|_top|&gt;DRB&lt;/a&gt;</v>
      </c>
      <c r="T199" t="str">
        <f t="shared" si="792"/>
        <v>&lt;/li&gt;&lt;li&gt;&lt;a href=|http://erv.scripturetext.com/joshua/12.htm| title=|English Revised Version| target=|_top|&gt;ERV&lt;/a&gt;</v>
      </c>
      <c r="V199" t="str">
        <f>CONCATENATE("&lt;/li&gt;&lt;li&gt;&lt;a href=|http://",V1191,"/joshua/12.htm","| ","title=|",V1190,"| target=|_top|&gt;",V1192,"&lt;/a&gt;")</f>
        <v>&lt;/li&gt;&lt;li&gt;&lt;a href=|http://study.interlinearbible.org/joshua/12.htm| title=|Hebrew Study Bible| target=|_top|&gt;Heb Study&lt;/a&gt;</v>
      </c>
      <c r="W199" t="str">
        <f t="shared" si="792"/>
        <v>&lt;/li&gt;&lt;li&gt;&lt;a href=|http://apostolic.interlinearbible.org/joshua/12.htm| title=|Apostolic Bible Polyglot Interlinear| target=|_top|&gt;Polyglot&lt;/a&gt;</v>
      </c>
      <c r="X199" t="str">
        <f t="shared" si="792"/>
        <v>&lt;/li&gt;&lt;li&gt;&lt;a href=|http://interlinearbible.org/joshua/12.htm| title=|Interlinear Bible| target=|_top|&gt;Interlin&lt;/a&gt;</v>
      </c>
      <c r="Y199" t="str">
        <f t="shared" ref="Y199" si="793">CONCATENATE("&lt;/li&gt;&lt;li&gt;&lt;a href=|http://",Y1191,"/joshua/12.htm","| ","title=|",Y1190,"| target=|_top|&gt;",Y1192,"&lt;/a&gt;")</f>
        <v>&lt;/li&gt;&lt;li&gt;&lt;a href=|http://bibleoutline.org/joshua/12.htm| title=|Outline with People and Places List| target=|_top|&gt;Outline&lt;/a&gt;</v>
      </c>
      <c r="Z199" t="str">
        <f t="shared" si="792"/>
        <v>&lt;/li&gt;&lt;li&gt;&lt;a href=|http://kjvs.scripturetext.com/joshua/12.htm| title=|King James Bible with Strong's Numbers| target=|_top|&gt;Strong's&lt;/a&gt;</v>
      </c>
      <c r="AA199" t="str">
        <f t="shared" si="792"/>
        <v>&lt;/li&gt;&lt;li&gt;&lt;a href=|http://childrensbibleonline.com/joshua/12.htm| title=|The Children's Bible| target=|_top|&gt;Children's&lt;/a&gt;</v>
      </c>
      <c r="AB199" s="2" t="str">
        <f t="shared" si="792"/>
        <v>&lt;/li&gt;&lt;li&gt;&lt;a href=|http://tsk.scripturetext.com/joshua/12.htm| title=|Treasury of Scripture Knowledge| target=|_top|&gt;TSK&lt;/a&gt;</v>
      </c>
      <c r="AC199" t="str">
        <f>CONCATENATE("&lt;a href=|http://",AC1191,"/joshua/12.htm","| ","title=|",AC1190,"| target=|_top|&gt;",AC1192,"&lt;/a&gt;")</f>
        <v>&lt;a href=|http://parallelbible.com/joshua/12.htm| title=|Parallel Chapters| target=|_top|&gt;PAR&lt;/a&gt;</v>
      </c>
      <c r="AD199" s="2" t="str">
        <f t="shared" ref="AD199:AK199" si="794">CONCATENATE("&lt;/li&gt;&lt;li&gt;&lt;a href=|http://",AD1191,"/joshua/12.htm","| ","title=|",AD1190,"| target=|_top|&gt;",AD1192,"&lt;/a&gt;")</f>
        <v>&lt;/li&gt;&lt;li&gt;&lt;a href=|http://gsb.biblecommenter.com/joshua/12.htm| title=|Geneva Study Bible| target=|_top|&gt;GSB&lt;/a&gt;</v>
      </c>
      <c r="AE199" s="2" t="str">
        <f t="shared" si="794"/>
        <v>&lt;/li&gt;&lt;li&gt;&lt;a href=|http://jfb.biblecommenter.com/joshua/12.htm| title=|Jamieson-Fausset-Brown Bible Commentary| target=|_top|&gt;JFB&lt;/a&gt;</v>
      </c>
      <c r="AF199" s="2" t="str">
        <f t="shared" si="794"/>
        <v>&lt;/li&gt;&lt;li&gt;&lt;a href=|http://kjt.biblecommenter.com/joshua/12.htm| title=|King James Translators' Notes| target=|_top|&gt;KJT&lt;/a&gt;</v>
      </c>
      <c r="AG199" s="2" t="str">
        <f t="shared" si="794"/>
        <v>&lt;/li&gt;&lt;li&gt;&lt;a href=|http://mhc.biblecommenter.com/joshua/12.htm| title=|Matthew Henry's Concise Commentary| target=|_top|&gt;MHC&lt;/a&gt;</v>
      </c>
      <c r="AH199" s="2" t="str">
        <f t="shared" si="794"/>
        <v>&lt;/li&gt;&lt;li&gt;&lt;a href=|http://sco.biblecommenter.com/joshua/12.htm| title=|Scofield Reference Notes| target=|_top|&gt;SCO&lt;/a&gt;</v>
      </c>
      <c r="AI199" s="2" t="str">
        <f t="shared" si="794"/>
        <v>&lt;/li&gt;&lt;li&gt;&lt;a href=|http://wes.biblecommenter.com/joshua/12.htm| title=|Wesley's Notes on the Bible| target=|_top|&gt;WES&lt;/a&gt;</v>
      </c>
      <c r="AJ199" t="str">
        <f t="shared" si="794"/>
        <v>&lt;/li&gt;&lt;li&gt;&lt;a href=|http://worldebible.com/joshua/12.htm| title=|World English Bible| target=|_top|&gt;WEB&lt;/a&gt;</v>
      </c>
      <c r="AK199" t="str">
        <f t="shared" si="794"/>
        <v>&lt;/li&gt;&lt;li&gt;&lt;a href=|http://yltbible.com/joshua/12.htm| title=|Young's Literal Translation| target=|_top|&gt;YLT&lt;/a&gt;</v>
      </c>
      <c r="AL199" t="str">
        <f>CONCATENATE("&lt;a href=|http://",AL1191,"/joshua/12.htm","| ","title=|",AL1190,"| target=|_top|&gt;",AL1192,"&lt;/a&gt;")</f>
        <v>&lt;a href=|http://kjv.us/joshua/12.htm| title=|American King James Version| target=|_top|&gt;AKJ&lt;/a&gt;</v>
      </c>
      <c r="AM199" t="str">
        <f t="shared" ref="AM199:AN199" si="795">CONCATENATE("&lt;/li&gt;&lt;li&gt;&lt;a href=|http://",AM1191,"/joshua/12.htm","| ","title=|",AM1190,"| target=|_top|&gt;",AM1192,"&lt;/a&gt;")</f>
        <v>&lt;/li&gt;&lt;li&gt;&lt;a href=|http://basicenglishbible.com/joshua/12.htm| title=|Bible in Basic English| target=|_top|&gt;BBE&lt;/a&gt;</v>
      </c>
      <c r="AN199" t="str">
        <f t="shared" si="795"/>
        <v>&lt;/li&gt;&lt;li&gt;&lt;a href=|http://darbybible.com/joshua/12.htm| title=|Darby Bible Translation| target=|_top|&gt;DBY&lt;/a&gt;</v>
      </c>
      <c r="AO19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19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19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199" t="str">
        <f>CONCATENATE("&lt;/li&gt;&lt;li&gt;&lt;a href=|http://",AR1191,"/joshua/12.htm","| ","title=|",AR1190,"| target=|_top|&gt;",AR1192,"&lt;/a&gt;")</f>
        <v>&lt;/li&gt;&lt;li&gt;&lt;a href=|http://websterbible.com/joshua/12.htm| title=|Webster's Bible Translation| target=|_top|&gt;WBS&lt;/a&gt;</v>
      </c>
      <c r="AS19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199" t="str">
        <f>CONCATENATE("&lt;/li&gt;&lt;li&gt;&lt;a href=|http://",AT1191,"/joshua/12-1.htm","| ","title=|",AT1190,"| target=|_top|&gt;",AT1192,"&lt;/a&gt;")</f>
        <v>&lt;/li&gt;&lt;li&gt;&lt;a href=|http://biblebrowser.com/joshua/12-1.htm| title=|Split View| target=|_top|&gt;Split&lt;/a&gt;</v>
      </c>
      <c r="AU199" s="2" t="s">
        <v>1276</v>
      </c>
      <c r="AV199" t="s">
        <v>64</v>
      </c>
    </row>
    <row r="200" spans="1:48">
      <c r="A200" t="s">
        <v>622</v>
      </c>
      <c r="B200" t="s">
        <v>253</v>
      </c>
      <c r="C200" t="s">
        <v>624</v>
      </c>
      <c r="D200" t="s">
        <v>1268</v>
      </c>
      <c r="E200" t="s">
        <v>1277</v>
      </c>
      <c r="F200" t="s">
        <v>1304</v>
      </c>
      <c r="G200" t="s">
        <v>1266</v>
      </c>
      <c r="H200" t="s">
        <v>1305</v>
      </c>
      <c r="I200" t="s">
        <v>1303</v>
      </c>
      <c r="J200" t="s">
        <v>1267</v>
      </c>
      <c r="K200" t="s">
        <v>1275</v>
      </c>
      <c r="L200" s="2" t="s">
        <v>1274</v>
      </c>
      <c r="M200" t="str">
        <f t="shared" ref="M200:AB200" si="796">CONCATENATE("&lt;/li&gt;&lt;li&gt;&lt;a href=|http://",M1191,"/joshua/13.htm","| ","title=|",M1190,"| target=|_top|&gt;",M1192,"&lt;/a&gt;")</f>
        <v>&lt;/li&gt;&lt;li&gt;&lt;a href=|http://niv.scripturetext.com/joshua/13.htm| title=|New International Version| target=|_top|&gt;NIV&lt;/a&gt;</v>
      </c>
      <c r="N200" t="str">
        <f t="shared" si="796"/>
        <v>&lt;/li&gt;&lt;li&gt;&lt;a href=|http://nlt.scripturetext.com/joshua/13.htm| title=|New Living Translation| target=|_top|&gt;NLT&lt;/a&gt;</v>
      </c>
      <c r="O200" t="str">
        <f t="shared" si="796"/>
        <v>&lt;/li&gt;&lt;li&gt;&lt;a href=|http://nasb.scripturetext.com/joshua/13.htm| title=|New American Standard Bible| target=|_top|&gt;NAS&lt;/a&gt;</v>
      </c>
      <c r="P200" t="str">
        <f t="shared" si="796"/>
        <v>&lt;/li&gt;&lt;li&gt;&lt;a href=|http://gwt.scripturetext.com/joshua/13.htm| title=|God's Word Translation| target=|_top|&gt;GWT&lt;/a&gt;</v>
      </c>
      <c r="Q200" t="str">
        <f t="shared" si="796"/>
        <v>&lt;/li&gt;&lt;li&gt;&lt;a href=|http://kingjbible.com/joshua/13.htm| title=|King James Bible| target=|_top|&gt;KJV&lt;/a&gt;</v>
      </c>
      <c r="R200" t="str">
        <f t="shared" si="796"/>
        <v>&lt;/li&gt;&lt;li&gt;&lt;a href=|http://asvbible.com/joshua/13.htm| title=|American Standard Version| target=|_top|&gt;ASV&lt;/a&gt;</v>
      </c>
      <c r="S200" t="str">
        <f t="shared" si="796"/>
        <v>&lt;/li&gt;&lt;li&gt;&lt;a href=|http://drb.scripturetext.com/joshua/13.htm| title=|Douay-Rheims Bible| target=|_top|&gt;DRB&lt;/a&gt;</v>
      </c>
      <c r="T200" t="str">
        <f t="shared" si="796"/>
        <v>&lt;/li&gt;&lt;li&gt;&lt;a href=|http://erv.scripturetext.com/joshua/13.htm| title=|English Revised Version| target=|_top|&gt;ERV&lt;/a&gt;</v>
      </c>
      <c r="V200" t="str">
        <f>CONCATENATE("&lt;/li&gt;&lt;li&gt;&lt;a href=|http://",V1191,"/joshua/13.htm","| ","title=|",V1190,"| target=|_top|&gt;",V1192,"&lt;/a&gt;")</f>
        <v>&lt;/li&gt;&lt;li&gt;&lt;a href=|http://study.interlinearbible.org/joshua/13.htm| title=|Hebrew Study Bible| target=|_top|&gt;Heb Study&lt;/a&gt;</v>
      </c>
      <c r="W200" t="str">
        <f t="shared" si="796"/>
        <v>&lt;/li&gt;&lt;li&gt;&lt;a href=|http://apostolic.interlinearbible.org/joshua/13.htm| title=|Apostolic Bible Polyglot Interlinear| target=|_top|&gt;Polyglot&lt;/a&gt;</v>
      </c>
      <c r="X200" t="str">
        <f t="shared" si="796"/>
        <v>&lt;/li&gt;&lt;li&gt;&lt;a href=|http://interlinearbible.org/joshua/13.htm| title=|Interlinear Bible| target=|_top|&gt;Interlin&lt;/a&gt;</v>
      </c>
      <c r="Y200" t="str">
        <f t="shared" ref="Y200" si="797">CONCATENATE("&lt;/li&gt;&lt;li&gt;&lt;a href=|http://",Y1191,"/joshua/13.htm","| ","title=|",Y1190,"| target=|_top|&gt;",Y1192,"&lt;/a&gt;")</f>
        <v>&lt;/li&gt;&lt;li&gt;&lt;a href=|http://bibleoutline.org/joshua/13.htm| title=|Outline with People and Places List| target=|_top|&gt;Outline&lt;/a&gt;</v>
      </c>
      <c r="Z200" t="str">
        <f t="shared" si="796"/>
        <v>&lt;/li&gt;&lt;li&gt;&lt;a href=|http://kjvs.scripturetext.com/joshua/13.htm| title=|King James Bible with Strong's Numbers| target=|_top|&gt;Strong's&lt;/a&gt;</v>
      </c>
      <c r="AA200" t="str">
        <f t="shared" si="796"/>
        <v>&lt;/li&gt;&lt;li&gt;&lt;a href=|http://childrensbibleonline.com/joshua/13.htm| title=|The Children's Bible| target=|_top|&gt;Children's&lt;/a&gt;</v>
      </c>
      <c r="AB200" s="2" t="str">
        <f t="shared" si="796"/>
        <v>&lt;/li&gt;&lt;li&gt;&lt;a href=|http://tsk.scripturetext.com/joshua/13.htm| title=|Treasury of Scripture Knowledge| target=|_top|&gt;TSK&lt;/a&gt;</v>
      </c>
      <c r="AC200" t="str">
        <f>CONCATENATE("&lt;a href=|http://",AC1191,"/joshua/13.htm","| ","title=|",AC1190,"| target=|_top|&gt;",AC1192,"&lt;/a&gt;")</f>
        <v>&lt;a href=|http://parallelbible.com/joshua/13.htm| title=|Parallel Chapters| target=|_top|&gt;PAR&lt;/a&gt;</v>
      </c>
      <c r="AD200" s="2" t="str">
        <f t="shared" ref="AD200:AK200" si="798">CONCATENATE("&lt;/li&gt;&lt;li&gt;&lt;a href=|http://",AD1191,"/joshua/13.htm","| ","title=|",AD1190,"| target=|_top|&gt;",AD1192,"&lt;/a&gt;")</f>
        <v>&lt;/li&gt;&lt;li&gt;&lt;a href=|http://gsb.biblecommenter.com/joshua/13.htm| title=|Geneva Study Bible| target=|_top|&gt;GSB&lt;/a&gt;</v>
      </c>
      <c r="AE200" s="2" t="str">
        <f t="shared" si="798"/>
        <v>&lt;/li&gt;&lt;li&gt;&lt;a href=|http://jfb.biblecommenter.com/joshua/13.htm| title=|Jamieson-Fausset-Brown Bible Commentary| target=|_top|&gt;JFB&lt;/a&gt;</v>
      </c>
      <c r="AF200" s="2" t="str">
        <f t="shared" si="798"/>
        <v>&lt;/li&gt;&lt;li&gt;&lt;a href=|http://kjt.biblecommenter.com/joshua/13.htm| title=|King James Translators' Notes| target=|_top|&gt;KJT&lt;/a&gt;</v>
      </c>
      <c r="AG200" s="2" t="str">
        <f t="shared" si="798"/>
        <v>&lt;/li&gt;&lt;li&gt;&lt;a href=|http://mhc.biblecommenter.com/joshua/13.htm| title=|Matthew Henry's Concise Commentary| target=|_top|&gt;MHC&lt;/a&gt;</v>
      </c>
      <c r="AH200" s="2" t="str">
        <f t="shared" si="798"/>
        <v>&lt;/li&gt;&lt;li&gt;&lt;a href=|http://sco.biblecommenter.com/joshua/13.htm| title=|Scofield Reference Notes| target=|_top|&gt;SCO&lt;/a&gt;</v>
      </c>
      <c r="AI200" s="2" t="str">
        <f t="shared" si="798"/>
        <v>&lt;/li&gt;&lt;li&gt;&lt;a href=|http://wes.biblecommenter.com/joshua/13.htm| title=|Wesley's Notes on the Bible| target=|_top|&gt;WES&lt;/a&gt;</v>
      </c>
      <c r="AJ200" t="str">
        <f t="shared" si="798"/>
        <v>&lt;/li&gt;&lt;li&gt;&lt;a href=|http://worldebible.com/joshua/13.htm| title=|World English Bible| target=|_top|&gt;WEB&lt;/a&gt;</v>
      </c>
      <c r="AK200" t="str">
        <f t="shared" si="798"/>
        <v>&lt;/li&gt;&lt;li&gt;&lt;a href=|http://yltbible.com/joshua/13.htm| title=|Young's Literal Translation| target=|_top|&gt;YLT&lt;/a&gt;</v>
      </c>
      <c r="AL200" t="str">
        <f>CONCATENATE("&lt;a href=|http://",AL1191,"/joshua/13.htm","| ","title=|",AL1190,"| target=|_top|&gt;",AL1192,"&lt;/a&gt;")</f>
        <v>&lt;a href=|http://kjv.us/joshua/13.htm| title=|American King James Version| target=|_top|&gt;AKJ&lt;/a&gt;</v>
      </c>
      <c r="AM200" t="str">
        <f t="shared" ref="AM200:AN200" si="799">CONCATENATE("&lt;/li&gt;&lt;li&gt;&lt;a href=|http://",AM1191,"/joshua/13.htm","| ","title=|",AM1190,"| target=|_top|&gt;",AM1192,"&lt;/a&gt;")</f>
        <v>&lt;/li&gt;&lt;li&gt;&lt;a href=|http://basicenglishbible.com/joshua/13.htm| title=|Bible in Basic English| target=|_top|&gt;BBE&lt;/a&gt;</v>
      </c>
      <c r="AN200" t="str">
        <f t="shared" si="799"/>
        <v>&lt;/li&gt;&lt;li&gt;&lt;a href=|http://darbybible.com/joshua/13.htm| title=|Darby Bible Translation| target=|_top|&gt;DBY&lt;/a&gt;</v>
      </c>
      <c r="AO20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0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0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00" t="str">
        <f>CONCATENATE("&lt;/li&gt;&lt;li&gt;&lt;a href=|http://",AR1191,"/joshua/13.htm","| ","title=|",AR1190,"| target=|_top|&gt;",AR1192,"&lt;/a&gt;")</f>
        <v>&lt;/li&gt;&lt;li&gt;&lt;a href=|http://websterbible.com/joshua/13.htm| title=|Webster's Bible Translation| target=|_top|&gt;WBS&lt;/a&gt;</v>
      </c>
      <c r="AS20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00" t="str">
        <f>CONCATENATE("&lt;/li&gt;&lt;li&gt;&lt;a href=|http://",AT1191,"/joshua/13-1.htm","| ","title=|",AT1190,"| target=|_top|&gt;",AT1192,"&lt;/a&gt;")</f>
        <v>&lt;/li&gt;&lt;li&gt;&lt;a href=|http://biblebrowser.com/joshua/13-1.htm| title=|Split View| target=|_top|&gt;Split&lt;/a&gt;</v>
      </c>
      <c r="AU200" s="2" t="s">
        <v>1276</v>
      </c>
      <c r="AV200" t="s">
        <v>64</v>
      </c>
    </row>
    <row r="201" spans="1:48">
      <c r="A201" t="s">
        <v>622</v>
      </c>
      <c r="B201" t="s">
        <v>254</v>
      </c>
      <c r="C201" t="s">
        <v>624</v>
      </c>
      <c r="D201" t="s">
        <v>1268</v>
      </c>
      <c r="E201" t="s">
        <v>1277</v>
      </c>
      <c r="F201" t="s">
        <v>1304</v>
      </c>
      <c r="G201" t="s">
        <v>1266</v>
      </c>
      <c r="H201" t="s">
        <v>1305</v>
      </c>
      <c r="I201" t="s">
        <v>1303</v>
      </c>
      <c r="J201" t="s">
        <v>1267</v>
      </c>
      <c r="K201" t="s">
        <v>1275</v>
      </c>
      <c r="L201" s="2" t="s">
        <v>1274</v>
      </c>
      <c r="M201" t="str">
        <f t="shared" ref="M201:AB201" si="800">CONCATENATE("&lt;/li&gt;&lt;li&gt;&lt;a href=|http://",M1191,"/joshua/14.htm","| ","title=|",M1190,"| target=|_top|&gt;",M1192,"&lt;/a&gt;")</f>
        <v>&lt;/li&gt;&lt;li&gt;&lt;a href=|http://niv.scripturetext.com/joshua/14.htm| title=|New International Version| target=|_top|&gt;NIV&lt;/a&gt;</v>
      </c>
      <c r="N201" t="str">
        <f t="shared" si="800"/>
        <v>&lt;/li&gt;&lt;li&gt;&lt;a href=|http://nlt.scripturetext.com/joshua/14.htm| title=|New Living Translation| target=|_top|&gt;NLT&lt;/a&gt;</v>
      </c>
      <c r="O201" t="str">
        <f t="shared" si="800"/>
        <v>&lt;/li&gt;&lt;li&gt;&lt;a href=|http://nasb.scripturetext.com/joshua/14.htm| title=|New American Standard Bible| target=|_top|&gt;NAS&lt;/a&gt;</v>
      </c>
      <c r="P201" t="str">
        <f t="shared" si="800"/>
        <v>&lt;/li&gt;&lt;li&gt;&lt;a href=|http://gwt.scripturetext.com/joshua/14.htm| title=|God's Word Translation| target=|_top|&gt;GWT&lt;/a&gt;</v>
      </c>
      <c r="Q201" t="str">
        <f t="shared" si="800"/>
        <v>&lt;/li&gt;&lt;li&gt;&lt;a href=|http://kingjbible.com/joshua/14.htm| title=|King James Bible| target=|_top|&gt;KJV&lt;/a&gt;</v>
      </c>
      <c r="R201" t="str">
        <f t="shared" si="800"/>
        <v>&lt;/li&gt;&lt;li&gt;&lt;a href=|http://asvbible.com/joshua/14.htm| title=|American Standard Version| target=|_top|&gt;ASV&lt;/a&gt;</v>
      </c>
      <c r="S201" t="str">
        <f t="shared" si="800"/>
        <v>&lt;/li&gt;&lt;li&gt;&lt;a href=|http://drb.scripturetext.com/joshua/14.htm| title=|Douay-Rheims Bible| target=|_top|&gt;DRB&lt;/a&gt;</v>
      </c>
      <c r="T201" t="str">
        <f t="shared" si="800"/>
        <v>&lt;/li&gt;&lt;li&gt;&lt;a href=|http://erv.scripturetext.com/joshua/14.htm| title=|English Revised Version| target=|_top|&gt;ERV&lt;/a&gt;</v>
      </c>
      <c r="V201" t="str">
        <f>CONCATENATE("&lt;/li&gt;&lt;li&gt;&lt;a href=|http://",V1191,"/joshua/14.htm","| ","title=|",V1190,"| target=|_top|&gt;",V1192,"&lt;/a&gt;")</f>
        <v>&lt;/li&gt;&lt;li&gt;&lt;a href=|http://study.interlinearbible.org/joshua/14.htm| title=|Hebrew Study Bible| target=|_top|&gt;Heb Study&lt;/a&gt;</v>
      </c>
      <c r="W201" t="str">
        <f t="shared" si="800"/>
        <v>&lt;/li&gt;&lt;li&gt;&lt;a href=|http://apostolic.interlinearbible.org/joshua/14.htm| title=|Apostolic Bible Polyglot Interlinear| target=|_top|&gt;Polyglot&lt;/a&gt;</v>
      </c>
      <c r="X201" t="str">
        <f t="shared" si="800"/>
        <v>&lt;/li&gt;&lt;li&gt;&lt;a href=|http://interlinearbible.org/joshua/14.htm| title=|Interlinear Bible| target=|_top|&gt;Interlin&lt;/a&gt;</v>
      </c>
      <c r="Y201" t="str">
        <f t="shared" ref="Y201" si="801">CONCATENATE("&lt;/li&gt;&lt;li&gt;&lt;a href=|http://",Y1191,"/joshua/14.htm","| ","title=|",Y1190,"| target=|_top|&gt;",Y1192,"&lt;/a&gt;")</f>
        <v>&lt;/li&gt;&lt;li&gt;&lt;a href=|http://bibleoutline.org/joshua/14.htm| title=|Outline with People and Places List| target=|_top|&gt;Outline&lt;/a&gt;</v>
      </c>
      <c r="Z201" t="str">
        <f t="shared" si="800"/>
        <v>&lt;/li&gt;&lt;li&gt;&lt;a href=|http://kjvs.scripturetext.com/joshua/14.htm| title=|King James Bible with Strong's Numbers| target=|_top|&gt;Strong's&lt;/a&gt;</v>
      </c>
      <c r="AA201" t="str">
        <f t="shared" si="800"/>
        <v>&lt;/li&gt;&lt;li&gt;&lt;a href=|http://childrensbibleonline.com/joshua/14.htm| title=|The Children's Bible| target=|_top|&gt;Children's&lt;/a&gt;</v>
      </c>
      <c r="AB201" s="2" t="str">
        <f t="shared" si="800"/>
        <v>&lt;/li&gt;&lt;li&gt;&lt;a href=|http://tsk.scripturetext.com/joshua/14.htm| title=|Treasury of Scripture Knowledge| target=|_top|&gt;TSK&lt;/a&gt;</v>
      </c>
      <c r="AC201" t="str">
        <f>CONCATENATE("&lt;a href=|http://",AC1191,"/joshua/14.htm","| ","title=|",AC1190,"| target=|_top|&gt;",AC1192,"&lt;/a&gt;")</f>
        <v>&lt;a href=|http://parallelbible.com/joshua/14.htm| title=|Parallel Chapters| target=|_top|&gt;PAR&lt;/a&gt;</v>
      </c>
      <c r="AD201" s="2" t="str">
        <f t="shared" ref="AD201:AK201" si="802">CONCATENATE("&lt;/li&gt;&lt;li&gt;&lt;a href=|http://",AD1191,"/joshua/14.htm","| ","title=|",AD1190,"| target=|_top|&gt;",AD1192,"&lt;/a&gt;")</f>
        <v>&lt;/li&gt;&lt;li&gt;&lt;a href=|http://gsb.biblecommenter.com/joshua/14.htm| title=|Geneva Study Bible| target=|_top|&gt;GSB&lt;/a&gt;</v>
      </c>
      <c r="AE201" s="2" t="str">
        <f t="shared" si="802"/>
        <v>&lt;/li&gt;&lt;li&gt;&lt;a href=|http://jfb.biblecommenter.com/joshua/14.htm| title=|Jamieson-Fausset-Brown Bible Commentary| target=|_top|&gt;JFB&lt;/a&gt;</v>
      </c>
      <c r="AF201" s="2" t="str">
        <f t="shared" si="802"/>
        <v>&lt;/li&gt;&lt;li&gt;&lt;a href=|http://kjt.biblecommenter.com/joshua/14.htm| title=|King James Translators' Notes| target=|_top|&gt;KJT&lt;/a&gt;</v>
      </c>
      <c r="AG201" s="2" t="str">
        <f t="shared" si="802"/>
        <v>&lt;/li&gt;&lt;li&gt;&lt;a href=|http://mhc.biblecommenter.com/joshua/14.htm| title=|Matthew Henry's Concise Commentary| target=|_top|&gt;MHC&lt;/a&gt;</v>
      </c>
      <c r="AH201" s="2" t="str">
        <f t="shared" si="802"/>
        <v>&lt;/li&gt;&lt;li&gt;&lt;a href=|http://sco.biblecommenter.com/joshua/14.htm| title=|Scofield Reference Notes| target=|_top|&gt;SCO&lt;/a&gt;</v>
      </c>
      <c r="AI201" s="2" t="str">
        <f t="shared" si="802"/>
        <v>&lt;/li&gt;&lt;li&gt;&lt;a href=|http://wes.biblecommenter.com/joshua/14.htm| title=|Wesley's Notes on the Bible| target=|_top|&gt;WES&lt;/a&gt;</v>
      </c>
      <c r="AJ201" t="str">
        <f t="shared" si="802"/>
        <v>&lt;/li&gt;&lt;li&gt;&lt;a href=|http://worldebible.com/joshua/14.htm| title=|World English Bible| target=|_top|&gt;WEB&lt;/a&gt;</v>
      </c>
      <c r="AK201" t="str">
        <f t="shared" si="802"/>
        <v>&lt;/li&gt;&lt;li&gt;&lt;a href=|http://yltbible.com/joshua/14.htm| title=|Young's Literal Translation| target=|_top|&gt;YLT&lt;/a&gt;</v>
      </c>
      <c r="AL201" t="str">
        <f>CONCATENATE("&lt;a href=|http://",AL1191,"/joshua/14.htm","| ","title=|",AL1190,"| target=|_top|&gt;",AL1192,"&lt;/a&gt;")</f>
        <v>&lt;a href=|http://kjv.us/joshua/14.htm| title=|American King James Version| target=|_top|&gt;AKJ&lt;/a&gt;</v>
      </c>
      <c r="AM201" t="str">
        <f t="shared" ref="AM201:AN201" si="803">CONCATENATE("&lt;/li&gt;&lt;li&gt;&lt;a href=|http://",AM1191,"/joshua/14.htm","| ","title=|",AM1190,"| target=|_top|&gt;",AM1192,"&lt;/a&gt;")</f>
        <v>&lt;/li&gt;&lt;li&gt;&lt;a href=|http://basicenglishbible.com/joshua/14.htm| title=|Bible in Basic English| target=|_top|&gt;BBE&lt;/a&gt;</v>
      </c>
      <c r="AN201" t="str">
        <f t="shared" si="803"/>
        <v>&lt;/li&gt;&lt;li&gt;&lt;a href=|http://darbybible.com/joshua/14.htm| title=|Darby Bible Translation| target=|_top|&gt;DBY&lt;/a&gt;</v>
      </c>
      <c r="AO20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0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0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01" t="str">
        <f>CONCATENATE("&lt;/li&gt;&lt;li&gt;&lt;a href=|http://",AR1191,"/joshua/14.htm","| ","title=|",AR1190,"| target=|_top|&gt;",AR1192,"&lt;/a&gt;")</f>
        <v>&lt;/li&gt;&lt;li&gt;&lt;a href=|http://websterbible.com/joshua/14.htm| title=|Webster's Bible Translation| target=|_top|&gt;WBS&lt;/a&gt;</v>
      </c>
      <c r="AS20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01" t="str">
        <f>CONCATENATE("&lt;/li&gt;&lt;li&gt;&lt;a href=|http://",AT1191,"/joshua/14-1.htm","| ","title=|",AT1190,"| target=|_top|&gt;",AT1192,"&lt;/a&gt;")</f>
        <v>&lt;/li&gt;&lt;li&gt;&lt;a href=|http://biblebrowser.com/joshua/14-1.htm| title=|Split View| target=|_top|&gt;Split&lt;/a&gt;</v>
      </c>
      <c r="AU201" s="2" t="s">
        <v>1276</v>
      </c>
      <c r="AV201" t="s">
        <v>64</v>
      </c>
    </row>
    <row r="202" spans="1:48">
      <c r="A202" t="s">
        <v>622</v>
      </c>
      <c r="B202" t="s">
        <v>255</v>
      </c>
      <c r="C202" t="s">
        <v>624</v>
      </c>
      <c r="D202" t="s">
        <v>1268</v>
      </c>
      <c r="E202" t="s">
        <v>1277</v>
      </c>
      <c r="F202" t="s">
        <v>1304</v>
      </c>
      <c r="G202" t="s">
        <v>1266</v>
      </c>
      <c r="H202" t="s">
        <v>1305</v>
      </c>
      <c r="I202" t="s">
        <v>1303</v>
      </c>
      <c r="J202" t="s">
        <v>1267</v>
      </c>
      <c r="K202" t="s">
        <v>1275</v>
      </c>
      <c r="L202" s="2" t="s">
        <v>1274</v>
      </c>
      <c r="M202" t="str">
        <f t="shared" ref="M202:AB202" si="804">CONCATENATE("&lt;/li&gt;&lt;li&gt;&lt;a href=|http://",M1191,"/joshua/15.htm","| ","title=|",M1190,"| target=|_top|&gt;",M1192,"&lt;/a&gt;")</f>
        <v>&lt;/li&gt;&lt;li&gt;&lt;a href=|http://niv.scripturetext.com/joshua/15.htm| title=|New International Version| target=|_top|&gt;NIV&lt;/a&gt;</v>
      </c>
      <c r="N202" t="str">
        <f t="shared" si="804"/>
        <v>&lt;/li&gt;&lt;li&gt;&lt;a href=|http://nlt.scripturetext.com/joshua/15.htm| title=|New Living Translation| target=|_top|&gt;NLT&lt;/a&gt;</v>
      </c>
      <c r="O202" t="str">
        <f t="shared" si="804"/>
        <v>&lt;/li&gt;&lt;li&gt;&lt;a href=|http://nasb.scripturetext.com/joshua/15.htm| title=|New American Standard Bible| target=|_top|&gt;NAS&lt;/a&gt;</v>
      </c>
      <c r="P202" t="str">
        <f t="shared" si="804"/>
        <v>&lt;/li&gt;&lt;li&gt;&lt;a href=|http://gwt.scripturetext.com/joshua/15.htm| title=|God's Word Translation| target=|_top|&gt;GWT&lt;/a&gt;</v>
      </c>
      <c r="Q202" t="str">
        <f t="shared" si="804"/>
        <v>&lt;/li&gt;&lt;li&gt;&lt;a href=|http://kingjbible.com/joshua/15.htm| title=|King James Bible| target=|_top|&gt;KJV&lt;/a&gt;</v>
      </c>
      <c r="R202" t="str">
        <f t="shared" si="804"/>
        <v>&lt;/li&gt;&lt;li&gt;&lt;a href=|http://asvbible.com/joshua/15.htm| title=|American Standard Version| target=|_top|&gt;ASV&lt;/a&gt;</v>
      </c>
      <c r="S202" t="str">
        <f t="shared" si="804"/>
        <v>&lt;/li&gt;&lt;li&gt;&lt;a href=|http://drb.scripturetext.com/joshua/15.htm| title=|Douay-Rheims Bible| target=|_top|&gt;DRB&lt;/a&gt;</v>
      </c>
      <c r="T202" t="str">
        <f t="shared" si="804"/>
        <v>&lt;/li&gt;&lt;li&gt;&lt;a href=|http://erv.scripturetext.com/joshua/15.htm| title=|English Revised Version| target=|_top|&gt;ERV&lt;/a&gt;</v>
      </c>
      <c r="V202" t="str">
        <f>CONCATENATE("&lt;/li&gt;&lt;li&gt;&lt;a href=|http://",V1191,"/joshua/15.htm","| ","title=|",V1190,"| target=|_top|&gt;",V1192,"&lt;/a&gt;")</f>
        <v>&lt;/li&gt;&lt;li&gt;&lt;a href=|http://study.interlinearbible.org/joshua/15.htm| title=|Hebrew Study Bible| target=|_top|&gt;Heb Study&lt;/a&gt;</v>
      </c>
      <c r="W202" t="str">
        <f t="shared" si="804"/>
        <v>&lt;/li&gt;&lt;li&gt;&lt;a href=|http://apostolic.interlinearbible.org/joshua/15.htm| title=|Apostolic Bible Polyglot Interlinear| target=|_top|&gt;Polyglot&lt;/a&gt;</v>
      </c>
      <c r="X202" t="str">
        <f t="shared" si="804"/>
        <v>&lt;/li&gt;&lt;li&gt;&lt;a href=|http://interlinearbible.org/joshua/15.htm| title=|Interlinear Bible| target=|_top|&gt;Interlin&lt;/a&gt;</v>
      </c>
      <c r="Y202" t="str">
        <f t="shared" ref="Y202" si="805">CONCATENATE("&lt;/li&gt;&lt;li&gt;&lt;a href=|http://",Y1191,"/joshua/15.htm","| ","title=|",Y1190,"| target=|_top|&gt;",Y1192,"&lt;/a&gt;")</f>
        <v>&lt;/li&gt;&lt;li&gt;&lt;a href=|http://bibleoutline.org/joshua/15.htm| title=|Outline with People and Places List| target=|_top|&gt;Outline&lt;/a&gt;</v>
      </c>
      <c r="Z202" t="str">
        <f t="shared" si="804"/>
        <v>&lt;/li&gt;&lt;li&gt;&lt;a href=|http://kjvs.scripturetext.com/joshua/15.htm| title=|King James Bible with Strong's Numbers| target=|_top|&gt;Strong's&lt;/a&gt;</v>
      </c>
      <c r="AA202" t="str">
        <f t="shared" si="804"/>
        <v>&lt;/li&gt;&lt;li&gt;&lt;a href=|http://childrensbibleonline.com/joshua/15.htm| title=|The Children's Bible| target=|_top|&gt;Children's&lt;/a&gt;</v>
      </c>
      <c r="AB202" s="2" t="str">
        <f t="shared" si="804"/>
        <v>&lt;/li&gt;&lt;li&gt;&lt;a href=|http://tsk.scripturetext.com/joshua/15.htm| title=|Treasury of Scripture Knowledge| target=|_top|&gt;TSK&lt;/a&gt;</v>
      </c>
      <c r="AC202" t="str">
        <f>CONCATENATE("&lt;a href=|http://",AC1191,"/joshua/15.htm","| ","title=|",AC1190,"| target=|_top|&gt;",AC1192,"&lt;/a&gt;")</f>
        <v>&lt;a href=|http://parallelbible.com/joshua/15.htm| title=|Parallel Chapters| target=|_top|&gt;PAR&lt;/a&gt;</v>
      </c>
      <c r="AD202" s="2" t="str">
        <f t="shared" ref="AD202:AK202" si="806">CONCATENATE("&lt;/li&gt;&lt;li&gt;&lt;a href=|http://",AD1191,"/joshua/15.htm","| ","title=|",AD1190,"| target=|_top|&gt;",AD1192,"&lt;/a&gt;")</f>
        <v>&lt;/li&gt;&lt;li&gt;&lt;a href=|http://gsb.biblecommenter.com/joshua/15.htm| title=|Geneva Study Bible| target=|_top|&gt;GSB&lt;/a&gt;</v>
      </c>
      <c r="AE202" s="2" t="str">
        <f t="shared" si="806"/>
        <v>&lt;/li&gt;&lt;li&gt;&lt;a href=|http://jfb.biblecommenter.com/joshua/15.htm| title=|Jamieson-Fausset-Brown Bible Commentary| target=|_top|&gt;JFB&lt;/a&gt;</v>
      </c>
      <c r="AF202" s="2" t="str">
        <f t="shared" si="806"/>
        <v>&lt;/li&gt;&lt;li&gt;&lt;a href=|http://kjt.biblecommenter.com/joshua/15.htm| title=|King James Translators' Notes| target=|_top|&gt;KJT&lt;/a&gt;</v>
      </c>
      <c r="AG202" s="2" t="str">
        <f t="shared" si="806"/>
        <v>&lt;/li&gt;&lt;li&gt;&lt;a href=|http://mhc.biblecommenter.com/joshua/15.htm| title=|Matthew Henry's Concise Commentary| target=|_top|&gt;MHC&lt;/a&gt;</v>
      </c>
      <c r="AH202" s="2" t="str">
        <f t="shared" si="806"/>
        <v>&lt;/li&gt;&lt;li&gt;&lt;a href=|http://sco.biblecommenter.com/joshua/15.htm| title=|Scofield Reference Notes| target=|_top|&gt;SCO&lt;/a&gt;</v>
      </c>
      <c r="AI202" s="2" t="str">
        <f t="shared" si="806"/>
        <v>&lt;/li&gt;&lt;li&gt;&lt;a href=|http://wes.biblecommenter.com/joshua/15.htm| title=|Wesley's Notes on the Bible| target=|_top|&gt;WES&lt;/a&gt;</v>
      </c>
      <c r="AJ202" t="str">
        <f t="shared" si="806"/>
        <v>&lt;/li&gt;&lt;li&gt;&lt;a href=|http://worldebible.com/joshua/15.htm| title=|World English Bible| target=|_top|&gt;WEB&lt;/a&gt;</v>
      </c>
      <c r="AK202" t="str">
        <f t="shared" si="806"/>
        <v>&lt;/li&gt;&lt;li&gt;&lt;a href=|http://yltbible.com/joshua/15.htm| title=|Young's Literal Translation| target=|_top|&gt;YLT&lt;/a&gt;</v>
      </c>
      <c r="AL202" t="str">
        <f>CONCATENATE("&lt;a href=|http://",AL1191,"/joshua/15.htm","| ","title=|",AL1190,"| target=|_top|&gt;",AL1192,"&lt;/a&gt;")</f>
        <v>&lt;a href=|http://kjv.us/joshua/15.htm| title=|American King James Version| target=|_top|&gt;AKJ&lt;/a&gt;</v>
      </c>
      <c r="AM202" t="str">
        <f t="shared" ref="AM202:AN202" si="807">CONCATENATE("&lt;/li&gt;&lt;li&gt;&lt;a href=|http://",AM1191,"/joshua/15.htm","| ","title=|",AM1190,"| target=|_top|&gt;",AM1192,"&lt;/a&gt;")</f>
        <v>&lt;/li&gt;&lt;li&gt;&lt;a href=|http://basicenglishbible.com/joshua/15.htm| title=|Bible in Basic English| target=|_top|&gt;BBE&lt;/a&gt;</v>
      </c>
      <c r="AN202" t="str">
        <f t="shared" si="807"/>
        <v>&lt;/li&gt;&lt;li&gt;&lt;a href=|http://darbybible.com/joshua/15.htm| title=|Darby Bible Translation| target=|_top|&gt;DBY&lt;/a&gt;</v>
      </c>
      <c r="AO20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0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0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02" t="str">
        <f>CONCATENATE("&lt;/li&gt;&lt;li&gt;&lt;a href=|http://",AR1191,"/joshua/15.htm","| ","title=|",AR1190,"| target=|_top|&gt;",AR1192,"&lt;/a&gt;")</f>
        <v>&lt;/li&gt;&lt;li&gt;&lt;a href=|http://websterbible.com/joshua/15.htm| title=|Webster's Bible Translation| target=|_top|&gt;WBS&lt;/a&gt;</v>
      </c>
      <c r="AS20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02" t="str">
        <f>CONCATENATE("&lt;/li&gt;&lt;li&gt;&lt;a href=|http://",AT1191,"/joshua/15-1.htm","| ","title=|",AT1190,"| target=|_top|&gt;",AT1192,"&lt;/a&gt;")</f>
        <v>&lt;/li&gt;&lt;li&gt;&lt;a href=|http://biblebrowser.com/joshua/15-1.htm| title=|Split View| target=|_top|&gt;Split&lt;/a&gt;</v>
      </c>
      <c r="AU202" s="2" t="s">
        <v>1276</v>
      </c>
      <c r="AV202" t="s">
        <v>64</v>
      </c>
    </row>
    <row r="203" spans="1:48">
      <c r="A203" t="s">
        <v>622</v>
      </c>
      <c r="B203" t="s">
        <v>256</v>
      </c>
      <c r="C203" t="s">
        <v>624</v>
      </c>
      <c r="D203" t="s">
        <v>1268</v>
      </c>
      <c r="E203" t="s">
        <v>1277</v>
      </c>
      <c r="F203" t="s">
        <v>1304</v>
      </c>
      <c r="G203" t="s">
        <v>1266</v>
      </c>
      <c r="H203" t="s">
        <v>1305</v>
      </c>
      <c r="I203" t="s">
        <v>1303</v>
      </c>
      <c r="J203" t="s">
        <v>1267</v>
      </c>
      <c r="K203" t="s">
        <v>1275</v>
      </c>
      <c r="L203" s="2" t="s">
        <v>1274</v>
      </c>
      <c r="M203" t="str">
        <f t="shared" ref="M203:AB203" si="808">CONCATENATE("&lt;/li&gt;&lt;li&gt;&lt;a href=|http://",M1191,"/joshua/16.htm","| ","title=|",M1190,"| target=|_top|&gt;",M1192,"&lt;/a&gt;")</f>
        <v>&lt;/li&gt;&lt;li&gt;&lt;a href=|http://niv.scripturetext.com/joshua/16.htm| title=|New International Version| target=|_top|&gt;NIV&lt;/a&gt;</v>
      </c>
      <c r="N203" t="str">
        <f t="shared" si="808"/>
        <v>&lt;/li&gt;&lt;li&gt;&lt;a href=|http://nlt.scripturetext.com/joshua/16.htm| title=|New Living Translation| target=|_top|&gt;NLT&lt;/a&gt;</v>
      </c>
      <c r="O203" t="str">
        <f t="shared" si="808"/>
        <v>&lt;/li&gt;&lt;li&gt;&lt;a href=|http://nasb.scripturetext.com/joshua/16.htm| title=|New American Standard Bible| target=|_top|&gt;NAS&lt;/a&gt;</v>
      </c>
      <c r="P203" t="str">
        <f t="shared" si="808"/>
        <v>&lt;/li&gt;&lt;li&gt;&lt;a href=|http://gwt.scripturetext.com/joshua/16.htm| title=|God's Word Translation| target=|_top|&gt;GWT&lt;/a&gt;</v>
      </c>
      <c r="Q203" t="str">
        <f t="shared" si="808"/>
        <v>&lt;/li&gt;&lt;li&gt;&lt;a href=|http://kingjbible.com/joshua/16.htm| title=|King James Bible| target=|_top|&gt;KJV&lt;/a&gt;</v>
      </c>
      <c r="R203" t="str">
        <f t="shared" si="808"/>
        <v>&lt;/li&gt;&lt;li&gt;&lt;a href=|http://asvbible.com/joshua/16.htm| title=|American Standard Version| target=|_top|&gt;ASV&lt;/a&gt;</v>
      </c>
      <c r="S203" t="str">
        <f t="shared" si="808"/>
        <v>&lt;/li&gt;&lt;li&gt;&lt;a href=|http://drb.scripturetext.com/joshua/16.htm| title=|Douay-Rheims Bible| target=|_top|&gt;DRB&lt;/a&gt;</v>
      </c>
      <c r="T203" t="str">
        <f t="shared" si="808"/>
        <v>&lt;/li&gt;&lt;li&gt;&lt;a href=|http://erv.scripturetext.com/joshua/16.htm| title=|English Revised Version| target=|_top|&gt;ERV&lt;/a&gt;</v>
      </c>
      <c r="V203" t="str">
        <f>CONCATENATE("&lt;/li&gt;&lt;li&gt;&lt;a href=|http://",V1191,"/joshua/16.htm","| ","title=|",V1190,"| target=|_top|&gt;",V1192,"&lt;/a&gt;")</f>
        <v>&lt;/li&gt;&lt;li&gt;&lt;a href=|http://study.interlinearbible.org/joshua/16.htm| title=|Hebrew Study Bible| target=|_top|&gt;Heb Study&lt;/a&gt;</v>
      </c>
      <c r="W203" t="str">
        <f t="shared" si="808"/>
        <v>&lt;/li&gt;&lt;li&gt;&lt;a href=|http://apostolic.interlinearbible.org/joshua/16.htm| title=|Apostolic Bible Polyglot Interlinear| target=|_top|&gt;Polyglot&lt;/a&gt;</v>
      </c>
      <c r="X203" t="str">
        <f t="shared" si="808"/>
        <v>&lt;/li&gt;&lt;li&gt;&lt;a href=|http://interlinearbible.org/joshua/16.htm| title=|Interlinear Bible| target=|_top|&gt;Interlin&lt;/a&gt;</v>
      </c>
      <c r="Y203" t="str">
        <f t="shared" ref="Y203" si="809">CONCATENATE("&lt;/li&gt;&lt;li&gt;&lt;a href=|http://",Y1191,"/joshua/16.htm","| ","title=|",Y1190,"| target=|_top|&gt;",Y1192,"&lt;/a&gt;")</f>
        <v>&lt;/li&gt;&lt;li&gt;&lt;a href=|http://bibleoutline.org/joshua/16.htm| title=|Outline with People and Places List| target=|_top|&gt;Outline&lt;/a&gt;</v>
      </c>
      <c r="Z203" t="str">
        <f t="shared" si="808"/>
        <v>&lt;/li&gt;&lt;li&gt;&lt;a href=|http://kjvs.scripturetext.com/joshua/16.htm| title=|King James Bible with Strong's Numbers| target=|_top|&gt;Strong's&lt;/a&gt;</v>
      </c>
      <c r="AA203" t="str">
        <f t="shared" si="808"/>
        <v>&lt;/li&gt;&lt;li&gt;&lt;a href=|http://childrensbibleonline.com/joshua/16.htm| title=|The Children's Bible| target=|_top|&gt;Children's&lt;/a&gt;</v>
      </c>
      <c r="AB203" s="2" t="str">
        <f t="shared" si="808"/>
        <v>&lt;/li&gt;&lt;li&gt;&lt;a href=|http://tsk.scripturetext.com/joshua/16.htm| title=|Treasury of Scripture Knowledge| target=|_top|&gt;TSK&lt;/a&gt;</v>
      </c>
      <c r="AC203" t="str">
        <f>CONCATENATE("&lt;a href=|http://",AC1191,"/joshua/16.htm","| ","title=|",AC1190,"| target=|_top|&gt;",AC1192,"&lt;/a&gt;")</f>
        <v>&lt;a href=|http://parallelbible.com/joshua/16.htm| title=|Parallel Chapters| target=|_top|&gt;PAR&lt;/a&gt;</v>
      </c>
      <c r="AD203" s="2" t="str">
        <f t="shared" ref="AD203:AK203" si="810">CONCATENATE("&lt;/li&gt;&lt;li&gt;&lt;a href=|http://",AD1191,"/joshua/16.htm","| ","title=|",AD1190,"| target=|_top|&gt;",AD1192,"&lt;/a&gt;")</f>
        <v>&lt;/li&gt;&lt;li&gt;&lt;a href=|http://gsb.biblecommenter.com/joshua/16.htm| title=|Geneva Study Bible| target=|_top|&gt;GSB&lt;/a&gt;</v>
      </c>
      <c r="AE203" s="2" t="str">
        <f t="shared" si="810"/>
        <v>&lt;/li&gt;&lt;li&gt;&lt;a href=|http://jfb.biblecommenter.com/joshua/16.htm| title=|Jamieson-Fausset-Brown Bible Commentary| target=|_top|&gt;JFB&lt;/a&gt;</v>
      </c>
      <c r="AF203" s="2" t="str">
        <f t="shared" si="810"/>
        <v>&lt;/li&gt;&lt;li&gt;&lt;a href=|http://kjt.biblecommenter.com/joshua/16.htm| title=|King James Translators' Notes| target=|_top|&gt;KJT&lt;/a&gt;</v>
      </c>
      <c r="AG203" s="2" t="str">
        <f t="shared" si="810"/>
        <v>&lt;/li&gt;&lt;li&gt;&lt;a href=|http://mhc.biblecommenter.com/joshua/16.htm| title=|Matthew Henry's Concise Commentary| target=|_top|&gt;MHC&lt;/a&gt;</v>
      </c>
      <c r="AH203" s="2" t="str">
        <f t="shared" si="810"/>
        <v>&lt;/li&gt;&lt;li&gt;&lt;a href=|http://sco.biblecommenter.com/joshua/16.htm| title=|Scofield Reference Notes| target=|_top|&gt;SCO&lt;/a&gt;</v>
      </c>
      <c r="AI203" s="2" t="str">
        <f t="shared" si="810"/>
        <v>&lt;/li&gt;&lt;li&gt;&lt;a href=|http://wes.biblecommenter.com/joshua/16.htm| title=|Wesley's Notes on the Bible| target=|_top|&gt;WES&lt;/a&gt;</v>
      </c>
      <c r="AJ203" t="str">
        <f t="shared" si="810"/>
        <v>&lt;/li&gt;&lt;li&gt;&lt;a href=|http://worldebible.com/joshua/16.htm| title=|World English Bible| target=|_top|&gt;WEB&lt;/a&gt;</v>
      </c>
      <c r="AK203" t="str">
        <f t="shared" si="810"/>
        <v>&lt;/li&gt;&lt;li&gt;&lt;a href=|http://yltbible.com/joshua/16.htm| title=|Young's Literal Translation| target=|_top|&gt;YLT&lt;/a&gt;</v>
      </c>
      <c r="AL203" t="str">
        <f>CONCATENATE("&lt;a href=|http://",AL1191,"/joshua/16.htm","| ","title=|",AL1190,"| target=|_top|&gt;",AL1192,"&lt;/a&gt;")</f>
        <v>&lt;a href=|http://kjv.us/joshua/16.htm| title=|American King James Version| target=|_top|&gt;AKJ&lt;/a&gt;</v>
      </c>
      <c r="AM203" t="str">
        <f t="shared" ref="AM203:AN203" si="811">CONCATENATE("&lt;/li&gt;&lt;li&gt;&lt;a href=|http://",AM1191,"/joshua/16.htm","| ","title=|",AM1190,"| target=|_top|&gt;",AM1192,"&lt;/a&gt;")</f>
        <v>&lt;/li&gt;&lt;li&gt;&lt;a href=|http://basicenglishbible.com/joshua/16.htm| title=|Bible in Basic English| target=|_top|&gt;BBE&lt;/a&gt;</v>
      </c>
      <c r="AN203" t="str">
        <f t="shared" si="811"/>
        <v>&lt;/li&gt;&lt;li&gt;&lt;a href=|http://darbybible.com/joshua/16.htm| title=|Darby Bible Translation| target=|_top|&gt;DBY&lt;/a&gt;</v>
      </c>
      <c r="AO20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0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0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03" t="str">
        <f>CONCATENATE("&lt;/li&gt;&lt;li&gt;&lt;a href=|http://",AR1191,"/joshua/16.htm","| ","title=|",AR1190,"| target=|_top|&gt;",AR1192,"&lt;/a&gt;")</f>
        <v>&lt;/li&gt;&lt;li&gt;&lt;a href=|http://websterbible.com/joshua/16.htm| title=|Webster's Bible Translation| target=|_top|&gt;WBS&lt;/a&gt;</v>
      </c>
      <c r="AS20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03" t="str">
        <f>CONCATENATE("&lt;/li&gt;&lt;li&gt;&lt;a href=|http://",AT1191,"/joshua/16-1.htm","| ","title=|",AT1190,"| target=|_top|&gt;",AT1192,"&lt;/a&gt;")</f>
        <v>&lt;/li&gt;&lt;li&gt;&lt;a href=|http://biblebrowser.com/joshua/16-1.htm| title=|Split View| target=|_top|&gt;Split&lt;/a&gt;</v>
      </c>
      <c r="AU203" s="2" t="s">
        <v>1276</v>
      </c>
      <c r="AV203" t="s">
        <v>64</v>
      </c>
    </row>
    <row r="204" spans="1:48">
      <c r="A204" t="s">
        <v>622</v>
      </c>
      <c r="B204" t="s">
        <v>257</v>
      </c>
      <c r="C204" t="s">
        <v>624</v>
      </c>
      <c r="D204" t="s">
        <v>1268</v>
      </c>
      <c r="E204" t="s">
        <v>1277</v>
      </c>
      <c r="F204" t="s">
        <v>1304</v>
      </c>
      <c r="G204" t="s">
        <v>1266</v>
      </c>
      <c r="H204" t="s">
        <v>1305</v>
      </c>
      <c r="I204" t="s">
        <v>1303</v>
      </c>
      <c r="J204" t="s">
        <v>1267</v>
      </c>
      <c r="K204" t="s">
        <v>1275</v>
      </c>
      <c r="L204" s="2" t="s">
        <v>1274</v>
      </c>
      <c r="M204" t="str">
        <f t="shared" ref="M204:AB204" si="812">CONCATENATE("&lt;/li&gt;&lt;li&gt;&lt;a href=|http://",M1191,"/joshua/17.htm","| ","title=|",M1190,"| target=|_top|&gt;",M1192,"&lt;/a&gt;")</f>
        <v>&lt;/li&gt;&lt;li&gt;&lt;a href=|http://niv.scripturetext.com/joshua/17.htm| title=|New International Version| target=|_top|&gt;NIV&lt;/a&gt;</v>
      </c>
      <c r="N204" t="str">
        <f t="shared" si="812"/>
        <v>&lt;/li&gt;&lt;li&gt;&lt;a href=|http://nlt.scripturetext.com/joshua/17.htm| title=|New Living Translation| target=|_top|&gt;NLT&lt;/a&gt;</v>
      </c>
      <c r="O204" t="str">
        <f t="shared" si="812"/>
        <v>&lt;/li&gt;&lt;li&gt;&lt;a href=|http://nasb.scripturetext.com/joshua/17.htm| title=|New American Standard Bible| target=|_top|&gt;NAS&lt;/a&gt;</v>
      </c>
      <c r="P204" t="str">
        <f t="shared" si="812"/>
        <v>&lt;/li&gt;&lt;li&gt;&lt;a href=|http://gwt.scripturetext.com/joshua/17.htm| title=|God's Word Translation| target=|_top|&gt;GWT&lt;/a&gt;</v>
      </c>
      <c r="Q204" t="str">
        <f t="shared" si="812"/>
        <v>&lt;/li&gt;&lt;li&gt;&lt;a href=|http://kingjbible.com/joshua/17.htm| title=|King James Bible| target=|_top|&gt;KJV&lt;/a&gt;</v>
      </c>
      <c r="R204" t="str">
        <f t="shared" si="812"/>
        <v>&lt;/li&gt;&lt;li&gt;&lt;a href=|http://asvbible.com/joshua/17.htm| title=|American Standard Version| target=|_top|&gt;ASV&lt;/a&gt;</v>
      </c>
      <c r="S204" t="str">
        <f t="shared" si="812"/>
        <v>&lt;/li&gt;&lt;li&gt;&lt;a href=|http://drb.scripturetext.com/joshua/17.htm| title=|Douay-Rheims Bible| target=|_top|&gt;DRB&lt;/a&gt;</v>
      </c>
      <c r="T204" t="str">
        <f t="shared" si="812"/>
        <v>&lt;/li&gt;&lt;li&gt;&lt;a href=|http://erv.scripturetext.com/joshua/17.htm| title=|English Revised Version| target=|_top|&gt;ERV&lt;/a&gt;</v>
      </c>
      <c r="V204" t="str">
        <f>CONCATENATE("&lt;/li&gt;&lt;li&gt;&lt;a href=|http://",V1191,"/joshua/17.htm","| ","title=|",V1190,"| target=|_top|&gt;",V1192,"&lt;/a&gt;")</f>
        <v>&lt;/li&gt;&lt;li&gt;&lt;a href=|http://study.interlinearbible.org/joshua/17.htm| title=|Hebrew Study Bible| target=|_top|&gt;Heb Study&lt;/a&gt;</v>
      </c>
      <c r="W204" t="str">
        <f t="shared" si="812"/>
        <v>&lt;/li&gt;&lt;li&gt;&lt;a href=|http://apostolic.interlinearbible.org/joshua/17.htm| title=|Apostolic Bible Polyglot Interlinear| target=|_top|&gt;Polyglot&lt;/a&gt;</v>
      </c>
      <c r="X204" t="str">
        <f t="shared" si="812"/>
        <v>&lt;/li&gt;&lt;li&gt;&lt;a href=|http://interlinearbible.org/joshua/17.htm| title=|Interlinear Bible| target=|_top|&gt;Interlin&lt;/a&gt;</v>
      </c>
      <c r="Y204" t="str">
        <f t="shared" ref="Y204" si="813">CONCATENATE("&lt;/li&gt;&lt;li&gt;&lt;a href=|http://",Y1191,"/joshua/17.htm","| ","title=|",Y1190,"| target=|_top|&gt;",Y1192,"&lt;/a&gt;")</f>
        <v>&lt;/li&gt;&lt;li&gt;&lt;a href=|http://bibleoutline.org/joshua/17.htm| title=|Outline with People and Places List| target=|_top|&gt;Outline&lt;/a&gt;</v>
      </c>
      <c r="Z204" t="str">
        <f t="shared" si="812"/>
        <v>&lt;/li&gt;&lt;li&gt;&lt;a href=|http://kjvs.scripturetext.com/joshua/17.htm| title=|King James Bible with Strong's Numbers| target=|_top|&gt;Strong's&lt;/a&gt;</v>
      </c>
      <c r="AA204" t="str">
        <f t="shared" si="812"/>
        <v>&lt;/li&gt;&lt;li&gt;&lt;a href=|http://childrensbibleonline.com/joshua/17.htm| title=|The Children's Bible| target=|_top|&gt;Children's&lt;/a&gt;</v>
      </c>
      <c r="AB204" s="2" t="str">
        <f t="shared" si="812"/>
        <v>&lt;/li&gt;&lt;li&gt;&lt;a href=|http://tsk.scripturetext.com/joshua/17.htm| title=|Treasury of Scripture Knowledge| target=|_top|&gt;TSK&lt;/a&gt;</v>
      </c>
      <c r="AC204" t="str">
        <f>CONCATENATE("&lt;a href=|http://",AC1191,"/joshua/17.htm","| ","title=|",AC1190,"| target=|_top|&gt;",AC1192,"&lt;/a&gt;")</f>
        <v>&lt;a href=|http://parallelbible.com/joshua/17.htm| title=|Parallel Chapters| target=|_top|&gt;PAR&lt;/a&gt;</v>
      </c>
      <c r="AD204" s="2" t="str">
        <f t="shared" ref="AD204:AK204" si="814">CONCATENATE("&lt;/li&gt;&lt;li&gt;&lt;a href=|http://",AD1191,"/joshua/17.htm","| ","title=|",AD1190,"| target=|_top|&gt;",AD1192,"&lt;/a&gt;")</f>
        <v>&lt;/li&gt;&lt;li&gt;&lt;a href=|http://gsb.biblecommenter.com/joshua/17.htm| title=|Geneva Study Bible| target=|_top|&gt;GSB&lt;/a&gt;</v>
      </c>
      <c r="AE204" s="2" t="str">
        <f t="shared" si="814"/>
        <v>&lt;/li&gt;&lt;li&gt;&lt;a href=|http://jfb.biblecommenter.com/joshua/17.htm| title=|Jamieson-Fausset-Brown Bible Commentary| target=|_top|&gt;JFB&lt;/a&gt;</v>
      </c>
      <c r="AF204" s="2" t="str">
        <f t="shared" si="814"/>
        <v>&lt;/li&gt;&lt;li&gt;&lt;a href=|http://kjt.biblecommenter.com/joshua/17.htm| title=|King James Translators' Notes| target=|_top|&gt;KJT&lt;/a&gt;</v>
      </c>
      <c r="AG204" s="2" t="str">
        <f t="shared" si="814"/>
        <v>&lt;/li&gt;&lt;li&gt;&lt;a href=|http://mhc.biblecommenter.com/joshua/17.htm| title=|Matthew Henry's Concise Commentary| target=|_top|&gt;MHC&lt;/a&gt;</v>
      </c>
      <c r="AH204" s="2" t="str">
        <f t="shared" si="814"/>
        <v>&lt;/li&gt;&lt;li&gt;&lt;a href=|http://sco.biblecommenter.com/joshua/17.htm| title=|Scofield Reference Notes| target=|_top|&gt;SCO&lt;/a&gt;</v>
      </c>
      <c r="AI204" s="2" t="str">
        <f t="shared" si="814"/>
        <v>&lt;/li&gt;&lt;li&gt;&lt;a href=|http://wes.biblecommenter.com/joshua/17.htm| title=|Wesley's Notes on the Bible| target=|_top|&gt;WES&lt;/a&gt;</v>
      </c>
      <c r="AJ204" t="str">
        <f t="shared" si="814"/>
        <v>&lt;/li&gt;&lt;li&gt;&lt;a href=|http://worldebible.com/joshua/17.htm| title=|World English Bible| target=|_top|&gt;WEB&lt;/a&gt;</v>
      </c>
      <c r="AK204" t="str">
        <f t="shared" si="814"/>
        <v>&lt;/li&gt;&lt;li&gt;&lt;a href=|http://yltbible.com/joshua/17.htm| title=|Young's Literal Translation| target=|_top|&gt;YLT&lt;/a&gt;</v>
      </c>
      <c r="AL204" t="str">
        <f>CONCATENATE("&lt;a href=|http://",AL1191,"/joshua/17.htm","| ","title=|",AL1190,"| target=|_top|&gt;",AL1192,"&lt;/a&gt;")</f>
        <v>&lt;a href=|http://kjv.us/joshua/17.htm| title=|American King James Version| target=|_top|&gt;AKJ&lt;/a&gt;</v>
      </c>
      <c r="AM204" t="str">
        <f t="shared" ref="AM204:AN204" si="815">CONCATENATE("&lt;/li&gt;&lt;li&gt;&lt;a href=|http://",AM1191,"/joshua/17.htm","| ","title=|",AM1190,"| target=|_top|&gt;",AM1192,"&lt;/a&gt;")</f>
        <v>&lt;/li&gt;&lt;li&gt;&lt;a href=|http://basicenglishbible.com/joshua/17.htm| title=|Bible in Basic English| target=|_top|&gt;BBE&lt;/a&gt;</v>
      </c>
      <c r="AN204" t="str">
        <f t="shared" si="815"/>
        <v>&lt;/li&gt;&lt;li&gt;&lt;a href=|http://darbybible.com/joshua/17.htm| title=|Darby Bible Translation| target=|_top|&gt;DBY&lt;/a&gt;</v>
      </c>
      <c r="AO20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0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0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04" t="str">
        <f>CONCATENATE("&lt;/li&gt;&lt;li&gt;&lt;a href=|http://",AR1191,"/joshua/17.htm","| ","title=|",AR1190,"| target=|_top|&gt;",AR1192,"&lt;/a&gt;")</f>
        <v>&lt;/li&gt;&lt;li&gt;&lt;a href=|http://websterbible.com/joshua/17.htm| title=|Webster's Bible Translation| target=|_top|&gt;WBS&lt;/a&gt;</v>
      </c>
      <c r="AS20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04" t="str">
        <f>CONCATENATE("&lt;/li&gt;&lt;li&gt;&lt;a href=|http://",AT1191,"/joshua/17-1.htm","| ","title=|",AT1190,"| target=|_top|&gt;",AT1192,"&lt;/a&gt;")</f>
        <v>&lt;/li&gt;&lt;li&gt;&lt;a href=|http://biblebrowser.com/joshua/17-1.htm| title=|Split View| target=|_top|&gt;Split&lt;/a&gt;</v>
      </c>
      <c r="AU204" s="2" t="s">
        <v>1276</v>
      </c>
      <c r="AV204" t="s">
        <v>64</v>
      </c>
    </row>
    <row r="205" spans="1:48">
      <c r="A205" t="s">
        <v>622</v>
      </c>
      <c r="B205" t="s">
        <v>258</v>
      </c>
      <c r="C205" t="s">
        <v>624</v>
      </c>
      <c r="D205" t="s">
        <v>1268</v>
      </c>
      <c r="E205" t="s">
        <v>1277</v>
      </c>
      <c r="F205" t="s">
        <v>1304</v>
      </c>
      <c r="G205" t="s">
        <v>1266</v>
      </c>
      <c r="H205" t="s">
        <v>1305</v>
      </c>
      <c r="I205" t="s">
        <v>1303</v>
      </c>
      <c r="J205" t="s">
        <v>1267</v>
      </c>
      <c r="K205" t="s">
        <v>1275</v>
      </c>
      <c r="L205" s="2" t="s">
        <v>1274</v>
      </c>
      <c r="M205" t="str">
        <f t="shared" ref="M205:AB205" si="816">CONCATENATE("&lt;/li&gt;&lt;li&gt;&lt;a href=|http://",M1191,"/joshua/18.htm","| ","title=|",M1190,"| target=|_top|&gt;",M1192,"&lt;/a&gt;")</f>
        <v>&lt;/li&gt;&lt;li&gt;&lt;a href=|http://niv.scripturetext.com/joshua/18.htm| title=|New International Version| target=|_top|&gt;NIV&lt;/a&gt;</v>
      </c>
      <c r="N205" t="str">
        <f t="shared" si="816"/>
        <v>&lt;/li&gt;&lt;li&gt;&lt;a href=|http://nlt.scripturetext.com/joshua/18.htm| title=|New Living Translation| target=|_top|&gt;NLT&lt;/a&gt;</v>
      </c>
      <c r="O205" t="str">
        <f t="shared" si="816"/>
        <v>&lt;/li&gt;&lt;li&gt;&lt;a href=|http://nasb.scripturetext.com/joshua/18.htm| title=|New American Standard Bible| target=|_top|&gt;NAS&lt;/a&gt;</v>
      </c>
      <c r="P205" t="str">
        <f t="shared" si="816"/>
        <v>&lt;/li&gt;&lt;li&gt;&lt;a href=|http://gwt.scripturetext.com/joshua/18.htm| title=|God's Word Translation| target=|_top|&gt;GWT&lt;/a&gt;</v>
      </c>
      <c r="Q205" t="str">
        <f t="shared" si="816"/>
        <v>&lt;/li&gt;&lt;li&gt;&lt;a href=|http://kingjbible.com/joshua/18.htm| title=|King James Bible| target=|_top|&gt;KJV&lt;/a&gt;</v>
      </c>
      <c r="R205" t="str">
        <f t="shared" si="816"/>
        <v>&lt;/li&gt;&lt;li&gt;&lt;a href=|http://asvbible.com/joshua/18.htm| title=|American Standard Version| target=|_top|&gt;ASV&lt;/a&gt;</v>
      </c>
      <c r="S205" t="str">
        <f t="shared" si="816"/>
        <v>&lt;/li&gt;&lt;li&gt;&lt;a href=|http://drb.scripturetext.com/joshua/18.htm| title=|Douay-Rheims Bible| target=|_top|&gt;DRB&lt;/a&gt;</v>
      </c>
      <c r="T205" t="str">
        <f t="shared" si="816"/>
        <v>&lt;/li&gt;&lt;li&gt;&lt;a href=|http://erv.scripturetext.com/joshua/18.htm| title=|English Revised Version| target=|_top|&gt;ERV&lt;/a&gt;</v>
      </c>
      <c r="V205" t="str">
        <f>CONCATENATE("&lt;/li&gt;&lt;li&gt;&lt;a href=|http://",V1191,"/joshua/18.htm","| ","title=|",V1190,"| target=|_top|&gt;",V1192,"&lt;/a&gt;")</f>
        <v>&lt;/li&gt;&lt;li&gt;&lt;a href=|http://study.interlinearbible.org/joshua/18.htm| title=|Hebrew Study Bible| target=|_top|&gt;Heb Study&lt;/a&gt;</v>
      </c>
      <c r="W205" t="str">
        <f t="shared" si="816"/>
        <v>&lt;/li&gt;&lt;li&gt;&lt;a href=|http://apostolic.interlinearbible.org/joshua/18.htm| title=|Apostolic Bible Polyglot Interlinear| target=|_top|&gt;Polyglot&lt;/a&gt;</v>
      </c>
      <c r="X205" t="str">
        <f t="shared" si="816"/>
        <v>&lt;/li&gt;&lt;li&gt;&lt;a href=|http://interlinearbible.org/joshua/18.htm| title=|Interlinear Bible| target=|_top|&gt;Interlin&lt;/a&gt;</v>
      </c>
      <c r="Y205" t="str">
        <f t="shared" ref="Y205" si="817">CONCATENATE("&lt;/li&gt;&lt;li&gt;&lt;a href=|http://",Y1191,"/joshua/18.htm","| ","title=|",Y1190,"| target=|_top|&gt;",Y1192,"&lt;/a&gt;")</f>
        <v>&lt;/li&gt;&lt;li&gt;&lt;a href=|http://bibleoutline.org/joshua/18.htm| title=|Outline with People and Places List| target=|_top|&gt;Outline&lt;/a&gt;</v>
      </c>
      <c r="Z205" t="str">
        <f t="shared" si="816"/>
        <v>&lt;/li&gt;&lt;li&gt;&lt;a href=|http://kjvs.scripturetext.com/joshua/18.htm| title=|King James Bible with Strong's Numbers| target=|_top|&gt;Strong's&lt;/a&gt;</v>
      </c>
      <c r="AA205" t="str">
        <f t="shared" si="816"/>
        <v>&lt;/li&gt;&lt;li&gt;&lt;a href=|http://childrensbibleonline.com/joshua/18.htm| title=|The Children's Bible| target=|_top|&gt;Children's&lt;/a&gt;</v>
      </c>
      <c r="AB205" s="2" t="str">
        <f t="shared" si="816"/>
        <v>&lt;/li&gt;&lt;li&gt;&lt;a href=|http://tsk.scripturetext.com/joshua/18.htm| title=|Treasury of Scripture Knowledge| target=|_top|&gt;TSK&lt;/a&gt;</v>
      </c>
      <c r="AC205" t="str">
        <f>CONCATENATE("&lt;a href=|http://",AC1191,"/joshua/18.htm","| ","title=|",AC1190,"| target=|_top|&gt;",AC1192,"&lt;/a&gt;")</f>
        <v>&lt;a href=|http://parallelbible.com/joshua/18.htm| title=|Parallel Chapters| target=|_top|&gt;PAR&lt;/a&gt;</v>
      </c>
      <c r="AD205" s="2" t="str">
        <f t="shared" ref="AD205:AK205" si="818">CONCATENATE("&lt;/li&gt;&lt;li&gt;&lt;a href=|http://",AD1191,"/joshua/18.htm","| ","title=|",AD1190,"| target=|_top|&gt;",AD1192,"&lt;/a&gt;")</f>
        <v>&lt;/li&gt;&lt;li&gt;&lt;a href=|http://gsb.biblecommenter.com/joshua/18.htm| title=|Geneva Study Bible| target=|_top|&gt;GSB&lt;/a&gt;</v>
      </c>
      <c r="AE205" s="2" t="str">
        <f t="shared" si="818"/>
        <v>&lt;/li&gt;&lt;li&gt;&lt;a href=|http://jfb.biblecommenter.com/joshua/18.htm| title=|Jamieson-Fausset-Brown Bible Commentary| target=|_top|&gt;JFB&lt;/a&gt;</v>
      </c>
      <c r="AF205" s="2" t="str">
        <f t="shared" si="818"/>
        <v>&lt;/li&gt;&lt;li&gt;&lt;a href=|http://kjt.biblecommenter.com/joshua/18.htm| title=|King James Translators' Notes| target=|_top|&gt;KJT&lt;/a&gt;</v>
      </c>
      <c r="AG205" s="2" t="str">
        <f t="shared" si="818"/>
        <v>&lt;/li&gt;&lt;li&gt;&lt;a href=|http://mhc.biblecommenter.com/joshua/18.htm| title=|Matthew Henry's Concise Commentary| target=|_top|&gt;MHC&lt;/a&gt;</v>
      </c>
      <c r="AH205" s="2" t="str">
        <f t="shared" si="818"/>
        <v>&lt;/li&gt;&lt;li&gt;&lt;a href=|http://sco.biblecommenter.com/joshua/18.htm| title=|Scofield Reference Notes| target=|_top|&gt;SCO&lt;/a&gt;</v>
      </c>
      <c r="AI205" s="2" t="str">
        <f t="shared" si="818"/>
        <v>&lt;/li&gt;&lt;li&gt;&lt;a href=|http://wes.biblecommenter.com/joshua/18.htm| title=|Wesley's Notes on the Bible| target=|_top|&gt;WES&lt;/a&gt;</v>
      </c>
      <c r="AJ205" t="str">
        <f t="shared" si="818"/>
        <v>&lt;/li&gt;&lt;li&gt;&lt;a href=|http://worldebible.com/joshua/18.htm| title=|World English Bible| target=|_top|&gt;WEB&lt;/a&gt;</v>
      </c>
      <c r="AK205" t="str">
        <f t="shared" si="818"/>
        <v>&lt;/li&gt;&lt;li&gt;&lt;a href=|http://yltbible.com/joshua/18.htm| title=|Young's Literal Translation| target=|_top|&gt;YLT&lt;/a&gt;</v>
      </c>
      <c r="AL205" t="str">
        <f>CONCATENATE("&lt;a href=|http://",AL1191,"/joshua/18.htm","| ","title=|",AL1190,"| target=|_top|&gt;",AL1192,"&lt;/a&gt;")</f>
        <v>&lt;a href=|http://kjv.us/joshua/18.htm| title=|American King James Version| target=|_top|&gt;AKJ&lt;/a&gt;</v>
      </c>
      <c r="AM205" t="str">
        <f t="shared" ref="AM205:AN205" si="819">CONCATENATE("&lt;/li&gt;&lt;li&gt;&lt;a href=|http://",AM1191,"/joshua/18.htm","| ","title=|",AM1190,"| target=|_top|&gt;",AM1192,"&lt;/a&gt;")</f>
        <v>&lt;/li&gt;&lt;li&gt;&lt;a href=|http://basicenglishbible.com/joshua/18.htm| title=|Bible in Basic English| target=|_top|&gt;BBE&lt;/a&gt;</v>
      </c>
      <c r="AN205" t="str">
        <f t="shared" si="819"/>
        <v>&lt;/li&gt;&lt;li&gt;&lt;a href=|http://darbybible.com/joshua/18.htm| title=|Darby Bible Translation| target=|_top|&gt;DBY&lt;/a&gt;</v>
      </c>
      <c r="AO20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0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0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05" t="str">
        <f>CONCATENATE("&lt;/li&gt;&lt;li&gt;&lt;a href=|http://",AR1191,"/joshua/18.htm","| ","title=|",AR1190,"| target=|_top|&gt;",AR1192,"&lt;/a&gt;")</f>
        <v>&lt;/li&gt;&lt;li&gt;&lt;a href=|http://websterbible.com/joshua/18.htm| title=|Webster's Bible Translation| target=|_top|&gt;WBS&lt;/a&gt;</v>
      </c>
      <c r="AS20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05" t="str">
        <f>CONCATENATE("&lt;/li&gt;&lt;li&gt;&lt;a href=|http://",AT1191,"/joshua/18-1.htm","| ","title=|",AT1190,"| target=|_top|&gt;",AT1192,"&lt;/a&gt;")</f>
        <v>&lt;/li&gt;&lt;li&gt;&lt;a href=|http://biblebrowser.com/joshua/18-1.htm| title=|Split View| target=|_top|&gt;Split&lt;/a&gt;</v>
      </c>
      <c r="AU205" s="2" t="s">
        <v>1276</v>
      </c>
      <c r="AV205" t="s">
        <v>64</v>
      </c>
    </row>
    <row r="206" spans="1:48">
      <c r="A206" t="s">
        <v>622</v>
      </c>
      <c r="B206" t="s">
        <v>259</v>
      </c>
      <c r="C206" t="s">
        <v>624</v>
      </c>
      <c r="D206" t="s">
        <v>1268</v>
      </c>
      <c r="E206" t="s">
        <v>1277</v>
      </c>
      <c r="F206" t="s">
        <v>1304</v>
      </c>
      <c r="G206" t="s">
        <v>1266</v>
      </c>
      <c r="H206" t="s">
        <v>1305</v>
      </c>
      <c r="I206" t="s">
        <v>1303</v>
      </c>
      <c r="J206" t="s">
        <v>1267</v>
      </c>
      <c r="K206" t="s">
        <v>1275</v>
      </c>
      <c r="L206" s="2" t="s">
        <v>1274</v>
      </c>
      <c r="M206" t="str">
        <f t="shared" ref="M206:AB206" si="820">CONCATENATE("&lt;/li&gt;&lt;li&gt;&lt;a href=|http://",M1191,"/joshua/19.htm","| ","title=|",M1190,"| target=|_top|&gt;",M1192,"&lt;/a&gt;")</f>
        <v>&lt;/li&gt;&lt;li&gt;&lt;a href=|http://niv.scripturetext.com/joshua/19.htm| title=|New International Version| target=|_top|&gt;NIV&lt;/a&gt;</v>
      </c>
      <c r="N206" t="str">
        <f t="shared" si="820"/>
        <v>&lt;/li&gt;&lt;li&gt;&lt;a href=|http://nlt.scripturetext.com/joshua/19.htm| title=|New Living Translation| target=|_top|&gt;NLT&lt;/a&gt;</v>
      </c>
      <c r="O206" t="str">
        <f t="shared" si="820"/>
        <v>&lt;/li&gt;&lt;li&gt;&lt;a href=|http://nasb.scripturetext.com/joshua/19.htm| title=|New American Standard Bible| target=|_top|&gt;NAS&lt;/a&gt;</v>
      </c>
      <c r="P206" t="str">
        <f t="shared" si="820"/>
        <v>&lt;/li&gt;&lt;li&gt;&lt;a href=|http://gwt.scripturetext.com/joshua/19.htm| title=|God's Word Translation| target=|_top|&gt;GWT&lt;/a&gt;</v>
      </c>
      <c r="Q206" t="str">
        <f t="shared" si="820"/>
        <v>&lt;/li&gt;&lt;li&gt;&lt;a href=|http://kingjbible.com/joshua/19.htm| title=|King James Bible| target=|_top|&gt;KJV&lt;/a&gt;</v>
      </c>
      <c r="R206" t="str">
        <f t="shared" si="820"/>
        <v>&lt;/li&gt;&lt;li&gt;&lt;a href=|http://asvbible.com/joshua/19.htm| title=|American Standard Version| target=|_top|&gt;ASV&lt;/a&gt;</v>
      </c>
      <c r="S206" t="str">
        <f t="shared" si="820"/>
        <v>&lt;/li&gt;&lt;li&gt;&lt;a href=|http://drb.scripturetext.com/joshua/19.htm| title=|Douay-Rheims Bible| target=|_top|&gt;DRB&lt;/a&gt;</v>
      </c>
      <c r="T206" t="str">
        <f t="shared" si="820"/>
        <v>&lt;/li&gt;&lt;li&gt;&lt;a href=|http://erv.scripturetext.com/joshua/19.htm| title=|English Revised Version| target=|_top|&gt;ERV&lt;/a&gt;</v>
      </c>
      <c r="V206" t="str">
        <f>CONCATENATE("&lt;/li&gt;&lt;li&gt;&lt;a href=|http://",V1191,"/joshua/19.htm","| ","title=|",V1190,"| target=|_top|&gt;",V1192,"&lt;/a&gt;")</f>
        <v>&lt;/li&gt;&lt;li&gt;&lt;a href=|http://study.interlinearbible.org/joshua/19.htm| title=|Hebrew Study Bible| target=|_top|&gt;Heb Study&lt;/a&gt;</v>
      </c>
      <c r="W206" t="str">
        <f t="shared" si="820"/>
        <v>&lt;/li&gt;&lt;li&gt;&lt;a href=|http://apostolic.interlinearbible.org/joshua/19.htm| title=|Apostolic Bible Polyglot Interlinear| target=|_top|&gt;Polyglot&lt;/a&gt;</v>
      </c>
      <c r="X206" t="str">
        <f t="shared" si="820"/>
        <v>&lt;/li&gt;&lt;li&gt;&lt;a href=|http://interlinearbible.org/joshua/19.htm| title=|Interlinear Bible| target=|_top|&gt;Interlin&lt;/a&gt;</v>
      </c>
      <c r="Y206" t="str">
        <f t="shared" ref="Y206" si="821">CONCATENATE("&lt;/li&gt;&lt;li&gt;&lt;a href=|http://",Y1191,"/joshua/19.htm","| ","title=|",Y1190,"| target=|_top|&gt;",Y1192,"&lt;/a&gt;")</f>
        <v>&lt;/li&gt;&lt;li&gt;&lt;a href=|http://bibleoutline.org/joshua/19.htm| title=|Outline with People and Places List| target=|_top|&gt;Outline&lt;/a&gt;</v>
      </c>
      <c r="Z206" t="str">
        <f t="shared" si="820"/>
        <v>&lt;/li&gt;&lt;li&gt;&lt;a href=|http://kjvs.scripturetext.com/joshua/19.htm| title=|King James Bible with Strong's Numbers| target=|_top|&gt;Strong's&lt;/a&gt;</v>
      </c>
      <c r="AA206" t="str">
        <f t="shared" si="820"/>
        <v>&lt;/li&gt;&lt;li&gt;&lt;a href=|http://childrensbibleonline.com/joshua/19.htm| title=|The Children's Bible| target=|_top|&gt;Children's&lt;/a&gt;</v>
      </c>
      <c r="AB206" s="2" t="str">
        <f t="shared" si="820"/>
        <v>&lt;/li&gt;&lt;li&gt;&lt;a href=|http://tsk.scripturetext.com/joshua/19.htm| title=|Treasury of Scripture Knowledge| target=|_top|&gt;TSK&lt;/a&gt;</v>
      </c>
      <c r="AC206" t="str">
        <f>CONCATENATE("&lt;a href=|http://",AC1191,"/joshua/19.htm","| ","title=|",AC1190,"| target=|_top|&gt;",AC1192,"&lt;/a&gt;")</f>
        <v>&lt;a href=|http://parallelbible.com/joshua/19.htm| title=|Parallel Chapters| target=|_top|&gt;PAR&lt;/a&gt;</v>
      </c>
      <c r="AD206" s="2" t="str">
        <f t="shared" ref="AD206:AK206" si="822">CONCATENATE("&lt;/li&gt;&lt;li&gt;&lt;a href=|http://",AD1191,"/joshua/19.htm","| ","title=|",AD1190,"| target=|_top|&gt;",AD1192,"&lt;/a&gt;")</f>
        <v>&lt;/li&gt;&lt;li&gt;&lt;a href=|http://gsb.biblecommenter.com/joshua/19.htm| title=|Geneva Study Bible| target=|_top|&gt;GSB&lt;/a&gt;</v>
      </c>
      <c r="AE206" s="2" t="str">
        <f t="shared" si="822"/>
        <v>&lt;/li&gt;&lt;li&gt;&lt;a href=|http://jfb.biblecommenter.com/joshua/19.htm| title=|Jamieson-Fausset-Brown Bible Commentary| target=|_top|&gt;JFB&lt;/a&gt;</v>
      </c>
      <c r="AF206" s="2" t="str">
        <f t="shared" si="822"/>
        <v>&lt;/li&gt;&lt;li&gt;&lt;a href=|http://kjt.biblecommenter.com/joshua/19.htm| title=|King James Translators' Notes| target=|_top|&gt;KJT&lt;/a&gt;</v>
      </c>
      <c r="AG206" s="2" t="str">
        <f t="shared" si="822"/>
        <v>&lt;/li&gt;&lt;li&gt;&lt;a href=|http://mhc.biblecommenter.com/joshua/19.htm| title=|Matthew Henry's Concise Commentary| target=|_top|&gt;MHC&lt;/a&gt;</v>
      </c>
      <c r="AH206" s="2" t="str">
        <f t="shared" si="822"/>
        <v>&lt;/li&gt;&lt;li&gt;&lt;a href=|http://sco.biblecommenter.com/joshua/19.htm| title=|Scofield Reference Notes| target=|_top|&gt;SCO&lt;/a&gt;</v>
      </c>
      <c r="AI206" s="2" t="str">
        <f t="shared" si="822"/>
        <v>&lt;/li&gt;&lt;li&gt;&lt;a href=|http://wes.biblecommenter.com/joshua/19.htm| title=|Wesley's Notes on the Bible| target=|_top|&gt;WES&lt;/a&gt;</v>
      </c>
      <c r="AJ206" t="str">
        <f t="shared" si="822"/>
        <v>&lt;/li&gt;&lt;li&gt;&lt;a href=|http://worldebible.com/joshua/19.htm| title=|World English Bible| target=|_top|&gt;WEB&lt;/a&gt;</v>
      </c>
      <c r="AK206" t="str">
        <f t="shared" si="822"/>
        <v>&lt;/li&gt;&lt;li&gt;&lt;a href=|http://yltbible.com/joshua/19.htm| title=|Young's Literal Translation| target=|_top|&gt;YLT&lt;/a&gt;</v>
      </c>
      <c r="AL206" t="str">
        <f>CONCATENATE("&lt;a href=|http://",AL1191,"/joshua/19.htm","| ","title=|",AL1190,"| target=|_top|&gt;",AL1192,"&lt;/a&gt;")</f>
        <v>&lt;a href=|http://kjv.us/joshua/19.htm| title=|American King James Version| target=|_top|&gt;AKJ&lt;/a&gt;</v>
      </c>
      <c r="AM206" t="str">
        <f t="shared" ref="AM206:AN206" si="823">CONCATENATE("&lt;/li&gt;&lt;li&gt;&lt;a href=|http://",AM1191,"/joshua/19.htm","| ","title=|",AM1190,"| target=|_top|&gt;",AM1192,"&lt;/a&gt;")</f>
        <v>&lt;/li&gt;&lt;li&gt;&lt;a href=|http://basicenglishbible.com/joshua/19.htm| title=|Bible in Basic English| target=|_top|&gt;BBE&lt;/a&gt;</v>
      </c>
      <c r="AN206" t="str">
        <f t="shared" si="823"/>
        <v>&lt;/li&gt;&lt;li&gt;&lt;a href=|http://darbybible.com/joshua/19.htm| title=|Darby Bible Translation| target=|_top|&gt;DBY&lt;/a&gt;</v>
      </c>
      <c r="AO20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0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0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06" t="str">
        <f>CONCATENATE("&lt;/li&gt;&lt;li&gt;&lt;a href=|http://",AR1191,"/joshua/19.htm","| ","title=|",AR1190,"| target=|_top|&gt;",AR1192,"&lt;/a&gt;")</f>
        <v>&lt;/li&gt;&lt;li&gt;&lt;a href=|http://websterbible.com/joshua/19.htm| title=|Webster's Bible Translation| target=|_top|&gt;WBS&lt;/a&gt;</v>
      </c>
      <c r="AS20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06" t="str">
        <f>CONCATENATE("&lt;/li&gt;&lt;li&gt;&lt;a href=|http://",AT1191,"/joshua/19-1.htm","| ","title=|",AT1190,"| target=|_top|&gt;",AT1192,"&lt;/a&gt;")</f>
        <v>&lt;/li&gt;&lt;li&gt;&lt;a href=|http://biblebrowser.com/joshua/19-1.htm| title=|Split View| target=|_top|&gt;Split&lt;/a&gt;</v>
      </c>
      <c r="AU206" s="2" t="s">
        <v>1276</v>
      </c>
      <c r="AV206" t="s">
        <v>64</v>
      </c>
    </row>
    <row r="207" spans="1:48">
      <c r="A207" t="s">
        <v>622</v>
      </c>
      <c r="B207" t="s">
        <v>260</v>
      </c>
      <c r="C207" t="s">
        <v>624</v>
      </c>
      <c r="D207" t="s">
        <v>1268</v>
      </c>
      <c r="E207" t="s">
        <v>1277</v>
      </c>
      <c r="F207" t="s">
        <v>1304</v>
      </c>
      <c r="G207" t="s">
        <v>1266</v>
      </c>
      <c r="H207" t="s">
        <v>1305</v>
      </c>
      <c r="I207" t="s">
        <v>1303</v>
      </c>
      <c r="J207" t="s">
        <v>1267</v>
      </c>
      <c r="K207" t="s">
        <v>1275</v>
      </c>
      <c r="L207" s="2" t="s">
        <v>1274</v>
      </c>
      <c r="M207" t="str">
        <f t="shared" ref="M207:AB207" si="824">CONCATENATE("&lt;/li&gt;&lt;li&gt;&lt;a href=|http://",M1191,"/joshua/20.htm","| ","title=|",M1190,"| target=|_top|&gt;",M1192,"&lt;/a&gt;")</f>
        <v>&lt;/li&gt;&lt;li&gt;&lt;a href=|http://niv.scripturetext.com/joshua/20.htm| title=|New International Version| target=|_top|&gt;NIV&lt;/a&gt;</v>
      </c>
      <c r="N207" t="str">
        <f t="shared" si="824"/>
        <v>&lt;/li&gt;&lt;li&gt;&lt;a href=|http://nlt.scripturetext.com/joshua/20.htm| title=|New Living Translation| target=|_top|&gt;NLT&lt;/a&gt;</v>
      </c>
      <c r="O207" t="str">
        <f t="shared" si="824"/>
        <v>&lt;/li&gt;&lt;li&gt;&lt;a href=|http://nasb.scripturetext.com/joshua/20.htm| title=|New American Standard Bible| target=|_top|&gt;NAS&lt;/a&gt;</v>
      </c>
      <c r="P207" t="str">
        <f t="shared" si="824"/>
        <v>&lt;/li&gt;&lt;li&gt;&lt;a href=|http://gwt.scripturetext.com/joshua/20.htm| title=|God's Word Translation| target=|_top|&gt;GWT&lt;/a&gt;</v>
      </c>
      <c r="Q207" t="str">
        <f t="shared" si="824"/>
        <v>&lt;/li&gt;&lt;li&gt;&lt;a href=|http://kingjbible.com/joshua/20.htm| title=|King James Bible| target=|_top|&gt;KJV&lt;/a&gt;</v>
      </c>
      <c r="R207" t="str">
        <f t="shared" si="824"/>
        <v>&lt;/li&gt;&lt;li&gt;&lt;a href=|http://asvbible.com/joshua/20.htm| title=|American Standard Version| target=|_top|&gt;ASV&lt;/a&gt;</v>
      </c>
      <c r="S207" t="str">
        <f t="shared" si="824"/>
        <v>&lt;/li&gt;&lt;li&gt;&lt;a href=|http://drb.scripturetext.com/joshua/20.htm| title=|Douay-Rheims Bible| target=|_top|&gt;DRB&lt;/a&gt;</v>
      </c>
      <c r="T207" t="str">
        <f t="shared" si="824"/>
        <v>&lt;/li&gt;&lt;li&gt;&lt;a href=|http://erv.scripturetext.com/joshua/20.htm| title=|English Revised Version| target=|_top|&gt;ERV&lt;/a&gt;</v>
      </c>
      <c r="V207" t="str">
        <f>CONCATENATE("&lt;/li&gt;&lt;li&gt;&lt;a href=|http://",V1191,"/joshua/20.htm","| ","title=|",V1190,"| target=|_top|&gt;",V1192,"&lt;/a&gt;")</f>
        <v>&lt;/li&gt;&lt;li&gt;&lt;a href=|http://study.interlinearbible.org/joshua/20.htm| title=|Hebrew Study Bible| target=|_top|&gt;Heb Study&lt;/a&gt;</v>
      </c>
      <c r="W207" t="str">
        <f t="shared" si="824"/>
        <v>&lt;/li&gt;&lt;li&gt;&lt;a href=|http://apostolic.interlinearbible.org/joshua/20.htm| title=|Apostolic Bible Polyglot Interlinear| target=|_top|&gt;Polyglot&lt;/a&gt;</v>
      </c>
      <c r="X207" t="str">
        <f t="shared" si="824"/>
        <v>&lt;/li&gt;&lt;li&gt;&lt;a href=|http://interlinearbible.org/joshua/20.htm| title=|Interlinear Bible| target=|_top|&gt;Interlin&lt;/a&gt;</v>
      </c>
      <c r="Y207" t="str">
        <f t="shared" ref="Y207" si="825">CONCATENATE("&lt;/li&gt;&lt;li&gt;&lt;a href=|http://",Y1191,"/joshua/20.htm","| ","title=|",Y1190,"| target=|_top|&gt;",Y1192,"&lt;/a&gt;")</f>
        <v>&lt;/li&gt;&lt;li&gt;&lt;a href=|http://bibleoutline.org/joshua/20.htm| title=|Outline with People and Places List| target=|_top|&gt;Outline&lt;/a&gt;</v>
      </c>
      <c r="Z207" t="str">
        <f t="shared" si="824"/>
        <v>&lt;/li&gt;&lt;li&gt;&lt;a href=|http://kjvs.scripturetext.com/joshua/20.htm| title=|King James Bible with Strong's Numbers| target=|_top|&gt;Strong's&lt;/a&gt;</v>
      </c>
      <c r="AA207" t="str">
        <f t="shared" si="824"/>
        <v>&lt;/li&gt;&lt;li&gt;&lt;a href=|http://childrensbibleonline.com/joshua/20.htm| title=|The Children's Bible| target=|_top|&gt;Children's&lt;/a&gt;</v>
      </c>
      <c r="AB207" s="2" t="str">
        <f t="shared" si="824"/>
        <v>&lt;/li&gt;&lt;li&gt;&lt;a href=|http://tsk.scripturetext.com/joshua/20.htm| title=|Treasury of Scripture Knowledge| target=|_top|&gt;TSK&lt;/a&gt;</v>
      </c>
      <c r="AC207" t="str">
        <f>CONCATENATE("&lt;a href=|http://",AC1191,"/joshua/20.htm","| ","title=|",AC1190,"| target=|_top|&gt;",AC1192,"&lt;/a&gt;")</f>
        <v>&lt;a href=|http://parallelbible.com/joshua/20.htm| title=|Parallel Chapters| target=|_top|&gt;PAR&lt;/a&gt;</v>
      </c>
      <c r="AD207" s="2" t="str">
        <f t="shared" ref="AD207:AK207" si="826">CONCATENATE("&lt;/li&gt;&lt;li&gt;&lt;a href=|http://",AD1191,"/joshua/20.htm","| ","title=|",AD1190,"| target=|_top|&gt;",AD1192,"&lt;/a&gt;")</f>
        <v>&lt;/li&gt;&lt;li&gt;&lt;a href=|http://gsb.biblecommenter.com/joshua/20.htm| title=|Geneva Study Bible| target=|_top|&gt;GSB&lt;/a&gt;</v>
      </c>
      <c r="AE207" s="2" t="str">
        <f t="shared" si="826"/>
        <v>&lt;/li&gt;&lt;li&gt;&lt;a href=|http://jfb.biblecommenter.com/joshua/20.htm| title=|Jamieson-Fausset-Brown Bible Commentary| target=|_top|&gt;JFB&lt;/a&gt;</v>
      </c>
      <c r="AF207" s="2" t="str">
        <f t="shared" si="826"/>
        <v>&lt;/li&gt;&lt;li&gt;&lt;a href=|http://kjt.biblecommenter.com/joshua/20.htm| title=|King James Translators' Notes| target=|_top|&gt;KJT&lt;/a&gt;</v>
      </c>
      <c r="AG207" s="2" t="str">
        <f t="shared" si="826"/>
        <v>&lt;/li&gt;&lt;li&gt;&lt;a href=|http://mhc.biblecommenter.com/joshua/20.htm| title=|Matthew Henry's Concise Commentary| target=|_top|&gt;MHC&lt;/a&gt;</v>
      </c>
      <c r="AH207" s="2" t="str">
        <f t="shared" si="826"/>
        <v>&lt;/li&gt;&lt;li&gt;&lt;a href=|http://sco.biblecommenter.com/joshua/20.htm| title=|Scofield Reference Notes| target=|_top|&gt;SCO&lt;/a&gt;</v>
      </c>
      <c r="AI207" s="2" t="str">
        <f t="shared" si="826"/>
        <v>&lt;/li&gt;&lt;li&gt;&lt;a href=|http://wes.biblecommenter.com/joshua/20.htm| title=|Wesley's Notes on the Bible| target=|_top|&gt;WES&lt;/a&gt;</v>
      </c>
      <c r="AJ207" t="str">
        <f t="shared" si="826"/>
        <v>&lt;/li&gt;&lt;li&gt;&lt;a href=|http://worldebible.com/joshua/20.htm| title=|World English Bible| target=|_top|&gt;WEB&lt;/a&gt;</v>
      </c>
      <c r="AK207" t="str">
        <f t="shared" si="826"/>
        <v>&lt;/li&gt;&lt;li&gt;&lt;a href=|http://yltbible.com/joshua/20.htm| title=|Young's Literal Translation| target=|_top|&gt;YLT&lt;/a&gt;</v>
      </c>
      <c r="AL207" t="str">
        <f>CONCATENATE("&lt;a href=|http://",AL1191,"/joshua/20.htm","| ","title=|",AL1190,"| target=|_top|&gt;",AL1192,"&lt;/a&gt;")</f>
        <v>&lt;a href=|http://kjv.us/joshua/20.htm| title=|American King James Version| target=|_top|&gt;AKJ&lt;/a&gt;</v>
      </c>
      <c r="AM207" t="str">
        <f t="shared" ref="AM207:AN207" si="827">CONCATENATE("&lt;/li&gt;&lt;li&gt;&lt;a href=|http://",AM1191,"/joshua/20.htm","| ","title=|",AM1190,"| target=|_top|&gt;",AM1192,"&lt;/a&gt;")</f>
        <v>&lt;/li&gt;&lt;li&gt;&lt;a href=|http://basicenglishbible.com/joshua/20.htm| title=|Bible in Basic English| target=|_top|&gt;BBE&lt;/a&gt;</v>
      </c>
      <c r="AN207" t="str">
        <f t="shared" si="827"/>
        <v>&lt;/li&gt;&lt;li&gt;&lt;a href=|http://darbybible.com/joshua/20.htm| title=|Darby Bible Translation| target=|_top|&gt;DBY&lt;/a&gt;</v>
      </c>
      <c r="AO20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0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0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07" t="str">
        <f>CONCATENATE("&lt;/li&gt;&lt;li&gt;&lt;a href=|http://",AR1191,"/joshua/20.htm","| ","title=|",AR1190,"| target=|_top|&gt;",AR1192,"&lt;/a&gt;")</f>
        <v>&lt;/li&gt;&lt;li&gt;&lt;a href=|http://websterbible.com/joshua/20.htm| title=|Webster's Bible Translation| target=|_top|&gt;WBS&lt;/a&gt;</v>
      </c>
      <c r="AS20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07" t="str">
        <f>CONCATENATE("&lt;/li&gt;&lt;li&gt;&lt;a href=|http://",AT1191,"/joshua/20-1.htm","| ","title=|",AT1190,"| target=|_top|&gt;",AT1192,"&lt;/a&gt;")</f>
        <v>&lt;/li&gt;&lt;li&gt;&lt;a href=|http://biblebrowser.com/joshua/20-1.htm| title=|Split View| target=|_top|&gt;Split&lt;/a&gt;</v>
      </c>
      <c r="AU207" s="2" t="s">
        <v>1276</v>
      </c>
      <c r="AV207" t="s">
        <v>64</v>
      </c>
    </row>
    <row r="208" spans="1:48">
      <c r="A208" t="s">
        <v>622</v>
      </c>
      <c r="B208" t="s">
        <v>261</v>
      </c>
      <c r="C208" t="s">
        <v>624</v>
      </c>
      <c r="D208" t="s">
        <v>1268</v>
      </c>
      <c r="E208" t="s">
        <v>1277</v>
      </c>
      <c r="F208" t="s">
        <v>1304</v>
      </c>
      <c r="G208" t="s">
        <v>1266</v>
      </c>
      <c r="H208" t="s">
        <v>1305</v>
      </c>
      <c r="I208" t="s">
        <v>1303</v>
      </c>
      <c r="J208" t="s">
        <v>1267</v>
      </c>
      <c r="K208" t="s">
        <v>1275</v>
      </c>
      <c r="L208" s="2" t="s">
        <v>1274</v>
      </c>
      <c r="M208" t="str">
        <f t="shared" ref="M208:AB208" si="828">CONCATENATE("&lt;/li&gt;&lt;li&gt;&lt;a href=|http://",M1191,"/joshua/21.htm","| ","title=|",M1190,"| target=|_top|&gt;",M1192,"&lt;/a&gt;")</f>
        <v>&lt;/li&gt;&lt;li&gt;&lt;a href=|http://niv.scripturetext.com/joshua/21.htm| title=|New International Version| target=|_top|&gt;NIV&lt;/a&gt;</v>
      </c>
      <c r="N208" t="str">
        <f t="shared" si="828"/>
        <v>&lt;/li&gt;&lt;li&gt;&lt;a href=|http://nlt.scripturetext.com/joshua/21.htm| title=|New Living Translation| target=|_top|&gt;NLT&lt;/a&gt;</v>
      </c>
      <c r="O208" t="str">
        <f t="shared" si="828"/>
        <v>&lt;/li&gt;&lt;li&gt;&lt;a href=|http://nasb.scripturetext.com/joshua/21.htm| title=|New American Standard Bible| target=|_top|&gt;NAS&lt;/a&gt;</v>
      </c>
      <c r="P208" t="str">
        <f t="shared" si="828"/>
        <v>&lt;/li&gt;&lt;li&gt;&lt;a href=|http://gwt.scripturetext.com/joshua/21.htm| title=|God's Word Translation| target=|_top|&gt;GWT&lt;/a&gt;</v>
      </c>
      <c r="Q208" t="str">
        <f t="shared" si="828"/>
        <v>&lt;/li&gt;&lt;li&gt;&lt;a href=|http://kingjbible.com/joshua/21.htm| title=|King James Bible| target=|_top|&gt;KJV&lt;/a&gt;</v>
      </c>
      <c r="R208" t="str">
        <f t="shared" si="828"/>
        <v>&lt;/li&gt;&lt;li&gt;&lt;a href=|http://asvbible.com/joshua/21.htm| title=|American Standard Version| target=|_top|&gt;ASV&lt;/a&gt;</v>
      </c>
      <c r="S208" t="str">
        <f t="shared" si="828"/>
        <v>&lt;/li&gt;&lt;li&gt;&lt;a href=|http://drb.scripturetext.com/joshua/21.htm| title=|Douay-Rheims Bible| target=|_top|&gt;DRB&lt;/a&gt;</v>
      </c>
      <c r="T208" t="str">
        <f t="shared" si="828"/>
        <v>&lt;/li&gt;&lt;li&gt;&lt;a href=|http://erv.scripturetext.com/joshua/21.htm| title=|English Revised Version| target=|_top|&gt;ERV&lt;/a&gt;</v>
      </c>
      <c r="V208" t="str">
        <f>CONCATENATE("&lt;/li&gt;&lt;li&gt;&lt;a href=|http://",V1191,"/joshua/21.htm","| ","title=|",V1190,"| target=|_top|&gt;",V1192,"&lt;/a&gt;")</f>
        <v>&lt;/li&gt;&lt;li&gt;&lt;a href=|http://study.interlinearbible.org/joshua/21.htm| title=|Hebrew Study Bible| target=|_top|&gt;Heb Study&lt;/a&gt;</v>
      </c>
      <c r="W208" t="str">
        <f t="shared" si="828"/>
        <v>&lt;/li&gt;&lt;li&gt;&lt;a href=|http://apostolic.interlinearbible.org/joshua/21.htm| title=|Apostolic Bible Polyglot Interlinear| target=|_top|&gt;Polyglot&lt;/a&gt;</v>
      </c>
      <c r="X208" t="str">
        <f t="shared" si="828"/>
        <v>&lt;/li&gt;&lt;li&gt;&lt;a href=|http://interlinearbible.org/joshua/21.htm| title=|Interlinear Bible| target=|_top|&gt;Interlin&lt;/a&gt;</v>
      </c>
      <c r="Y208" t="str">
        <f t="shared" ref="Y208" si="829">CONCATENATE("&lt;/li&gt;&lt;li&gt;&lt;a href=|http://",Y1191,"/joshua/21.htm","| ","title=|",Y1190,"| target=|_top|&gt;",Y1192,"&lt;/a&gt;")</f>
        <v>&lt;/li&gt;&lt;li&gt;&lt;a href=|http://bibleoutline.org/joshua/21.htm| title=|Outline with People and Places List| target=|_top|&gt;Outline&lt;/a&gt;</v>
      </c>
      <c r="Z208" t="str">
        <f t="shared" si="828"/>
        <v>&lt;/li&gt;&lt;li&gt;&lt;a href=|http://kjvs.scripturetext.com/joshua/21.htm| title=|King James Bible with Strong's Numbers| target=|_top|&gt;Strong's&lt;/a&gt;</v>
      </c>
      <c r="AA208" t="str">
        <f t="shared" si="828"/>
        <v>&lt;/li&gt;&lt;li&gt;&lt;a href=|http://childrensbibleonline.com/joshua/21.htm| title=|The Children's Bible| target=|_top|&gt;Children's&lt;/a&gt;</v>
      </c>
      <c r="AB208" s="2" t="str">
        <f t="shared" si="828"/>
        <v>&lt;/li&gt;&lt;li&gt;&lt;a href=|http://tsk.scripturetext.com/joshua/21.htm| title=|Treasury of Scripture Knowledge| target=|_top|&gt;TSK&lt;/a&gt;</v>
      </c>
      <c r="AC208" t="str">
        <f>CONCATENATE("&lt;a href=|http://",AC1191,"/joshua/21.htm","| ","title=|",AC1190,"| target=|_top|&gt;",AC1192,"&lt;/a&gt;")</f>
        <v>&lt;a href=|http://parallelbible.com/joshua/21.htm| title=|Parallel Chapters| target=|_top|&gt;PAR&lt;/a&gt;</v>
      </c>
      <c r="AD208" s="2" t="str">
        <f t="shared" ref="AD208:AK208" si="830">CONCATENATE("&lt;/li&gt;&lt;li&gt;&lt;a href=|http://",AD1191,"/joshua/21.htm","| ","title=|",AD1190,"| target=|_top|&gt;",AD1192,"&lt;/a&gt;")</f>
        <v>&lt;/li&gt;&lt;li&gt;&lt;a href=|http://gsb.biblecommenter.com/joshua/21.htm| title=|Geneva Study Bible| target=|_top|&gt;GSB&lt;/a&gt;</v>
      </c>
      <c r="AE208" s="2" t="str">
        <f t="shared" si="830"/>
        <v>&lt;/li&gt;&lt;li&gt;&lt;a href=|http://jfb.biblecommenter.com/joshua/21.htm| title=|Jamieson-Fausset-Brown Bible Commentary| target=|_top|&gt;JFB&lt;/a&gt;</v>
      </c>
      <c r="AF208" s="2" t="str">
        <f t="shared" si="830"/>
        <v>&lt;/li&gt;&lt;li&gt;&lt;a href=|http://kjt.biblecommenter.com/joshua/21.htm| title=|King James Translators' Notes| target=|_top|&gt;KJT&lt;/a&gt;</v>
      </c>
      <c r="AG208" s="2" t="str">
        <f t="shared" si="830"/>
        <v>&lt;/li&gt;&lt;li&gt;&lt;a href=|http://mhc.biblecommenter.com/joshua/21.htm| title=|Matthew Henry's Concise Commentary| target=|_top|&gt;MHC&lt;/a&gt;</v>
      </c>
      <c r="AH208" s="2" t="str">
        <f t="shared" si="830"/>
        <v>&lt;/li&gt;&lt;li&gt;&lt;a href=|http://sco.biblecommenter.com/joshua/21.htm| title=|Scofield Reference Notes| target=|_top|&gt;SCO&lt;/a&gt;</v>
      </c>
      <c r="AI208" s="2" t="str">
        <f t="shared" si="830"/>
        <v>&lt;/li&gt;&lt;li&gt;&lt;a href=|http://wes.biblecommenter.com/joshua/21.htm| title=|Wesley's Notes on the Bible| target=|_top|&gt;WES&lt;/a&gt;</v>
      </c>
      <c r="AJ208" t="str">
        <f t="shared" si="830"/>
        <v>&lt;/li&gt;&lt;li&gt;&lt;a href=|http://worldebible.com/joshua/21.htm| title=|World English Bible| target=|_top|&gt;WEB&lt;/a&gt;</v>
      </c>
      <c r="AK208" t="str">
        <f t="shared" si="830"/>
        <v>&lt;/li&gt;&lt;li&gt;&lt;a href=|http://yltbible.com/joshua/21.htm| title=|Young's Literal Translation| target=|_top|&gt;YLT&lt;/a&gt;</v>
      </c>
      <c r="AL208" t="str">
        <f>CONCATENATE("&lt;a href=|http://",AL1191,"/joshua/21.htm","| ","title=|",AL1190,"| target=|_top|&gt;",AL1192,"&lt;/a&gt;")</f>
        <v>&lt;a href=|http://kjv.us/joshua/21.htm| title=|American King James Version| target=|_top|&gt;AKJ&lt;/a&gt;</v>
      </c>
      <c r="AM208" t="str">
        <f t="shared" ref="AM208:AN208" si="831">CONCATENATE("&lt;/li&gt;&lt;li&gt;&lt;a href=|http://",AM1191,"/joshua/21.htm","| ","title=|",AM1190,"| target=|_top|&gt;",AM1192,"&lt;/a&gt;")</f>
        <v>&lt;/li&gt;&lt;li&gt;&lt;a href=|http://basicenglishbible.com/joshua/21.htm| title=|Bible in Basic English| target=|_top|&gt;BBE&lt;/a&gt;</v>
      </c>
      <c r="AN208" t="str">
        <f t="shared" si="831"/>
        <v>&lt;/li&gt;&lt;li&gt;&lt;a href=|http://darbybible.com/joshua/21.htm| title=|Darby Bible Translation| target=|_top|&gt;DBY&lt;/a&gt;</v>
      </c>
      <c r="AO20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0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0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08" t="str">
        <f>CONCATENATE("&lt;/li&gt;&lt;li&gt;&lt;a href=|http://",AR1191,"/joshua/21.htm","| ","title=|",AR1190,"| target=|_top|&gt;",AR1192,"&lt;/a&gt;")</f>
        <v>&lt;/li&gt;&lt;li&gt;&lt;a href=|http://websterbible.com/joshua/21.htm| title=|Webster's Bible Translation| target=|_top|&gt;WBS&lt;/a&gt;</v>
      </c>
      <c r="AS20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08" t="str">
        <f>CONCATENATE("&lt;/li&gt;&lt;li&gt;&lt;a href=|http://",AT1191,"/joshua/21-1.htm","| ","title=|",AT1190,"| target=|_top|&gt;",AT1192,"&lt;/a&gt;")</f>
        <v>&lt;/li&gt;&lt;li&gt;&lt;a href=|http://biblebrowser.com/joshua/21-1.htm| title=|Split View| target=|_top|&gt;Split&lt;/a&gt;</v>
      </c>
      <c r="AU208" s="2" t="s">
        <v>1276</v>
      </c>
      <c r="AV208" t="s">
        <v>64</v>
      </c>
    </row>
    <row r="209" spans="1:48">
      <c r="A209" t="s">
        <v>622</v>
      </c>
      <c r="B209" t="s">
        <v>262</v>
      </c>
      <c r="C209" t="s">
        <v>624</v>
      </c>
      <c r="D209" t="s">
        <v>1268</v>
      </c>
      <c r="E209" t="s">
        <v>1277</v>
      </c>
      <c r="F209" t="s">
        <v>1304</v>
      </c>
      <c r="G209" t="s">
        <v>1266</v>
      </c>
      <c r="H209" t="s">
        <v>1305</v>
      </c>
      <c r="I209" t="s">
        <v>1303</v>
      </c>
      <c r="J209" t="s">
        <v>1267</v>
      </c>
      <c r="K209" t="s">
        <v>1275</v>
      </c>
      <c r="L209" s="2" t="s">
        <v>1274</v>
      </c>
      <c r="M209" t="str">
        <f t="shared" ref="M209:AB209" si="832">CONCATENATE("&lt;/li&gt;&lt;li&gt;&lt;a href=|http://",M1191,"/joshua/22.htm","| ","title=|",M1190,"| target=|_top|&gt;",M1192,"&lt;/a&gt;")</f>
        <v>&lt;/li&gt;&lt;li&gt;&lt;a href=|http://niv.scripturetext.com/joshua/22.htm| title=|New International Version| target=|_top|&gt;NIV&lt;/a&gt;</v>
      </c>
      <c r="N209" t="str">
        <f t="shared" si="832"/>
        <v>&lt;/li&gt;&lt;li&gt;&lt;a href=|http://nlt.scripturetext.com/joshua/22.htm| title=|New Living Translation| target=|_top|&gt;NLT&lt;/a&gt;</v>
      </c>
      <c r="O209" t="str">
        <f t="shared" si="832"/>
        <v>&lt;/li&gt;&lt;li&gt;&lt;a href=|http://nasb.scripturetext.com/joshua/22.htm| title=|New American Standard Bible| target=|_top|&gt;NAS&lt;/a&gt;</v>
      </c>
      <c r="P209" t="str">
        <f t="shared" si="832"/>
        <v>&lt;/li&gt;&lt;li&gt;&lt;a href=|http://gwt.scripturetext.com/joshua/22.htm| title=|God's Word Translation| target=|_top|&gt;GWT&lt;/a&gt;</v>
      </c>
      <c r="Q209" t="str">
        <f t="shared" si="832"/>
        <v>&lt;/li&gt;&lt;li&gt;&lt;a href=|http://kingjbible.com/joshua/22.htm| title=|King James Bible| target=|_top|&gt;KJV&lt;/a&gt;</v>
      </c>
      <c r="R209" t="str">
        <f t="shared" si="832"/>
        <v>&lt;/li&gt;&lt;li&gt;&lt;a href=|http://asvbible.com/joshua/22.htm| title=|American Standard Version| target=|_top|&gt;ASV&lt;/a&gt;</v>
      </c>
      <c r="S209" t="str">
        <f t="shared" si="832"/>
        <v>&lt;/li&gt;&lt;li&gt;&lt;a href=|http://drb.scripturetext.com/joshua/22.htm| title=|Douay-Rheims Bible| target=|_top|&gt;DRB&lt;/a&gt;</v>
      </c>
      <c r="T209" t="str">
        <f t="shared" si="832"/>
        <v>&lt;/li&gt;&lt;li&gt;&lt;a href=|http://erv.scripturetext.com/joshua/22.htm| title=|English Revised Version| target=|_top|&gt;ERV&lt;/a&gt;</v>
      </c>
      <c r="V209" t="str">
        <f>CONCATENATE("&lt;/li&gt;&lt;li&gt;&lt;a href=|http://",V1191,"/joshua/22.htm","| ","title=|",V1190,"| target=|_top|&gt;",V1192,"&lt;/a&gt;")</f>
        <v>&lt;/li&gt;&lt;li&gt;&lt;a href=|http://study.interlinearbible.org/joshua/22.htm| title=|Hebrew Study Bible| target=|_top|&gt;Heb Study&lt;/a&gt;</v>
      </c>
      <c r="W209" t="str">
        <f t="shared" si="832"/>
        <v>&lt;/li&gt;&lt;li&gt;&lt;a href=|http://apostolic.interlinearbible.org/joshua/22.htm| title=|Apostolic Bible Polyglot Interlinear| target=|_top|&gt;Polyglot&lt;/a&gt;</v>
      </c>
      <c r="X209" t="str">
        <f t="shared" si="832"/>
        <v>&lt;/li&gt;&lt;li&gt;&lt;a href=|http://interlinearbible.org/joshua/22.htm| title=|Interlinear Bible| target=|_top|&gt;Interlin&lt;/a&gt;</v>
      </c>
      <c r="Y209" t="str">
        <f t="shared" ref="Y209" si="833">CONCATENATE("&lt;/li&gt;&lt;li&gt;&lt;a href=|http://",Y1191,"/joshua/22.htm","| ","title=|",Y1190,"| target=|_top|&gt;",Y1192,"&lt;/a&gt;")</f>
        <v>&lt;/li&gt;&lt;li&gt;&lt;a href=|http://bibleoutline.org/joshua/22.htm| title=|Outline with People and Places List| target=|_top|&gt;Outline&lt;/a&gt;</v>
      </c>
      <c r="Z209" t="str">
        <f t="shared" si="832"/>
        <v>&lt;/li&gt;&lt;li&gt;&lt;a href=|http://kjvs.scripturetext.com/joshua/22.htm| title=|King James Bible with Strong's Numbers| target=|_top|&gt;Strong's&lt;/a&gt;</v>
      </c>
      <c r="AA209" t="str">
        <f t="shared" si="832"/>
        <v>&lt;/li&gt;&lt;li&gt;&lt;a href=|http://childrensbibleonline.com/joshua/22.htm| title=|The Children's Bible| target=|_top|&gt;Children's&lt;/a&gt;</v>
      </c>
      <c r="AB209" s="2" t="str">
        <f t="shared" si="832"/>
        <v>&lt;/li&gt;&lt;li&gt;&lt;a href=|http://tsk.scripturetext.com/joshua/22.htm| title=|Treasury of Scripture Knowledge| target=|_top|&gt;TSK&lt;/a&gt;</v>
      </c>
      <c r="AC209" t="str">
        <f>CONCATENATE("&lt;a href=|http://",AC1191,"/joshua/22.htm","| ","title=|",AC1190,"| target=|_top|&gt;",AC1192,"&lt;/a&gt;")</f>
        <v>&lt;a href=|http://parallelbible.com/joshua/22.htm| title=|Parallel Chapters| target=|_top|&gt;PAR&lt;/a&gt;</v>
      </c>
      <c r="AD209" s="2" t="str">
        <f t="shared" ref="AD209:AK209" si="834">CONCATENATE("&lt;/li&gt;&lt;li&gt;&lt;a href=|http://",AD1191,"/joshua/22.htm","| ","title=|",AD1190,"| target=|_top|&gt;",AD1192,"&lt;/a&gt;")</f>
        <v>&lt;/li&gt;&lt;li&gt;&lt;a href=|http://gsb.biblecommenter.com/joshua/22.htm| title=|Geneva Study Bible| target=|_top|&gt;GSB&lt;/a&gt;</v>
      </c>
      <c r="AE209" s="2" t="str">
        <f t="shared" si="834"/>
        <v>&lt;/li&gt;&lt;li&gt;&lt;a href=|http://jfb.biblecommenter.com/joshua/22.htm| title=|Jamieson-Fausset-Brown Bible Commentary| target=|_top|&gt;JFB&lt;/a&gt;</v>
      </c>
      <c r="AF209" s="2" t="str">
        <f t="shared" si="834"/>
        <v>&lt;/li&gt;&lt;li&gt;&lt;a href=|http://kjt.biblecommenter.com/joshua/22.htm| title=|King James Translators' Notes| target=|_top|&gt;KJT&lt;/a&gt;</v>
      </c>
      <c r="AG209" s="2" t="str">
        <f t="shared" si="834"/>
        <v>&lt;/li&gt;&lt;li&gt;&lt;a href=|http://mhc.biblecommenter.com/joshua/22.htm| title=|Matthew Henry's Concise Commentary| target=|_top|&gt;MHC&lt;/a&gt;</v>
      </c>
      <c r="AH209" s="2" t="str">
        <f t="shared" si="834"/>
        <v>&lt;/li&gt;&lt;li&gt;&lt;a href=|http://sco.biblecommenter.com/joshua/22.htm| title=|Scofield Reference Notes| target=|_top|&gt;SCO&lt;/a&gt;</v>
      </c>
      <c r="AI209" s="2" t="str">
        <f t="shared" si="834"/>
        <v>&lt;/li&gt;&lt;li&gt;&lt;a href=|http://wes.biblecommenter.com/joshua/22.htm| title=|Wesley's Notes on the Bible| target=|_top|&gt;WES&lt;/a&gt;</v>
      </c>
      <c r="AJ209" t="str">
        <f t="shared" si="834"/>
        <v>&lt;/li&gt;&lt;li&gt;&lt;a href=|http://worldebible.com/joshua/22.htm| title=|World English Bible| target=|_top|&gt;WEB&lt;/a&gt;</v>
      </c>
      <c r="AK209" t="str">
        <f t="shared" si="834"/>
        <v>&lt;/li&gt;&lt;li&gt;&lt;a href=|http://yltbible.com/joshua/22.htm| title=|Young's Literal Translation| target=|_top|&gt;YLT&lt;/a&gt;</v>
      </c>
      <c r="AL209" t="str">
        <f>CONCATENATE("&lt;a href=|http://",AL1191,"/joshua/22.htm","| ","title=|",AL1190,"| target=|_top|&gt;",AL1192,"&lt;/a&gt;")</f>
        <v>&lt;a href=|http://kjv.us/joshua/22.htm| title=|American King James Version| target=|_top|&gt;AKJ&lt;/a&gt;</v>
      </c>
      <c r="AM209" t="str">
        <f t="shared" ref="AM209:AN209" si="835">CONCATENATE("&lt;/li&gt;&lt;li&gt;&lt;a href=|http://",AM1191,"/joshua/22.htm","| ","title=|",AM1190,"| target=|_top|&gt;",AM1192,"&lt;/a&gt;")</f>
        <v>&lt;/li&gt;&lt;li&gt;&lt;a href=|http://basicenglishbible.com/joshua/22.htm| title=|Bible in Basic English| target=|_top|&gt;BBE&lt;/a&gt;</v>
      </c>
      <c r="AN209" t="str">
        <f t="shared" si="835"/>
        <v>&lt;/li&gt;&lt;li&gt;&lt;a href=|http://darbybible.com/joshua/22.htm| title=|Darby Bible Translation| target=|_top|&gt;DBY&lt;/a&gt;</v>
      </c>
      <c r="AO20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0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0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09" t="str">
        <f>CONCATENATE("&lt;/li&gt;&lt;li&gt;&lt;a href=|http://",AR1191,"/joshua/22.htm","| ","title=|",AR1190,"| target=|_top|&gt;",AR1192,"&lt;/a&gt;")</f>
        <v>&lt;/li&gt;&lt;li&gt;&lt;a href=|http://websterbible.com/joshua/22.htm| title=|Webster's Bible Translation| target=|_top|&gt;WBS&lt;/a&gt;</v>
      </c>
      <c r="AS20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09" t="str">
        <f>CONCATENATE("&lt;/li&gt;&lt;li&gt;&lt;a href=|http://",AT1191,"/joshua/22-1.htm","| ","title=|",AT1190,"| target=|_top|&gt;",AT1192,"&lt;/a&gt;")</f>
        <v>&lt;/li&gt;&lt;li&gt;&lt;a href=|http://biblebrowser.com/joshua/22-1.htm| title=|Split View| target=|_top|&gt;Split&lt;/a&gt;</v>
      </c>
      <c r="AU209" s="2" t="s">
        <v>1276</v>
      </c>
      <c r="AV209" t="s">
        <v>64</v>
      </c>
    </row>
    <row r="210" spans="1:48">
      <c r="A210" t="s">
        <v>622</v>
      </c>
      <c r="B210" t="s">
        <v>263</v>
      </c>
      <c r="C210" t="s">
        <v>624</v>
      </c>
      <c r="D210" t="s">
        <v>1268</v>
      </c>
      <c r="E210" t="s">
        <v>1277</v>
      </c>
      <c r="F210" t="s">
        <v>1304</v>
      </c>
      <c r="G210" t="s">
        <v>1266</v>
      </c>
      <c r="H210" t="s">
        <v>1305</v>
      </c>
      <c r="I210" t="s">
        <v>1303</v>
      </c>
      <c r="J210" t="s">
        <v>1267</v>
      </c>
      <c r="K210" t="s">
        <v>1275</v>
      </c>
      <c r="L210" s="2" t="s">
        <v>1274</v>
      </c>
      <c r="M210" t="str">
        <f t="shared" ref="M210:AB210" si="836">CONCATENATE("&lt;/li&gt;&lt;li&gt;&lt;a href=|http://",M1191,"/joshua/23.htm","| ","title=|",M1190,"| target=|_top|&gt;",M1192,"&lt;/a&gt;")</f>
        <v>&lt;/li&gt;&lt;li&gt;&lt;a href=|http://niv.scripturetext.com/joshua/23.htm| title=|New International Version| target=|_top|&gt;NIV&lt;/a&gt;</v>
      </c>
      <c r="N210" t="str">
        <f t="shared" si="836"/>
        <v>&lt;/li&gt;&lt;li&gt;&lt;a href=|http://nlt.scripturetext.com/joshua/23.htm| title=|New Living Translation| target=|_top|&gt;NLT&lt;/a&gt;</v>
      </c>
      <c r="O210" t="str">
        <f t="shared" si="836"/>
        <v>&lt;/li&gt;&lt;li&gt;&lt;a href=|http://nasb.scripturetext.com/joshua/23.htm| title=|New American Standard Bible| target=|_top|&gt;NAS&lt;/a&gt;</v>
      </c>
      <c r="P210" t="str">
        <f t="shared" si="836"/>
        <v>&lt;/li&gt;&lt;li&gt;&lt;a href=|http://gwt.scripturetext.com/joshua/23.htm| title=|God's Word Translation| target=|_top|&gt;GWT&lt;/a&gt;</v>
      </c>
      <c r="Q210" t="str">
        <f t="shared" si="836"/>
        <v>&lt;/li&gt;&lt;li&gt;&lt;a href=|http://kingjbible.com/joshua/23.htm| title=|King James Bible| target=|_top|&gt;KJV&lt;/a&gt;</v>
      </c>
      <c r="R210" t="str">
        <f t="shared" si="836"/>
        <v>&lt;/li&gt;&lt;li&gt;&lt;a href=|http://asvbible.com/joshua/23.htm| title=|American Standard Version| target=|_top|&gt;ASV&lt;/a&gt;</v>
      </c>
      <c r="S210" t="str">
        <f t="shared" si="836"/>
        <v>&lt;/li&gt;&lt;li&gt;&lt;a href=|http://drb.scripturetext.com/joshua/23.htm| title=|Douay-Rheims Bible| target=|_top|&gt;DRB&lt;/a&gt;</v>
      </c>
      <c r="T210" t="str">
        <f t="shared" si="836"/>
        <v>&lt;/li&gt;&lt;li&gt;&lt;a href=|http://erv.scripturetext.com/joshua/23.htm| title=|English Revised Version| target=|_top|&gt;ERV&lt;/a&gt;</v>
      </c>
      <c r="V210" t="str">
        <f>CONCATENATE("&lt;/li&gt;&lt;li&gt;&lt;a href=|http://",V1191,"/joshua/23.htm","| ","title=|",V1190,"| target=|_top|&gt;",V1192,"&lt;/a&gt;")</f>
        <v>&lt;/li&gt;&lt;li&gt;&lt;a href=|http://study.interlinearbible.org/joshua/23.htm| title=|Hebrew Study Bible| target=|_top|&gt;Heb Study&lt;/a&gt;</v>
      </c>
      <c r="W210" t="str">
        <f t="shared" si="836"/>
        <v>&lt;/li&gt;&lt;li&gt;&lt;a href=|http://apostolic.interlinearbible.org/joshua/23.htm| title=|Apostolic Bible Polyglot Interlinear| target=|_top|&gt;Polyglot&lt;/a&gt;</v>
      </c>
      <c r="X210" t="str">
        <f t="shared" si="836"/>
        <v>&lt;/li&gt;&lt;li&gt;&lt;a href=|http://interlinearbible.org/joshua/23.htm| title=|Interlinear Bible| target=|_top|&gt;Interlin&lt;/a&gt;</v>
      </c>
      <c r="Y210" t="str">
        <f t="shared" ref="Y210" si="837">CONCATENATE("&lt;/li&gt;&lt;li&gt;&lt;a href=|http://",Y1191,"/joshua/23.htm","| ","title=|",Y1190,"| target=|_top|&gt;",Y1192,"&lt;/a&gt;")</f>
        <v>&lt;/li&gt;&lt;li&gt;&lt;a href=|http://bibleoutline.org/joshua/23.htm| title=|Outline with People and Places List| target=|_top|&gt;Outline&lt;/a&gt;</v>
      </c>
      <c r="Z210" t="str">
        <f t="shared" si="836"/>
        <v>&lt;/li&gt;&lt;li&gt;&lt;a href=|http://kjvs.scripturetext.com/joshua/23.htm| title=|King James Bible with Strong's Numbers| target=|_top|&gt;Strong's&lt;/a&gt;</v>
      </c>
      <c r="AA210" t="str">
        <f t="shared" si="836"/>
        <v>&lt;/li&gt;&lt;li&gt;&lt;a href=|http://childrensbibleonline.com/joshua/23.htm| title=|The Children's Bible| target=|_top|&gt;Children's&lt;/a&gt;</v>
      </c>
      <c r="AB210" s="2" t="str">
        <f t="shared" si="836"/>
        <v>&lt;/li&gt;&lt;li&gt;&lt;a href=|http://tsk.scripturetext.com/joshua/23.htm| title=|Treasury of Scripture Knowledge| target=|_top|&gt;TSK&lt;/a&gt;</v>
      </c>
      <c r="AC210" t="str">
        <f>CONCATENATE("&lt;a href=|http://",AC1191,"/joshua/23.htm","| ","title=|",AC1190,"| target=|_top|&gt;",AC1192,"&lt;/a&gt;")</f>
        <v>&lt;a href=|http://parallelbible.com/joshua/23.htm| title=|Parallel Chapters| target=|_top|&gt;PAR&lt;/a&gt;</v>
      </c>
      <c r="AD210" s="2" t="str">
        <f t="shared" ref="AD210:AK210" si="838">CONCATENATE("&lt;/li&gt;&lt;li&gt;&lt;a href=|http://",AD1191,"/joshua/23.htm","| ","title=|",AD1190,"| target=|_top|&gt;",AD1192,"&lt;/a&gt;")</f>
        <v>&lt;/li&gt;&lt;li&gt;&lt;a href=|http://gsb.biblecommenter.com/joshua/23.htm| title=|Geneva Study Bible| target=|_top|&gt;GSB&lt;/a&gt;</v>
      </c>
      <c r="AE210" s="2" t="str">
        <f t="shared" si="838"/>
        <v>&lt;/li&gt;&lt;li&gt;&lt;a href=|http://jfb.biblecommenter.com/joshua/23.htm| title=|Jamieson-Fausset-Brown Bible Commentary| target=|_top|&gt;JFB&lt;/a&gt;</v>
      </c>
      <c r="AF210" s="2" t="str">
        <f t="shared" si="838"/>
        <v>&lt;/li&gt;&lt;li&gt;&lt;a href=|http://kjt.biblecommenter.com/joshua/23.htm| title=|King James Translators' Notes| target=|_top|&gt;KJT&lt;/a&gt;</v>
      </c>
      <c r="AG210" s="2" t="str">
        <f t="shared" si="838"/>
        <v>&lt;/li&gt;&lt;li&gt;&lt;a href=|http://mhc.biblecommenter.com/joshua/23.htm| title=|Matthew Henry's Concise Commentary| target=|_top|&gt;MHC&lt;/a&gt;</v>
      </c>
      <c r="AH210" s="2" t="str">
        <f t="shared" si="838"/>
        <v>&lt;/li&gt;&lt;li&gt;&lt;a href=|http://sco.biblecommenter.com/joshua/23.htm| title=|Scofield Reference Notes| target=|_top|&gt;SCO&lt;/a&gt;</v>
      </c>
      <c r="AI210" s="2" t="str">
        <f t="shared" si="838"/>
        <v>&lt;/li&gt;&lt;li&gt;&lt;a href=|http://wes.biblecommenter.com/joshua/23.htm| title=|Wesley's Notes on the Bible| target=|_top|&gt;WES&lt;/a&gt;</v>
      </c>
      <c r="AJ210" t="str">
        <f t="shared" si="838"/>
        <v>&lt;/li&gt;&lt;li&gt;&lt;a href=|http://worldebible.com/joshua/23.htm| title=|World English Bible| target=|_top|&gt;WEB&lt;/a&gt;</v>
      </c>
      <c r="AK210" t="str">
        <f t="shared" si="838"/>
        <v>&lt;/li&gt;&lt;li&gt;&lt;a href=|http://yltbible.com/joshua/23.htm| title=|Young's Literal Translation| target=|_top|&gt;YLT&lt;/a&gt;</v>
      </c>
      <c r="AL210" t="str">
        <f>CONCATENATE("&lt;a href=|http://",AL1191,"/joshua/23.htm","| ","title=|",AL1190,"| target=|_top|&gt;",AL1192,"&lt;/a&gt;")</f>
        <v>&lt;a href=|http://kjv.us/joshua/23.htm| title=|American King James Version| target=|_top|&gt;AKJ&lt;/a&gt;</v>
      </c>
      <c r="AM210" t="str">
        <f t="shared" ref="AM210:AN210" si="839">CONCATENATE("&lt;/li&gt;&lt;li&gt;&lt;a href=|http://",AM1191,"/joshua/23.htm","| ","title=|",AM1190,"| target=|_top|&gt;",AM1192,"&lt;/a&gt;")</f>
        <v>&lt;/li&gt;&lt;li&gt;&lt;a href=|http://basicenglishbible.com/joshua/23.htm| title=|Bible in Basic English| target=|_top|&gt;BBE&lt;/a&gt;</v>
      </c>
      <c r="AN210" t="str">
        <f t="shared" si="839"/>
        <v>&lt;/li&gt;&lt;li&gt;&lt;a href=|http://darbybible.com/joshua/23.htm| title=|Darby Bible Translation| target=|_top|&gt;DBY&lt;/a&gt;</v>
      </c>
      <c r="AO21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1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1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10" t="str">
        <f>CONCATENATE("&lt;/li&gt;&lt;li&gt;&lt;a href=|http://",AR1191,"/joshua/23.htm","| ","title=|",AR1190,"| target=|_top|&gt;",AR1192,"&lt;/a&gt;")</f>
        <v>&lt;/li&gt;&lt;li&gt;&lt;a href=|http://websterbible.com/joshua/23.htm| title=|Webster's Bible Translation| target=|_top|&gt;WBS&lt;/a&gt;</v>
      </c>
      <c r="AS21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10" t="str">
        <f>CONCATENATE("&lt;/li&gt;&lt;li&gt;&lt;a href=|http://",AT1191,"/joshua/23-1.htm","| ","title=|",AT1190,"| target=|_top|&gt;",AT1192,"&lt;/a&gt;")</f>
        <v>&lt;/li&gt;&lt;li&gt;&lt;a href=|http://biblebrowser.com/joshua/23-1.htm| title=|Split View| target=|_top|&gt;Split&lt;/a&gt;</v>
      </c>
      <c r="AU210" s="2" t="s">
        <v>1276</v>
      </c>
      <c r="AV210" t="s">
        <v>64</v>
      </c>
    </row>
    <row r="211" spans="1:48">
      <c r="A211" t="s">
        <v>622</v>
      </c>
      <c r="B211" t="s">
        <v>264</v>
      </c>
      <c r="C211" t="s">
        <v>624</v>
      </c>
      <c r="D211" t="s">
        <v>1268</v>
      </c>
      <c r="E211" t="s">
        <v>1277</v>
      </c>
      <c r="F211" t="s">
        <v>1304</v>
      </c>
      <c r="G211" t="s">
        <v>1266</v>
      </c>
      <c r="H211" t="s">
        <v>1305</v>
      </c>
      <c r="I211" t="s">
        <v>1303</v>
      </c>
      <c r="J211" t="s">
        <v>1267</v>
      </c>
      <c r="K211" t="s">
        <v>1275</v>
      </c>
      <c r="L211" s="2" t="s">
        <v>1274</v>
      </c>
      <c r="M211" t="str">
        <f t="shared" ref="M211:AB211" si="840">CONCATENATE("&lt;/li&gt;&lt;li&gt;&lt;a href=|http://",M1191,"/joshua/24.htm","| ","title=|",M1190,"| target=|_top|&gt;",M1192,"&lt;/a&gt;")</f>
        <v>&lt;/li&gt;&lt;li&gt;&lt;a href=|http://niv.scripturetext.com/joshua/24.htm| title=|New International Version| target=|_top|&gt;NIV&lt;/a&gt;</v>
      </c>
      <c r="N211" t="str">
        <f t="shared" si="840"/>
        <v>&lt;/li&gt;&lt;li&gt;&lt;a href=|http://nlt.scripturetext.com/joshua/24.htm| title=|New Living Translation| target=|_top|&gt;NLT&lt;/a&gt;</v>
      </c>
      <c r="O211" t="str">
        <f t="shared" si="840"/>
        <v>&lt;/li&gt;&lt;li&gt;&lt;a href=|http://nasb.scripturetext.com/joshua/24.htm| title=|New American Standard Bible| target=|_top|&gt;NAS&lt;/a&gt;</v>
      </c>
      <c r="P211" t="str">
        <f t="shared" si="840"/>
        <v>&lt;/li&gt;&lt;li&gt;&lt;a href=|http://gwt.scripturetext.com/joshua/24.htm| title=|God's Word Translation| target=|_top|&gt;GWT&lt;/a&gt;</v>
      </c>
      <c r="Q211" t="str">
        <f t="shared" si="840"/>
        <v>&lt;/li&gt;&lt;li&gt;&lt;a href=|http://kingjbible.com/joshua/24.htm| title=|King James Bible| target=|_top|&gt;KJV&lt;/a&gt;</v>
      </c>
      <c r="R211" t="str">
        <f t="shared" si="840"/>
        <v>&lt;/li&gt;&lt;li&gt;&lt;a href=|http://asvbible.com/joshua/24.htm| title=|American Standard Version| target=|_top|&gt;ASV&lt;/a&gt;</v>
      </c>
      <c r="S211" t="str">
        <f t="shared" si="840"/>
        <v>&lt;/li&gt;&lt;li&gt;&lt;a href=|http://drb.scripturetext.com/joshua/24.htm| title=|Douay-Rheims Bible| target=|_top|&gt;DRB&lt;/a&gt;</v>
      </c>
      <c r="T211" t="str">
        <f t="shared" si="840"/>
        <v>&lt;/li&gt;&lt;li&gt;&lt;a href=|http://erv.scripturetext.com/joshua/24.htm| title=|English Revised Version| target=|_top|&gt;ERV&lt;/a&gt;</v>
      </c>
      <c r="V211" t="str">
        <f>CONCATENATE("&lt;/li&gt;&lt;li&gt;&lt;a href=|http://",V1191,"/joshua/24.htm","| ","title=|",V1190,"| target=|_top|&gt;",V1192,"&lt;/a&gt;")</f>
        <v>&lt;/li&gt;&lt;li&gt;&lt;a href=|http://study.interlinearbible.org/joshua/24.htm| title=|Hebrew Study Bible| target=|_top|&gt;Heb Study&lt;/a&gt;</v>
      </c>
      <c r="W211" t="str">
        <f t="shared" si="840"/>
        <v>&lt;/li&gt;&lt;li&gt;&lt;a href=|http://apostolic.interlinearbible.org/joshua/24.htm| title=|Apostolic Bible Polyglot Interlinear| target=|_top|&gt;Polyglot&lt;/a&gt;</v>
      </c>
      <c r="X211" t="str">
        <f t="shared" si="840"/>
        <v>&lt;/li&gt;&lt;li&gt;&lt;a href=|http://interlinearbible.org/joshua/24.htm| title=|Interlinear Bible| target=|_top|&gt;Interlin&lt;/a&gt;</v>
      </c>
      <c r="Y211" t="str">
        <f t="shared" ref="Y211" si="841">CONCATENATE("&lt;/li&gt;&lt;li&gt;&lt;a href=|http://",Y1191,"/joshua/24.htm","| ","title=|",Y1190,"| target=|_top|&gt;",Y1192,"&lt;/a&gt;")</f>
        <v>&lt;/li&gt;&lt;li&gt;&lt;a href=|http://bibleoutline.org/joshua/24.htm| title=|Outline with People and Places List| target=|_top|&gt;Outline&lt;/a&gt;</v>
      </c>
      <c r="Z211" t="str">
        <f t="shared" si="840"/>
        <v>&lt;/li&gt;&lt;li&gt;&lt;a href=|http://kjvs.scripturetext.com/joshua/24.htm| title=|King James Bible with Strong's Numbers| target=|_top|&gt;Strong's&lt;/a&gt;</v>
      </c>
      <c r="AA211" t="str">
        <f t="shared" si="840"/>
        <v>&lt;/li&gt;&lt;li&gt;&lt;a href=|http://childrensbibleonline.com/joshua/24.htm| title=|The Children's Bible| target=|_top|&gt;Children's&lt;/a&gt;</v>
      </c>
      <c r="AB211" s="2" t="str">
        <f t="shared" si="840"/>
        <v>&lt;/li&gt;&lt;li&gt;&lt;a href=|http://tsk.scripturetext.com/joshua/24.htm| title=|Treasury of Scripture Knowledge| target=|_top|&gt;TSK&lt;/a&gt;</v>
      </c>
      <c r="AC211" t="str">
        <f>CONCATENATE("&lt;a href=|http://",AC1191,"/joshua/24.htm","| ","title=|",AC1190,"| target=|_top|&gt;",AC1192,"&lt;/a&gt;")</f>
        <v>&lt;a href=|http://parallelbible.com/joshua/24.htm| title=|Parallel Chapters| target=|_top|&gt;PAR&lt;/a&gt;</v>
      </c>
      <c r="AD211" s="2" t="str">
        <f t="shared" ref="AD211:AK211" si="842">CONCATENATE("&lt;/li&gt;&lt;li&gt;&lt;a href=|http://",AD1191,"/joshua/24.htm","| ","title=|",AD1190,"| target=|_top|&gt;",AD1192,"&lt;/a&gt;")</f>
        <v>&lt;/li&gt;&lt;li&gt;&lt;a href=|http://gsb.biblecommenter.com/joshua/24.htm| title=|Geneva Study Bible| target=|_top|&gt;GSB&lt;/a&gt;</v>
      </c>
      <c r="AE211" s="2" t="str">
        <f t="shared" si="842"/>
        <v>&lt;/li&gt;&lt;li&gt;&lt;a href=|http://jfb.biblecommenter.com/joshua/24.htm| title=|Jamieson-Fausset-Brown Bible Commentary| target=|_top|&gt;JFB&lt;/a&gt;</v>
      </c>
      <c r="AF211" s="2" t="str">
        <f t="shared" si="842"/>
        <v>&lt;/li&gt;&lt;li&gt;&lt;a href=|http://kjt.biblecommenter.com/joshua/24.htm| title=|King James Translators' Notes| target=|_top|&gt;KJT&lt;/a&gt;</v>
      </c>
      <c r="AG211" s="2" t="str">
        <f t="shared" si="842"/>
        <v>&lt;/li&gt;&lt;li&gt;&lt;a href=|http://mhc.biblecommenter.com/joshua/24.htm| title=|Matthew Henry's Concise Commentary| target=|_top|&gt;MHC&lt;/a&gt;</v>
      </c>
      <c r="AH211" s="2" t="str">
        <f t="shared" si="842"/>
        <v>&lt;/li&gt;&lt;li&gt;&lt;a href=|http://sco.biblecommenter.com/joshua/24.htm| title=|Scofield Reference Notes| target=|_top|&gt;SCO&lt;/a&gt;</v>
      </c>
      <c r="AI211" s="2" t="str">
        <f t="shared" si="842"/>
        <v>&lt;/li&gt;&lt;li&gt;&lt;a href=|http://wes.biblecommenter.com/joshua/24.htm| title=|Wesley's Notes on the Bible| target=|_top|&gt;WES&lt;/a&gt;</v>
      </c>
      <c r="AJ211" t="str">
        <f t="shared" si="842"/>
        <v>&lt;/li&gt;&lt;li&gt;&lt;a href=|http://worldebible.com/joshua/24.htm| title=|World English Bible| target=|_top|&gt;WEB&lt;/a&gt;</v>
      </c>
      <c r="AK211" t="str">
        <f t="shared" si="842"/>
        <v>&lt;/li&gt;&lt;li&gt;&lt;a href=|http://yltbible.com/joshua/24.htm| title=|Young's Literal Translation| target=|_top|&gt;YLT&lt;/a&gt;</v>
      </c>
      <c r="AL211" t="str">
        <f>CONCATENATE("&lt;a href=|http://",AL1191,"/joshua/24.htm","| ","title=|",AL1190,"| target=|_top|&gt;",AL1192,"&lt;/a&gt;")</f>
        <v>&lt;a href=|http://kjv.us/joshua/24.htm| title=|American King James Version| target=|_top|&gt;AKJ&lt;/a&gt;</v>
      </c>
      <c r="AM211" t="str">
        <f t="shared" ref="AM211:AN211" si="843">CONCATENATE("&lt;/li&gt;&lt;li&gt;&lt;a href=|http://",AM1191,"/joshua/24.htm","| ","title=|",AM1190,"| target=|_top|&gt;",AM1192,"&lt;/a&gt;")</f>
        <v>&lt;/li&gt;&lt;li&gt;&lt;a href=|http://basicenglishbible.com/joshua/24.htm| title=|Bible in Basic English| target=|_top|&gt;BBE&lt;/a&gt;</v>
      </c>
      <c r="AN211" t="str">
        <f t="shared" si="843"/>
        <v>&lt;/li&gt;&lt;li&gt;&lt;a href=|http://darbybible.com/joshua/24.htm| title=|Darby Bible Translation| target=|_top|&gt;DBY&lt;/a&gt;</v>
      </c>
      <c r="AO21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1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1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11" t="str">
        <f>CONCATENATE("&lt;/li&gt;&lt;li&gt;&lt;a href=|http://",AR1191,"/joshua/24.htm","| ","title=|",AR1190,"| target=|_top|&gt;",AR1192,"&lt;/a&gt;")</f>
        <v>&lt;/li&gt;&lt;li&gt;&lt;a href=|http://websterbible.com/joshua/24.htm| title=|Webster's Bible Translation| target=|_top|&gt;WBS&lt;/a&gt;</v>
      </c>
      <c r="AS21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11" t="str">
        <f>CONCATENATE("&lt;/li&gt;&lt;li&gt;&lt;a href=|http://",AT1191,"/joshua/24-1.htm","| ","title=|",AT1190,"| target=|_top|&gt;",AT1192,"&lt;/a&gt;")</f>
        <v>&lt;/li&gt;&lt;li&gt;&lt;a href=|http://biblebrowser.com/joshua/24-1.htm| title=|Split View| target=|_top|&gt;Split&lt;/a&gt;</v>
      </c>
      <c r="AU211" s="2" t="s">
        <v>1276</v>
      </c>
      <c r="AV211" t="s">
        <v>64</v>
      </c>
    </row>
    <row r="212" spans="1:48">
      <c r="A212" t="s">
        <v>622</v>
      </c>
      <c r="B212" t="s">
        <v>265</v>
      </c>
      <c r="C212" t="s">
        <v>624</v>
      </c>
      <c r="D212" t="s">
        <v>1268</v>
      </c>
      <c r="E212" t="s">
        <v>1277</v>
      </c>
      <c r="F212" t="s">
        <v>1304</v>
      </c>
      <c r="G212" t="s">
        <v>1266</v>
      </c>
      <c r="H212" t="s">
        <v>1305</v>
      </c>
      <c r="I212" t="s">
        <v>1303</v>
      </c>
      <c r="J212" t="s">
        <v>1267</v>
      </c>
      <c r="K212" t="s">
        <v>1275</v>
      </c>
      <c r="L212" s="2" t="s">
        <v>1274</v>
      </c>
      <c r="M212" t="str">
        <f t="shared" ref="M212:AB212" si="844">CONCATENATE("&lt;/li&gt;&lt;li&gt;&lt;a href=|http://",M1191,"/judges/1.htm","| ","title=|",M1190,"| target=|_top|&gt;",M1192,"&lt;/a&gt;")</f>
        <v>&lt;/li&gt;&lt;li&gt;&lt;a href=|http://niv.scripturetext.com/judges/1.htm| title=|New International Version| target=|_top|&gt;NIV&lt;/a&gt;</v>
      </c>
      <c r="N212" t="str">
        <f t="shared" si="844"/>
        <v>&lt;/li&gt;&lt;li&gt;&lt;a href=|http://nlt.scripturetext.com/judges/1.htm| title=|New Living Translation| target=|_top|&gt;NLT&lt;/a&gt;</v>
      </c>
      <c r="O212" t="str">
        <f t="shared" si="844"/>
        <v>&lt;/li&gt;&lt;li&gt;&lt;a href=|http://nasb.scripturetext.com/judges/1.htm| title=|New American Standard Bible| target=|_top|&gt;NAS&lt;/a&gt;</v>
      </c>
      <c r="P212" t="str">
        <f t="shared" si="844"/>
        <v>&lt;/li&gt;&lt;li&gt;&lt;a href=|http://gwt.scripturetext.com/judges/1.htm| title=|God's Word Translation| target=|_top|&gt;GWT&lt;/a&gt;</v>
      </c>
      <c r="Q212" t="str">
        <f t="shared" si="844"/>
        <v>&lt;/li&gt;&lt;li&gt;&lt;a href=|http://kingjbible.com/judges/1.htm| title=|King James Bible| target=|_top|&gt;KJV&lt;/a&gt;</v>
      </c>
      <c r="R212" t="str">
        <f t="shared" si="844"/>
        <v>&lt;/li&gt;&lt;li&gt;&lt;a href=|http://asvbible.com/judges/1.htm| title=|American Standard Version| target=|_top|&gt;ASV&lt;/a&gt;</v>
      </c>
      <c r="S212" t="str">
        <f t="shared" si="844"/>
        <v>&lt;/li&gt;&lt;li&gt;&lt;a href=|http://drb.scripturetext.com/judges/1.htm| title=|Douay-Rheims Bible| target=|_top|&gt;DRB&lt;/a&gt;</v>
      </c>
      <c r="T212" t="str">
        <f t="shared" si="844"/>
        <v>&lt;/li&gt;&lt;li&gt;&lt;a href=|http://erv.scripturetext.com/judges/1.htm| title=|English Revised Version| target=|_top|&gt;ERV&lt;/a&gt;</v>
      </c>
      <c r="V212" t="str">
        <f>CONCATENATE("&lt;/li&gt;&lt;li&gt;&lt;a href=|http://",V1191,"/judges/1.htm","| ","title=|",V1190,"| target=|_top|&gt;",V1192,"&lt;/a&gt;")</f>
        <v>&lt;/li&gt;&lt;li&gt;&lt;a href=|http://study.interlinearbible.org/judges/1.htm| title=|Hebrew Study Bible| target=|_top|&gt;Heb Study&lt;/a&gt;</v>
      </c>
      <c r="W212" t="str">
        <f t="shared" si="844"/>
        <v>&lt;/li&gt;&lt;li&gt;&lt;a href=|http://apostolic.interlinearbible.org/judges/1.htm| title=|Apostolic Bible Polyglot Interlinear| target=|_top|&gt;Polyglot&lt;/a&gt;</v>
      </c>
      <c r="X212" t="str">
        <f t="shared" si="844"/>
        <v>&lt;/li&gt;&lt;li&gt;&lt;a href=|http://interlinearbible.org/judges/1.htm| title=|Interlinear Bible| target=|_top|&gt;Interlin&lt;/a&gt;</v>
      </c>
      <c r="Y212" t="str">
        <f t="shared" ref="Y212" si="845">CONCATENATE("&lt;/li&gt;&lt;li&gt;&lt;a href=|http://",Y1191,"/judges/1.htm","| ","title=|",Y1190,"| target=|_top|&gt;",Y1192,"&lt;/a&gt;")</f>
        <v>&lt;/li&gt;&lt;li&gt;&lt;a href=|http://bibleoutline.org/judges/1.htm| title=|Outline with People and Places List| target=|_top|&gt;Outline&lt;/a&gt;</v>
      </c>
      <c r="Z212" t="str">
        <f t="shared" si="844"/>
        <v>&lt;/li&gt;&lt;li&gt;&lt;a href=|http://kjvs.scripturetext.com/judges/1.htm| title=|King James Bible with Strong's Numbers| target=|_top|&gt;Strong's&lt;/a&gt;</v>
      </c>
      <c r="AA212" t="str">
        <f t="shared" si="844"/>
        <v>&lt;/li&gt;&lt;li&gt;&lt;a href=|http://childrensbibleonline.com/judges/1.htm| title=|The Children's Bible| target=|_top|&gt;Children's&lt;/a&gt;</v>
      </c>
      <c r="AB212" s="2" t="str">
        <f t="shared" si="844"/>
        <v>&lt;/li&gt;&lt;li&gt;&lt;a href=|http://tsk.scripturetext.com/judges/1.htm| title=|Treasury of Scripture Knowledge| target=|_top|&gt;TSK&lt;/a&gt;</v>
      </c>
      <c r="AC212" t="str">
        <f>CONCATENATE("&lt;a href=|http://",AC1191,"/judges/1.htm","| ","title=|",AC1190,"| target=|_top|&gt;",AC1192,"&lt;/a&gt;")</f>
        <v>&lt;a href=|http://parallelbible.com/judges/1.htm| title=|Parallel Chapters| target=|_top|&gt;PAR&lt;/a&gt;</v>
      </c>
      <c r="AD212" s="2" t="str">
        <f t="shared" ref="AD212:AK212" si="846">CONCATENATE("&lt;/li&gt;&lt;li&gt;&lt;a href=|http://",AD1191,"/judges/1.htm","| ","title=|",AD1190,"| target=|_top|&gt;",AD1192,"&lt;/a&gt;")</f>
        <v>&lt;/li&gt;&lt;li&gt;&lt;a href=|http://gsb.biblecommenter.com/judges/1.htm| title=|Geneva Study Bible| target=|_top|&gt;GSB&lt;/a&gt;</v>
      </c>
      <c r="AE212" s="2" t="str">
        <f t="shared" si="846"/>
        <v>&lt;/li&gt;&lt;li&gt;&lt;a href=|http://jfb.biblecommenter.com/judges/1.htm| title=|Jamieson-Fausset-Brown Bible Commentary| target=|_top|&gt;JFB&lt;/a&gt;</v>
      </c>
      <c r="AF212" s="2" t="str">
        <f t="shared" si="846"/>
        <v>&lt;/li&gt;&lt;li&gt;&lt;a href=|http://kjt.biblecommenter.com/judges/1.htm| title=|King James Translators' Notes| target=|_top|&gt;KJT&lt;/a&gt;</v>
      </c>
      <c r="AG212" s="2" t="str">
        <f t="shared" si="846"/>
        <v>&lt;/li&gt;&lt;li&gt;&lt;a href=|http://mhc.biblecommenter.com/judges/1.htm| title=|Matthew Henry's Concise Commentary| target=|_top|&gt;MHC&lt;/a&gt;</v>
      </c>
      <c r="AH212" s="2" t="str">
        <f t="shared" si="846"/>
        <v>&lt;/li&gt;&lt;li&gt;&lt;a href=|http://sco.biblecommenter.com/judges/1.htm| title=|Scofield Reference Notes| target=|_top|&gt;SCO&lt;/a&gt;</v>
      </c>
      <c r="AI212" s="2" t="str">
        <f t="shared" si="846"/>
        <v>&lt;/li&gt;&lt;li&gt;&lt;a href=|http://wes.biblecommenter.com/judges/1.htm| title=|Wesley's Notes on the Bible| target=|_top|&gt;WES&lt;/a&gt;</v>
      </c>
      <c r="AJ212" t="str">
        <f t="shared" si="846"/>
        <v>&lt;/li&gt;&lt;li&gt;&lt;a href=|http://worldebible.com/judges/1.htm| title=|World English Bible| target=|_top|&gt;WEB&lt;/a&gt;</v>
      </c>
      <c r="AK212" t="str">
        <f t="shared" si="846"/>
        <v>&lt;/li&gt;&lt;li&gt;&lt;a href=|http://yltbible.com/judges/1.htm| title=|Young's Literal Translation| target=|_top|&gt;YLT&lt;/a&gt;</v>
      </c>
      <c r="AL212" t="str">
        <f>CONCATENATE("&lt;a href=|http://",AL1191,"/judges/1.htm","| ","title=|",AL1190,"| target=|_top|&gt;",AL1192,"&lt;/a&gt;")</f>
        <v>&lt;a href=|http://kjv.us/judges/1.htm| title=|American King James Version| target=|_top|&gt;AKJ&lt;/a&gt;</v>
      </c>
      <c r="AM212" t="str">
        <f t="shared" ref="AM212:AN212" si="847">CONCATENATE("&lt;/li&gt;&lt;li&gt;&lt;a href=|http://",AM1191,"/judges/1.htm","| ","title=|",AM1190,"| target=|_top|&gt;",AM1192,"&lt;/a&gt;")</f>
        <v>&lt;/li&gt;&lt;li&gt;&lt;a href=|http://basicenglishbible.com/judges/1.htm| title=|Bible in Basic English| target=|_top|&gt;BBE&lt;/a&gt;</v>
      </c>
      <c r="AN212" t="str">
        <f t="shared" si="847"/>
        <v>&lt;/li&gt;&lt;li&gt;&lt;a href=|http://darbybible.com/judges/1.htm| title=|Darby Bible Translation| target=|_top|&gt;DBY&lt;/a&gt;</v>
      </c>
      <c r="AO21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1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1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12" t="str">
        <f>CONCATENATE("&lt;/li&gt;&lt;li&gt;&lt;a href=|http://",AR1191,"/judges/1.htm","| ","title=|",AR1190,"| target=|_top|&gt;",AR1192,"&lt;/a&gt;")</f>
        <v>&lt;/li&gt;&lt;li&gt;&lt;a href=|http://websterbible.com/judges/1.htm| title=|Webster's Bible Translation| target=|_top|&gt;WBS&lt;/a&gt;</v>
      </c>
      <c r="AS21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12" t="str">
        <f>CONCATENATE("&lt;/li&gt;&lt;li&gt;&lt;a href=|http://",AT1191,"/judges/1-1.htm","| ","title=|",AT1190,"| target=|_top|&gt;",AT1192,"&lt;/a&gt;")</f>
        <v>&lt;/li&gt;&lt;li&gt;&lt;a href=|http://biblebrowser.com/judges/1-1.htm| title=|Split View| target=|_top|&gt;Split&lt;/a&gt;</v>
      </c>
      <c r="AU212" s="2" t="s">
        <v>1276</v>
      </c>
      <c r="AV212" t="s">
        <v>64</v>
      </c>
    </row>
    <row r="213" spans="1:48">
      <c r="A213" t="s">
        <v>622</v>
      </c>
      <c r="B213" t="s">
        <v>266</v>
      </c>
      <c r="C213" t="s">
        <v>624</v>
      </c>
      <c r="D213" t="s">
        <v>1268</v>
      </c>
      <c r="E213" t="s">
        <v>1277</v>
      </c>
      <c r="F213" t="s">
        <v>1304</v>
      </c>
      <c r="G213" t="s">
        <v>1266</v>
      </c>
      <c r="H213" t="s">
        <v>1305</v>
      </c>
      <c r="I213" t="s">
        <v>1303</v>
      </c>
      <c r="J213" t="s">
        <v>1267</v>
      </c>
      <c r="K213" t="s">
        <v>1275</v>
      </c>
      <c r="L213" s="2" t="s">
        <v>1274</v>
      </c>
      <c r="M213" t="str">
        <f t="shared" ref="M213:AB213" si="848">CONCATENATE("&lt;/li&gt;&lt;li&gt;&lt;a href=|http://",M1191,"/judges/2.htm","| ","title=|",M1190,"| target=|_top|&gt;",M1192,"&lt;/a&gt;")</f>
        <v>&lt;/li&gt;&lt;li&gt;&lt;a href=|http://niv.scripturetext.com/judges/2.htm| title=|New International Version| target=|_top|&gt;NIV&lt;/a&gt;</v>
      </c>
      <c r="N213" t="str">
        <f t="shared" si="848"/>
        <v>&lt;/li&gt;&lt;li&gt;&lt;a href=|http://nlt.scripturetext.com/judges/2.htm| title=|New Living Translation| target=|_top|&gt;NLT&lt;/a&gt;</v>
      </c>
      <c r="O213" t="str">
        <f t="shared" si="848"/>
        <v>&lt;/li&gt;&lt;li&gt;&lt;a href=|http://nasb.scripturetext.com/judges/2.htm| title=|New American Standard Bible| target=|_top|&gt;NAS&lt;/a&gt;</v>
      </c>
      <c r="P213" t="str">
        <f t="shared" si="848"/>
        <v>&lt;/li&gt;&lt;li&gt;&lt;a href=|http://gwt.scripturetext.com/judges/2.htm| title=|God's Word Translation| target=|_top|&gt;GWT&lt;/a&gt;</v>
      </c>
      <c r="Q213" t="str">
        <f t="shared" si="848"/>
        <v>&lt;/li&gt;&lt;li&gt;&lt;a href=|http://kingjbible.com/judges/2.htm| title=|King James Bible| target=|_top|&gt;KJV&lt;/a&gt;</v>
      </c>
      <c r="R213" t="str">
        <f t="shared" si="848"/>
        <v>&lt;/li&gt;&lt;li&gt;&lt;a href=|http://asvbible.com/judges/2.htm| title=|American Standard Version| target=|_top|&gt;ASV&lt;/a&gt;</v>
      </c>
      <c r="S213" t="str">
        <f t="shared" si="848"/>
        <v>&lt;/li&gt;&lt;li&gt;&lt;a href=|http://drb.scripturetext.com/judges/2.htm| title=|Douay-Rheims Bible| target=|_top|&gt;DRB&lt;/a&gt;</v>
      </c>
      <c r="T213" t="str">
        <f t="shared" si="848"/>
        <v>&lt;/li&gt;&lt;li&gt;&lt;a href=|http://erv.scripturetext.com/judges/2.htm| title=|English Revised Version| target=|_top|&gt;ERV&lt;/a&gt;</v>
      </c>
      <c r="V213" t="str">
        <f>CONCATENATE("&lt;/li&gt;&lt;li&gt;&lt;a href=|http://",V1191,"/judges/2.htm","| ","title=|",V1190,"| target=|_top|&gt;",V1192,"&lt;/a&gt;")</f>
        <v>&lt;/li&gt;&lt;li&gt;&lt;a href=|http://study.interlinearbible.org/judges/2.htm| title=|Hebrew Study Bible| target=|_top|&gt;Heb Study&lt;/a&gt;</v>
      </c>
      <c r="W213" t="str">
        <f t="shared" si="848"/>
        <v>&lt;/li&gt;&lt;li&gt;&lt;a href=|http://apostolic.interlinearbible.org/judges/2.htm| title=|Apostolic Bible Polyglot Interlinear| target=|_top|&gt;Polyglot&lt;/a&gt;</v>
      </c>
      <c r="X213" t="str">
        <f t="shared" si="848"/>
        <v>&lt;/li&gt;&lt;li&gt;&lt;a href=|http://interlinearbible.org/judges/2.htm| title=|Interlinear Bible| target=|_top|&gt;Interlin&lt;/a&gt;</v>
      </c>
      <c r="Y213" t="str">
        <f t="shared" ref="Y213" si="849">CONCATENATE("&lt;/li&gt;&lt;li&gt;&lt;a href=|http://",Y1191,"/judges/2.htm","| ","title=|",Y1190,"| target=|_top|&gt;",Y1192,"&lt;/a&gt;")</f>
        <v>&lt;/li&gt;&lt;li&gt;&lt;a href=|http://bibleoutline.org/judges/2.htm| title=|Outline with People and Places List| target=|_top|&gt;Outline&lt;/a&gt;</v>
      </c>
      <c r="Z213" t="str">
        <f t="shared" si="848"/>
        <v>&lt;/li&gt;&lt;li&gt;&lt;a href=|http://kjvs.scripturetext.com/judges/2.htm| title=|King James Bible with Strong's Numbers| target=|_top|&gt;Strong's&lt;/a&gt;</v>
      </c>
      <c r="AA213" t="str">
        <f t="shared" si="848"/>
        <v>&lt;/li&gt;&lt;li&gt;&lt;a href=|http://childrensbibleonline.com/judges/2.htm| title=|The Children's Bible| target=|_top|&gt;Children's&lt;/a&gt;</v>
      </c>
      <c r="AB213" s="2" t="str">
        <f t="shared" si="848"/>
        <v>&lt;/li&gt;&lt;li&gt;&lt;a href=|http://tsk.scripturetext.com/judges/2.htm| title=|Treasury of Scripture Knowledge| target=|_top|&gt;TSK&lt;/a&gt;</v>
      </c>
      <c r="AC213" t="str">
        <f>CONCATENATE("&lt;a href=|http://",AC1191,"/judges/2.htm","| ","title=|",AC1190,"| target=|_top|&gt;",AC1192,"&lt;/a&gt;")</f>
        <v>&lt;a href=|http://parallelbible.com/judges/2.htm| title=|Parallel Chapters| target=|_top|&gt;PAR&lt;/a&gt;</v>
      </c>
      <c r="AD213" s="2" t="str">
        <f t="shared" ref="AD213:AK213" si="850">CONCATENATE("&lt;/li&gt;&lt;li&gt;&lt;a href=|http://",AD1191,"/judges/2.htm","| ","title=|",AD1190,"| target=|_top|&gt;",AD1192,"&lt;/a&gt;")</f>
        <v>&lt;/li&gt;&lt;li&gt;&lt;a href=|http://gsb.biblecommenter.com/judges/2.htm| title=|Geneva Study Bible| target=|_top|&gt;GSB&lt;/a&gt;</v>
      </c>
      <c r="AE213" s="2" t="str">
        <f t="shared" si="850"/>
        <v>&lt;/li&gt;&lt;li&gt;&lt;a href=|http://jfb.biblecommenter.com/judges/2.htm| title=|Jamieson-Fausset-Brown Bible Commentary| target=|_top|&gt;JFB&lt;/a&gt;</v>
      </c>
      <c r="AF213" s="2" t="str">
        <f t="shared" si="850"/>
        <v>&lt;/li&gt;&lt;li&gt;&lt;a href=|http://kjt.biblecommenter.com/judges/2.htm| title=|King James Translators' Notes| target=|_top|&gt;KJT&lt;/a&gt;</v>
      </c>
      <c r="AG213" s="2" t="str">
        <f t="shared" si="850"/>
        <v>&lt;/li&gt;&lt;li&gt;&lt;a href=|http://mhc.biblecommenter.com/judges/2.htm| title=|Matthew Henry's Concise Commentary| target=|_top|&gt;MHC&lt;/a&gt;</v>
      </c>
      <c r="AH213" s="2" t="str">
        <f t="shared" si="850"/>
        <v>&lt;/li&gt;&lt;li&gt;&lt;a href=|http://sco.biblecommenter.com/judges/2.htm| title=|Scofield Reference Notes| target=|_top|&gt;SCO&lt;/a&gt;</v>
      </c>
      <c r="AI213" s="2" t="str">
        <f t="shared" si="850"/>
        <v>&lt;/li&gt;&lt;li&gt;&lt;a href=|http://wes.biblecommenter.com/judges/2.htm| title=|Wesley's Notes on the Bible| target=|_top|&gt;WES&lt;/a&gt;</v>
      </c>
      <c r="AJ213" t="str">
        <f t="shared" si="850"/>
        <v>&lt;/li&gt;&lt;li&gt;&lt;a href=|http://worldebible.com/judges/2.htm| title=|World English Bible| target=|_top|&gt;WEB&lt;/a&gt;</v>
      </c>
      <c r="AK213" t="str">
        <f t="shared" si="850"/>
        <v>&lt;/li&gt;&lt;li&gt;&lt;a href=|http://yltbible.com/judges/2.htm| title=|Young's Literal Translation| target=|_top|&gt;YLT&lt;/a&gt;</v>
      </c>
      <c r="AL213" t="str">
        <f>CONCATENATE("&lt;a href=|http://",AL1191,"/judges/2.htm","| ","title=|",AL1190,"| target=|_top|&gt;",AL1192,"&lt;/a&gt;")</f>
        <v>&lt;a href=|http://kjv.us/judges/2.htm| title=|American King James Version| target=|_top|&gt;AKJ&lt;/a&gt;</v>
      </c>
      <c r="AM213" t="str">
        <f t="shared" ref="AM213:AN213" si="851">CONCATENATE("&lt;/li&gt;&lt;li&gt;&lt;a href=|http://",AM1191,"/judges/2.htm","| ","title=|",AM1190,"| target=|_top|&gt;",AM1192,"&lt;/a&gt;")</f>
        <v>&lt;/li&gt;&lt;li&gt;&lt;a href=|http://basicenglishbible.com/judges/2.htm| title=|Bible in Basic English| target=|_top|&gt;BBE&lt;/a&gt;</v>
      </c>
      <c r="AN213" t="str">
        <f t="shared" si="851"/>
        <v>&lt;/li&gt;&lt;li&gt;&lt;a href=|http://darbybible.com/judges/2.htm| title=|Darby Bible Translation| target=|_top|&gt;DBY&lt;/a&gt;</v>
      </c>
      <c r="AO21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1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1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13" t="str">
        <f>CONCATENATE("&lt;/li&gt;&lt;li&gt;&lt;a href=|http://",AR1191,"/judges/2.htm","| ","title=|",AR1190,"| target=|_top|&gt;",AR1192,"&lt;/a&gt;")</f>
        <v>&lt;/li&gt;&lt;li&gt;&lt;a href=|http://websterbible.com/judges/2.htm| title=|Webster's Bible Translation| target=|_top|&gt;WBS&lt;/a&gt;</v>
      </c>
      <c r="AS21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13" t="str">
        <f>CONCATENATE("&lt;/li&gt;&lt;li&gt;&lt;a href=|http://",AT1191,"/judges/2-1.htm","| ","title=|",AT1190,"| target=|_top|&gt;",AT1192,"&lt;/a&gt;")</f>
        <v>&lt;/li&gt;&lt;li&gt;&lt;a href=|http://biblebrowser.com/judges/2-1.htm| title=|Split View| target=|_top|&gt;Split&lt;/a&gt;</v>
      </c>
      <c r="AU213" s="2" t="s">
        <v>1276</v>
      </c>
      <c r="AV213" t="s">
        <v>64</v>
      </c>
    </row>
    <row r="214" spans="1:48">
      <c r="A214" t="s">
        <v>622</v>
      </c>
      <c r="B214" t="s">
        <v>267</v>
      </c>
      <c r="C214" t="s">
        <v>624</v>
      </c>
      <c r="D214" t="s">
        <v>1268</v>
      </c>
      <c r="E214" t="s">
        <v>1277</v>
      </c>
      <c r="F214" t="s">
        <v>1304</v>
      </c>
      <c r="G214" t="s">
        <v>1266</v>
      </c>
      <c r="H214" t="s">
        <v>1305</v>
      </c>
      <c r="I214" t="s">
        <v>1303</v>
      </c>
      <c r="J214" t="s">
        <v>1267</v>
      </c>
      <c r="K214" t="s">
        <v>1275</v>
      </c>
      <c r="L214" s="2" t="s">
        <v>1274</v>
      </c>
      <c r="M214" t="str">
        <f t="shared" ref="M214:AB214" si="852">CONCATENATE("&lt;/li&gt;&lt;li&gt;&lt;a href=|http://",M1191,"/judges/3.htm","| ","title=|",M1190,"| target=|_top|&gt;",M1192,"&lt;/a&gt;")</f>
        <v>&lt;/li&gt;&lt;li&gt;&lt;a href=|http://niv.scripturetext.com/judges/3.htm| title=|New International Version| target=|_top|&gt;NIV&lt;/a&gt;</v>
      </c>
      <c r="N214" t="str">
        <f t="shared" si="852"/>
        <v>&lt;/li&gt;&lt;li&gt;&lt;a href=|http://nlt.scripturetext.com/judges/3.htm| title=|New Living Translation| target=|_top|&gt;NLT&lt;/a&gt;</v>
      </c>
      <c r="O214" t="str">
        <f t="shared" si="852"/>
        <v>&lt;/li&gt;&lt;li&gt;&lt;a href=|http://nasb.scripturetext.com/judges/3.htm| title=|New American Standard Bible| target=|_top|&gt;NAS&lt;/a&gt;</v>
      </c>
      <c r="P214" t="str">
        <f t="shared" si="852"/>
        <v>&lt;/li&gt;&lt;li&gt;&lt;a href=|http://gwt.scripturetext.com/judges/3.htm| title=|God's Word Translation| target=|_top|&gt;GWT&lt;/a&gt;</v>
      </c>
      <c r="Q214" t="str">
        <f t="shared" si="852"/>
        <v>&lt;/li&gt;&lt;li&gt;&lt;a href=|http://kingjbible.com/judges/3.htm| title=|King James Bible| target=|_top|&gt;KJV&lt;/a&gt;</v>
      </c>
      <c r="R214" t="str">
        <f t="shared" si="852"/>
        <v>&lt;/li&gt;&lt;li&gt;&lt;a href=|http://asvbible.com/judges/3.htm| title=|American Standard Version| target=|_top|&gt;ASV&lt;/a&gt;</v>
      </c>
      <c r="S214" t="str">
        <f t="shared" si="852"/>
        <v>&lt;/li&gt;&lt;li&gt;&lt;a href=|http://drb.scripturetext.com/judges/3.htm| title=|Douay-Rheims Bible| target=|_top|&gt;DRB&lt;/a&gt;</v>
      </c>
      <c r="T214" t="str">
        <f t="shared" si="852"/>
        <v>&lt;/li&gt;&lt;li&gt;&lt;a href=|http://erv.scripturetext.com/judges/3.htm| title=|English Revised Version| target=|_top|&gt;ERV&lt;/a&gt;</v>
      </c>
      <c r="V214" t="str">
        <f>CONCATENATE("&lt;/li&gt;&lt;li&gt;&lt;a href=|http://",V1191,"/judges/3.htm","| ","title=|",V1190,"| target=|_top|&gt;",V1192,"&lt;/a&gt;")</f>
        <v>&lt;/li&gt;&lt;li&gt;&lt;a href=|http://study.interlinearbible.org/judges/3.htm| title=|Hebrew Study Bible| target=|_top|&gt;Heb Study&lt;/a&gt;</v>
      </c>
      <c r="W214" t="str">
        <f t="shared" si="852"/>
        <v>&lt;/li&gt;&lt;li&gt;&lt;a href=|http://apostolic.interlinearbible.org/judges/3.htm| title=|Apostolic Bible Polyglot Interlinear| target=|_top|&gt;Polyglot&lt;/a&gt;</v>
      </c>
      <c r="X214" t="str">
        <f t="shared" si="852"/>
        <v>&lt;/li&gt;&lt;li&gt;&lt;a href=|http://interlinearbible.org/judges/3.htm| title=|Interlinear Bible| target=|_top|&gt;Interlin&lt;/a&gt;</v>
      </c>
      <c r="Y214" t="str">
        <f t="shared" ref="Y214" si="853">CONCATENATE("&lt;/li&gt;&lt;li&gt;&lt;a href=|http://",Y1191,"/judges/3.htm","| ","title=|",Y1190,"| target=|_top|&gt;",Y1192,"&lt;/a&gt;")</f>
        <v>&lt;/li&gt;&lt;li&gt;&lt;a href=|http://bibleoutline.org/judges/3.htm| title=|Outline with People and Places List| target=|_top|&gt;Outline&lt;/a&gt;</v>
      </c>
      <c r="Z214" t="str">
        <f t="shared" si="852"/>
        <v>&lt;/li&gt;&lt;li&gt;&lt;a href=|http://kjvs.scripturetext.com/judges/3.htm| title=|King James Bible with Strong's Numbers| target=|_top|&gt;Strong's&lt;/a&gt;</v>
      </c>
      <c r="AA214" t="str">
        <f t="shared" si="852"/>
        <v>&lt;/li&gt;&lt;li&gt;&lt;a href=|http://childrensbibleonline.com/judges/3.htm| title=|The Children's Bible| target=|_top|&gt;Children's&lt;/a&gt;</v>
      </c>
      <c r="AB214" s="2" t="str">
        <f t="shared" si="852"/>
        <v>&lt;/li&gt;&lt;li&gt;&lt;a href=|http://tsk.scripturetext.com/judges/3.htm| title=|Treasury of Scripture Knowledge| target=|_top|&gt;TSK&lt;/a&gt;</v>
      </c>
      <c r="AC214" t="str">
        <f>CONCATENATE("&lt;a href=|http://",AC1191,"/judges/3.htm","| ","title=|",AC1190,"| target=|_top|&gt;",AC1192,"&lt;/a&gt;")</f>
        <v>&lt;a href=|http://parallelbible.com/judges/3.htm| title=|Parallel Chapters| target=|_top|&gt;PAR&lt;/a&gt;</v>
      </c>
      <c r="AD214" s="2" t="str">
        <f t="shared" ref="AD214:AK214" si="854">CONCATENATE("&lt;/li&gt;&lt;li&gt;&lt;a href=|http://",AD1191,"/judges/3.htm","| ","title=|",AD1190,"| target=|_top|&gt;",AD1192,"&lt;/a&gt;")</f>
        <v>&lt;/li&gt;&lt;li&gt;&lt;a href=|http://gsb.biblecommenter.com/judges/3.htm| title=|Geneva Study Bible| target=|_top|&gt;GSB&lt;/a&gt;</v>
      </c>
      <c r="AE214" s="2" t="str">
        <f t="shared" si="854"/>
        <v>&lt;/li&gt;&lt;li&gt;&lt;a href=|http://jfb.biblecommenter.com/judges/3.htm| title=|Jamieson-Fausset-Brown Bible Commentary| target=|_top|&gt;JFB&lt;/a&gt;</v>
      </c>
      <c r="AF214" s="2" t="str">
        <f t="shared" si="854"/>
        <v>&lt;/li&gt;&lt;li&gt;&lt;a href=|http://kjt.biblecommenter.com/judges/3.htm| title=|King James Translators' Notes| target=|_top|&gt;KJT&lt;/a&gt;</v>
      </c>
      <c r="AG214" s="2" t="str">
        <f t="shared" si="854"/>
        <v>&lt;/li&gt;&lt;li&gt;&lt;a href=|http://mhc.biblecommenter.com/judges/3.htm| title=|Matthew Henry's Concise Commentary| target=|_top|&gt;MHC&lt;/a&gt;</v>
      </c>
      <c r="AH214" s="2" t="str">
        <f t="shared" si="854"/>
        <v>&lt;/li&gt;&lt;li&gt;&lt;a href=|http://sco.biblecommenter.com/judges/3.htm| title=|Scofield Reference Notes| target=|_top|&gt;SCO&lt;/a&gt;</v>
      </c>
      <c r="AI214" s="2" t="str">
        <f t="shared" si="854"/>
        <v>&lt;/li&gt;&lt;li&gt;&lt;a href=|http://wes.biblecommenter.com/judges/3.htm| title=|Wesley's Notes on the Bible| target=|_top|&gt;WES&lt;/a&gt;</v>
      </c>
      <c r="AJ214" t="str">
        <f t="shared" si="854"/>
        <v>&lt;/li&gt;&lt;li&gt;&lt;a href=|http://worldebible.com/judges/3.htm| title=|World English Bible| target=|_top|&gt;WEB&lt;/a&gt;</v>
      </c>
      <c r="AK214" t="str">
        <f t="shared" si="854"/>
        <v>&lt;/li&gt;&lt;li&gt;&lt;a href=|http://yltbible.com/judges/3.htm| title=|Young's Literal Translation| target=|_top|&gt;YLT&lt;/a&gt;</v>
      </c>
      <c r="AL214" t="str">
        <f>CONCATENATE("&lt;a href=|http://",AL1191,"/judges/3.htm","| ","title=|",AL1190,"| target=|_top|&gt;",AL1192,"&lt;/a&gt;")</f>
        <v>&lt;a href=|http://kjv.us/judges/3.htm| title=|American King James Version| target=|_top|&gt;AKJ&lt;/a&gt;</v>
      </c>
      <c r="AM214" t="str">
        <f t="shared" ref="AM214:AN214" si="855">CONCATENATE("&lt;/li&gt;&lt;li&gt;&lt;a href=|http://",AM1191,"/judges/3.htm","| ","title=|",AM1190,"| target=|_top|&gt;",AM1192,"&lt;/a&gt;")</f>
        <v>&lt;/li&gt;&lt;li&gt;&lt;a href=|http://basicenglishbible.com/judges/3.htm| title=|Bible in Basic English| target=|_top|&gt;BBE&lt;/a&gt;</v>
      </c>
      <c r="AN214" t="str">
        <f t="shared" si="855"/>
        <v>&lt;/li&gt;&lt;li&gt;&lt;a href=|http://darbybible.com/judges/3.htm| title=|Darby Bible Translation| target=|_top|&gt;DBY&lt;/a&gt;</v>
      </c>
      <c r="AO21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1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1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14" t="str">
        <f>CONCATENATE("&lt;/li&gt;&lt;li&gt;&lt;a href=|http://",AR1191,"/judges/3.htm","| ","title=|",AR1190,"| target=|_top|&gt;",AR1192,"&lt;/a&gt;")</f>
        <v>&lt;/li&gt;&lt;li&gt;&lt;a href=|http://websterbible.com/judges/3.htm| title=|Webster's Bible Translation| target=|_top|&gt;WBS&lt;/a&gt;</v>
      </c>
      <c r="AS21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14" t="str">
        <f>CONCATENATE("&lt;/li&gt;&lt;li&gt;&lt;a href=|http://",AT1191,"/judges/3-1.htm","| ","title=|",AT1190,"| target=|_top|&gt;",AT1192,"&lt;/a&gt;")</f>
        <v>&lt;/li&gt;&lt;li&gt;&lt;a href=|http://biblebrowser.com/judges/3-1.htm| title=|Split View| target=|_top|&gt;Split&lt;/a&gt;</v>
      </c>
      <c r="AU214" s="2" t="s">
        <v>1276</v>
      </c>
      <c r="AV214" t="s">
        <v>64</v>
      </c>
    </row>
    <row r="215" spans="1:48">
      <c r="A215" t="s">
        <v>622</v>
      </c>
      <c r="B215" t="s">
        <v>268</v>
      </c>
      <c r="C215" t="s">
        <v>624</v>
      </c>
      <c r="D215" t="s">
        <v>1268</v>
      </c>
      <c r="E215" t="s">
        <v>1277</v>
      </c>
      <c r="F215" t="s">
        <v>1304</v>
      </c>
      <c r="G215" t="s">
        <v>1266</v>
      </c>
      <c r="H215" t="s">
        <v>1305</v>
      </c>
      <c r="I215" t="s">
        <v>1303</v>
      </c>
      <c r="J215" t="s">
        <v>1267</v>
      </c>
      <c r="K215" t="s">
        <v>1275</v>
      </c>
      <c r="L215" s="2" t="s">
        <v>1274</v>
      </c>
      <c r="M215" t="str">
        <f t="shared" ref="M215:AB215" si="856">CONCATENATE("&lt;/li&gt;&lt;li&gt;&lt;a href=|http://",M1191,"/judges/4.htm","| ","title=|",M1190,"| target=|_top|&gt;",M1192,"&lt;/a&gt;")</f>
        <v>&lt;/li&gt;&lt;li&gt;&lt;a href=|http://niv.scripturetext.com/judges/4.htm| title=|New International Version| target=|_top|&gt;NIV&lt;/a&gt;</v>
      </c>
      <c r="N215" t="str">
        <f t="shared" si="856"/>
        <v>&lt;/li&gt;&lt;li&gt;&lt;a href=|http://nlt.scripturetext.com/judges/4.htm| title=|New Living Translation| target=|_top|&gt;NLT&lt;/a&gt;</v>
      </c>
      <c r="O215" t="str">
        <f t="shared" si="856"/>
        <v>&lt;/li&gt;&lt;li&gt;&lt;a href=|http://nasb.scripturetext.com/judges/4.htm| title=|New American Standard Bible| target=|_top|&gt;NAS&lt;/a&gt;</v>
      </c>
      <c r="P215" t="str">
        <f t="shared" si="856"/>
        <v>&lt;/li&gt;&lt;li&gt;&lt;a href=|http://gwt.scripturetext.com/judges/4.htm| title=|God's Word Translation| target=|_top|&gt;GWT&lt;/a&gt;</v>
      </c>
      <c r="Q215" t="str">
        <f t="shared" si="856"/>
        <v>&lt;/li&gt;&lt;li&gt;&lt;a href=|http://kingjbible.com/judges/4.htm| title=|King James Bible| target=|_top|&gt;KJV&lt;/a&gt;</v>
      </c>
      <c r="R215" t="str">
        <f t="shared" si="856"/>
        <v>&lt;/li&gt;&lt;li&gt;&lt;a href=|http://asvbible.com/judges/4.htm| title=|American Standard Version| target=|_top|&gt;ASV&lt;/a&gt;</v>
      </c>
      <c r="S215" t="str">
        <f t="shared" si="856"/>
        <v>&lt;/li&gt;&lt;li&gt;&lt;a href=|http://drb.scripturetext.com/judges/4.htm| title=|Douay-Rheims Bible| target=|_top|&gt;DRB&lt;/a&gt;</v>
      </c>
      <c r="T215" t="str">
        <f t="shared" si="856"/>
        <v>&lt;/li&gt;&lt;li&gt;&lt;a href=|http://erv.scripturetext.com/judges/4.htm| title=|English Revised Version| target=|_top|&gt;ERV&lt;/a&gt;</v>
      </c>
      <c r="V215" t="str">
        <f>CONCATENATE("&lt;/li&gt;&lt;li&gt;&lt;a href=|http://",V1191,"/judges/4.htm","| ","title=|",V1190,"| target=|_top|&gt;",V1192,"&lt;/a&gt;")</f>
        <v>&lt;/li&gt;&lt;li&gt;&lt;a href=|http://study.interlinearbible.org/judges/4.htm| title=|Hebrew Study Bible| target=|_top|&gt;Heb Study&lt;/a&gt;</v>
      </c>
      <c r="W215" t="str">
        <f t="shared" si="856"/>
        <v>&lt;/li&gt;&lt;li&gt;&lt;a href=|http://apostolic.interlinearbible.org/judges/4.htm| title=|Apostolic Bible Polyglot Interlinear| target=|_top|&gt;Polyglot&lt;/a&gt;</v>
      </c>
      <c r="X215" t="str">
        <f t="shared" si="856"/>
        <v>&lt;/li&gt;&lt;li&gt;&lt;a href=|http://interlinearbible.org/judges/4.htm| title=|Interlinear Bible| target=|_top|&gt;Interlin&lt;/a&gt;</v>
      </c>
      <c r="Y215" t="str">
        <f t="shared" ref="Y215" si="857">CONCATENATE("&lt;/li&gt;&lt;li&gt;&lt;a href=|http://",Y1191,"/judges/4.htm","| ","title=|",Y1190,"| target=|_top|&gt;",Y1192,"&lt;/a&gt;")</f>
        <v>&lt;/li&gt;&lt;li&gt;&lt;a href=|http://bibleoutline.org/judges/4.htm| title=|Outline with People and Places List| target=|_top|&gt;Outline&lt;/a&gt;</v>
      </c>
      <c r="Z215" t="str">
        <f t="shared" si="856"/>
        <v>&lt;/li&gt;&lt;li&gt;&lt;a href=|http://kjvs.scripturetext.com/judges/4.htm| title=|King James Bible with Strong's Numbers| target=|_top|&gt;Strong's&lt;/a&gt;</v>
      </c>
      <c r="AA215" t="str">
        <f t="shared" si="856"/>
        <v>&lt;/li&gt;&lt;li&gt;&lt;a href=|http://childrensbibleonline.com/judges/4.htm| title=|The Children's Bible| target=|_top|&gt;Children's&lt;/a&gt;</v>
      </c>
      <c r="AB215" s="2" t="str">
        <f t="shared" si="856"/>
        <v>&lt;/li&gt;&lt;li&gt;&lt;a href=|http://tsk.scripturetext.com/judges/4.htm| title=|Treasury of Scripture Knowledge| target=|_top|&gt;TSK&lt;/a&gt;</v>
      </c>
      <c r="AC215" t="str">
        <f>CONCATENATE("&lt;a href=|http://",AC1191,"/judges/4.htm","| ","title=|",AC1190,"| target=|_top|&gt;",AC1192,"&lt;/a&gt;")</f>
        <v>&lt;a href=|http://parallelbible.com/judges/4.htm| title=|Parallel Chapters| target=|_top|&gt;PAR&lt;/a&gt;</v>
      </c>
      <c r="AD215" s="2" t="str">
        <f t="shared" ref="AD215:AK215" si="858">CONCATENATE("&lt;/li&gt;&lt;li&gt;&lt;a href=|http://",AD1191,"/judges/4.htm","| ","title=|",AD1190,"| target=|_top|&gt;",AD1192,"&lt;/a&gt;")</f>
        <v>&lt;/li&gt;&lt;li&gt;&lt;a href=|http://gsb.biblecommenter.com/judges/4.htm| title=|Geneva Study Bible| target=|_top|&gt;GSB&lt;/a&gt;</v>
      </c>
      <c r="AE215" s="2" t="str">
        <f t="shared" si="858"/>
        <v>&lt;/li&gt;&lt;li&gt;&lt;a href=|http://jfb.biblecommenter.com/judges/4.htm| title=|Jamieson-Fausset-Brown Bible Commentary| target=|_top|&gt;JFB&lt;/a&gt;</v>
      </c>
      <c r="AF215" s="2" t="str">
        <f t="shared" si="858"/>
        <v>&lt;/li&gt;&lt;li&gt;&lt;a href=|http://kjt.biblecommenter.com/judges/4.htm| title=|King James Translators' Notes| target=|_top|&gt;KJT&lt;/a&gt;</v>
      </c>
      <c r="AG215" s="2" t="str">
        <f t="shared" si="858"/>
        <v>&lt;/li&gt;&lt;li&gt;&lt;a href=|http://mhc.biblecommenter.com/judges/4.htm| title=|Matthew Henry's Concise Commentary| target=|_top|&gt;MHC&lt;/a&gt;</v>
      </c>
      <c r="AH215" s="2" t="str">
        <f t="shared" si="858"/>
        <v>&lt;/li&gt;&lt;li&gt;&lt;a href=|http://sco.biblecommenter.com/judges/4.htm| title=|Scofield Reference Notes| target=|_top|&gt;SCO&lt;/a&gt;</v>
      </c>
      <c r="AI215" s="2" t="str">
        <f t="shared" si="858"/>
        <v>&lt;/li&gt;&lt;li&gt;&lt;a href=|http://wes.biblecommenter.com/judges/4.htm| title=|Wesley's Notes on the Bible| target=|_top|&gt;WES&lt;/a&gt;</v>
      </c>
      <c r="AJ215" t="str">
        <f t="shared" si="858"/>
        <v>&lt;/li&gt;&lt;li&gt;&lt;a href=|http://worldebible.com/judges/4.htm| title=|World English Bible| target=|_top|&gt;WEB&lt;/a&gt;</v>
      </c>
      <c r="AK215" t="str">
        <f t="shared" si="858"/>
        <v>&lt;/li&gt;&lt;li&gt;&lt;a href=|http://yltbible.com/judges/4.htm| title=|Young's Literal Translation| target=|_top|&gt;YLT&lt;/a&gt;</v>
      </c>
      <c r="AL215" t="str">
        <f>CONCATENATE("&lt;a href=|http://",AL1191,"/judges/4.htm","| ","title=|",AL1190,"| target=|_top|&gt;",AL1192,"&lt;/a&gt;")</f>
        <v>&lt;a href=|http://kjv.us/judges/4.htm| title=|American King James Version| target=|_top|&gt;AKJ&lt;/a&gt;</v>
      </c>
      <c r="AM215" t="str">
        <f t="shared" ref="AM215:AN215" si="859">CONCATENATE("&lt;/li&gt;&lt;li&gt;&lt;a href=|http://",AM1191,"/judges/4.htm","| ","title=|",AM1190,"| target=|_top|&gt;",AM1192,"&lt;/a&gt;")</f>
        <v>&lt;/li&gt;&lt;li&gt;&lt;a href=|http://basicenglishbible.com/judges/4.htm| title=|Bible in Basic English| target=|_top|&gt;BBE&lt;/a&gt;</v>
      </c>
      <c r="AN215" t="str">
        <f t="shared" si="859"/>
        <v>&lt;/li&gt;&lt;li&gt;&lt;a href=|http://darbybible.com/judges/4.htm| title=|Darby Bible Translation| target=|_top|&gt;DBY&lt;/a&gt;</v>
      </c>
      <c r="AO21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1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1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15" t="str">
        <f>CONCATENATE("&lt;/li&gt;&lt;li&gt;&lt;a href=|http://",AR1191,"/judges/4.htm","| ","title=|",AR1190,"| target=|_top|&gt;",AR1192,"&lt;/a&gt;")</f>
        <v>&lt;/li&gt;&lt;li&gt;&lt;a href=|http://websterbible.com/judges/4.htm| title=|Webster's Bible Translation| target=|_top|&gt;WBS&lt;/a&gt;</v>
      </c>
      <c r="AS21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15" t="str">
        <f>CONCATENATE("&lt;/li&gt;&lt;li&gt;&lt;a href=|http://",AT1191,"/judges/4-1.htm","| ","title=|",AT1190,"| target=|_top|&gt;",AT1192,"&lt;/a&gt;")</f>
        <v>&lt;/li&gt;&lt;li&gt;&lt;a href=|http://biblebrowser.com/judges/4-1.htm| title=|Split View| target=|_top|&gt;Split&lt;/a&gt;</v>
      </c>
      <c r="AU215" s="2" t="s">
        <v>1276</v>
      </c>
      <c r="AV215" t="s">
        <v>64</v>
      </c>
    </row>
    <row r="216" spans="1:48">
      <c r="A216" t="s">
        <v>622</v>
      </c>
      <c r="B216" t="s">
        <v>269</v>
      </c>
      <c r="C216" t="s">
        <v>624</v>
      </c>
      <c r="D216" t="s">
        <v>1268</v>
      </c>
      <c r="E216" t="s">
        <v>1277</v>
      </c>
      <c r="F216" t="s">
        <v>1304</v>
      </c>
      <c r="G216" t="s">
        <v>1266</v>
      </c>
      <c r="H216" t="s">
        <v>1305</v>
      </c>
      <c r="I216" t="s">
        <v>1303</v>
      </c>
      <c r="J216" t="s">
        <v>1267</v>
      </c>
      <c r="K216" t="s">
        <v>1275</v>
      </c>
      <c r="L216" s="2" t="s">
        <v>1274</v>
      </c>
      <c r="M216" t="str">
        <f t="shared" ref="M216:AB216" si="860">CONCATENATE("&lt;/li&gt;&lt;li&gt;&lt;a href=|http://",M1191,"/judges/5.htm","| ","title=|",M1190,"| target=|_top|&gt;",M1192,"&lt;/a&gt;")</f>
        <v>&lt;/li&gt;&lt;li&gt;&lt;a href=|http://niv.scripturetext.com/judges/5.htm| title=|New International Version| target=|_top|&gt;NIV&lt;/a&gt;</v>
      </c>
      <c r="N216" t="str">
        <f t="shared" si="860"/>
        <v>&lt;/li&gt;&lt;li&gt;&lt;a href=|http://nlt.scripturetext.com/judges/5.htm| title=|New Living Translation| target=|_top|&gt;NLT&lt;/a&gt;</v>
      </c>
      <c r="O216" t="str">
        <f t="shared" si="860"/>
        <v>&lt;/li&gt;&lt;li&gt;&lt;a href=|http://nasb.scripturetext.com/judges/5.htm| title=|New American Standard Bible| target=|_top|&gt;NAS&lt;/a&gt;</v>
      </c>
      <c r="P216" t="str">
        <f t="shared" si="860"/>
        <v>&lt;/li&gt;&lt;li&gt;&lt;a href=|http://gwt.scripturetext.com/judges/5.htm| title=|God's Word Translation| target=|_top|&gt;GWT&lt;/a&gt;</v>
      </c>
      <c r="Q216" t="str">
        <f t="shared" si="860"/>
        <v>&lt;/li&gt;&lt;li&gt;&lt;a href=|http://kingjbible.com/judges/5.htm| title=|King James Bible| target=|_top|&gt;KJV&lt;/a&gt;</v>
      </c>
      <c r="R216" t="str">
        <f t="shared" si="860"/>
        <v>&lt;/li&gt;&lt;li&gt;&lt;a href=|http://asvbible.com/judges/5.htm| title=|American Standard Version| target=|_top|&gt;ASV&lt;/a&gt;</v>
      </c>
      <c r="S216" t="str">
        <f t="shared" si="860"/>
        <v>&lt;/li&gt;&lt;li&gt;&lt;a href=|http://drb.scripturetext.com/judges/5.htm| title=|Douay-Rheims Bible| target=|_top|&gt;DRB&lt;/a&gt;</v>
      </c>
      <c r="T216" t="str">
        <f t="shared" si="860"/>
        <v>&lt;/li&gt;&lt;li&gt;&lt;a href=|http://erv.scripturetext.com/judges/5.htm| title=|English Revised Version| target=|_top|&gt;ERV&lt;/a&gt;</v>
      </c>
      <c r="V216" t="str">
        <f>CONCATENATE("&lt;/li&gt;&lt;li&gt;&lt;a href=|http://",V1191,"/judges/5.htm","| ","title=|",V1190,"| target=|_top|&gt;",V1192,"&lt;/a&gt;")</f>
        <v>&lt;/li&gt;&lt;li&gt;&lt;a href=|http://study.interlinearbible.org/judges/5.htm| title=|Hebrew Study Bible| target=|_top|&gt;Heb Study&lt;/a&gt;</v>
      </c>
      <c r="W216" t="str">
        <f t="shared" si="860"/>
        <v>&lt;/li&gt;&lt;li&gt;&lt;a href=|http://apostolic.interlinearbible.org/judges/5.htm| title=|Apostolic Bible Polyglot Interlinear| target=|_top|&gt;Polyglot&lt;/a&gt;</v>
      </c>
      <c r="X216" t="str">
        <f t="shared" si="860"/>
        <v>&lt;/li&gt;&lt;li&gt;&lt;a href=|http://interlinearbible.org/judges/5.htm| title=|Interlinear Bible| target=|_top|&gt;Interlin&lt;/a&gt;</v>
      </c>
      <c r="Y216" t="str">
        <f t="shared" ref="Y216" si="861">CONCATENATE("&lt;/li&gt;&lt;li&gt;&lt;a href=|http://",Y1191,"/judges/5.htm","| ","title=|",Y1190,"| target=|_top|&gt;",Y1192,"&lt;/a&gt;")</f>
        <v>&lt;/li&gt;&lt;li&gt;&lt;a href=|http://bibleoutline.org/judges/5.htm| title=|Outline with People and Places List| target=|_top|&gt;Outline&lt;/a&gt;</v>
      </c>
      <c r="Z216" t="str">
        <f t="shared" si="860"/>
        <v>&lt;/li&gt;&lt;li&gt;&lt;a href=|http://kjvs.scripturetext.com/judges/5.htm| title=|King James Bible with Strong's Numbers| target=|_top|&gt;Strong's&lt;/a&gt;</v>
      </c>
      <c r="AA216" t="str">
        <f t="shared" si="860"/>
        <v>&lt;/li&gt;&lt;li&gt;&lt;a href=|http://childrensbibleonline.com/judges/5.htm| title=|The Children's Bible| target=|_top|&gt;Children's&lt;/a&gt;</v>
      </c>
      <c r="AB216" s="2" t="str">
        <f t="shared" si="860"/>
        <v>&lt;/li&gt;&lt;li&gt;&lt;a href=|http://tsk.scripturetext.com/judges/5.htm| title=|Treasury of Scripture Knowledge| target=|_top|&gt;TSK&lt;/a&gt;</v>
      </c>
      <c r="AC216" t="str">
        <f>CONCATENATE("&lt;a href=|http://",AC1191,"/judges/5.htm","| ","title=|",AC1190,"| target=|_top|&gt;",AC1192,"&lt;/a&gt;")</f>
        <v>&lt;a href=|http://parallelbible.com/judges/5.htm| title=|Parallel Chapters| target=|_top|&gt;PAR&lt;/a&gt;</v>
      </c>
      <c r="AD216" s="2" t="str">
        <f t="shared" ref="AD216:AK216" si="862">CONCATENATE("&lt;/li&gt;&lt;li&gt;&lt;a href=|http://",AD1191,"/judges/5.htm","| ","title=|",AD1190,"| target=|_top|&gt;",AD1192,"&lt;/a&gt;")</f>
        <v>&lt;/li&gt;&lt;li&gt;&lt;a href=|http://gsb.biblecommenter.com/judges/5.htm| title=|Geneva Study Bible| target=|_top|&gt;GSB&lt;/a&gt;</v>
      </c>
      <c r="AE216" s="2" t="str">
        <f t="shared" si="862"/>
        <v>&lt;/li&gt;&lt;li&gt;&lt;a href=|http://jfb.biblecommenter.com/judges/5.htm| title=|Jamieson-Fausset-Brown Bible Commentary| target=|_top|&gt;JFB&lt;/a&gt;</v>
      </c>
      <c r="AF216" s="2" t="str">
        <f t="shared" si="862"/>
        <v>&lt;/li&gt;&lt;li&gt;&lt;a href=|http://kjt.biblecommenter.com/judges/5.htm| title=|King James Translators' Notes| target=|_top|&gt;KJT&lt;/a&gt;</v>
      </c>
      <c r="AG216" s="2" t="str">
        <f t="shared" si="862"/>
        <v>&lt;/li&gt;&lt;li&gt;&lt;a href=|http://mhc.biblecommenter.com/judges/5.htm| title=|Matthew Henry's Concise Commentary| target=|_top|&gt;MHC&lt;/a&gt;</v>
      </c>
      <c r="AH216" s="2" t="str">
        <f t="shared" si="862"/>
        <v>&lt;/li&gt;&lt;li&gt;&lt;a href=|http://sco.biblecommenter.com/judges/5.htm| title=|Scofield Reference Notes| target=|_top|&gt;SCO&lt;/a&gt;</v>
      </c>
      <c r="AI216" s="2" t="str">
        <f t="shared" si="862"/>
        <v>&lt;/li&gt;&lt;li&gt;&lt;a href=|http://wes.biblecommenter.com/judges/5.htm| title=|Wesley's Notes on the Bible| target=|_top|&gt;WES&lt;/a&gt;</v>
      </c>
      <c r="AJ216" t="str">
        <f t="shared" si="862"/>
        <v>&lt;/li&gt;&lt;li&gt;&lt;a href=|http://worldebible.com/judges/5.htm| title=|World English Bible| target=|_top|&gt;WEB&lt;/a&gt;</v>
      </c>
      <c r="AK216" t="str">
        <f t="shared" si="862"/>
        <v>&lt;/li&gt;&lt;li&gt;&lt;a href=|http://yltbible.com/judges/5.htm| title=|Young's Literal Translation| target=|_top|&gt;YLT&lt;/a&gt;</v>
      </c>
      <c r="AL216" t="str">
        <f>CONCATENATE("&lt;a href=|http://",AL1191,"/judges/5.htm","| ","title=|",AL1190,"| target=|_top|&gt;",AL1192,"&lt;/a&gt;")</f>
        <v>&lt;a href=|http://kjv.us/judges/5.htm| title=|American King James Version| target=|_top|&gt;AKJ&lt;/a&gt;</v>
      </c>
      <c r="AM216" t="str">
        <f t="shared" ref="AM216:AN216" si="863">CONCATENATE("&lt;/li&gt;&lt;li&gt;&lt;a href=|http://",AM1191,"/judges/5.htm","| ","title=|",AM1190,"| target=|_top|&gt;",AM1192,"&lt;/a&gt;")</f>
        <v>&lt;/li&gt;&lt;li&gt;&lt;a href=|http://basicenglishbible.com/judges/5.htm| title=|Bible in Basic English| target=|_top|&gt;BBE&lt;/a&gt;</v>
      </c>
      <c r="AN216" t="str">
        <f t="shared" si="863"/>
        <v>&lt;/li&gt;&lt;li&gt;&lt;a href=|http://darbybible.com/judges/5.htm| title=|Darby Bible Translation| target=|_top|&gt;DBY&lt;/a&gt;</v>
      </c>
      <c r="AO21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1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1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16" t="str">
        <f>CONCATENATE("&lt;/li&gt;&lt;li&gt;&lt;a href=|http://",AR1191,"/judges/5.htm","| ","title=|",AR1190,"| target=|_top|&gt;",AR1192,"&lt;/a&gt;")</f>
        <v>&lt;/li&gt;&lt;li&gt;&lt;a href=|http://websterbible.com/judges/5.htm| title=|Webster's Bible Translation| target=|_top|&gt;WBS&lt;/a&gt;</v>
      </c>
      <c r="AS21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16" t="str">
        <f>CONCATENATE("&lt;/li&gt;&lt;li&gt;&lt;a href=|http://",AT1191,"/judges/5-1.htm","| ","title=|",AT1190,"| target=|_top|&gt;",AT1192,"&lt;/a&gt;")</f>
        <v>&lt;/li&gt;&lt;li&gt;&lt;a href=|http://biblebrowser.com/judges/5-1.htm| title=|Split View| target=|_top|&gt;Split&lt;/a&gt;</v>
      </c>
      <c r="AU216" s="2" t="s">
        <v>1276</v>
      </c>
      <c r="AV216" t="s">
        <v>64</v>
      </c>
    </row>
    <row r="217" spans="1:48">
      <c r="A217" t="s">
        <v>622</v>
      </c>
      <c r="B217" t="s">
        <v>270</v>
      </c>
      <c r="C217" t="s">
        <v>624</v>
      </c>
      <c r="D217" t="s">
        <v>1268</v>
      </c>
      <c r="E217" t="s">
        <v>1277</v>
      </c>
      <c r="F217" t="s">
        <v>1304</v>
      </c>
      <c r="G217" t="s">
        <v>1266</v>
      </c>
      <c r="H217" t="s">
        <v>1305</v>
      </c>
      <c r="I217" t="s">
        <v>1303</v>
      </c>
      <c r="J217" t="s">
        <v>1267</v>
      </c>
      <c r="K217" t="s">
        <v>1275</v>
      </c>
      <c r="L217" s="2" t="s">
        <v>1274</v>
      </c>
      <c r="M217" t="str">
        <f t="shared" ref="M217:AB217" si="864">CONCATENATE("&lt;/li&gt;&lt;li&gt;&lt;a href=|http://",M1191,"/judges/6.htm","| ","title=|",M1190,"| target=|_top|&gt;",M1192,"&lt;/a&gt;")</f>
        <v>&lt;/li&gt;&lt;li&gt;&lt;a href=|http://niv.scripturetext.com/judges/6.htm| title=|New International Version| target=|_top|&gt;NIV&lt;/a&gt;</v>
      </c>
      <c r="N217" t="str">
        <f t="shared" si="864"/>
        <v>&lt;/li&gt;&lt;li&gt;&lt;a href=|http://nlt.scripturetext.com/judges/6.htm| title=|New Living Translation| target=|_top|&gt;NLT&lt;/a&gt;</v>
      </c>
      <c r="O217" t="str">
        <f t="shared" si="864"/>
        <v>&lt;/li&gt;&lt;li&gt;&lt;a href=|http://nasb.scripturetext.com/judges/6.htm| title=|New American Standard Bible| target=|_top|&gt;NAS&lt;/a&gt;</v>
      </c>
      <c r="P217" t="str">
        <f t="shared" si="864"/>
        <v>&lt;/li&gt;&lt;li&gt;&lt;a href=|http://gwt.scripturetext.com/judges/6.htm| title=|God's Word Translation| target=|_top|&gt;GWT&lt;/a&gt;</v>
      </c>
      <c r="Q217" t="str">
        <f t="shared" si="864"/>
        <v>&lt;/li&gt;&lt;li&gt;&lt;a href=|http://kingjbible.com/judges/6.htm| title=|King James Bible| target=|_top|&gt;KJV&lt;/a&gt;</v>
      </c>
      <c r="R217" t="str">
        <f t="shared" si="864"/>
        <v>&lt;/li&gt;&lt;li&gt;&lt;a href=|http://asvbible.com/judges/6.htm| title=|American Standard Version| target=|_top|&gt;ASV&lt;/a&gt;</v>
      </c>
      <c r="S217" t="str">
        <f t="shared" si="864"/>
        <v>&lt;/li&gt;&lt;li&gt;&lt;a href=|http://drb.scripturetext.com/judges/6.htm| title=|Douay-Rheims Bible| target=|_top|&gt;DRB&lt;/a&gt;</v>
      </c>
      <c r="T217" t="str">
        <f t="shared" si="864"/>
        <v>&lt;/li&gt;&lt;li&gt;&lt;a href=|http://erv.scripturetext.com/judges/6.htm| title=|English Revised Version| target=|_top|&gt;ERV&lt;/a&gt;</v>
      </c>
      <c r="V217" t="str">
        <f>CONCATENATE("&lt;/li&gt;&lt;li&gt;&lt;a href=|http://",V1191,"/judges/6.htm","| ","title=|",V1190,"| target=|_top|&gt;",V1192,"&lt;/a&gt;")</f>
        <v>&lt;/li&gt;&lt;li&gt;&lt;a href=|http://study.interlinearbible.org/judges/6.htm| title=|Hebrew Study Bible| target=|_top|&gt;Heb Study&lt;/a&gt;</v>
      </c>
      <c r="W217" t="str">
        <f t="shared" si="864"/>
        <v>&lt;/li&gt;&lt;li&gt;&lt;a href=|http://apostolic.interlinearbible.org/judges/6.htm| title=|Apostolic Bible Polyglot Interlinear| target=|_top|&gt;Polyglot&lt;/a&gt;</v>
      </c>
      <c r="X217" t="str">
        <f t="shared" si="864"/>
        <v>&lt;/li&gt;&lt;li&gt;&lt;a href=|http://interlinearbible.org/judges/6.htm| title=|Interlinear Bible| target=|_top|&gt;Interlin&lt;/a&gt;</v>
      </c>
      <c r="Y217" t="str">
        <f t="shared" ref="Y217" si="865">CONCATENATE("&lt;/li&gt;&lt;li&gt;&lt;a href=|http://",Y1191,"/judges/6.htm","| ","title=|",Y1190,"| target=|_top|&gt;",Y1192,"&lt;/a&gt;")</f>
        <v>&lt;/li&gt;&lt;li&gt;&lt;a href=|http://bibleoutline.org/judges/6.htm| title=|Outline with People and Places List| target=|_top|&gt;Outline&lt;/a&gt;</v>
      </c>
      <c r="Z217" t="str">
        <f t="shared" si="864"/>
        <v>&lt;/li&gt;&lt;li&gt;&lt;a href=|http://kjvs.scripturetext.com/judges/6.htm| title=|King James Bible with Strong's Numbers| target=|_top|&gt;Strong's&lt;/a&gt;</v>
      </c>
      <c r="AA217" t="str">
        <f t="shared" si="864"/>
        <v>&lt;/li&gt;&lt;li&gt;&lt;a href=|http://childrensbibleonline.com/judges/6.htm| title=|The Children's Bible| target=|_top|&gt;Children's&lt;/a&gt;</v>
      </c>
      <c r="AB217" s="2" t="str">
        <f t="shared" si="864"/>
        <v>&lt;/li&gt;&lt;li&gt;&lt;a href=|http://tsk.scripturetext.com/judges/6.htm| title=|Treasury of Scripture Knowledge| target=|_top|&gt;TSK&lt;/a&gt;</v>
      </c>
      <c r="AC217" t="str">
        <f>CONCATENATE("&lt;a href=|http://",AC1191,"/judges/6.htm","| ","title=|",AC1190,"| target=|_top|&gt;",AC1192,"&lt;/a&gt;")</f>
        <v>&lt;a href=|http://parallelbible.com/judges/6.htm| title=|Parallel Chapters| target=|_top|&gt;PAR&lt;/a&gt;</v>
      </c>
      <c r="AD217" s="2" t="str">
        <f t="shared" ref="AD217:AK217" si="866">CONCATENATE("&lt;/li&gt;&lt;li&gt;&lt;a href=|http://",AD1191,"/judges/6.htm","| ","title=|",AD1190,"| target=|_top|&gt;",AD1192,"&lt;/a&gt;")</f>
        <v>&lt;/li&gt;&lt;li&gt;&lt;a href=|http://gsb.biblecommenter.com/judges/6.htm| title=|Geneva Study Bible| target=|_top|&gt;GSB&lt;/a&gt;</v>
      </c>
      <c r="AE217" s="2" t="str">
        <f t="shared" si="866"/>
        <v>&lt;/li&gt;&lt;li&gt;&lt;a href=|http://jfb.biblecommenter.com/judges/6.htm| title=|Jamieson-Fausset-Brown Bible Commentary| target=|_top|&gt;JFB&lt;/a&gt;</v>
      </c>
      <c r="AF217" s="2" t="str">
        <f t="shared" si="866"/>
        <v>&lt;/li&gt;&lt;li&gt;&lt;a href=|http://kjt.biblecommenter.com/judges/6.htm| title=|King James Translators' Notes| target=|_top|&gt;KJT&lt;/a&gt;</v>
      </c>
      <c r="AG217" s="2" t="str">
        <f t="shared" si="866"/>
        <v>&lt;/li&gt;&lt;li&gt;&lt;a href=|http://mhc.biblecommenter.com/judges/6.htm| title=|Matthew Henry's Concise Commentary| target=|_top|&gt;MHC&lt;/a&gt;</v>
      </c>
      <c r="AH217" s="2" t="str">
        <f t="shared" si="866"/>
        <v>&lt;/li&gt;&lt;li&gt;&lt;a href=|http://sco.biblecommenter.com/judges/6.htm| title=|Scofield Reference Notes| target=|_top|&gt;SCO&lt;/a&gt;</v>
      </c>
      <c r="AI217" s="2" t="str">
        <f t="shared" si="866"/>
        <v>&lt;/li&gt;&lt;li&gt;&lt;a href=|http://wes.biblecommenter.com/judges/6.htm| title=|Wesley's Notes on the Bible| target=|_top|&gt;WES&lt;/a&gt;</v>
      </c>
      <c r="AJ217" t="str">
        <f t="shared" si="866"/>
        <v>&lt;/li&gt;&lt;li&gt;&lt;a href=|http://worldebible.com/judges/6.htm| title=|World English Bible| target=|_top|&gt;WEB&lt;/a&gt;</v>
      </c>
      <c r="AK217" t="str">
        <f t="shared" si="866"/>
        <v>&lt;/li&gt;&lt;li&gt;&lt;a href=|http://yltbible.com/judges/6.htm| title=|Young's Literal Translation| target=|_top|&gt;YLT&lt;/a&gt;</v>
      </c>
      <c r="AL217" t="str">
        <f>CONCATENATE("&lt;a href=|http://",AL1191,"/judges/6.htm","| ","title=|",AL1190,"| target=|_top|&gt;",AL1192,"&lt;/a&gt;")</f>
        <v>&lt;a href=|http://kjv.us/judges/6.htm| title=|American King James Version| target=|_top|&gt;AKJ&lt;/a&gt;</v>
      </c>
      <c r="AM217" t="str">
        <f t="shared" ref="AM217:AN217" si="867">CONCATENATE("&lt;/li&gt;&lt;li&gt;&lt;a href=|http://",AM1191,"/judges/6.htm","| ","title=|",AM1190,"| target=|_top|&gt;",AM1192,"&lt;/a&gt;")</f>
        <v>&lt;/li&gt;&lt;li&gt;&lt;a href=|http://basicenglishbible.com/judges/6.htm| title=|Bible in Basic English| target=|_top|&gt;BBE&lt;/a&gt;</v>
      </c>
      <c r="AN217" t="str">
        <f t="shared" si="867"/>
        <v>&lt;/li&gt;&lt;li&gt;&lt;a href=|http://darbybible.com/judges/6.htm| title=|Darby Bible Translation| target=|_top|&gt;DBY&lt;/a&gt;</v>
      </c>
      <c r="AO21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1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1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17" t="str">
        <f>CONCATENATE("&lt;/li&gt;&lt;li&gt;&lt;a href=|http://",AR1191,"/judges/6.htm","| ","title=|",AR1190,"| target=|_top|&gt;",AR1192,"&lt;/a&gt;")</f>
        <v>&lt;/li&gt;&lt;li&gt;&lt;a href=|http://websterbible.com/judges/6.htm| title=|Webster's Bible Translation| target=|_top|&gt;WBS&lt;/a&gt;</v>
      </c>
      <c r="AS21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17" t="str">
        <f>CONCATENATE("&lt;/li&gt;&lt;li&gt;&lt;a href=|http://",AT1191,"/judges/6-1.htm","| ","title=|",AT1190,"| target=|_top|&gt;",AT1192,"&lt;/a&gt;")</f>
        <v>&lt;/li&gt;&lt;li&gt;&lt;a href=|http://biblebrowser.com/judges/6-1.htm| title=|Split View| target=|_top|&gt;Split&lt;/a&gt;</v>
      </c>
      <c r="AU217" s="2" t="s">
        <v>1276</v>
      </c>
      <c r="AV217" t="s">
        <v>64</v>
      </c>
    </row>
    <row r="218" spans="1:48">
      <c r="A218" t="s">
        <v>622</v>
      </c>
      <c r="B218" t="s">
        <v>271</v>
      </c>
      <c r="C218" t="s">
        <v>624</v>
      </c>
      <c r="D218" t="s">
        <v>1268</v>
      </c>
      <c r="E218" t="s">
        <v>1277</v>
      </c>
      <c r="F218" t="s">
        <v>1304</v>
      </c>
      <c r="G218" t="s">
        <v>1266</v>
      </c>
      <c r="H218" t="s">
        <v>1305</v>
      </c>
      <c r="I218" t="s">
        <v>1303</v>
      </c>
      <c r="J218" t="s">
        <v>1267</v>
      </c>
      <c r="K218" t="s">
        <v>1275</v>
      </c>
      <c r="L218" s="2" t="s">
        <v>1274</v>
      </c>
      <c r="M218" t="str">
        <f t="shared" ref="M218:AB218" si="868">CONCATENATE("&lt;/li&gt;&lt;li&gt;&lt;a href=|http://",M1191,"/judges/7.htm","| ","title=|",M1190,"| target=|_top|&gt;",M1192,"&lt;/a&gt;")</f>
        <v>&lt;/li&gt;&lt;li&gt;&lt;a href=|http://niv.scripturetext.com/judges/7.htm| title=|New International Version| target=|_top|&gt;NIV&lt;/a&gt;</v>
      </c>
      <c r="N218" t="str">
        <f t="shared" si="868"/>
        <v>&lt;/li&gt;&lt;li&gt;&lt;a href=|http://nlt.scripturetext.com/judges/7.htm| title=|New Living Translation| target=|_top|&gt;NLT&lt;/a&gt;</v>
      </c>
      <c r="O218" t="str">
        <f t="shared" si="868"/>
        <v>&lt;/li&gt;&lt;li&gt;&lt;a href=|http://nasb.scripturetext.com/judges/7.htm| title=|New American Standard Bible| target=|_top|&gt;NAS&lt;/a&gt;</v>
      </c>
      <c r="P218" t="str">
        <f t="shared" si="868"/>
        <v>&lt;/li&gt;&lt;li&gt;&lt;a href=|http://gwt.scripturetext.com/judges/7.htm| title=|God's Word Translation| target=|_top|&gt;GWT&lt;/a&gt;</v>
      </c>
      <c r="Q218" t="str">
        <f t="shared" si="868"/>
        <v>&lt;/li&gt;&lt;li&gt;&lt;a href=|http://kingjbible.com/judges/7.htm| title=|King James Bible| target=|_top|&gt;KJV&lt;/a&gt;</v>
      </c>
      <c r="R218" t="str">
        <f t="shared" si="868"/>
        <v>&lt;/li&gt;&lt;li&gt;&lt;a href=|http://asvbible.com/judges/7.htm| title=|American Standard Version| target=|_top|&gt;ASV&lt;/a&gt;</v>
      </c>
      <c r="S218" t="str">
        <f t="shared" si="868"/>
        <v>&lt;/li&gt;&lt;li&gt;&lt;a href=|http://drb.scripturetext.com/judges/7.htm| title=|Douay-Rheims Bible| target=|_top|&gt;DRB&lt;/a&gt;</v>
      </c>
      <c r="T218" t="str">
        <f t="shared" si="868"/>
        <v>&lt;/li&gt;&lt;li&gt;&lt;a href=|http://erv.scripturetext.com/judges/7.htm| title=|English Revised Version| target=|_top|&gt;ERV&lt;/a&gt;</v>
      </c>
      <c r="V218" t="str">
        <f>CONCATENATE("&lt;/li&gt;&lt;li&gt;&lt;a href=|http://",V1191,"/judges/7.htm","| ","title=|",V1190,"| target=|_top|&gt;",V1192,"&lt;/a&gt;")</f>
        <v>&lt;/li&gt;&lt;li&gt;&lt;a href=|http://study.interlinearbible.org/judges/7.htm| title=|Hebrew Study Bible| target=|_top|&gt;Heb Study&lt;/a&gt;</v>
      </c>
      <c r="W218" t="str">
        <f t="shared" si="868"/>
        <v>&lt;/li&gt;&lt;li&gt;&lt;a href=|http://apostolic.interlinearbible.org/judges/7.htm| title=|Apostolic Bible Polyglot Interlinear| target=|_top|&gt;Polyglot&lt;/a&gt;</v>
      </c>
      <c r="X218" t="str">
        <f t="shared" si="868"/>
        <v>&lt;/li&gt;&lt;li&gt;&lt;a href=|http://interlinearbible.org/judges/7.htm| title=|Interlinear Bible| target=|_top|&gt;Interlin&lt;/a&gt;</v>
      </c>
      <c r="Y218" t="str">
        <f t="shared" ref="Y218" si="869">CONCATENATE("&lt;/li&gt;&lt;li&gt;&lt;a href=|http://",Y1191,"/judges/7.htm","| ","title=|",Y1190,"| target=|_top|&gt;",Y1192,"&lt;/a&gt;")</f>
        <v>&lt;/li&gt;&lt;li&gt;&lt;a href=|http://bibleoutline.org/judges/7.htm| title=|Outline with People and Places List| target=|_top|&gt;Outline&lt;/a&gt;</v>
      </c>
      <c r="Z218" t="str">
        <f t="shared" si="868"/>
        <v>&lt;/li&gt;&lt;li&gt;&lt;a href=|http://kjvs.scripturetext.com/judges/7.htm| title=|King James Bible with Strong's Numbers| target=|_top|&gt;Strong's&lt;/a&gt;</v>
      </c>
      <c r="AA218" t="str">
        <f t="shared" si="868"/>
        <v>&lt;/li&gt;&lt;li&gt;&lt;a href=|http://childrensbibleonline.com/judges/7.htm| title=|The Children's Bible| target=|_top|&gt;Children's&lt;/a&gt;</v>
      </c>
      <c r="AB218" s="2" t="str">
        <f t="shared" si="868"/>
        <v>&lt;/li&gt;&lt;li&gt;&lt;a href=|http://tsk.scripturetext.com/judges/7.htm| title=|Treasury of Scripture Knowledge| target=|_top|&gt;TSK&lt;/a&gt;</v>
      </c>
      <c r="AC218" t="str">
        <f>CONCATENATE("&lt;a href=|http://",AC1191,"/judges/7.htm","| ","title=|",AC1190,"| target=|_top|&gt;",AC1192,"&lt;/a&gt;")</f>
        <v>&lt;a href=|http://parallelbible.com/judges/7.htm| title=|Parallel Chapters| target=|_top|&gt;PAR&lt;/a&gt;</v>
      </c>
      <c r="AD218" s="2" t="str">
        <f t="shared" ref="AD218:AK218" si="870">CONCATENATE("&lt;/li&gt;&lt;li&gt;&lt;a href=|http://",AD1191,"/judges/7.htm","| ","title=|",AD1190,"| target=|_top|&gt;",AD1192,"&lt;/a&gt;")</f>
        <v>&lt;/li&gt;&lt;li&gt;&lt;a href=|http://gsb.biblecommenter.com/judges/7.htm| title=|Geneva Study Bible| target=|_top|&gt;GSB&lt;/a&gt;</v>
      </c>
      <c r="AE218" s="2" t="str">
        <f t="shared" si="870"/>
        <v>&lt;/li&gt;&lt;li&gt;&lt;a href=|http://jfb.biblecommenter.com/judges/7.htm| title=|Jamieson-Fausset-Brown Bible Commentary| target=|_top|&gt;JFB&lt;/a&gt;</v>
      </c>
      <c r="AF218" s="2" t="str">
        <f t="shared" si="870"/>
        <v>&lt;/li&gt;&lt;li&gt;&lt;a href=|http://kjt.biblecommenter.com/judges/7.htm| title=|King James Translators' Notes| target=|_top|&gt;KJT&lt;/a&gt;</v>
      </c>
      <c r="AG218" s="2" t="str">
        <f t="shared" si="870"/>
        <v>&lt;/li&gt;&lt;li&gt;&lt;a href=|http://mhc.biblecommenter.com/judges/7.htm| title=|Matthew Henry's Concise Commentary| target=|_top|&gt;MHC&lt;/a&gt;</v>
      </c>
      <c r="AH218" s="2" t="str">
        <f t="shared" si="870"/>
        <v>&lt;/li&gt;&lt;li&gt;&lt;a href=|http://sco.biblecommenter.com/judges/7.htm| title=|Scofield Reference Notes| target=|_top|&gt;SCO&lt;/a&gt;</v>
      </c>
      <c r="AI218" s="2" t="str">
        <f t="shared" si="870"/>
        <v>&lt;/li&gt;&lt;li&gt;&lt;a href=|http://wes.biblecommenter.com/judges/7.htm| title=|Wesley's Notes on the Bible| target=|_top|&gt;WES&lt;/a&gt;</v>
      </c>
      <c r="AJ218" t="str">
        <f t="shared" si="870"/>
        <v>&lt;/li&gt;&lt;li&gt;&lt;a href=|http://worldebible.com/judges/7.htm| title=|World English Bible| target=|_top|&gt;WEB&lt;/a&gt;</v>
      </c>
      <c r="AK218" t="str">
        <f t="shared" si="870"/>
        <v>&lt;/li&gt;&lt;li&gt;&lt;a href=|http://yltbible.com/judges/7.htm| title=|Young's Literal Translation| target=|_top|&gt;YLT&lt;/a&gt;</v>
      </c>
      <c r="AL218" t="str">
        <f>CONCATENATE("&lt;a href=|http://",AL1191,"/judges/7.htm","| ","title=|",AL1190,"| target=|_top|&gt;",AL1192,"&lt;/a&gt;")</f>
        <v>&lt;a href=|http://kjv.us/judges/7.htm| title=|American King James Version| target=|_top|&gt;AKJ&lt;/a&gt;</v>
      </c>
      <c r="AM218" t="str">
        <f t="shared" ref="AM218:AN218" si="871">CONCATENATE("&lt;/li&gt;&lt;li&gt;&lt;a href=|http://",AM1191,"/judges/7.htm","| ","title=|",AM1190,"| target=|_top|&gt;",AM1192,"&lt;/a&gt;")</f>
        <v>&lt;/li&gt;&lt;li&gt;&lt;a href=|http://basicenglishbible.com/judges/7.htm| title=|Bible in Basic English| target=|_top|&gt;BBE&lt;/a&gt;</v>
      </c>
      <c r="AN218" t="str">
        <f t="shared" si="871"/>
        <v>&lt;/li&gt;&lt;li&gt;&lt;a href=|http://darbybible.com/judges/7.htm| title=|Darby Bible Translation| target=|_top|&gt;DBY&lt;/a&gt;</v>
      </c>
      <c r="AO21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1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1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18" t="str">
        <f>CONCATENATE("&lt;/li&gt;&lt;li&gt;&lt;a href=|http://",AR1191,"/judges/7.htm","| ","title=|",AR1190,"| target=|_top|&gt;",AR1192,"&lt;/a&gt;")</f>
        <v>&lt;/li&gt;&lt;li&gt;&lt;a href=|http://websterbible.com/judges/7.htm| title=|Webster's Bible Translation| target=|_top|&gt;WBS&lt;/a&gt;</v>
      </c>
      <c r="AS21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18" t="str">
        <f>CONCATENATE("&lt;/li&gt;&lt;li&gt;&lt;a href=|http://",AT1191,"/judges/7-1.htm","| ","title=|",AT1190,"| target=|_top|&gt;",AT1192,"&lt;/a&gt;")</f>
        <v>&lt;/li&gt;&lt;li&gt;&lt;a href=|http://biblebrowser.com/judges/7-1.htm| title=|Split View| target=|_top|&gt;Split&lt;/a&gt;</v>
      </c>
      <c r="AU218" s="2" t="s">
        <v>1276</v>
      </c>
      <c r="AV218" t="s">
        <v>64</v>
      </c>
    </row>
    <row r="219" spans="1:48">
      <c r="A219" t="s">
        <v>622</v>
      </c>
      <c r="B219" t="s">
        <v>272</v>
      </c>
      <c r="C219" t="s">
        <v>624</v>
      </c>
      <c r="D219" t="s">
        <v>1268</v>
      </c>
      <c r="E219" t="s">
        <v>1277</v>
      </c>
      <c r="F219" t="s">
        <v>1304</v>
      </c>
      <c r="G219" t="s">
        <v>1266</v>
      </c>
      <c r="H219" t="s">
        <v>1305</v>
      </c>
      <c r="I219" t="s">
        <v>1303</v>
      </c>
      <c r="J219" t="s">
        <v>1267</v>
      </c>
      <c r="K219" t="s">
        <v>1275</v>
      </c>
      <c r="L219" s="2" t="s">
        <v>1274</v>
      </c>
      <c r="M219" t="str">
        <f t="shared" ref="M219:AB219" si="872">CONCATENATE("&lt;/li&gt;&lt;li&gt;&lt;a href=|http://",M1191,"/judges/8.htm","| ","title=|",M1190,"| target=|_top|&gt;",M1192,"&lt;/a&gt;")</f>
        <v>&lt;/li&gt;&lt;li&gt;&lt;a href=|http://niv.scripturetext.com/judges/8.htm| title=|New International Version| target=|_top|&gt;NIV&lt;/a&gt;</v>
      </c>
      <c r="N219" t="str">
        <f t="shared" si="872"/>
        <v>&lt;/li&gt;&lt;li&gt;&lt;a href=|http://nlt.scripturetext.com/judges/8.htm| title=|New Living Translation| target=|_top|&gt;NLT&lt;/a&gt;</v>
      </c>
      <c r="O219" t="str">
        <f t="shared" si="872"/>
        <v>&lt;/li&gt;&lt;li&gt;&lt;a href=|http://nasb.scripturetext.com/judges/8.htm| title=|New American Standard Bible| target=|_top|&gt;NAS&lt;/a&gt;</v>
      </c>
      <c r="P219" t="str">
        <f t="shared" si="872"/>
        <v>&lt;/li&gt;&lt;li&gt;&lt;a href=|http://gwt.scripturetext.com/judges/8.htm| title=|God's Word Translation| target=|_top|&gt;GWT&lt;/a&gt;</v>
      </c>
      <c r="Q219" t="str">
        <f t="shared" si="872"/>
        <v>&lt;/li&gt;&lt;li&gt;&lt;a href=|http://kingjbible.com/judges/8.htm| title=|King James Bible| target=|_top|&gt;KJV&lt;/a&gt;</v>
      </c>
      <c r="R219" t="str">
        <f t="shared" si="872"/>
        <v>&lt;/li&gt;&lt;li&gt;&lt;a href=|http://asvbible.com/judges/8.htm| title=|American Standard Version| target=|_top|&gt;ASV&lt;/a&gt;</v>
      </c>
      <c r="S219" t="str">
        <f t="shared" si="872"/>
        <v>&lt;/li&gt;&lt;li&gt;&lt;a href=|http://drb.scripturetext.com/judges/8.htm| title=|Douay-Rheims Bible| target=|_top|&gt;DRB&lt;/a&gt;</v>
      </c>
      <c r="T219" t="str">
        <f t="shared" si="872"/>
        <v>&lt;/li&gt;&lt;li&gt;&lt;a href=|http://erv.scripturetext.com/judges/8.htm| title=|English Revised Version| target=|_top|&gt;ERV&lt;/a&gt;</v>
      </c>
      <c r="V219" t="str">
        <f>CONCATENATE("&lt;/li&gt;&lt;li&gt;&lt;a href=|http://",V1191,"/judges/8.htm","| ","title=|",V1190,"| target=|_top|&gt;",V1192,"&lt;/a&gt;")</f>
        <v>&lt;/li&gt;&lt;li&gt;&lt;a href=|http://study.interlinearbible.org/judges/8.htm| title=|Hebrew Study Bible| target=|_top|&gt;Heb Study&lt;/a&gt;</v>
      </c>
      <c r="W219" t="str">
        <f t="shared" si="872"/>
        <v>&lt;/li&gt;&lt;li&gt;&lt;a href=|http://apostolic.interlinearbible.org/judges/8.htm| title=|Apostolic Bible Polyglot Interlinear| target=|_top|&gt;Polyglot&lt;/a&gt;</v>
      </c>
      <c r="X219" t="str">
        <f t="shared" si="872"/>
        <v>&lt;/li&gt;&lt;li&gt;&lt;a href=|http://interlinearbible.org/judges/8.htm| title=|Interlinear Bible| target=|_top|&gt;Interlin&lt;/a&gt;</v>
      </c>
      <c r="Y219" t="str">
        <f t="shared" ref="Y219" si="873">CONCATENATE("&lt;/li&gt;&lt;li&gt;&lt;a href=|http://",Y1191,"/judges/8.htm","| ","title=|",Y1190,"| target=|_top|&gt;",Y1192,"&lt;/a&gt;")</f>
        <v>&lt;/li&gt;&lt;li&gt;&lt;a href=|http://bibleoutline.org/judges/8.htm| title=|Outline with People and Places List| target=|_top|&gt;Outline&lt;/a&gt;</v>
      </c>
      <c r="Z219" t="str">
        <f t="shared" si="872"/>
        <v>&lt;/li&gt;&lt;li&gt;&lt;a href=|http://kjvs.scripturetext.com/judges/8.htm| title=|King James Bible with Strong's Numbers| target=|_top|&gt;Strong's&lt;/a&gt;</v>
      </c>
      <c r="AA219" t="str">
        <f t="shared" si="872"/>
        <v>&lt;/li&gt;&lt;li&gt;&lt;a href=|http://childrensbibleonline.com/judges/8.htm| title=|The Children's Bible| target=|_top|&gt;Children's&lt;/a&gt;</v>
      </c>
      <c r="AB219" s="2" t="str">
        <f t="shared" si="872"/>
        <v>&lt;/li&gt;&lt;li&gt;&lt;a href=|http://tsk.scripturetext.com/judges/8.htm| title=|Treasury of Scripture Knowledge| target=|_top|&gt;TSK&lt;/a&gt;</v>
      </c>
      <c r="AC219" t="str">
        <f>CONCATENATE("&lt;a href=|http://",AC1191,"/judges/8.htm","| ","title=|",AC1190,"| target=|_top|&gt;",AC1192,"&lt;/a&gt;")</f>
        <v>&lt;a href=|http://parallelbible.com/judges/8.htm| title=|Parallel Chapters| target=|_top|&gt;PAR&lt;/a&gt;</v>
      </c>
      <c r="AD219" s="2" t="str">
        <f t="shared" ref="AD219:AK219" si="874">CONCATENATE("&lt;/li&gt;&lt;li&gt;&lt;a href=|http://",AD1191,"/judges/8.htm","| ","title=|",AD1190,"| target=|_top|&gt;",AD1192,"&lt;/a&gt;")</f>
        <v>&lt;/li&gt;&lt;li&gt;&lt;a href=|http://gsb.biblecommenter.com/judges/8.htm| title=|Geneva Study Bible| target=|_top|&gt;GSB&lt;/a&gt;</v>
      </c>
      <c r="AE219" s="2" t="str">
        <f t="shared" si="874"/>
        <v>&lt;/li&gt;&lt;li&gt;&lt;a href=|http://jfb.biblecommenter.com/judges/8.htm| title=|Jamieson-Fausset-Brown Bible Commentary| target=|_top|&gt;JFB&lt;/a&gt;</v>
      </c>
      <c r="AF219" s="2" t="str">
        <f t="shared" si="874"/>
        <v>&lt;/li&gt;&lt;li&gt;&lt;a href=|http://kjt.biblecommenter.com/judges/8.htm| title=|King James Translators' Notes| target=|_top|&gt;KJT&lt;/a&gt;</v>
      </c>
      <c r="AG219" s="2" t="str">
        <f t="shared" si="874"/>
        <v>&lt;/li&gt;&lt;li&gt;&lt;a href=|http://mhc.biblecommenter.com/judges/8.htm| title=|Matthew Henry's Concise Commentary| target=|_top|&gt;MHC&lt;/a&gt;</v>
      </c>
      <c r="AH219" s="2" t="str">
        <f t="shared" si="874"/>
        <v>&lt;/li&gt;&lt;li&gt;&lt;a href=|http://sco.biblecommenter.com/judges/8.htm| title=|Scofield Reference Notes| target=|_top|&gt;SCO&lt;/a&gt;</v>
      </c>
      <c r="AI219" s="2" t="str">
        <f t="shared" si="874"/>
        <v>&lt;/li&gt;&lt;li&gt;&lt;a href=|http://wes.biblecommenter.com/judges/8.htm| title=|Wesley's Notes on the Bible| target=|_top|&gt;WES&lt;/a&gt;</v>
      </c>
      <c r="AJ219" t="str">
        <f t="shared" si="874"/>
        <v>&lt;/li&gt;&lt;li&gt;&lt;a href=|http://worldebible.com/judges/8.htm| title=|World English Bible| target=|_top|&gt;WEB&lt;/a&gt;</v>
      </c>
      <c r="AK219" t="str">
        <f t="shared" si="874"/>
        <v>&lt;/li&gt;&lt;li&gt;&lt;a href=|http://yltbible.com/judges/8.htm| title=|Young's Literal Translation| target=|_top|&gt;YLT&lt;/a&gt;</v>
      </c>
      <c r="AL219" t="str">
        <f>CONCATENATE("&lt;a href=|http://",AL1191,"/judges/8.htm","| ","title=|",AL1190,"| target=|_top|&gt;",AL1192,"&lt;/a&gt;")</f>
        <v>&lt;a href=|http://kjv.us/judges/8.htm| title=|American King James Version| target=|_top|&gt;AKJ&lt;/a&gt;</v>
      </c>
      <c r="AM219" t="str">
        <f t="shared" ref="AM219:AN219" si="875">CONCATENATE("&lt;/li&gt;&lt;li&gt;&lt;a href=|http://",AM1191,"/judges/8.htm","| ","title=|",AM1190,"| target=|_top|&gt;",AM1192,"&lt;/a&gt;")</f>
        <v>&lt;/li&gt;&lt;li&gt;&lt;a href=|http://basicenglishbible.com/judges/8.htm| title=|Bible in Basic English| target=|_top|&gt;BBE&lt;/a&gt;</v>
      </c>
      <c r="AN219" t="str">
        <f t="shared" si="875"/>
        <v>&lt;/li&gt;&lt;li&gt;&lt;a href=|http://darbybible.com/judges/8.htm| title=|Darby Bible Translation| target=|_top|&gt;DBY&lt;/a&gt;</v>
      </c>
      <c r="AO21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1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1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19" t="str">
        <f>CONCATENATE("&lt;/li&gt;&lt;li&gt;&lt;a href=|http://",AR1191,"/judges/8.htm","| ","title=|",AR1190,"| target=|_top|&gt;",AR1192,"&lt;/a&gt;")</f>
        <v>&lt;/li&gt;&lt;li&gt;&lt;a href=|http://websterbible.com/judges/8.htm| title=|Webster's Bible Translation| target=|_top|&gt;WBS&lt;/a&gt;</v>
      </c>
      <c r="AS21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19" t="str">
        <f>CONCATENATE("&lt;/li&gt;&lt;li&gt;&lt;a href=|http://",AT1191,"/judges/8-1.htm","| ","title=|",AT1190,"| target=|_top|&gt;",AT1192,"&lt;/a&gt;")</f>
        <v>&lt;/li&gt;&lt;li&gt;&lt;a href=|http://biblebrowser.com/judges/8-1.htm| title=|Split View| target=|_top|&gt;Split&lt;/a&gt;</v>
      </c>
      <c r="AU219" s="2" t="s">
        <v>1276</v>
      </c>
      <c r="AV219" t="s">
        <v>64</v>
      </c>
    </row>
    <row r="220" spans="1:48">
      <c r="A220" t="s">
        <v>622</v>
      </c>
      <c r="B220" t="s">
        <v>273</v>
      </c>
      <c r="C220" t="s">
        <v>624</v>
      </c>
      <c r="D220" t="s">
        <v>1268</v>
      </c>
      <c r="E220" t="s">
        <v>1277</v>
      </c>
      <c r="F220" t="s">
        <v>1304</v>
      </c>
      <c r="G220" t="s">
        <v>1266</v>
      </c>
      <c r="H220" t="s">
        <v>1305</v>
      </c>
      <c r="I220" t="s">
        <v>1303</v>
      </c>
      <c r="J220" t="s">
        <v>1267</v>
      </c>
      <c r="K220" t="s">
        <v>1275</v>
      </c>
      <c r="L220" s="2" t="s">
        <v>1274</v>
      </c>
      <c r="M220" t="str">
        <f t="shared" ref="M220:AB220" si="876">CONCATENATE("&lt;/li&gt;&lt;li&gt;&lt;a href=|http://",M1191,"/judges/9.htm","| ","title=|",M1190,"| target=|_top|&gt;",M1192,"&lt;/a&gt;")</f>
        <v>&lt;/li&gt;&lt;li&gt;&lt;a href=|http://niv.scripturetext.com/judges/9.htm| title=|New International Version| target=|_top|&gt;NIV&lt;/a&gt;</v>
      </c>
      <c r="N220" t="str">
        <f t="shared" si="876"/>
        <v>&lt;/li&gt;&lt;li&gt;&lt;a href=|http://nlt.scripturetext.com/judges/9.htm| title=|New Living Translation| target=|_top|&gt;NLT&lt;/a&gt;</v>
      </c>
      <c r="O220" t="str">
        <f t="shared" si="876"/>
        <v>&lt;/li&gt;&lt;li&gt;&lt;a href=|http://nasb.scripturetext.com/judges/9.htm| title=|New American Standard Bible| target=|_top|&gt;NAS&lt;/a&gt;</v>
      </c>
      <c r="P220" t="str">
        <f t="shared" si="876"/>
        <v>&lt;/li&gt;&lt;li&gt;&lt;a href=|http://gwt.scripturetext.com/judges/9.htm| title=|God's Word Translation| target=|_top|&gt;GWT&lt;/a&gt;</v>
      </c>
      <c r="Q220" t="str">
        <f t="shared" si="876"/>
        <v>&lt;/li&gt;&lt;li&gt;&lt;a href=|http://kingjbible.com/judges/9.htm| title=|King James Bible| target=|_top|&gt;KJV&lt;/a&gt;</v>
      </c>
      <c r="R220" t="str">
        <f t="shared" si="876"/>
        <v>&lt;/li&gt;&lt;li&gt;&lt;a href=|http://asvbible.com/judges/9.htm| title=|American Standard Version| target=|_top|&gt;ASV&lt;/a&gt;</v>
      </c>
      <c r="S220" t="str">
        <f t="shared" si="876"/>
        <v>&lt;/li&gt;&lt;li&gt;&lt;a href=|http://drb.scripturetext.com/judges/9.htm| title=|Douay-Rheims Bible| target=|_top|&gt;DRB&lt;/a&gt;</v>
      </c>
      <c r="T220" t="str">
        <f t="shared" si="876"/>
        <v>&lt;/li&gt;&lt;li&gt;&lt;a href=|http://erv.scripturetext.com/judges/9.htm| title=|English Revised Version| target=|_top|&gt;ERV&lt;/a&gt;</v>
      </c>
      <c r="V220" t="str">
        <f>CONCATENATE("&lt;/li&gt;&lt;li&gt;&lt;a href=|http://",V1191,"/judges/9.htm","| ","title=|",V1190,"| target=|_top|&gt;",V1192,"&lt;/a&gt;")</f>
        <v>&lt;/li&gt;&lt;li&gt;&lt;a href=|http://study.interlinearbible.org/judges/9.htm| title=|Hebrew Study Bible| target=|_top|&gt;Heb Study&lt;/a&gt;</v>
      </c>
      <c r="W220" t="str">
        <f t="shared" si="876"/>
        <v>&lt;/li&gt;&lt;li&gt;&lt;a href=|http://apostolic.interlinearbible.org/judges/9.htm| title=|Apostolic Bible Polyglot Interlinear| target=|_top|&gt;Polyglot&lt;/a&gt;</v>
      </c>
      <c r="X220" t="str">
        <f t="shared" si="876"/>
        <v>&lt;/li&gt;&lt;li&gt;&lt;a href=|http://interlinearbible.org/judges/9.htm| title=|Interlinear Bible| target=|_top|&gt;Interlin&lt;/a&gt;</v>
      </c>
      <c r="Y220" t="str">
        <f t="shared" ref="Y220" si="877">CONCATENATE("&lt;/li&gt;&lt;li&gt;&lt;a href=|http://",Y1191,"/judges/9.htm","| ","title=|",Y1190,"| target=|_top|&gt;",Y1192,"&lt;/a&gt;")</f>
        <v>&lt;/li&gt;&lt;li&gt;&lt;a href=|http://bibleoutline.org/judges/9.htm| title=|Outline with People and Places List| target=|_top|&gt;Outline&lt;/a&gt;</v>
      </c>
      <c r="Z220" t="str">
        <f t="shared" si="876"/>
        <v>&lt;/li&gt;&lt;li&gt;&lt;a href=|http://kjvs.scripturetext.com/judges/9.htm| title=|King James Bible with Strong's Numbers| target=|_top|&gt;Strong's&lt;/a&gt;</v>
      </c>
      <c r="AA220" t="str">
        <f t="shared" si="876"/>
        <v>&lt;/li&gt;&lt;li&gt;&lt;a href=|http://childrensbibleonline.com/judges/9.htm| title=|The Children's Bible| target=|_top|&gt;Children's&lt;/a&gt;</v>
      </c>
      <c r="AB220" s="2" t="str">
        <f t="shared" si="876"/>
        <v>&lt;/li&gt;&lt;li&gt;&lt;a href=|http://tsk.scripturetext.com/judges/9.htm| title=|Treasury of Scripture Knowledge| target=|_top|&gt;TSK&lt;/a&gt;</v>
      </c>
      <c r="AC220" t="str">
        <f>CONCATENATE("&lt;a href=|http://",AC1191,"/judges/9.htm","| ","title=|",AC1190,"| target=|_top|&gt;",AC1192,"&lt;/a&gt;")</f>
        <v>&lt;a href=|http://parallelbible.com/judges/9.htm| title=|Parallel Chapters| target=|_top|&gt;PAR&lt;/a&gt;</v>
      </c>
      <c r="AD220" s="2" t="str">
        <f t="shared" ref="AD220:AK220" si="878">CONCATENATE("&lt;/li&gt;&lt;li&gt;&lt;a href=|http://",AD1191,"/judges/9.htm","| ","title=|",AD1190,"| target=|_top|&gt;",AD1192,"&lt;/a&gt;")</f>
        <v>&lt;/li&gt;&lt;li&gt;&lt;a href=|http://gsb.biblecommenter.com/judges/9.htm| title=|Geneva Study Bible| target=|_top|&gt;GSB&lt;/a&gt;</v>
      </c>
      <c r="AE220" s="2" t="str">
        <f t="shared" si="878"/>
        <v>&lt;/li&gt;&lt;li&gt;&lt;a href=|http://jfb.biblecommenter.com/judges/9.htm| title=|Jamieson-Fausset-Brown Bible Commentary| target=|_top|&gt;JFB&lt;/a&gt;</v>
      </c>
      <c r="AF220" s="2" t="str">
        <f t="shared" si="878"/>
        <v>&lt;/li&gt;&lt;li&gt;&lt;a href=|http://kjt.biblecommenter.com/judges/9.htm| title=|King James Translators' Notes| target=|_top|&gt;KJT&lt;/a&gt;</v>
      </c>
      <c r="AG220" s="2" t="str">
        <f t="shared" si="878"/>
        <v>&lt;/li&gt;&lt;li&gt;&lt;a href=|http://mhc.biblecommenter.com/judges/9.htm| title=|Matthew Henry's Concise Commentary| target=|_top|&gt;MHC&lt;/a&gt;</v>
      </c>
      <c r="AH220" s="2" t="str">
        <f t="shared" si="878"/>
        <v>&lt;/li&gt;&lt;li&gt;&lt;a href=|http://sco.biblecommenter.com/judges/9.htm| title=|Scofield Reference Notes| target=|_top|&gt;SCO&lt;/a&gt;</v>
      </c>
      <c r="AI220" s="2" t="str">
        <f t="shared" si="878"/>
        <v>&lt;/li&gt;&lt;li&gt;&lt;a href=|http://wes.biblecommenter.com/judges/9.htm| title=|Wesley's Notes on the Bible| target=|_top|&gt;WES&lt;/a&gt;</v>
      </c>
      <c r="AJ220" t="str">
        <f t="shared" si="878"/>
        <v>&lt;/li&gt;&lt;li&gt;&lt;a href=|http://worldebible.com/judges/9.htm| title=|World English Bible| target=|_top|&gt;WEB&lt;/a&gt;</v>
      </c>
      <c r="AK220" t="str">
        <f t="shared" si="878"/>
        <v>&lt;/li&gt;&lt;li&gt;&lt;a href=|http://yltbible.com/judges/9.htm| title=|Young's Literal Translation| target=|_top|&gt;YLT&lt;/a&gt;</v>
      </c>
      <c r="AL220" t="str">
        <f>CONCATENATE("&lt;a href=|http://",AL1191,"/judges/9.htm","| ","title=|",AL1190,"| target=|_top|&gt;",AL1192,"&lt;/a&gt;")</f>
        <v>&lt;a href=|http://kjv.us/judges/9.htm| title=|American King James Version| target=|_top|&gt;AKJ&lt;/a&gt;</v>
      </c>
      <c r="AM220" t="str">
        <f t="shared" ref="AM220:AN220" si="879">CONCATENATE("&lt;/li&gt;&lt;li&gt;&lt;a href=|http://",AM1191,"/judges/9.htm","| ","title=|",AM1190,"| target=|_top|&gt;",AM1192,"&lt;/a&gt;")</f>
        <v>&lt;/li&gt;&lt;li&gt;&lt;a href=|http://basicenglishbible.com/judges/9.htm| title=|Bible in Basic English| target=|_top|&gt;BBE&lt;/a&gt;</v>
      </c>
      <c r="AN220" t="str">
        <f t="shared" si="879"/>
        <v>&lt;/li&gt;&lt;li&gt;&lt;a href=|http://darbybible.com/judges/9.htm| title=|Darby Bible Translation| target=|_top|&gt;DBY&lt;/a&gt;</v>
      </c>
      <c r="AO22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2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2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20" t="str">
        <f>CONCATENATE("&lt;/li&gt;&lt;li&gt;&lt;a href=|http://",AR1191,"/judges/9.htm","| ","title=|",AR1190,"| target=|_top|&gt;",AR1192,"&lt;/a&gt;")</f>
        <v>&lt;/li&gt;&lt;li&gt;&lt;a href=|http://websterbible.com/judges/9.htm| title=|Webster's Bible Translation| target=|_top|&gt;WBS&lt;/a&gt;</v>
      </c>
      <c r="AS22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20" t="str">
        <f>CONCATENATE("&lt;/li&gt;&lt;li&gt;&lt;a href=|http://",AT1191,"/judges/9-1.htm","| ","title=|",AT1190,"| target=|_top|&gt;",AT1192,"&lt;/a&gt;")</f>
        <v>&lt;/li&gt;&lt;li&gt;&lt;a href=|http://biblebrowser.com/judges/9-1.htm| title=|Split View| target=|_top|&gt;Split&lt;/a&gt;</v>
      </c>
      <c r="AU220" s="2" t="s">
        <v>1276</v>
      </c>
      <c r="AV220" t="s">
        <v>64</v>
      </c>
    </row>
    <row r="221" spans="1:48">
      <c r="A221" t="s">
        <v>622</v>
      </c>
      <c r="B221" t="s">
        <v>274</v>
      </c>
      <c r="C221" t="s">
        <v>624</v>
      </c>
      <c r="D221" t="s">
        <v>1268</v>
      </c>
      <c r="E221" t="s">
        <v>1277</v>
      </c>
      <c r="F221" t="s">
        <v>1304</v>
      </c>
      <c r="G221" t="s">
        <v>1266</v>
      </c>
      <c r="H221" t="s">
        <v>1305</v>
      </c>
      <c r="I221" t="s">
        <v>1303</v>
      </c>
      <c r="J221" t="s">
        <v>1267</v>
      </c>
      <c r="K221" t="s">
        <v>1275</v>
      </c>
      <c r="L221" s="2" t="s">
        <v>1274</v>
      </c>
      <c r="M221" t="str">
        <f t="shared" ref="M221:AB221" si="880">CONCATENATE("&lt;/li&gt;&lt;li&gt;&lt;a href=|http://",M1191,"/judges/10.htm","| ","title=|",M1190,"| target=|_top|&gt;",M1192,"&lt;/a&gt;")</f>
        <v>&lt;/li&gt;&lt;li&gt;&lt;a href=|http://niv.scripturetext.com/judges/10.htm| title=|New International Version| target=|_top|&gt;NIV&lt;/a&gt;</v>
      </c>
      <c r="N221" t="str">
        <f t="shared" si="880"/>
        <v>&lt;/li&gt;&lt;li&gt;&lt;a href=|http://nlt.scripturetext.com/judges/10.htm| title=|New Living Translation| target=|_top|&gt;NLT&lt;/a&gt;</v>
      </c>
      <c r="O221" t="str">
        <f t="shared" si="880"/>
        <v>&lt;/li&gt;&lt;li&gt;&lt;a href=|http://nasb.scripturetext.com/judges/10.htm| title=|New American Standard Bible| target=|_top|&gt;NAS&lt;/a&gt;</v>
      </c>
      <c r="P221" t="str">
        <f t="shared" si="880"/>
        <v>&lt;/li&gt;&lt;li&gt;&lt;a href=|http://gwt.scripturetext.com/judges/10.htm| title=|God's Word Translation| target=|_top|&gt;GWT&lt;/a&gt;</v>
      </c>
      <c r="Q221" t="str">
        <f t="shared" si="880"/>
        <v>&lt;/li&gt;&lt;li&gt;&lt;a href=|http://kingjbible.com/judges/10.htm| title=|King James Bible| target=|_top|&gt;KJV&lt;/a&gt;</v>
      </c>
      <c r="R221" t="str">
        <f t="shared" si="880"/>
        <v>&lt;/li&gt;&lt;li&gt;&lt;a href=|http://asvbible.com/judges/10.htm| title=|American Standard Version| target=|_top|&gt;ASV&lt;/a&gt;</v>
      </c>
      <c r="S221" t="str">
        <f t="shared" si="880"/>
        <v>&lt;/li&gt;&lt;li&gt;&lt;a href=|http://drb.scripturetext.com/judges/10.htm| title=|Douay-Rheims Bible| target=|_top|&gt;DRB&lt;/a&gt;</v>
      </c>
      <c r="T221" t="str">
        <f t="shared" si="880"/>
        <v>&lt;/li&gt;&lt;li&gt;&lt;a href=|http://erv.scripturetext.com/judges/10.htm| title=|English Revised Version| target=|_top|&gt;ERV&lt;/a&gt;</v>
      </c>
      <c r="V221" t="str">
        <f>CONCATENATE("&lt;/li&gt;&lt;li&gt;&lt;a href=|http://",V1191,"/judges/10.htm","| ","title=|",V1190,"| target=|_top|&gt;",V1192,"&lt;/a&gt;")</f>
        <v>&lt;/li&gt;&lt;li&gt;&lt;a href=|http://study.interlinearbible.org/judges/10.htm| title=|Hebrew Study Bible| target=|_top|&gt;Heb Study&lt;/a&gt;</v>
      </c>
      <c r="W221" t="str">
        <f t="shared" si="880"/>
        <v>&lt;/li&gt;&lt;li&gt;&lt;a href=|http://apostolic.interlinearbible.org/judges/10.htm| title=|Apostolic Bible Polyglot Interlinear| target=|_top|&gt;Polyglot&lt;/a&gt;</v>
      </c>
      <c r="X221" t="str">
        <f t="shared" si="880"/>
        <v>&lt;/li&gt;&lt;li&gt;&lt;a href=|http://interlinearbible.org/judges/10.htm| title=|Interlinear Bible| target=|_top|&gt;Interlin&lt;/a&gt;</v>
      </c>
      <c r="Y221" t="str">
        <f t="shared" ref="Y221" si="881">CONCATENATE("&lt;/li&gt;&lt;li&gt;&lt;a href=|http://",Y1191,"/judges/10.htm","| ","title=|",Y1190,"| target=|_top|&gt;",Y1192,"&lt;/a&gt;")</f>
        <v>&lt;/li&gt;&lt;li&gt;&lt;a href=|http://bibleoutline.org/judges/10.htm| title=|Outline with People and Places List| target=|_top|&gt;Outline&lt;/a&gt;</v>
      </c>
      <c r="Z221" t="str">
        <f t="shared" si="880"/>
        <v>&lt;/li&gt;&lt;li&gt;&lt;a href=|http://kjvs.scripturetext.com/judges/10.htm| title=|King James Bible with Strong's Numbers| target=|_top|&gt;Strong's&lt;/a&gt;</v>
      </c>
      <c r="AA221" t="str">
        <f t="shared" si="880"/>
        <v>&lt;/li&gt;&lt;li&gt;&lt;a href=|http://childrensbibleonline.com/judges/10.htm| title=|The Children's Bible| target=|_top|&gt;Children's&lt;/a&gt;</v>
      </c>
      <c r="AB221" s="2" t="str">
        <f t="shared" si="880"/>
        <v>&lt;/li&gt;&lt;li&gt;&lt;a href=|http://tsk.scripturetext.com/judges/10.htm| title=|Treasury of Scripture Knowledge| target=|_top|&gt;TSK&lt;/a&gt;</v>
      </c>
      <c r="AC221" t="str">
        <f>CONCATENATE("&lt;a href=|http://",AC1191,"/judges/10.htm","| ","title=|",AC1190,"| target=|_top|&gt;",AC1192,"&lt;/a&gt;")</f>
        <v>&lt;a href=|http://parallelbible.com/judges/10.htm| title=|Parallel Chapters| target=|_top|&gt;PAR&lt;/a&gt;</v>
      </c>
      <c r="AD221" s="2" t="str">
        <f t="shared" ref="AD221:AK221" si="882">CONCATENATE("&lt;/li&gt;&lt;li&gt;&lt;a href=|http://",AD1191,"/judges/10.htm","| ","title=|",AD1190,"| target=|_top|&gt;",AD1192,"&lt;/a&gt;")</f>
        <v>&lt;/li&gt;&lt;li&gt;&lt;a href=|http://gsb.biblecommenter.com/judges/10.htm| title=|Geneva Study Bible| target=|_top|&gt;GSB&lt;/a&gt;</v>
      </c>
      <c r="AE221" s="2" t="str">
        <f t="shared" si="882"/>
        <v>&lt;/li&gt;&lt;li&gt;&lt;a href=|http://jfb.biblecommenter.com/judges/10.htm| title=|Jamieson-Fausset-Brown Bible Commentary| target=|_top|&gt;JFB&lt;/a&gt;</v>
      </c>
      <c r="AF221" s="2" t="str">
        <f t="shared" si="882"/>
        <v>&lt;/li&gt;&lt;li&gt;&lt;a href=|http://kjt.biblecommenter.com/judges/10.htm| title=|King James Translators' Notes| target=|_top|&gt;KJT&lt;/a&gt;</v>
      </c>
      <c r="AG221" s="2" t="str">
        <f t="shared" si="882"/>
        <v>&lt;/li&gt;&lt;li&gt;&lt;a href=|http://mhc.biblecommenter.com/judges/10.htm| title=|Matthew Henry's Concise Commentary| target=|_top|&gt;MHC&lt;/a&gt;</v>
      </c>
      <c r="AH221" s="2" t="str">
        <f t="shared" si="882"/>
        <v>&lt;/li&gt;&lt;li&gt;&lt;a href=|http://sco.biblecommenter.com/judges/10.htm| title=|Scofield Reference Notes| target=|_top|&gt;SCO&lt;/a&gt;</v>
      </c>
      <c r="AI221" s="2" t="str">
        <f t="shared" si="882"/>
        <v>&lt;/li&gt;&lt;li&gt;&lt;a href=|http://wes.biblecommenter.com/judges/10.htm| title=|Wesley's Notes on the Bible| target=|_top|&gt;WES&lt;/a&gt;</v>
      </c>
      <c r="AJ221" t="str">
        <f t="shared" si="882"/>
        <v>&lt;/li&gt;&lt;li&gt;&lt;a href=|http://worldebible.com/judges/10.htm| title=|World English Bible| target=|_top|&gt;WEB&lt;/a&gt;</v>
      </c>
      <c r="AK221" t="str">
        <f t="shared" si="882"/>
        <v>&lt;/li&gt;&lt;li&gt;&lt;a href=|http://yltbible.com/judges/10.htm| title=|Young's Literal Translation| target=|_top|&gt;YLT&lt;/a&gt;</v>
      </c>
      <c r="AL221" t="str">
        <f>CONCATENATE("&lt;a href=|http://",AL1191,"/judges/10.htm","| ","title=|",AL1190,"| target=|_top|&gt;",AL1192,"&lt;/a&gt;")</f>
        <v>&lt;a href=|http://kjv.us/judges/10.htm| title=|American King James Version| target=|_top|&gt;AKJ&lt;/a&gt;</v>
      </c>
      <c r="AM221" t="str">
        <f t="shared" ref="AM221:AN221" si="883">CONCATENATE("&lt;/li&gt;&lt;li&gt;&lt;a href=|http://",AM1191,"/judges/10.htm","| ","title=|",AM1190,"| target=|_top|&gt;",AM1192,"&lt;/a&gt;")</f>
        <v>&lt;/li&gt;&lt;li&gt;&lt;a href=|http://basicenglishbible.com/judges/10.htm| title=|Bible in Basic English| target=|_top|&gt;BBE&lt;/a&gt;</v>
      </c>
      <c r="AN221" t="str">
        <f t="shared" si="883"/>
        <v>&lt;/li&gt;&lt;li&gt;&lt;a href=|http://darbybible.com/judges/10.htm| title=|Darby Bible Translation| target=|_top|&gt;DBY&lt;/a&gt;</v>
      </c>
      <c r="AO22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2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2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21" t="str">
        <f>CONCATENATE("&lt;/li&gt;&lt;li&gt;&lt;a href=|http://",AR1191,"/judges/10.htm","| ","title=|",AR1190,"| target=|_top|&gt;",AR1192,"&lt;/a&gt;")</f>
        <v>&lt;/li&gt;&lt;li&gt;&lt;a href=|http://websterbible.com/judges/10.htm| title=|Webster's Bible Translation| target=|_top|&gt;WBS&lt;/a&gt;</v>
      </c>
      <c r="AS22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21" t="str">
        <f>CONCATENATE("&lt;/li&gt;&lt;li&gt;&lt;a href=|http://",AT1191,"/judges/10-1.htm","| ","title=|",AT1190,"| target=|_top|&gt;",AT1192,"&lt;/a&gt;")</f>
        <v>&lt;/li&gt;&lt;li&gt;&lt;a href=|http://biblebrowser.com/judges/10-1.htm| title=|Split View| target=|_top|&gt;Split&lt;/a&gt;</v>
      </c>
      <c r="AU221" s="2" t="s">
        <v>1276</v>
      </c>
      <c r="AV221" t="s">
        <v>64</v>
      </c>
    </row>
    <row r="222" spans="1:48">
      <c r="A222" t="s">
        <v>622</v>
      </c>
      <c r="B222" t="s">
        <v>275</v>
      </c>
      <c r="C222" t="s">
        <v>624</v>
      </c>
      <c r="D222" t="s">
        <v>1268</v>
      </c>
      <c r="E222" t="s">
        <v>1277</v>
      </c>
      <c r="F222" t="s">
        <v>1304</v>
      </c>
      <c r="G222" t="s">
        <v>1266</v>
      </c>
      <c r="H222" t="s">
        <v>1305</v>
      </c>
      <c r="I222" t="s">
        <v>1303</v>
      </c>
      <c r="J222" t="s">
        <v>1267</v>
      </c>
      <c r="K222" t="s">
        <v>1275</v>
      </c>
      <c r="L222" s="2" t="s">
        <v>1274</v>
      </c>
      <c r="M222" t="str">
        <f t="shared" ref="M222:AB222" si="884">CONCATENATE("&lt;/li&gt;&lt;li&gt;&lt;a href=|http://",M1191,"/judges/11.htm","| ","title=|",M1190,"| target=|_top|&gt;",M1192,"&lt;/a&gt;")</f>
        <v>&lt;/li&gt;&lt;li&gt;&lt;a href=|http://niv.scripturetext.com/judges/11.htm| title=|New International Version| target=|_top|&gt;NIV&lt;/a&gt;</v>
      </c>
      <c r="N222" t="str">
        <f t="shared" si="884"/>
        <v>&lt;/li&gt;&lt;li&gt;&lt;a href=|http://nlt.scripturetext.com/judges/11.htm| title=|New Living Translation| target=|_top|&gt;NLT&lt;/a&gt;</v>
      </c>
      <c r="O222" t="str">
        <f t="shared" si="884"/>
        <v>&lt;/li&gt;&lt;li&gt;&lt;a href=|http://nasb.scripturetext.com/judges/11.htm| title=|New American Standard Bible| target=|_top|&gt;NAS&lt;/a&gt;</v>
      </c>
      <c r="P222" t="str">
        <f t="shared" si="884"/>
        <v>&lt;/li&gt;&lt;li&gt;&lt;a href=|http://gwt.scripturetext.com/judges/11.htm| title=|God's Word Translation| target=|_top|&gt;GWT&lt;/a&gt;</v>
      </c>
      <c r="Q222" t="str">
        <f t="shared" si="884"/>
        <v>&lt;/li&gt;&lt;li&gt;&lt;a href=|http://kingjbible.com/judges/11.htm| title=|King James Bible| target=|_top|&gt;KJV&lt;/a&gt;</v>
      </c>
      <c r="R222" t="str">
        <f t="shared" si="884"/>
        <v>&lt;/li&gt;&lt;li&gt;&lt;a href=|http://asvbible.com/judges/11.htm| title=|American Standard Version| target=|_top|&gt;ASV&lt;/a&gt;</v>
      </c>
      <c r="S222" t="str">
        <f t="shared" si="884"/>
        <v>&lt;/li&gt;&lt;li&gt;&lt;a href=|http://drb.scripturetext.com/judges/11.htm| title=|Douay-Rheims Bible| target=|_top|&gt;DRB&lt;/a&gt;</v>
      </c>
      <c r="T222" t="str">
        <f t="shared" si="884"/>
        <v>&lt;/li&gt;&lt;li&gt;&lt;a href=|http://erv.scripturetext.com/judges/11.htm| title=|English Revised Version| target=|_top|&gt;ERV&lt;/a&gt;</v>
      </c>
      <c r="V222" t="str">
        <f>CONCATENATE("&lt;/li&gt;&lt;li&gt;&lt;a href=|http://",V1191,"/judges/11.htm","| ","title=|",V1190,"| target=|_top|&gt;",V1192,"&lt;/a&gt;")</f>
        <v>&lt;/li&gt;&lt;li&gt;&lt;a href=|http://study.interlinearbible.org/judges/11.htm| title=|Hebrew Study Bible| target=|_top|&gt;Heb Study&lt;/a&gt;</v>
      </c>
      <c r="W222" t="str">
        <f t="shared" si="884"/>
        <v>&lt;/li&gt;&lt;li&gt;&lt;a href=|http://apostolic.interlinearbible.org/judges/11.htm| title=|Apostolic Bible Polyglot Interlinear| target=|_top|&gt;Polyglot&lt;/a&gt;</v>
      </c>
      <c r="X222" t="str">
        <f t="shared" si="884"/>
        <v>&lt;/li&gt;&lt;li&gt;&lt;a href=|http://interlinearbible.org/judges/11.htm| title=|Interlinear Bible| target=|_top|&gt;Interlin&lt;/a&gt;</v>
      </c>
      <c r="Y222" t="str">
        <f t="shared" ref="Y222" si="885">CONCATENATE("&lt;/li&gt;&lt;li&gt;&lt;a href=|http://",Y1191,"/judges/11.htm","| ","title=|",Y1190,"| target=|_top|&gt;",Y1192,"&lt;/a&gt;")</f>
        <v>&lt;/li&gt;&lt;li&gt;&lt;a href=|http://bibleoutline.org/judges/11.htm| title=|Outline with People and Places List| target=|_top|&gt;Outline&lt;/a&gt;</v>
      </c>
      <c r="Z222" t="str">
        <f t="shared" si="884"/>
        <v>&lt;/li&gt;&lt;li&gt;&lt;a href=|http://kjvs.scripturetext.com/judges/11.htm| title=|King James Bible with Strong's Numbers| target=|_top|&gt;Strong's&lt;/a&gt;</v>
      </c>
      <c r="AA222" t="str">
        <f t="shared" si="884"/>
        <v>&lt;/li&gt;&lt;li&gt;&lt;a href=|http://childrensbibleonline.com/judges/11.htm| title=|The Children's Bible| target=|_top|&gt;Children's&lt;/a&gt;</v>
      </c>
      <c r="AB222" s="2" t="str">
        <f t="shared" si="884"/>
        <v>&lt;/li&gt;&lt;li&gt;&lt;a href=|http://tsk.scripturetext.com/judges/11.htm| title=|Treasury of Scripture Knowledge| target=|_top|&gt;TSK&lt;/a&gt;</v>
      </c>
      <c r="AC222" t="str">
        <f>CONCATENATE("&lt;a href=|http://",AC1191,"/judges/11.htm","| ","title=|",AC1190,"| target=|_top|&gt;",AC1192,"&lt;/a&gt;")</f>
        <v>&lt;a href=|http://parallelbible.com/judges/11.htm| title=|Parallel Chapters| target=|_top|&gt;PAR&lt;/a&gt;</v>
      </c>
      <c r="AD222" s="2" t="str">
        <f t="shared" ref="AD222:AK222" si="886">CONCATENATE("&lt;/li&gt;&lt;li&gt;&lt;a href=|http://",AD1191,"/judges/11.htm","| ","title=|",AD1190,"| target=|_top|&gt;",AD1192,"&lt;/a&gt;")</f>
        <v>&lt;/li&gt;&lt;li&gt;&lt;a href=|http://gsb.biblecommenter.com/judges/11.htm| title=|Geneva Study Bible| target=|_top|&gt;GSB&lt;/a&gt;</v>
      </c>
      <c r="AE222" s="2" t="str">
        <f t="shared" si="886"/>
        <v>&lt;/li&gt;&lt;li&gt;&lt;a href=|http://jfb.biblecommenter.com/judges/11.htm| title=|Jamieson-Fausset-Brown Bible Commentary| target=|_top|&gt;JFB&lt;/a&gt;</v>
      </c>
      <c r="AF222" s="2" t="str">
        <f t="shared" si="886"/>
        <v>&lt;/li&gt;&lt;li&gt;&lt;a href=|http://kjt.biblecommenter.com/judges/11.htm| title=|King James Translators' Notes| target=|_top|&gt;KJT&lt;/a&gt;</v>
      </c>
      <c r="AG222" s="2" t="str">
        <f t="shared" si="886"/>
        <v>&lt;/li&gt;&lt;li&gt;&lt;a href=|http://mhc.biblecommenter.com/judges/11.htm| title=|Matthew Henry's Concise Commentary| target=|_top|&gt;MHC&lt;/a&gt;</v>
      </c>
      <c r="AH222" s="2" t="str">
        <f t="shared" si="886"/>
        <v>&lt;/li&gt;&lt;li&gt;&lt;a href=|http://sco.biblecommenter.com/judges/11.htm| title=|Scofield Reference Notes| target=|_top|&gt;SCO&lt;/a&gt;</v>
      </c>
      <c r="AI222" s="2" t="str">
        <f t="shared" si="886"/>
        <v>&lt;/li&gt;&lt;li&gt;&lt;a href=|http://wes.biblecommenter.com/judges/11.htm| title=|Wesley's Notes on the Bible| target=|_top|&gt;WES&lt;/a&gt;</v>
      </c>
      <c r="AJ222" t="str">
        <f t="shared" si="886"/>
        <v>&lt;/li&gt;&lt;li&gt;&lt;a href=|http://worldebible.com/judges/11.htm| title=|World English Bible| target=|_top|&gt;WEB&lt;/a&gt;</v>
      </c>
      <c r="AK222" t="str">
        <f t="shared" si="886"/>
        <v>&lt;/li&gt;&lt;li&gt;&lt;a href=|http://yltbible.com/judges/11.htm| title=|Young's Literal Translation| target=|_top|&gt;YLT&lt;/a&gt;</v>
      </c>
      <c r="AL222" t="str">
        <f>CONCATENATE("&lt;a href=|http://",AL1191,"/judges/11.htm","| ","title=|",AL1190,"| target=|_top|&gt;",AL1192,"&lt;/a&gt;")</f>
        <v>&lt;a href=|http://kjv.us/judges/11.htm| title=|American King James Version| target=|_top|&gt;AKJ&lt;/a&gt;</v>
      </c>
      <c r="AM222" t="str">
        <f t="shared" ref="AM222:AN222" si="887">CONCATENATE("&lt;/li&gt;&lt;li&gt;&lt;a href=|http://",AM1191,"/judges/11.htm","| ","title=|",AM1190,"| target=|_top|&gt;",AM1192,"&lt;/a&gt;")</f>
        <v>&lt;/li&gt;&lt;li&gt;&lt;a href=|http://basicenglishbible.com/judges/11.htm| title=|Bible in Basic English| target=|_top|&gt;BBE&lt;/a&gt;</v>
      </c>
      <c r="AN222" t="str">
        <f t="shared" si="887"/>
        <v>&lt;/li&gt;&lt;li&gt;&lt;a href=|http://darbybible.com/judges/11.htm| title=|Darby Bible Translation| target=|_top|&gt;DBY&lt;/a&gt;</v>
      </c>
      <c r="AO22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2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2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22" t="str">
        <f>CONCATENATE("&lt;/li&gt;&lt;li&gt;&lt;a href=|http://",AR1191,"/judges/11.htm","| ","title=|",AR1190,"| target=|_top|&gt;",AR1192,"&lt;/a&gt;")</f>
        <v>&lt;/li&gt;&lt;li&gt;&lt;a href=|http://websterbible.com/judges/11.htm| title=|Webster's Bible Translation| target=|_top|&gt;WBS&lt;/a&gt;</v>
      </c>
      <c r="AS22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22" t="str">
        <f>CONCATENATE("&lt;/li&gt;&lt;li&gt;&lt;a href=|http://",AT1191,"/judges/11-1.htm","| ","title=|",AT1190,"| target=|_top|&gt;",AT1192,"&lt;/a&gt;")</f>
        <v>&lt;/li&gt;&lt;li&gt;&lt;a href=|http://biblebrowser.com/judges/11-1.htm| title=|Split View| target=|_top|&gt;Split&lt;/a&gt;</v>
      </c>
      <c r="AU222" s="2" t="s">
        <v>1276</v>
      </c>
      <c r="AV222" t="s">
        <v>64</v>
      </c>
    </row>
    <row r="223" spans="1:48">
      <c r="A223" t="s">
        <v>622</v>
      </c>
      <c r="B223" t="s">
        <v>276</v>
      </c>
      <c r="C223" t="s">
        <v>624</v>
      </c>
      <c r="D223" t="s">
        <v>1268</v>
      </c>
      <c r="E223" t="s">
        <v>1277</v>
      </c>
      <c r="F223" t="s">
        <v>1304</v>
      </c>
      <c r="G223" t="s">
        <v>1266</v>
      </c>
      <c r="H223" t="s">
        <v>1305</v>
      </c>
      <c r="I223" t="s">
        <v>1303</v>
      </c>
      <c r="J223" t="s">
        <v>1267</v>
      </c>
      <c r="K223" t="s">
        <v>1275</v>
      </c>
      <c r="L223" s="2" t="s">
        <v>1274</v>
      </c>
      <c r="M223" t="str">
        <f t="shared" ref="M223:AB223" si="888">CONCATENATE("&lt;/li&gt;&lt;li&gt;&lt;a href=|http://",M1191,"/judges/12.htm","| ","title=|",M1190,"| target=|_top|&gt;",M1192,"&lt;/a&gt;")</f>
        <v>&lt;/li&gt;&lt;li&gt;&lt;a href=|http://niv.scripturetext.com/judges/12.htm| title=|New International Version| target=|_top|&gt;NIV&lt;/a&gt;</v>
      </c>
      <c r="N223" t="str">
        <f t="shared" si="888"/>
        <v>&lt;/li&gt;&lt;li&gt;&lt;a href=|http://nlt.scripturetext.com/judges/12.htm| title=|New Living Translation| target=|_top|&gt;NLT&lt;/a&gt;</v>
      </c>
      <c r="O223" t="str">
        <f t="shared" si="888"/>
        <v>&lt;/li&gt;&lt;li&gt;&lt;a href=|http://nasb.scripturetext.com/judges/12.htm| title=|New American Standard Bible| target=|_top|&gt;NAS&lt;/a&gt;</v>
      </c>
      <c r="P223" t="str">
        <f t="shared" si="888"/>
        <v>&lt;/li&gt;&lt;li&gt;&lt;a href=|http://gwt.scripturetext.com/judges/12.htm| title=|God's Word Translation| target=|_top|&gt;GWT&lt;/a&gt;</v>
      </c>
      <c r="Q223" t="str">
        <f t="shared" si="888"/>
        <v>&lt;/li&gt;&lt;li&gt;&lt;a href=|http://kingjbible.com/judges/12.htm| title=|King James Bible| target=|_top|&gt;KJV&lt;/a&gt;</v>
      </c>
      <c r="R223" t="str">
        <f t="shared" si="888"/>
        <v>&lt;/li&gt;&lt;li&gt;&lt;a href=|http://asvbible.com/judges/12.htm| title=|American Standard Version| target=|_top|&gt;ASV&lt;/a&gt;</v>
      </c>
      <c r="S223" t="str">
        <f t="shared" si="888"/>
        <v>&lt;/li&gt;&lt;li&gt;&lt;a href=|http://drb.scripturetext.com/judges/12.htm| title=|Douay-Rheims Bible| target=|_top|&gt;DRB&lt;/a&gt;</v>
      </c>
      <c r="T223" t="str">
        <f t="shared" si="888"/>
        <v>&lt;/li&gt;&lt;li&gt;&lt;a href=|http://erv.scripturetext.com/judges/12.htm| title=|English Revised Version| target=|_top|&gt;ERV&lt;/a&gt;</v>
      </c>
      <c r="V223" t="str">
        <f>CONCATENATE("&lt;/li&gt;&lt;li&gt;&lt;a href=|http://",V1191,"/judges/12.htm","| ","title=|",V1190,"| target=|_top|&gt;",V1192,"&lt;/a&gt;")</f>
        <v>&lt;/li&gt;&lt;li&gt;&lt;a href=|http://study.interlinearbible.org/judges/12.htm| title=|Hebrew Study Bible| target=|_top|&gt;Heb Study&lt;/a&gt;</v>
      </c>
      <c r="W223" t="str">
        <f t="shared" si="888"/>
        <v>&lt;/li&gt;&lt;li&gt;&lt;a href=|http://apostolic.interlinearbible.org/judges/12.htm| title=|Apostolic Bible Polyglot Interlinear| target=|_top|&gt;Polyglot&lt;/a&gt;</v>
      </c>
      <c r="X223" t="str">
        <f t="shared" si="888"/>
        <v>&lt;/li&gt;&lt;li&gt;&lt;a href=|http://interlinearbible.org/judges/12.htm| title=|Interlinear Bible| target=|_top|&gt;Interlin&lt;/a&gt;</v>
      </c>
      <c r="Y223" t="str">
        <f t="shared" ref="Y223" si="889">CONCATENATE("&lt;/li&gt;&lt;li&gt;&lt;a href=|http://",Y1191,"/judges/12.htm","| ","title=|",Y1190,"| target=|_top|&gt;",Y1192,"&lt;/a&gt;")</f>
        <v>&lt;/li&gt;&lt;li&gt;&lt;a href=|http://bibleoutline.org/judges/12.htm| title=|Outline with People and Places List| target=|_top|&gt;Outline&lt;/a&gt;</v>
      </c>
      <c r="Z223" t="str">
        <f t="shared" si="888"/>
        <v>&lt;/li&gt;&lt;li&gt;&lt;a href=|http://kjvs.scripturetext.com/judges/12.htm| title=|King James Bible with Strong's Numbers| target=|_top|&gt;Strong's&lt;/a&gt;</v>
      </c>
      <c r="AA223" t="str">
        <f t="shared" si="888"/>
        <v>&lt;/li&gt;&lt;li&gt;&lt;a href=|http://childrensbibleonline.com/judges/12.htm| title=|The Children's Bible| target=|_top|&gt;Children's&lt;/a&gt;</v>
      </c>
      <c r="AB223" s="2" t="str">
        <f t="shared" si="888"/>
        <v>&lt;/li&gt;&lt;li&gt;&lt;a href=|http://tsk.scripturetext.com/judges/12.htm| title=|Treasury of Scripture Knowledge| target=|_top|&gt;TSK&lt;/a&gt;</v>
      </c>
      <c r="AC223" t="str">
        <f>CONCATENATE("&lt;a href=|http://",AC1191,"/judges/12.htm","| ","title=|",AC1190,"| target=|_top|&gt;",AC1192,"&lt;/a&gt;")</f>
        <v>&lt;a href=|http://parallelbible.com/judges/12.htm| title=|Parallel Chapters| target=|_top|&gt;PAR&lt;/a&gt;</v>
      </c>
      <c r="AD223" s="2" t="str">
        <f t="shared" ref="AD223:AK223" si="890">CONCATENATE("&lt;/li&gt;&lt;li&gt;&lt;a href=|http://",AD1191,"/judges/12.htm","| ","title=|",AD1190,"| target=|_top|&gt;",AD1192,"&lt;/a&gt;")</f>
        <v>&lt;/li&gt;&lt;li&gt;&lt;a href=|http://gsb.biblecommenter.com/judges/12.htm| title=|Geneva Study Bible| target=|_top|&gt;GSB&lt;/a&gt;</v>
      </c>
      <c r="AE223" s="2" t="str">
        <f t="shared" si="890"/>
        <v>&lt;/li&gt;&lt;li&gt;&lt;a href=|http://jfb.biblecommenter.com/judges/12.htm| title=|Jamieson-Fausset-Brown Bible Commentary| target=|_top|&gt;JFB&lt;/a&gt;</v>
      </c>
      <c r="AF223" s="2" t="str">
        <f t="shared" si="890"/>
        <v>&lt;/li&gt;&lt;li&gt;&lt;a href=|http://kjt.biblecommenter.com/judges/12.htm| title=|King James Translators' Notes| target=|_top|&gt;KJT&lt;/a&gt;</v>
      </c>
      <c r="AG223" s="2" t="str">
        <f t="shared" si="890"/>
        <v>&lt;/li&gt;&lt;li&gt;&lt;a href=|http://mhc.biblecommenter.com/judges/12.htm| title=|Matthew Henry's Concise Commentary| target=|_top|&gt;MHC&lt;/a&gt;</v>
      </c>
      <c r="AH223" s="2" t="str">
        <f t="shared" si="890"/>
        <v>&lt;/li&gt;&lt;li&gt;&lt;a href=|http://sco.biblecommenter.com/judges/12.htm| title=|Scofield Reference Notes| target=|_top|&gt;SCO&lt;/a&gt;</v>
      </c>
      <c r="AI223" s="2" t="str">
        <f t="shared" si="890"/>
        <v>&lt;/li&gt;&lt;li&gt;&lt;a href=|http://wes.biblecommenter.com/judges/12.htm| title=|Wesley's Notes on the Bible| target=|_top|&gt;WES&lt;/a&gt;</v>
      </c>
      <c r="AJ223" t="str">
        <f t="shared" si="890"/>
        <v>&lt;/li&gt;&lt;li&gt;&lt;a href=|http://worldebible.com/judges/12.htm| title=|World English Bible| target=|_top|&gt;WEB&lt;/a&gt;</v>
      </c>
      <c r="AK223" t="str">
        <f t="shared" si="890"/>
        <v>&lt;/li&gt;&lt;li&gt;&lt;a href=|http://yltbible.com/judges/12.htm| title=|Young's Literal Translation| target=|_top|&gt;YLT&lt;/a&gt;</v>
      </c>
      <c r="AL223" t="str">
        <f>CONCATENATE("&lt;a href=|http://",AL1191,"/judges/12.htm","| ","title=|",AL1190,"| target=|_top|&gt;",AL1192,"&lt;/a&gt;")</f>
        <v>&lt;a href=|http://kjv.us/judges/12.htm| title=|American King James Version| target=|_top|&gt;AKJ&lt;/a&gt;</v>
      </c>
      <c r="AM223" t="str">
        <f t="shared" ref="AM223:AN223" si="891">CONCATENATE("&lt;/li&gt;&lt;li&gt;&lt;a href=|http://",AM1191,"/judges/12.htm","| ","title=|",AM1190,"| target=|_top|&gt;",AM1192,"&lt;/a&gt;")</f>
        <v>&lt;/li&gt;&lt;li&gt;&lt;a href=|http://basicenglishbible.com/judges/12.htm| title=|Bible in Basic English| target=|_top|&gt;BBE&lt;/a&gt;</v>
      </c>
      <c r="AN223" t="str">
        <f t="shared" si="891"/>
        <v>&lt;/li&gt;&lt;li&gt;&lt;a href=|http://darbybible.com/judges/12.htm| title=|Darby Bible Translation| target=|_top|&gt;DBY&lt;/a&gt;</v>
      </c>
      <c r="AO22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2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2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23" t="str">
        <f>CONCATENATE("&lt;/li&gt;&lt;li&gt;&lt;a href=|http://",AR1191,"/judges/12.htm","| ","title=|",AR1190,"| target=|_top|&gt;",AR1192,"&lt;/a&gt;")</f>
        <v>&lt;/li&gt;&lt;li&gt;&lt;a href=|http://websterbible.com/judges/12.htm| title=|Webster's Bible Translation| target=|_top|&gt;WBS&lt;/a&gt;</v>
      </c>
      <c r="AS22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23" t="str">
        <f>CONCATENATE("&lt;/li&gt;&lt;li&gt;&lt;a href=|http://",AT1191,"/judges/12-1.htm","| ","title=|",AT1190,"| target=|_top|&gt;",AT1192,"&lt;/a&gt;")</f>
        <v>&lt;/li&gt;&lt;li&gt;&lt;a href=|http://biblebrowser.com/judges/12-1.htm| title=|Split View| target=|_top|&gt;Split&lt;/a&gt;</v>
      </c>
      <c r="AU223" s="2" t="s">
        <v>1276</v>
      </c>
      <c r="AV223" t="s">
        <v>64</v>
      </c>
    </row>
    <row r="224" spans="1:48">
      <c r="A224" t="s">
        <v>622</v>
      </c>
      <c r="B224" t="s">
        <v>277</v>
      </c>
      <c r="C224" t="s">
        <v>624</v>
      </c>
      <c r="D224" t="s">
        <v>1268</v>
      </c>
      <c r="E224" t="s">
        <v>1277</v>
      </c>
      <c r="F224" t="s">
        <v>1304</v>
      </c>
      <c r="G224" t="s">
        <v>1266</v>
      </c>
      <c r="H224" t="s">
        <v>1305</v>
      </c>
      <c r="I224" t="s">
        <v>1303</v>
      </c>
      <c r="J224" t="s">
        <v>1267</v>
      </c>
      <c r="K224" t="s">
        <v>1275</v>
      </c>
      <c r="L224" s="2" t="s">
        <v>1274</v>
      </c>
      <c r="M224" t="str">
        <f t="shared" ref="M224:AB224" si="892">CONCATENATE("&lt;/li&gt;&lt;li&gt;&lt;a href=|http://",M1191,"/judges/13.htm","| ","title=|",M1190,"| target=|_top|&gt;",M1192,"&lt;/a&gt;")</f>
        <v>&lt;/li&gt;&lt;li&gt;&lt;a href=|http://niv.scripturetext.com/judges/13.htm| title=|New International Version| target=|_top|&gt;NIV&lt;/a&gt;</v>
      </c>
      <c r="N224" t="str">
        <f t="shared" si="892"/>
        <v>&lt;/li&gt;&lt;li&gt;&lt;a href=|http://nlt.scripturetext.com/judges/13.htm| title=|New Living Translation| target=|_top|&gt;NLT&lt;/a&gt;</v>
      </c>
      <c r="O224" t="str">
        <f t="shared" si="892"/>
        <v>&lt;/li&gt;&lt;li&gt;&lt;a href=|http://nasb.scripturetext.com/judges/13.htm| title=|New American Standard Bible| target=|_top|&gt;NAS&lt;/a&gt;</v>
      </c>
      <c r="P224" t="str">
        <f t="shared" si="892"/>
        <v>&lt;/li&gt;&lt;li&gt;&lt;a href=|http://gwt.scripturetext.com/judges/13.htm| title=|God's Word Translation| target=|_top|&gt;GWT&lt;/a&gt;</v>
      </c>
      <c r="Q224" t="str">
        <f t="shared" si="892"/>
        <v>&lt;/li&gt;&lt;li&gt;&lt;a href=|http://kingjbible.com/judges/13.htm| title=|King James Bible| target=|_top|&gt;KJV&lt;/a&gt;</v>
      </c>
      <c r="R224" t="str">
        <f t="shared" si="892"/>
        <v>&lt;/li&gt;&lt;li&gt;&lt;a href=|http://asvbible.com/judges/13.htm| title=|American Standard Version| target=|_top|&gt;ASV&lt;/a&gt;</v>
      </c>
      <c r="S224" t="str">
        <f t="shared" si="892"/>
        <v>&lt;/li&gt;&lt;li&gt;&lt;a href=|http://drb.scripturetext.com/judges/13.htm| title=|Douay-Rheims Bible| target=|_top|&gt;DRB&lt;/a&gt;</v>
      </c>
      <c r="T224" t="str">
        <f t="shared" si="892"/>
        <v>&lt;/li&gt;&lt;li&gt;&lt;a href=|http://erv.scripturetext.com/judges/13.htm| title=|English Revised Version| target=|_top|&gt;ERV&lt;/a&gt;</v>
      </c>
      <c r="V224" t="str">
        <f>CONCATENATE("&lt;/li&gt;&lt;li&gt;&lt;a href=|http://",V1191,"/judges/13.htm","| ","title=|",V1190,"| target=|_top|&gt;",V1192,"&lt;/a&gt;")</f>
        <v>&lt;/li&gt;&lt;li&gt;&lt;a href=|http://study.interlinearbible.org/judges/13.htm| title=|Hebrew Study Bible| target=|_top|&gt;Heb Study&lt;/a&gt;</v>
      </c>
      <c r="W224" t="str">
        <f t="shared" si="892"/>
        <v>&lt;/li&gt;&lt;li&gt;&lt;a href=|http://apostolic.interlinearbible.org/judges/13.htm| title=|Apostolic Bible Polyglot Interlinear| target=|_top|&gt;Polyglot&lt;/a&gt;</v>
      </c>
      <c r="X224" t="str">
        <f t="shared" si="892"/>
        <v>&lt;/li&gt;&lt;li&gt;&lt;a href=|http://interlinearbible.org/judges/13.htm| title=|Interlinear Bible| target=|_top|&gt;Interlin&lt;/a&gt;</v>
      </c>
      <c r="Y224" t="str">
        <f t="shared" ref="Y224" si="893">CONCATENATE("&lt;/li&gt;&lt;li&gt;&lt;a href=|http://",Y1191,"/judges/13.htm","| ","title=|",Y1190,"| target=|_top|&gt;",Y1192,"&lt;/a&gt;")</f>
        <v>&lt;/li&gt;&lt;li&gt;&lt;a href=|http://bibleoutline.org/judges/13.htm| title=|Outline with People and Places List| target=|_top|&gt;Outline&lt;/a&gt;</v>
      </c>
      <c r="Z224" t="str">
        <f t="shared" si="892"/>
        <v>&lt;/li&gt;&lt;li&gt;&lt;a href=|http://kjvs.scripturetext.com/judges/13.htm| title=|King James Bible with Strong's Numbers| target=|_top|&gt;Strong's&lt;/a&gt;</v>
      </c>
      <c r="AA224" t="str">
        <f t="shared" si="892"/>
        <v>&lt;/li&gt;&lt;li&gt;&lt;a href=|http://childrensbibleonline.com/judges/13.htm| title=|The Children's Bible| target=|_top|&gt;Children's&lt;/a&gt;</v>
      </c>
      <c r="AB224" s="2" t="str">
        <f t="shared" si="892"/>
        <v>&lt;/li&gt;&lt;li&gt;&lt;a href=|http://tsk.scripturetext.com/judges/13.htm| title=|Treasury of Scripture Knowledge| target=|_top|&gt;TSK&lt;/a&gt;</v>
      </c>
      <c r="AC224" t="str">
        <f>CONCATENATE("&lt;a href=|http://",AC1191,"/judges/13.htm","| ","title=|",AC1190,"| target=|_top|&gt;",AC1192,"&lt;/a&gt;")</f>
        <v>&lt;a href=|http://parallelbible.com/judges/13.htm| title=|Parallel Chapters| target=|_top|&gt;PAR&lt;/a&gt;</v>
      </c>
      <c r="AD224" s="2" t="str">
        <f t="shared" ref="AD224:AK224" si="894">CONCATENATE("&lt;/li&gt;&lt;li&gt;&lt;a href=|http://",AD1191,"/judges/13.htm","| ","title=|",AD1190,"| target=|_top|&gt;",AD1192,"&lt;/a&gt;")</f>
        <v>&lt;/li&gt;&lt;li&gt;&lt;a href=|http://gsb.biblecommenter.com/judges/13.htm| title=|Geneva Study Bible| target=|_top|&gt;GSB&lt;/a&gt;</v>
      </c>
      <c r="AE224" s="2" t="str">
        <f t="shared" si="894"/>
        <v>&lt;/li&gt;&lt;li&gt;&lt;a href=|http://jfb.biblecommenter.com/judges/13.htm| title=|Jamieson-Fausset-Brown Bible Commentary| target=|_top|&gt;JFB&lt;/a&gt;</v>
      </c>
      <c r="AF224" s="2" t="str">
        <f t="shared" si="894"/>
        <v>&lt;/li&gt;&lt;li&gt;&lt;a href=|http://kjt.biblecommenter.com/judges/13.htm| title=|King James Translators' Notes| target=|_top|&gt;KJT&lt;/a&gt;</v>
      </c>
      <c r="AG224" s="2" t="str">
        <f t="shared" si="894"/>
        <v>&lt;/li&gt;&lt;li&gt;&lt;a href=|http://mhc.biblecommenter.com/judges/13.htm| title=|Matthew Henry's Concise Commentary| target=|_top|&gt;MHC&lt;/a&gt;</v>
      </c>
      <c r="AH224" s="2" t="str">
        <f t="shared" si="894"/>
        <v>&lt;/li&gt;&lt;li&gt;&lt;a href=|http://sco.biblecommenter.com/judges/13.htm| title=|Scofield Reference Notes| target=|_top|&gt;SCO&lt;/a&gt;</v>
      </c>
      <c r="AI224" s="2" t="str">
        <f t="shared" si="894"/>
        <v>&lt;/li&gt;&lt;li&gt;&lt;a href=|http://wes.biblecommenter.com/judges/13.htm| title=|Wesley's Notes on the Bible| target=|_top|&gt;WES&lt;/a&gt;</v>
      </c>
      <c r="AJ224" t="str">
        <f t="shared" si="894"/>
        <v>&lt;/li&gt;&lt;li&gt;&lt;a href=|http://worldebible.com/judges/13.htm| title=|World English Bible| target=|_top|&gt;WEB&lt;/a&gt;</v>
      </c>
      <c r="AK224" t="str">
        <f t="shared" si="894"/>
        <v>&lt;/li&gt;&lt;li&gt;&lt;a href=|http://yltbible.com/judges/13.htm| title=|Young's Literal Translation| target=|_top|&gt;YLT&lt;/a&gt;</v>
      </c>
      <c r="AL224" t="str">
        <f>CONCATENATE("&lt;a href=|http://",AL1191,"/judges/13.htm","| ","title=|",AL1190,"| target=|_top|&gt;",AL1192,"&lt;/a&gt;")</f>
        <v>&lt;a href=|http://kjv.us/judges/13.htm| title=|American King James Version| target=|_top|&gt;AKJ&lt;/a&gt;</v>
      </c>
      <c r="AM224" t="str">
        <f t="shared" ref="AM224:AN224" si="895">CONCATENATE("&lt;/li&gt;&lt;li&gt;&lt;a href=|http://",AM1191,"/judges/13.htm","| ","title=|",AM1190,"| target=|_top|&gt;",AM1192,"&lt;/a&gt;")</f>
        <v>&lt;/li&gt;&lt;li&gt;&lt;a href=|http://basicenglishbible.com/judges/13.htm| title=|Bible in Basic English| target=|_top|&gt;BBE&lt;/a&gt;</v>
      </c>
      <c r="AN224" t="str">
        <f t="shared" si="895"/>
        <v>&lt;/li&gt;&lt;li&gt;&lt;a href=|http://darbybible.com/judges/13.htm| title=|Darby Bible Translation| target=|_top|&gt;DBY&lt;/a&gt;</v>
      </c>
      <c r="AO22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2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2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24" t="str">
        <f>CONCATENATE("&lt;/li&gt;&lt;li&gt;&lt;a href=|http://",AR1191,"/judges/13.htm","| ","title=|",AR1190,"| target=|_top|&gt;",AR1192,"&lt;/a&gt;")</f>
        <v>&lt;/li&gt;&lt;li&gt;&lt;a href=|http://websterbible.com/judges/13.htm| title=|Webster's Bible Translation| target=|_top|&gt;WBS&lt;/a&gt;</v>
      </c>
      <c r="AS22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24" t="str">
        <f>CONCATENATE("&lt;/li&gt;&lt;li&gt;&lt;a href=|http://",AT1191,"/judges/13-1.htm","| ","title=|",AT1190,"| target=|_top|&gt;",AT1192,"&lt;/a&gt;")</f>
        <v>&lt;/li&gt;&lt;li&gt;&lt;a href=|http://biblebrowser.com/judges/13-1.htm| title=|Split View| target=|_top|&gt;Split&lt;/a&gt;</v>
      </c>
      <c r="AU224" s="2" t="s">
        <v>1276</v>
      </c>
      <c r="AV224" t="s">
        <v>64</v>
      </c>
    </row>
    <row r="225" spans="1:48">
      <c r="A225" t="s">
        <v>622</v>
      </c>
      <c r="B225" t="s">
        <v>278</v>
      </c>
      <c r="C225" t="s">
        <v>624</v>
      </c>
      <c r="D225" t="s">
        <v>1268</v>
      </c>
      <c r="E225" t="s">
        <v>1277</v>
      </c>
      <c r="F225" t="s">
        <v>1304</v>
      </c>
      <c r="G225" t="s">
        <v>1266</v>
      </c>
      <c r="H225" t="s">
        <v>1305</v>
      </c>
      <c r="I225" t="s">
        <v>1303</v>
      </c>
      <c r="J225" t="s">
        <v>1267</v>
      </c>
      <c r="K225" t="s">
        <v>1275</v>
      </c>
      <c r="L225" s="2" t="s">
        <v>1274</v>
      </c>
      <c r="M225" t="str">
        <f t="shared" ref="M225:AB225" si="896">CONCATENATE("&lt;/li&gt;&lt;li&gt;&lt;a href=|http://",M1191,"/judges/14.htm","| ","title=|",M1190,"| target=|_top|&gt;",M1192,"&lt;/a&gt;")</f>
        <v>&lt;/li&gt;&lt;li&gt;&lt;a href=|http://niv.scripturetext.com/judges/14.htm| title=|New International Version| target=|_top|&gt;NIV&lt;/a&gt;</v>
      </c>
      <c r="N225" t="str">
        <f t="shared" si="896"/>
        <v>&lt;/li&gt;&lt;li&gt;&lt;a href=|http://nlt.scripturetext.com/judges/14.htm| title=|New Living Translation| target=|_top|&gt;NLT&lt;/a&gt;</v>
      </c>
      <c r="O225" t="str">
        <f t="shared" si="896"/>
        <v>&lt;/li&gt;&lt;li&gt;&lt;a href=|http://nasb.scripturetext.com/judges/14.htm| title=|New American Standard Bible| target=|_top|&gt;NAS&lt;/a&gt;</v>
      </c>
      <c r="P225" t="str">
        <f t="shared" si="896"/>
        <v>&lt;/li&gt;&lt;li&gt;&lt;a href=|http://gwt.scripturetext.com/judges/14.htm| title=|God's Word Translation| target=|_top|&gt;GWT&lt;/a&gt;</v>
      </c>
      <c r="Q225" t="str">
        <f t="shared" si="896"/>
        <v>&lt;/li&gt;&lt;li&gt;&lt;a href=|http://kingjbible.com/judges/14.htm| title=|King James Bible| target=|_top|&gt;KJV&lt;/a&gt;</v>
      </c>
      <c r="R225" t="str">
        <f t="shared" si="896"/>
        <v>&lt;/li&gt;&lt;li&gt;&lt;a href=|http://asvbible.com/judges/14.htm| title=|American Standard Version| target=|_top|&gt;ASV&lt;/a&gt;</v>
      </c>
      <c r="S225" t="str">
        <f t="shared" si="896"/>
        <v>&lt;/li&gt;&lt;li&gt;&lt;a href=|http://drb.scripturetext.com/judges/14.htm| title=|Douay-Rheims Bible| target=|_top|&gt;DRB&lt;/a&gt;</v>
      </c>
      <c r="T225" t="str">
        <f t="shared" si="896"/>
        <v>&lt;/li&gt;&lt;li&gt;&lt;a href=|http://erv.scripturetext.com/judges/14.htm| title=|English Revised Version| target=|_top|&gt;ERV&lt;/a&gt;</v>
      </c>
      <c r="V225" t="str">
        <f>CONCATENATE("&lt;/li&gt;&lt;li&gt;&lt;a href=|http://",V1191,"/judges/14.htm","| ","title=|",V1190,"| target=|_top|&gt;",V1192,"&lt;/a&gt;")</f>
        <v>&lt;/li&gt;&lt;li&gt;&lt;a href=|http://study.interlinearbible.org/judges/14.htm| title=|Hebrew Study Bible| target=|_top|&gt;Heb Study&lt;/a&gt;</v>
      </c>
      <c r="W225" t="str">
        <f t="shared" si="896"/>
        <v>&lt;/li&gt;&lt;li&gt;&lt;a href=|http://apostolic.interlinearbible.org/judges/14.htm| title=|Apostolic Bible Polyglot Interlinear| target=|_top|&gt;Polyglot&lt;/a&gt;</v>
      </c>
      <c r="X225" t="str">
        <f t="shared" si="896"/>
        <v>&lt;/li&gt;&lt;li&gt;&lt;a href=|http://interlinearbible.org/judges/14.htm| title=|Interlinear Bible| target=|_top|&gt;Interlin&lt;/a&gt;</v>
      </c>
      <c r="Y225" t="str">
        <f t="shared" ref="Y225" si="897">CONCATENATE("&lt;/li&gt;&lt;li&gt;&lt;a href=|http://",Y1191,"/judges/14.htm","| ","title=|",Y1190,"| target=|_top|&gt;",Y1192,"&lt;/a&gt;")</f>
        <v>&lt;/li&gt;&lt;li&gt;&lt;a href=|http://bibleoutline.org/judges/14.htm| title=|Outline with People and Places List| target=|_top|&gt;Outline&lt;/a&gt;</v>
      </c>
      <c r="Z225" t="str">
        <f t="shared" si="896"/>
        <v>&lt;/li&gt;&lt;li&gt;&lt;a href=|http://kjvs.scripturetext.com/judges/14.htm| title=|King James Bible with Strong's Numbers| target=|_top|&gt;Strong's&lt;/a&gt;</v>
      </c>
      <c r="AA225" t="str">
        <f t="shared" si="896"/>
        <v>&lt;/li&gt;&lt;li&gt;&lt;a href=|http://childrensbibleonline.com/judges/14.htm| title=|The Children's Bible| target=|_top|&gt;Children's&lt;/a&gt;</v>
      </c>
      <c r="AB225" s="2" t="str">
        <f t="shared" si="896"/>
        <v>&lt;/li&gt;&lt;li&gt;&lt;a href=|http://tsk.scripturetext.com/judges/14.htm| title=|Treasury of Scripture Knowledge| target=|_top|&gt;TSK&lt;/a&gt;</v>
      </c>
      <c r="AC225" t="str">
        <f>CONCATENATE("&lt;a href=|http://",AC1191,"/judges/14.htm","| ","title=|",AC1190,"| target=|_top|&gt;",AC1192,"&lt;/a&gt;")</f>
        <v>&lt;a href=|http://parallelbible.com/judges/14.htm| title=|Parallel Chapters| target=|_top|&gt;PAR&lt;/a&gt;</v>
      </c>
      <c r="AD225" s="2" t="str">
        <f t="shared" ref="AD225:AK225" si="898">CONCATENATE("&lt;/li&gt;&lt;li&gt;&lt;a href=|http://",AD1191,"/judges/14.htm","| ","title=|",AD1190,"| target=|_top|&gt;",AD1192,"&lt;/a&gt;")</f>
        <v>&lt;/li&gt;&lt;li&gt;&lt;a href=|http://gsb.biblecommenter.com/judges/14.htm| title=|Geneva Study Bible| target=|_top|&gt;GSB&lt;/a&gt;</v>
      </c>
      <c r="AE225" s="2" t="str">
        <f t="shared" si="898"/>
        <v>&lt;/li&gt;&lt;li&gt;&lt;a href=|http://jfb.biblecommenter.com/judges/14.htm| title=|Jamieson-Fausset-Brown Bible Commentary| target=|_top|&gt;JFB&lt;/a&gt;</v>
      </c>
      <c r="AF225" s="2" t="str">
        <f t="shared" si="898"/>
        <v>&lt;/li&gt;&lt;li&gt;&lt;a href=|http://kjt.biblecommenter.com/judges/14.htm| title=|King James Translators' Notes| target=|_top|&gt;KJT&lt;/a&gt;</v>
      </c>
      <c r="AG225" s="2" t="str">
        <f t="shared" si="898"/>
        <v>&lt;/li&gt;&lt;li&gt;&lt;a href=|http://mhc.biblecommenter.com/judges/14.htm| title=|Matthew Henry's Concise Commentary| target=|_top|&gt;MHC&lt;/a&gt;</v>
      </c>
      <c r="AH225" s="2" t="str">
        <f t="shared" si="898"/>
        <v>&lt;/li&gt;&lt;li&gt;&lt;a href=|http://sco.biblecommenter.com/judges/14.htm| title=|Scofield Reference Notes| target=|_top|&gt;SCO&lt;/a&gt;</v>
      </c>
      <c r="AI225" s="2" t="str">
        <f t="shared" si="898"/>
        <v>&lt;/li&gt;&lt;li&gt;&lt;a href=|http://wes.biblecommenter.com/judges/14.htm| title=|Wesley's Notes on the Bible| target=|_top|&gt;WES&lt;/a&gt;</v>
      </c>
      <c r="AJ225" t="str">
        <f t="shared" si="898"/>
        <v>&lt;/li&gt;&lt;li&gt;&lt;a href=|http://worldebible.com/judges/14.htm| title=|World English Bible| target=|_top|&gt;WEB&lt;/a&gt;</v>
      </c>
      <c r="AK225" t="str">
        <f t="shared" si="898"/>
        <v>&lt;/li&gt;&lt;li&gt;&lt;a href=|http://yltbible.com/judges/14.htm| title=|Young's Literal Translation| target=|_top|&gt;YLT&lt;/a&gt;</v>
      </c>
      <c r="AL225" t="str">
        <f>CONCATENATE("&lt;a href=|http://",AL1191,"/judges/14.htm","| ","title=|",AL1190,"| target=|_top|&gt;",AL1192,"&lt;/a&gt;")</f>
        <v>&lt;a href=|http://kjv.us/judges/14.htm| title=|American King James Version| target=|_top|&gt;AKJ&lt;/a&gt;</v>
      </c>
      <c r="AM225" t="str">
        <f t="shared" ref="AM225:AN225" si="899">CONCATENATE("&lt;/li&gt;&lt;li&gt;&lt;a href=|http://",AM1191,"/judges/14.htm","| ","title=|",AM1190,"| target=|_top|&gt;",AM1192,"&lt;/a&gt;")</f>
        <v>&lt;/li&gt;&lt;li&gt;&lt;a href=|http://basicenglishbible.com/judges/14.htm| title=|Bible in Basic English| target=|_top|&gt;BBE&lt;/a&gt;</v>
      </c>
      <c r="AN225" t="str">
        <f t="shared" si="899"/>
        <v>&lt;/li&gt;&lt;li&gt;&lt;a href=|http://darbybible.com/judges/14.htm| title=|Darby Bible Translation| target=|_top|&gt;DBY&lt;/a&gt;</v>
      </c>
      <c r="AO22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2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2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25" t="str">
        <f>CONCATENATE("&lt;/li&gt;&lt;li&gt;&lt;a href=|http://",AR1191,"/judges/14.htm","| ","title=|",AR1190,"| target=|_top|&gt;",AR1192,"&lt;/a&gt;")</f>
        <v>&lt;/li&gt;&lt;li&gt;&lt;a href=|http://websterbible.com/judges/14.htm| title=|Webster's Bible Translation| target=|_top|&gt;WBS&lt;/a&gt;</v>
      </c>
      <c r="AS22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25" t="str">
        <f>CONCATENATE("&lt;/li&gt;&lt;li&gt;&lt;a href=|http://",AT1191,"/judges/14-1.htm","| ","title=|",AT1190,"| target=|_top|&gt;",AT1192,"&lt;/a&gt;")</f>
        <v>&lt;/li&gt;&lt;li&gt;&lt;a href=|http://biblebrowser.com/judges/14-1.htm| title=|Split View| target=|_top|&gt;Split&lt;/a&gt;</v>
      </c>
      <c r="AU225" s="2" t="s">
        <v>1276</v>
      </c>
      <c r="AV225" t="s">
        <v>64</v>
      </c>
    </row>
    <row r="226" spans="1:48">
      <c r="A226" t="s">
        <v>622</v>
      </c>
      <c r="B226" t="s">
        <v>279</v>
      </c>
      <c r="C226" t="s">
        <v>624</v>
      </c>
      <c r="D226" t="s">
        <v>1268</v>
      </c>
      <c r="E226" t="s">
        <v>1277</v>
      </c>
      <c r="F226" t="s">
        <v>1304</v>
      </c>
      <c r="G226" t="s">
        <v>1266</v>
      </c>
      <c r="H226" t="s">
        <v>1305</v>
      </c>
      <c r="I226" t="s">
        <v>1303</v>
      </c>
      <c r="J226" t="s">
        <v>1267</v>
      </c>
      <c r="K226" t="s">
        <v>1275</v>
      </c>
      <c r="L226" s="2" t="s">
        <v>1274</v>
      </c>
      <c r="M226" t="str">
        <f t="shared" ref="M226:AB226" si="900">CONCATENATE("&lt;/li&gt;&lt;li&gt;&lt;a href=|http://",M1191,"/judges/15.htm","| ","title=|",M1190,"| target=|_top|&gt;",M1192,"&lt;/a&gt;")</f>
        <v>&lt;/li&gt;&lt;li&gt;&lt;a href=|http://niv.scripturetext.com/judges/15.htm| title=|New International Version| target=|_top|&gt;NIV&lt;/a&gt;</v>
      </c>
      <c r="N226" t="str">
        <f t="shared" si="900"/>
        <v>&lt;/li&gt;&lt;li&gt;&lt;a href=|http://nlt.scripturetext.com/judges/15.htm| title=|New Living Translation| target=|_top|&gt;NLT&lt;/a&gt;</v>
      </c>
      <c r="O226" t="str">
        <f t="shared" si="900"/>
        <v>&lt;/li&gt;&lt;li&gt;&lt;a href=|http://nasb.scripturetext.com/judges/15.htm| title=|New American Standard Bible| target=|_top|&gt;NAS&lt;/a&gt;</v>
      </c>
      <c r="P226" t="str">
        <f t="shared" si="900"/>
        <v>&lt;/li&gt;&lt;li&gt;&lt;a href=|http://gwt.scripturetext.com/judges/15.htm| title=|God's Word Translation| target=|_top|&gt;GWT&lt;/a&gt;</v>
      </c>
      <c r="Q226" t="str">
        <f t="shared" si="900"/>
        <v>&lt;/li&gt;&lt;li&gt;&lt;a href=|http://kingjbible.com/judges/15.htm| title=|King James Bible| target=|_top|&gt;KJV&lt;/a&gt;</v>
      </c>
      <c r="R226" t="str">
        <f t="shared" si="900"/>
        <v>&lt;/li&gt;&lt;li&gt;&lt;a href=|http://asvbible.com/judges/15.htm| title=|American Standard Version| target=|_top|&gt;ASV&lt;/a&gt;</v>
      </c>
      <c r="S226" t="str">
        <f t="shared" si="900"/>
        <v>&lt;/li&gt;&lt;li&gt;&lt;a href=|http://drb.scripturetext.com/judges/15.htm| title=|Douay-Rheims Bible| target=|_top|&gt;DRB&lt;/a&gt;</v>
      </c>
      <c r="T226" t="str">
        <f t="shared" si="900"/>
        <v>&lt;/li&gt;&lt;li&gt;&lt;a href=|http://erv.scripturetext.com/judges/15.htm| title=|English Revised Version| target=|_top|&gt;ERV&lt;/a&gt;</v>
      </c>
      <c r="V226" t="str">
        <f>CONCATENATE("&lt;/li&gt;&lt;li&gt;&lt;a href=|http://",V1191,"/judges/15.htm","| ","title=|",V1190,"| target=|_top|&gt;",V1192,"&lt;/a&gt;")</f>
        <v>&lt;/li&gt;&lt;li&gt;&lt;a href=|http://study.interlinearbible.org/judges/15.htm| title=|Hebrew Study Bible| target=|_top|&gt;Heb Study&lt;/a&gt;</v>
      </c>
      <c r="W226" t="str">
        <f t="shared" si="900"/>
        <v>&lt;/li&gt;&lt;li&gt;&lt;a href=|http://apostolic.interlinearbible.org/judges/15.htm| title=|Apostolic Bible Polyglot Interlinear| target=|_top|&gt;Polyglot&lt;/a&gt;</v>
      </c>
      <c r="X226" t="str">
        <f t="shared" si="900"/>
        <v>&lt;/li&gt;&lt;li&gt;&lt;a href=|http://interlinearbible.org/judges/15.htm| title=|Interlinear Bible| target=|_top|&gt;Interlin&lt;/a&gt;</v>
      </c>
      <c r="Y226" t="str">
        <f t="shared" ref="Y226" si="901">CONCATENATE("&lt;/li&gt;&lt;li&gt;&lt;a href=|http://",Y1191,"/judges/15.htm","| ","title=|",Y1190,"| target=|_top|&gt;",Y1192,"&lt;/a&gt;")</f>
        <v>&lt;/li&gt;&lt;li&gt;&lt;a href=|http://bibleoutline.org/judges/15.htm| title=|Outline with People and Places List| target=|_top|&gt;Outline&lt;/a&gt;</v>
      </c>
      <c r="Z226" t="str">
        <f t="shared" si="900"/>
        <v>&lt;/li&gt;&lt;li&gt;&lt;a href=|http://kjvs.scripturetext.com/judges/15.htm| title=|King James Bible with Strong's Numbers| target=|_top|&gt;Strong's&lt;/a&gt;</v>
      </c>
      <c r="AA226" t="str">
        <f t="shared" si="900"/>
        <v>&lt;/li&gt;&lt;li&gt;&lt;a href=|http://childrensbibleonline.com/judges/15.htm| title=|The Children's Bible| target=|_top|&gt;Children's&lt;/a&gt;</v>
      </c>
      <c r="AB226" s="2" t="str">
        <f t="shared" si="900"/>
        <v>&lt;/li&gt;&lt;li&gt;&lt;a href=|http://tsk.scripturetext.com/judges/15.htm| title=|Treasury of Scripture Knowledge| target=|_top|&gt;TSK&lt;/a&gt;</v>
      </c>
      <c r="AC226" t="str">
        <f>CONCATENATE("&lt;a href=|http://",AC1191,"/judges/15.htm","| ","title=|",AC1190,"| target=|_top|&gt;",AC1192,"&lt;/a&gt;")</f>
        <v>&lt;a href=|http://parallelbible.com/judges/15.htm| title=|Parallel Chapters| target=|_top|&gt;PAR&lt;/a&gt;</v>
      </c>
      <c r="AD226" s="2" t="str">
        <f t="shared" ref="AD226:AK226" si="902">CONCATENATE("&lt;/li&gt;&lt;li&gt;&lt;a href=|http://",AD1191,"/judges/15.htm","| ","title=|",AD1190,"| target=|_top|&gt;",AD1192,"&lt;/a&gt;")</f>
        <v>&lt;/li&gt;&lt;li&gt;&lt;a href=|http://gsb.biblecommenter.com/judges/15.htm| title=|Geneva Study Bible| target=|_top|&gt;GSB&lt;/a&gt;</v>
      </c>
      <c r="AE226" s="2" t="str">
        <f t="shared" si="902"/>
        <v>&lt;/li&gt;&lt;li&gt;&lt;a href=|http://jfb.biblecommenter.com/judges/15.htm| title=|Jamieson-Fausset-Brown Bible Commentary| target=|_top|&gt;JFB&lt;/a&gt;</v>
      </c>
      <c r="AF226" s="2" t="str">
        <f t="shared" si="902"/>
        <v>&lt;/li&gt;&lt;li&gt;&lt;a href=|http://kjt.biblecommenter.com/judges/15.htm| title=|King James Translators' Notes| target=|_top|&gt;KJT&lt;/a&gt;</v>
      </c>
      <c r="AG226" s="2" t="str">
        <f t="shared" si="902"/>
        <v>&lt;/li&gt;&lt;li&gt;&lt;a href=|http://mhc.biblecommenter.com/judges/15.htm| title=|Matthew Henry's Concise Commentary| target=|_top|&gt;MHC&lt;/a&gt;</v>
      </c>
      <c r="AH226" s="2" t="str">
        <f t="shared" si="902"/>
        <v>&lt;/li&gt;&lt;li&gt;&lt;a href=|http://sco.biblecommenter.com/judges/15.htm| title=|Scofield Reference Notes| target=|_top|&gt;SCO&lt;/a&gt;</v>
      </c>
      <c r="AI226" s="2" t="str">
        <f t="shared" si="902"/>
        <v>&lt;/li&gt;&lt;li&gt;&lt;a href=|http://wes.biblecommenter.com/judges/15.htm| title=|Wesley's Notes on the Bible| target=|_top|&gt;WES&lt;/a&gt;</v>
      </c>
      <c r="AJ226" t="str">
        <f t="shared" si="902"/>
        <v>&lt;/li&gt;&lt;li&gt;&lt;a href=|http://worldebible.com/judges/15.htm| title=|World English Bible| target=|_top|&gt;WEB&lt;/a&gt;</v>
      </c>
      <c r="AK226" t="str">
        <f t="shared" si="902"/>
        <v>&lt;/li&gt;&lt;li&gt;&lt;a href=|http://yltbible.com/judges/15.htm| title=|Young's Literal Translation| target=|_top|&gt;YLT&lt;/a&gt;</v>
      </c>
      <c r="AL226" t="str">
        <f>CONCATENATE("&lt;a href=|http://",AL1191,"/judges/15.htm","| ","title=|",AL1190,"| target=|_top|&gt;",AL1192,"&lt;/a&gt;")</f>
        <v>&lt;a href=|http://kjv.us/judges/15.htm| title=|American King James Version| target=|_top|&gt;AKJ&lt;/a&gt;</v>
      </c>
      <c r="AM226" t="str">
        <f t="shared" ref="AM226:AN226" si="903">CONCATENATE("&lt;/li&gt;&lt;li&gt;&lt;a href=|http://",AM1191,"/judges/15.htm","| ","title=|",AM1190,"| target=|_top|&gt;",AM1192,"&lt;/a&gt;")</f>
        <v>&lt;/li&gt;&lt;li&gt;&lt;a href=|http://basicenglishbible.com/judges/15.htm| title=|Bible in Basic English| target=|_top|&gt;BBE&lt;/a&gt;</v>
      </c>
      <c r="AN226" t="str">
        <f t="shared" si="903"/>
        <v>&lt;/li&gt;&lt;li&gt;&lt;a href=|http://darbybible.com/judges/15.htm| title=|Darby Bible Translation| target=|_top|&gt;DBY&lt;/a&gt;</v>
      </c>
      <c r="AO22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2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2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26" t="str">
        <f>CONCATENATE("&lt;/li&gt;&lt;li&gt;&lt;a href=|http://",AR1191,"/judges/15.htm","| ","title=|",AR1190,"| target=|_top|&gt;",AR1192,"&lt;/a&gt;")</f>
        <v>&lt;/li&gt;&lt;li&gt;&lt;a href=|http://websterbible.com/judges/15.htm| title=|Webster's Bible Translation| target=|_top|&gt;WBS&lt;/a&gt;</v>
      </c>
      <c r="AS22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26" t="str">
        <f>CONCATENATE("&lt;/li&gt;&lt;li&gt;&lt;a href=|http://",AT1191,"/judges/15-1.htm","| ","title=|",AT1190,"| target=|_top|&gt;",AT1192,"&lt;/a&gt;")</f>
        <v>&lt;/li&gt;&lt;li&gt;&lt;a href=|http://biblebrowser.com/judges/15-1.htm| title=|Split View| target=|_top|&gt;Split&lt;/a&gt;</v>
      </c>
      <c r="AU226" s="2" t="s">
        <v>1276</v>
      </c>
      <c r="AV226" t="s">
        <v>64</v>
      </c>
    </row>
    <row r="227" spans="1:48">
      <c r="A227" t="s">
        <v>622</v>
      </c>
      <c r="B227" t="s">
        <v>280</v>
      </c>
      <c r="C227" t="s">
        <v>624</v>
      </c>
      <c r="D227" t="s">
        <v>1268</v>
      </c>
      <c r="E227" t="s">
        <v>1277</v>
      </c>
      <c r="F227" t="s">
        <v>1304</v>
      </c>
      <c r="G227" t="s">
        <v>1266</v>
      </c>
      <c r="H227" t="s">
        <v>1305</v>
      </c>
      <c r="I227" t="s">
        <v>1303</v>
      </c>
      <c r="J227" t="s">
        <v>1267</v>
      </c>
      <c r="K227" t="s">
        <v>1275</v>
      </c>
      <c r="L227" s="2" t="s">
        <v>1274</v>
      </c>
      <c r="M227" t="str">
        <f t="shared" ref="M227:AB227" si="904">CONCATENATE("&lt;/li&gt;&lt;li&gt;&lt;a href=|http://",M1191,"/judges/16.htm","| ","title=|",M1190,"| target=|_top|&gt;",M1192,"&lt;/a&gt;")</f>
        <v>&lt;/li&gt;&lt;li&gt;&lt;a href=|http://niv.scripturetext.com/judges/16.htm| title=|New International Version| target=|_top|&gt;NIV&lt;/a&gt;</v>
      </c>
      <c r="N227" t="str">
        <f t="shared" si="904"/>
        <v>&lt;/li&gt;&lt;li&gt;&lt;a href=|http://nlt.scripturetext.com/judges/16.htm| title=|New Living Translation| target=|_top|&gt;NLT&lt;/a&gt;</v>
      </c>
      <c r="O227" t="str">
        <f t="shared" si="904"/>
        <v>&lt;/li&gt;&lt;li&gt;&lt;a href=|http://nasb.scripturetext.com/judges/16.htm| title=|New American Standard Bible| target=|_top|&gt;NAS&lt;/a&gt;</v>
      </c>
      <c r="P227" t="str">
        <f t="shared" si="904"/>
        <v>&lt;/li&gt;&lt;li&gt;&lt;a href=|http://gwt.scripturetext.com/judges/16.htm| title=|God's Word Translation| target=|_top|&gt;GWT&lt;/a&gt;</v>
      </c>
      <c r="Q227" t="str">
        <f t="shared" si="904"/>
        <v>&lt;/li&gt;&lt;li&gt;&lt;a href=|http://kingjbible.com/judges/16.htm| title=|King James Bible| target=|_top|&gt;KJV&lt;/a&gt;</v>
      </c>
      <c r="R227" t="str">
        <f t="shared" si="904"/>
        <v>&lt;/li&gt;&lt;li&gt;&lt;a href=|http://asvbible.com/judges/16.htm| title=|American Standard Version| target=|_top|&gt;ASV&lt;/a&gt;</v>
      </c>
      <c r="S227" t="str">
        <f t="shared" si="904"/>
        <v>&lt;/li&gt;&lt;li&gt;&lt;a href=|http://drb.scripturetext.com/judges/16.htm| title=|Douay-Rheims Bible| target=|_top|&gt;DRB&lt;/a&gt;</v>
      </c>
      <c r="T227" t="str">
        <f t="shared" si="904"/>
        <v>&lt;/li&gt;&lt;li&gt;&lt;a href=|http://erv.scripturetext.com/judges/16.htm| title=|English Revised Version| target=|_top|&gt;ERV&lt;/a&gt;</v>
      </c>
      <c r="V227" t="str">
        <f>CONCATENATE("&lt;/li&gt;&lt;li&gt;&lt;a href=|http://",V1191,"/judges/16.htm","| ","title=|",V1190,"| target=|_top|&gt;",V1192,"&lt;/a&gt;")</f>
        <v>&lt;/li&gt;&lt;li&gt;&lt;a href=|http://study.interlinearbible.org/judges/16.htm| title=|Hebrew Study Bible| target=|_top|&gt;Heb Study&lt;/a&gt;</v>
      </c>
      <c r="W227" t="str">
        <f t="shared" si="904"/>
        <v>&lt;/li&gt;&lt;li&gt;&lt;a href=|http://apostolic.interlinearbible.org/judges/16.htm| title=|Apostolic Bible Polyglot Interlinear| target=|_top|&gt;Polyglot&lt;/a&gt;</v>
      </c>
      <c r="X227" t="str">
        <f t="shared" si="904"/>
        <v>&lt;/li&gt;&lt;li&gt;&lt;a href=|http://interlinearbible.org/judges/16.htm| title=|Interlinear Bible| target=|_top|&gt;Interlin&lt;/a&gt;</v>
      </c>
      <c r="Y227" t="str">
        <f t="shared" ref="Y227" si="905">CONCATENATE("&lt;/li&gt;&lt;li&gt;&lt;a href=|http://",Y1191,"/judges/16.htm","| ","title=|",Y1190,"| target=|_top|&gt;",Y1192,"&lt;/a&gt;")</f>
        <v>&lt;/li&gt;&lt;li&gt;&lt;a href=|http://bibleoutline.org/judges/16.htm| title=|Outline with People and Places List| target=|_top|&gt;Outline&lt;/a&gt;</v>
      </c>
      <c r="Z227" t="str">
        <f t="shared" si="904"/>
        <v>&lt;/li&gt;&lt;li&gt;&lt;a href=|http://kjvs.scripturetext.com/judges/16.htm| title=|King James Bible with Strong's Numbers| target=|_top|&gt;Strong's&lt;/a&gt;</v>
      </c>
      <c r="AA227" t="str">
        <f t="shared" si="904"/>
        <v>&lt;/li&gt;&lt;li&gt;&lt;a href=|http://childrensbibleonline.com/judges/16.htm| title=|The Children's Bible| target=|_top|&gt;Children's&lt;/a&gt;</v>
      </c>
      <c r="AB227" s="2" t="str">
        <f t="shared" si="904"/>
        <v>&lt;/li&gt;&lt;li&gt;&lt;a href=|http://tsk.scripturetext.com/judges/16.htm| title=|Treasury of Scripture Knowledge| target=|_top|&gt;TSK&lt;/a&gt;</v>
      </c>
      <c r="AC227" t="str">
        <f>CONCATENATE("&lt;a href=|http://",AC1191,"/judges/16.htm","| ","title=|",AC1190,"| target=|_top|&gt;",AC1192,"&lt;/a&gt;")</f>
        <v>&lt;a href=|http://parallelbible.com/judges/16.htm| title=|Parallel Chapters| target=|_top|&gt;PAR&lt;/a&gt;</v>
      </c>
      <c r="AD227" s="2" t="str">
        <f t="shared" ref="AD227:AK227" si="906">CONCATENATE("&lt;/li&gt;&lt;li&gt;&lt;a href=|http://",AD1191,"/judges/16.htm","| ","title=|",AD1190,"| target=|_top|&gt;",AD1192,"&lt;/a&gt;")</f>
        <v>&lt;/li&gt;&lt;li&gt;&lt;a href=|http://gsb.biblecommenter.com/judges/16.htm| title=|Geneva Study Bible| target=|_top|&gt;GSB&lt;/a&gt;</v>
      </c>
      <c r="AE227" s="2" t="str">
        <f t="shared" si="906"/>
        <v>&lt;/li&gt;&lt;li&gt;&lt;a href=|http://jfb.biblecommenter.com/judges/16.htm| title=|Jamieson-Fausset-Brown Bible Commentary| target=|_top|&gt;JFB&lt;/a&gt;</v>
      </c>
      <c r="AF227" s="2" t="str">
        <f t="shared" si="906"/>
        <v>&lt;/li&gt;&lt;li&gt;&lt;a href=|http://kjt.biblecommenter.com/judges/16.htm| title=|King James Translators' Notes| target=|_top|&gt;KJT&lt;/a&gt;</v>
      </c>
      <c r="AG227" s="2" t="str">
        <f t="shared" si="906"/>
        <v>&lt;/li&gt;&lt;li&gt;&lt;a href=|http://mhc.biblecommenter.com/judges/16.htm| title=|Matthew Henry's Concise Commentary| target=|_top|&gt;MHC&lt;/a&gt;</v>
      </c>
      <c r="AH227" s="2" t="str">
        <f t="shared" si="906"/>
        <v>&lt;/li&gt;&lt;li&gt;&lt;a href=|http://sco.biblecommenter.com/judges/16.htm| title=|Scofield Reference Notes| target=|_top|&gt;SCO&lt;/a&gt;</v>
      </c>
      <c r="AI227" s="2" t="str">
        <f t="shared" si="906"/>
        <v>&lt;/li&gt;&lt;li&gt;&lt;a href=|http://wes.biblecommenter.com/judges/16.htm| title=|Wesley's Notes on the Bible| target=|_top|&gt;WES&lt;/a&gt;</v>
      </c>
      <c r="AJ227" t="str">
        <f t="shared" si="906"/>
        <v>&lt;/li&gt;&lt;li&gt;&lt;a href=|http://worldebible.com/judges/16.htm| title=|World English Bible| target=|_top|&gt;WEB&lt;/a&gt;</v>
      </c>
      <c r="AK227" t="str">
        <f t="shared" si="906"/>
        <v>&lt;/li&gt;&lt;li&gt;&lt;a href=|http://yltbible.com/judges/16.htm| title=|Young's Literal Translation| target=|_top|&gt;YLT&lt;/a&gt;</v>
      </c>
      <c r="AL227" t="str">
        <f>CONCATENATE("&lt;a href=|http://",AL1191,"/judges/16.htm","| ","title=|",AL1190,"| target=|_top|&gt;",AL1192,"&lt;/a&gt;")</f>
        <v>&lt;a href=|http://kjv.us/judges/16.htm| title=|American King James Version| target=|_top|&gt;AKJ&lt;/a&gt;</v>
      </c>
      <c r="AM227" t="str">
        <f t="shared" ref="AM227:AN227" si="907">CONCATENATE("&lt;/li&gt;&lt;li&gt;&lt;a href=|http://",AM1191,"/judges/16.htm","| ","title=|",AM1190,"| target=|_top|&gt;",AM1192,"&lt;/a&gt;")</f>
        <v>&lt;/li&gt;&lt;li&gt;&lt;a href=|http://basicenglishbible.com/judges/16.htm| title=|Bible in Basic English| target=|_top|&gt;BBE&lt;/a&gt;</v>
      </c>
      <c r="AN227" t="str">
        <f t="shared" si="907"/>
        <v>&lt;/li&gt;&lt;li&gt;&lt;a href=|http://darbybible.com/judges/16.htm| title=|Darby Bible Translation| target=|_top|&gt;DBY&lt;/a&gt;</v>
      </c>
      <c r="AO22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2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2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27" t="str">
        <f>CONCATENATE("&lt;/li&gt;&lt;li&gt;&lt;a href=|http://",AR1191,"/judges/16.htm","| ","title=|",AR1190,"| target=|_top|&gt;",AR1192,"&lt;/a&gt;")</f>
        <v>&lt;/li&gt;&lt;li&gt;&lt;a href=|http://websterbible.com/judges/16.htm| title=|Webster's Bible Translation| target=|_top|&gt;WBS&lt;/a&gt;</v>
      </c>
      <c r="AS22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27" t="str">
        <f>CONCATENATE("&lt;/li&gt;&lt;li&gt;&lt;a href=|http://",AT1191,"/judges/16-1.htm","| ","title=|",AT1190,"| target=|_top|&gt;",AT1192,"&lt;/a&gt;")</f>
        <v>&lt;/li&gt;&lt;li&gt;&lt;a href=|http://biblebrowser.com/judges/16-1.htm| title=|Split View| target=|_top|&gt;Split&lt;/a&gt;</v>
      </c>
      <c r="AU227" s="2" t="s">
        <v>1276</v>
      </c>
      <c r="AV227" t="s">
        <v>64</v>
      </c>
    </row>
    <row r="228" spans="1:48">
      <c r="A228" t="s">
        <v>622</v>
      </c>
      <c r="B228" t="s">
        <v>281</v>
      </c>
      <c r="C228" t="s">
        <v>624</v>
      </c>
      <c r="D228" t="s">
        <v>1268</v>
      </c>
      <c r="E228" t="s">
        <v>1277</v>
      </c>
      <c r="F228" t="s">
        <v>1304</v>
      </c>
      <c r="G228" t="s">
        <v>1266</v>
      </c>
      <c r="H228" t="s">
        <v>1305</v>
      </c>
      <c r="I228" t="s">
        <v>1303</v>
      </c>
      <c r="J228" t="s">
        <v>1267</v>
      </c>
      <c r="K228" t="s">
        <v>1275</v>
      </c>
      <c r="L228" s="2" t="s">
        <v>1274</v>
      </c>
      <c r="M228" t="str">
        <f t="shared" ref="M228:AB228" si="908">CONCATENATE("&lt;/li&gt;&lt;li&gt;&lt;a href=|http://",M1191,"/judges/17.htm","| ","title=|",M1190,"| target=|_top|&gt;",M1192,"&lt;/a&gt;")</f>
        <v>&lt;/li&gt;&lt;li&gt;&lt;a href=|http://niv.scripturetext.com/judges/17.htm| title=|New International Version| target=|_top|&gt;NIV&lt;/a&gt;</v>
      </c>
      <c r="N228" t="str">
        <f t="shared" si="908"/>
        <v>&lt;/li&gt;&lt;li&gt;&lt;a href=|http://nlt.scripturetext.com/judges/17.htm| title=|New Living Translation| target=|_top|&gt;NLT&lt;/a&gt;</v>
      </c>
      <c r="O228" t="str">
        <f t="shared" si="908"/>
        <v>&lt;/li&gt;&lt;li&gt;&lt;a href=|http://nasb.scripturetext.com/judges/17.htm| title=|New American Standard Bible| target=|_top|&gt;NAS&lt;/a&gt;</v>
      </c>
      <c r="P228" t="str">
        <f t="shared" si="908"/>
        <v>&lt;/li&gt;&lt;li&gt;&lt;a href=|http://gwt.scripturetext.com/judges/17.htm| title=|God's Word Translation| target=|_top|&gt;GWT&lt;/a&gt;</v>
      </c>
      <c r="Q228" t="str">
        <f t="shared" si="908"/>
        <v>&lt;/li&gt;&lt;li&gt;&lt;a href=|http://kingjbible.com/judges/17.htm| title=|King James Bible| target=|_top|&gt;KJV&lt;/a&gt;</v>
      </c>
      <c r="R228" t="str">
        <f t="shared" si="908"/>
        <v>&lt;/li&gt;&lt;li&gt;&lt;a href=|http://asvbible.com/judges/17.htm| title=|American Standard Version| target=|_top|&gt;ASV&lt;/a&gt;</v>
      </c>
      <c r="S228" t="str">
        <f t="shared" si="908"/>
        <v>&lt;/li&gt;&lt;li&gt;&lt;a href=|http://drb.scripturetext.com/judges/17.htm| title=|Douay-Rheims Bible| target=|_top|&gt;DRB&lt;/a&gt;</v>
      </c>
      <c r="T228" t="str">
        <f t="shared" si="908"/>
        <v>&lt;/li&gt;&lt;li&gt;&lt;a href=|http://erv.scripturetext.com/judges/17.htm| title=|English Revised Version| target=|_top|&gt;ERV&lt;/a&gt;</v>
      </c>
      <c r="V228" t="str">
        <f>CONCATENATE("&lt;/li&gt;&lt;li&gt;&lt;a href=|http://",V1191,"/judges/17.htm","| ","title=|",V1190,"| target=|_top|&gt;",V1192,"&lt;/a&gt;")</f>
        <v>&lt;/li&gt;&lt;li&gt;&lt;a href=|http://study.interlinearbible.org/judges/17.htm| title=|Hebrew Study Bible| target=|_top|&gt;Heb Study&lt;/a&gt;</v>
      </c>
      <c r="W228" t="str">
        <f t="shared" si="908"/>
        <v>&lt;/li&gt;&lt;li&gt;&lt;a href=|http://apostolic.interlinearbible.org/judges/17.htm| title=|Apostolic Bible Polyglot Interlinear| target=|_top|&gt;Polyglot&lt;/a&gt;</v>
      </c>
      <c r="X228" t="str">
        <f t="shared" si="908"/>
        <v>&lt;/li&gt;&lt;li&gt;&lt;a href=|http://interlinearbible.org/judges/17.htm| title=|Interlinear Bible| target=|_top|&gt;Interlin&lt;/a&gt;</v>
      </c>
      <c r="Y228" t="str">
        <f t="shared" ref="Y228" si="909">CONCATENATE("&lt;/li&gt;&lt;li&gt;&lt;a href=|http://",Y1191,"/judges/17.htm","| ","title=|",Y1190,"| target=|_top|&gt;",Y1192,"&lt;/a&gt;")</f>
        <v>&lt;/li&gt;&lt;li&gt;&lt;a href=|http://bibleoutline.org/judges/17.htm| title=|Outline with People and Places List| target=|_top|&gt;Outline&lt;/a&gt;</v>
      </c>
      <c r="Z228" t="str">
        <f t="shared" si="908"/>
        <v>&lt;/li&gt;&lt;li&gt;&lt;a href=|http://kjvs.scripturetext.com/judges/17.htm| title=|King James Bible with Strong's Numbers| target=|_top|&gt;Strong's&lt;/a&gt;</v>
      </c>
      <c r="AA228" t="str">
        <f t="shared" si="908"/>
        <v>&lt;/li&gt;&lt;li&gt;&lt;a href=|http://childrensbibleonline.com/judges/17.htm| title=|The Children's Bible| target=|_top|&gt;Children's&lt;/a&gt;</v>
      </c>
      <c r="AB228" s="2" t="str">
        <f t="shared" si="908"/>
        <v>&lt;/li&gt;&lt;li&gt;&lt;a href=|http://tsk.scripturetext.com/judges/17.htm| title=|Treasury of Scripture Knowledge| target=|_top|&gt;TSK&lt;/a&gt;</v>
      </c>
      <c r="AC228" t="str">
        <f>CONCATENATE("&lt;a href=|http://",AC1191,"/judges/17.htm","| ","title=|",AC1190,"| target=|_top|&gt;",AC1192,"&lt;/a&gt;")</f>
        <v>&lt;a href=|http://parallelbible.com/judges/17.htm| title=|Parallel Chapters| target=|_top|&gt;PAR&lt;/a&gt;</v>
      </c>
      <c r="AD228" s="2" t="str">
        <f t="shared" ref="AD228:AK228" si="910">CONCATENATE("&lt;/li&gt;&lt;li&gt;&lt;a href=|http://",AD1191,"/judges/17.htm","| ","title=|",AD1190,"| target=|_top|&gt;",AD1192,"&lt;/a&gt;")</f>
        <v>&lt;/li&gt;&lt;li&gt;&lt;a href=|http://gsb.biblecommenter.com/judges/17.htm| title=|Geneva Study Bible| target=|_top|&gt;GSB&lt;/a&gt;</v>
      </c>
      <c r="AE228" s="2" t="str">
        <f t="shared" si="910"/>
        <v>&lt;/li&gt;&lt;li&gt;&lt;a href=|http://jfb.biblecommenter.com/judges/17.htm| title=|Jamieson-Fausset-Brown Bible Commentary| target=|_top|&gt;JFB&lt;/a&gt;</v>
      </c>
      <c r="AF228" s="2" t="str">
        <f t="shared" si="910"/>
        <v>&lt;/li&gt;&lt;li&gt;&lt;a href=|http://kjt.biblecommenter.com/judges/17.htm| title=|King James Translators' Notes| target=|_top|&gt;KJT&lt;/a&gt;</v>
      </c>
      <c r="AG228" s="2" t="str">
        <f t="shared" si="910"/>
        <v>&lt;/li&gt;&lt;li&gt;&lt;a href=|http://mhc.biblecommenter.com/judges/17.htm| title=|Matthew Henry's Concise Commentary| target=|_top|&gt;MHC&lt;/a&gt;</v>
      </c>
      <c r="AH228" s="2" t="str">
        <f t="shared" si="910"/>
        <v>&lt;/li&gt;&lt;li&gt;&lt;a href=|http://sco.biblecommenter.com/judges/17.htm| title=|Scofield Reference Notes| target=|_top|&gt;SCO&lt;/a&gt;</v>
      </c>
      <c r="AI228" s="2" t="str">
        <f t="shared" si="910"/>
        <v>&lt;/li&gt;&lt;li&gt;&lt;a href=|http://wes.biblecommenter.com/judges/17.htm| title=|Wesley's Notes on the Bible| target=|_top|&gt;WES&lt;/a&gt;</v>
      </c>
      <c r="AJ228" t="str">
        <f t="shared" si="910"/>
        <v>&lt;/li&gt;&lt;li&gt;&lt;a href=|http://worldebible.com/judges/17.htm| title=|World English Bible| target=|_top|&gt;WEB&lt;/a&gt;</v>
      </c>
      <c r="AK228" t="str">
        <f t="shared" si="910"/>
        <v>&lt;/li&gt;&lt;li&gt;&lt;a href=|http://yltbible.com/judges/17.htm| title=|Young's Literal Translation| target=|_top|&gt;YLT&lt;/a&gt;</v>
      </c>
      <c r="AL228" t="str">
        <f>CONCATENATE("&lt;a href=|http://",AL1191,"/judges/17.htm","| ","title=|",AL1190,"| target=|_top|&gt;",AL1192,"&lt;/a&gt;")</f>
        <v>&lt;a href=|http://kjv.us/judges/17.htm| title=|American King James Version| target=|_top|&gt;AKJ&lt;/a&gt;</v>
      </c>
      <c r="AM228" t="str">
        <f t="shared" ref="AM228:AN228" si="911">CONCATENATE("&lt;/li&gt;&lt;li&gt;&lt;a href=|http://",AM1191,"/judges/17.htm","| ","title=|",AM1190,"| target=|_top|&gt;",AM1192,"&lt;/a&gt;")</f>
        <v>&lt;/li&gt;&lt;li&gt;&lt;a href=|http://basicenglishbible.com/judges/17.htm| title=|Bible in Basic English| target=|_top|&gt;BBE&lt;/a&gt;</v>
      </c>
      <c r="AN228" t="str">
        <f t="shared" si="911"/>
        <v>&lt;/li&gt;&lt;li&gt;&lt;a href=|http://darbybible.com/judges/17.htm| title=|Darby Bible Translation| target=|_top|&gt;DBY&lt;/a&gt;</v>
      </c>
      <c r="AO22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2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2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28" t="str">
        <f>CONCATENATE("&lt;/li&gt;&lt;li&gt;&lt;a href=|http://",AR1191,"/judges/17.htm","| ","title=|",AR1190,"| target=|_top|&gt;",AR1192,"&lt;/a&gt;")</f>
        <v>&lt;/li&gt;&lt;li&gt;&lt;a href=|http://websterbible.com/judges/17.htm| title=|Webster's Bible Translation| target=|_top|&gt;WBS&lt;/a&gt;</v>
      </c>
      <c r="AS22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28" t="str">
        <f>CONCATENATE("&lt;/li&gt;&lt;li&gt;&lt;a href=|http://",AT1191,"/judges/17-1.htm","| ","title=|",AT1190,"| target=|_top|&gt;",AT1192,"&lt;/a&gt;")</f>
        <v>&lt;/li&gt;&lt;li&gt;&lt;a href=|http://biblebrowser.com/judges/17-1.htm| title=|Split View| target=|_top|&gt;Split&lt;/a&gt;</v>
      </c>
      <c r="AU228" s="2" t="s">
        <v>1276</v>
      </c>
      <c r="AV228" t="s">
        <v>64</v>
      </c>
    </row>
    <row r="229" spans="1:48">
      <c r="A229" t="s">
        <v>622</v>
      </c>
      <c r="B229" t="s">
        <v>282</v>
      </c>
      <c r="C229" t="s">
        <v>624</v>
      </c>
      <c r="D229" t="s">
        <v>1268</v>
      </c>
      <c r="E229" t="s">
        <v>1277</v>
      </c>
      <c r="F229" t="s">
        <v>1304</v>
      </c>
      <c r="G229" t="s">
        <v>1266</v>
      </c>
      <c r="H229" t="s">
        <v>1305</v>
      </c>
      <c r="I229" t="s">
        <v>1303</v>
      </c>
      <c r="J229" t="s">
        <v>1267</v>
      </c>
      <c r="K229" t="s">
        <v>1275</v>
      </c>
      <c r="L229" s="2" t="s">
        <v>1274</v>
      </c>
      <c r="M229" t="str">
        <f t="shared" ref="M229:AB229" si="912">CONCATENATE("&lt;/li&gt;&lt;li&gt;&lt;a href=|http://",M1191,"/judges/18.htm","| ","title=|",M1190,"| target=|_top|&gt;",M1192,"&lt;/a&gt;")</f>
        <v>&lt;/li&gt;&lt;li&gt;&lt;a href=|http://niv.scripturetext.com/judges/18.htm| title=|New International Version| target=|_top|&gt;NIV&lt;/a&gt;</v>
      </c>
      <c r="N229" t="str">
        <f t="shared" si="912"/>
        <v>&lt;/li&gt;&lt;li&gt;&lt;a href=|http://nlt.scripturetext.com/judges/18.htm| title=|New Living Translation| target=|_top|&gt;NLT&lt;/a&gt;</v>
      </c>
      <c r="O229" t="str">
        <f t="shared" si="912"/>
        <v>&lt;/li&gt;&lt;li&gt;&lt;a href=|http://nasb.scripturetext.com/judges/18.htm| title=|New American Standard Bible| target=|_top|&gt;NAS&lt;/a&gt;</v>
      </c>
      <c r="P229" t="str">
        <f t="shared" si="912"/>
        <v>&lt;/li&gt;&lt;li&gt;&lt;a href=|http://gwt.scripturetext.com/judges/18.htm| title=|God's Word Translation| target=|_top|&gt;GWT&lt;/a&gt;</v>
      </c>
      <c r="Q229" t="str">
        <f t="shared" si="912"/>
        <v>&lt;/li&gt;&lt;li&gt;&lt;a href=|http://kingjbible.com/judges/18.htm| title=|King James Bible| target=|_top|&gt;KJV&lt;/a&gt;</v>
      </c>
      <c r="R229" t="str">
        <f t="shared" si="912"/>
        <v>&lt;/li&gt;&lt;li&gt;&lt;a href=|http://asvbible.com/judges/18.htm| title=|American Standard Version| target=|_top|&gt;ASV&lt;/a&gt;</v>
      </c>
      <c r="S229" t="str">
        <f t="shared" si="912"/>
        <v>&lt;/li&gt;&lt;li&gt;&lt;a href=|http://drb.scripturetext.com/judges/18.htm| title=|Douay-Rheims Bible| target=|_top|&gt;DRB&lt;/a&gt;</v>
      </c>
      <c r="T229" t="str">
        <f t="shared" si="912"/>
        <v>&lt;/li&gt;&lt;li&gt;&lt;a href=|http://erv.scripturetext.com/judges/18.htm| title=|English Revised Version| target=|_top|&gt;ERV&lt;/a&gt;</v>
      </c>
      <c r="V229" t="str">
        <f>CONCATENATE("&lt;/li&gt;&lt;li&gt;&lt;a href=|http://",V1191,"/judges/18.htm","| ","title=|",V1190,"| target=|_top|&gt;",V1192,"&lt;/a&gt;")</f>
        <v>&lt;/li&gt;&lt;li&gt;&lt;a href=|http://study.interlinearbible.org/judges/18.htm| title=|Hebrew Study Bible| target=|_top|&gt;Heb Study&lt;/a&gt;</v>
      </c>
      <c r="W229" t="str">
        <f t="shared" si="912"/>
        <v>&lt;/li&gt;&lt;li&gt;&lt;a href=|http://apostolic.interlinearbible.org/judges/18.htm| title=|Apostolic Bible Polyglot Interlinear| target=|_top|&gt;Polyglot&lt;/a&gt;</v>
      </c>
      <c r="X229" t="str">
        <f t="shared" si="912"/>
        <v>&lt;/li&gt;&lt;li&gt;&lt;a href=|http://interlinearbible.org/judges/18.htm| title=|Interlinear Bible| target=|_top|&gt;Interlin&lt;/a&gt;</v>
      </c>
      <c r="Y229" t="str">
        <f t="shared" ref="Y229" si="913">CONCATENATE("&lt;/li&gt;&lt;li&gt;&lt;a href=|http://",Y1191,"/judges/18.htm","| ","title=|",Y1190,"| target=|_top|&gt;",Y1192,"&lt;/a&gt;")</f>
        <v>&lt;/li&gt;&lt;li&gt;&lt;a href=|http://bibleoutline.org/judges/18.htm| title=|Outline with People and Places List| target=|_top|&gt;Outline&lt;/a&gt;</v>
      </c>
      <c r="Z229" t="str">
        <f t="shared" si="912"/>
        <v>&lt;/li&gt;&lt;li&gt;&lt;a href=|http://kjvs.scripturetext.com/judges/18.htm| title=|King James Bible with Strong's Numbers| target=|_top|&gt;Strong's&lt;/a&gt;</v>
      </c>
      <c r="AA229" t="str">
        <f t="shared" si="912"/>
        <v>&lt;/li&gt;&lt;li&gt;&lt;a href=|http://childrensbibleonline.com/judges/18.htm| title=|The Children's Bible| target=|_top|&gt;Children's&lt;/a&gt;</v>
      </c>
      <c r="AB229" s="2" t="str">
        <f t="shared" si="912"/>
        <v>&lt;/li&gt;&lt;li&gt;&lt;a href=|http://tsk.scripturetext.com/judges/18.htm| title=|Treasury of Scripture Knowledge| target=|_top|&gt;TSK&lt;/a&gt;</v>
      </c>
      <c r="AC229" t="str">
        <f>CONCATENATE("&lt;a href=|http://",AC1191,"/judges/18.htm","| ","title=|",AC1190,"| target=|_top|&gt;",AC1192,"&lt;/a&gt;")</f>
        <v>&lt;a href=|http://parallelbible.com/judges/18.htm| title=|Parallel Chapters| target=|_top|&gt;PAR&lt;/a&gt;</v>
      </c>
      <c r="AD229" s="2" t="str">
        <f t="shared" ref="AD229:AK229" si="914">CONCATENATE("&lt;/li&gt;&lt;li&gt;&lt;a href=|http://",AD1191,"/judges/18.htm","| ","title=|",AD1190,"| target=|_top|&gt;",AD1192,"&lt;/a&gt;")</f>
        <v>&lt;/li&gt;&lt;li&gt;&lt;a href=|http://gsb.biblecommenter.com/judges/18.htm| title=|Geneva Study Bible| target=|_top|&gt;GSB&lt;/a&gt;</v>
      </c>
      <c r="AE229" s="2" t="str">
        <f t="shared" si="914"/>
        <v>&lt;/li&gt;&lt;li&gt;&lt;a href=|http://jfb.biblecommenter.com/judges/18.htm| title=|Jamieson-Fausset-Brown Bible Commentary| target=|_top|&gt;JFB&lt;/a&gt;</v>
      </c>
      <c r="AF229" s="2" t="str">
        <f t="shared" si="914"/>
        <v>&lt;/li&gt;&lt;li&gt;&lt;a href=|http://kjt.biblecommenter.com/judges/18.htm| title=|King James Translators' Notes| target=|_top|&gt;KJT&lt;/a&gt;</v>
      </c>
      <c r="AG229" s="2" t="str">
        <f t="shared" si="914"/>
        <v>&lt;/li&gt;&lt;li&gt;&lt;a href=|http://mhc.biblecommenter.com/judges/18.htm| title=|Matthew Henry's Concise Commentary| target=|_top|&gt;MHC&lt;/a&gt;</v>
      </c>
      <c r="AH229" s="2" t="str">
        <f t="shared" si="914"/>
        <v>&lt;/li&gt;&lt;li&gt;&lt;a href=|http://sco.biblecommenter.com/judges/18.htm| title=|Scofield Reference Notes| target=|_top|&gt;SCO&lt;/a&gt;</v>
      </c>
      <c r="AI229" s="2" t="str">
        <f t="shared" si="914"/>
        <v>&lt;/li&gt;&lt;li&gt;&lt;a href=|http://wes.biblecommenter.com/judges/18.htm| title=|Wesley's Notes on the Bible| target=|_top|&gt;WES&lt;/a&gt;</v>
      </c>
      <c r="AJ229" t="str">
        <f t="shared" si="914"/>
        <v>&lt;/li&gt;&lt;li&gt;&lt;a href=|http://worldebible.com/judges/18.htm| title=|World English Bible| target=|_top|&gt;WEB&lt;/a&gt;</v>
      </c>
      <c r="AK229" t="str">
        <f t="shared" si="914"/>
        <v>&lt;/li&gt;&lt;li&gt;&lt;a href=|http://yltbible.com/judges/18.htm| title=|Young's Literal Translation| target=|_top|&gt;YLT&lt;/a&gt;</v>
      </c>
      <c r="AL229" t="str">
        <f>CONCATENATE("&lt;a href=|http://",AL1191,"/judges/18.htm","| ","title=|",AL1190,"| target=|_top|&gt;",AL1192,"&lt;/a&gt;")</f>
        <v>&lt;a href=|http://kjv.us/judges/18.htm| title=|American King James Version| target=|_top|&gt;AKJ&lt;/a&gt;</v>
      </c>
      <c r="AM229" t="str">
        <f t="shared" ref="AM229:AN229" si="915">CONCATENATE("&lt;/li&gt;&lt;li&gt;&lt;a href=|http://",AM1191,"/judges/18.htm","| ","title=|",AM1190,"| target=|_top|&gt;",AM1192,"&lt;/a&gt;")</f>
        <v>&lt;/li&gt;&lt;li&gt;&lt;a href=|http://basicenglishbible.com/judges/18.htm| title=|Bible in Basic English| target=|_top|&gt;BBE&lt;/a&gt;</v>
      </c>
      <c r="AN229" t="str">
        <f t="shared" si="915"/>
        <v>&lt;/li&gt;&lt;li&gt;&lt;a href=|http://darbybible.com/judges/18.htm| title=|Darby Bible Translation| target=|_top|&gt;DBY&lt;/a&gt;</v>
      </c>
      <c r="AO22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2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2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29" t="str">
        <f>CONCATENATE("&lt;/li&gt;&lt;li&gt;&lt;a href=|http://",AR1191,"/judges/18.htm","| ","title=|",AR1190,"| target=|_top|&gt;",AR1192,"&lt;/a&gt;")</f>
        <v>&lt;/li&gt;&lt;li&gt;&lt;a href=|http://websterbible.com/judges/18.htm| title=|Webster's Bible Translation| target=|_top|&gt;WBS&lt;/a&gt;</v>
      </c>
      <c r="AS22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29" t="str">
        <f>CONCATENATE("&lt;/li&gt;&lt;li&gt;&lt;a href=|http://",AT1191,"/judges/18-1.htm","| ","title=|",AT1190,"| target=|_top|&gt;",AT1192,"&lt;/a&gt;")</f>
        <v>&lt;/li&gt;&lt;li&gt;&lt;a href=|http://biblebrowser.com/judges/18-1.htm| title=|Split View| target=|_top|&gt;Split&lt;/a&gt;</v>
      </c>
      <c r="AU229" s="2" t="s">
        <v>1276</v>
      </c>
      <c r="AV229" t="s">
        <v>64</v>
      </c>
    </row>
    <row r="230" spans="1:48">
      <c r="A230" t="s">
        <v>622</v>
      </c>
      <c r="B230" t="s">
        <v>283</v>
      </c>
      <c r="C230" t="s">
        <v>624</v>
      </c>
      <c r="D230" t="s">
        <v>1268</v>
      </c>
      <c r="E230" t="s">
        <v>1277</v>
      </c>
      <c r="F230" t="s">
        <v>1304</v>
      </c>
      <c r="G230" t="s">
        <v>1266</v>
      </c>
      <c r="H230" t="s">
        <v>1305</v>
      </c>
      <c r="I230" t="s">
        <v>1303</v>
      </c>
      <c r="J230" t="s">
        <v>1267</v>
      </c>
      <c r="K230" t="s">
        <v>1275</v>
      </c>
      <c r="L230" s="2" t="s">
        <v>1274</v>
      </c>
      <c r="M230" t="str">
        <f t="shared" ref="M230:AB230" si="916">CONCATENATE("&lt;/li&gt;&lt;li&gt;&lt;a href=|http://",M1191,"/judges/19.htm","| ","title=|",M1190,"| target=|_top|&gt;",M1192,"&lt;/a&gt;")</f>
        <v>&lt;/li&gt;&lt;li&gt;&lt;a href=|http://niv.scripturetext.com/judges/19.htm| title=|New International Version| target=|_top|&gt;NIV&lt;/a&gt;</v>
      </c>
      <c r="N230" t="str">
        <f t="shared" si="916"/>
        <v>&lt;/li&gt;&lt;li&gt;&lt;a href=|http://nlt.scripturetext.com/judges/19.htm| title=|New Living Translation| target=|_top|&gt;NLT&lt;/a&gt;</v>
      </c>
      <c r="O230" t="str">
        <f t="shared" si="916"/>
        <v>&lt;/li&gt;&lt;li&gt;&lt;a href=|http://nasb.scripturetext.com/judges/19.htm| title=|New American Standard Bible| target=|_top|&gt;NAS&lt;/a&gt;</v>
      </c>
      <c r="P230" t="str">
        <f t="shared" si="916"/>
        <v>&lt;/li&gt;&lt;li&gt;&lt;a href=|http://gwt.scripturetext.com/judges/19.htm| title=|God's Word Translation| target=|_top|&gt;GWT&lt;/a&gt;</v>
      </c>
      <c r="Q230" t="str">
        <f t="shared" si="916"/>
        <v>&lt;/li&gt;&lt;li&gt;&lt;a href=|http://kingjbible.com/judges/19.htm| title=|King James Bible| target=|_top|&gt;KJV&lt;/a&gt;</v>
      </c>
      <c r="R230" t="str">
        <f t="shared" si="916"/>
        <v>&lt;/li&gt;&lt;li&gt;&lt;a href=|http://asvbible.com/judges/19.htm| title=|American Standard Version| target=|_top|&gt;ASV&lt;/a&gt;</v>
      </c>
      <c r="S230" t="str">
        <f t="shared" si="916"/>
        <v>&lt;/li&gt;&lt;li&gt;&lt;a href=|http://drb.scripturetext.com/judges/19.htm| title=|Douay-Rheims Bible| target=|_top|&gt;DRB&lt;/a&gt;</v>
      </c>
      <c r="T230" t="str">
        <f t="shared" si="916"/>
        <v>&lt;/li&gt;&lt;li&gt;&lt;a href=|http://erv.scripturetext.com/judges/19.htm| title=|English Revised Version| target=|_top|&gt;ERV&lt;/a&gt;</v>
      </c>
      <c r="V230" t="str">
        <f>CONCATENATE("&lt;/li&gt;&lt;li&gt;&lt;a href=|http://",V1191,"/judges/19.htm","| ","title=|",V1190,"| target=|_top|&gt;",V1192,"&lt;/a&gt;")</f>
        <v>&lt;/li&gt;&lt;li&gt;&lt;a href=|http://study.interlinearbible.org/judges/19.htm| title=|Hebrew Study Bible| target=|_top|&gt;Heb Study&lt;/a&gt;</v>
      </c>
      <c r="W230" t="str">
        <f t="shared" si="916"/>
        <v>&lt;/li&gt;&lt;li&gt;&lt;a href=|http://apostolic.interlinearbible.org/judges/19.htm| title=|Apostolic Bible Polyglot Interlinear| target=|_top|&gt;Polyglot&lt;/a&gt;</v>
      </c>
      <c r="X230" t="str">
        <f t="shared" si="916"/>
        <v>&lt;/li&gt;&lt;li&gt;&lt;a href=|http://interlinearbible.org/judges/19.htm| title=|Interlinear Bible| target=|_top|&gt;Interlin&lt;/a&gt;</v>
      </c>
      <c r="Y230" t="str">
        <f t="shared" ref="Y230" si="917">CONCATENATE("&lt;/li&gt;&lt;li&gt;&lt;a href=|http://",Y1191,"/judges/19.htm","| ","title=|",Y1190,"| target=|_top|&gt;",Y1192,"&lt;/a&gt;")</f>
        <v>&lt;/li&gt;&lt;li&gt;&lt;a href=|http://bibleoutline.org/judges/19.htm| title=|Outline with People and Places List| target=|_top|&gt;Outline&lt;/a&gt;</v>
      </c>
      <c r="Z230" t="str">
        <f t="shared" si="916"/>
        <v>&lt;/li&gt;&lt;li&gt;&lt;a href=|http://kjvs.scripturetext.com/judges/19.htm| title=|King James Bible with Strong's Numbers| target=|_top|&gt;Strong's&lt;/a&gt;</v>
      </c>
      <c r="AA230" t="str">
        <f t="shared" si="916"/>
        <v>&lt;/li&gt;&lt;li&gt;&lt;a href=|http://childrensbibleonline.com/judges/19.htm| title=|The Children's Bible| target=|_top|&gt;Children's&lt;/a&gt;</v>
      </c>
      <c r="AB230" s="2" t="str">
        <f t="shared" si="916"/>
        <v>&lt;/li&gt;&lt;li&gt;&lt;a href=|http://tsk.scripturetext.com/judges/19.htm| title=|Treasury of Scripture Knowledge| target=|_top|&gt;TSK&lt;/a&gt;</v>
      </c>
      <c r="AC230" t="str">
        <f>CONCATENATE("&lt;a href=|http://",AC1191,"/judges/19.htm","| ","title=|",AC1190,"| target=|_top|&gt;",AC1192,"&lt;/a&gt;")</f>
        <v>&lt;a href=|http://parallelbible.com/judges/19.htm| title=|Parallel Chapters| target=|_top|&gt;PAR&lt;/a&gt;</v>
      </c>
      <c r="AD230" s="2" t="str">
        <f t="shared" ref="AD230:AK230" si="918">CONCATENATE("&lt;/li&gt;&lt;li&gt;&lt;a href=|http://",AD1191,"/judges/19.htm","| ","title=|",AD1190,"| target=|_top|&gt;",AD1192,"&lt;/a&gt;")</f>
        <v>&lt;/li&gt;&lt;li&gt;&lt;a href=|http://gsb.biblecommenter.com/judges/19.htm| title=|Geneva Study Bible| target=|_top|&gt;GSB&lt;/a&gt;</v>
      </c>
      <c r="AE230" s="2" t="str">
        <f t="shared" si="918"/>
        <v>&lt;/li&gt;&lt;li&gt;&lt;a href=|http://jfb.biblecommenter.com/judges/19.htm| title=|Jamieson-Fausset-Brown Bible Commentary| target=|_top|&gt;JFB&lt;/a&gt;</v>
      </c>
      <c r="AF230" s="2" t="str">
        <f t="shared" si="918"/>
        <v>&lt;/li&gt;&lt;li&gt;&lt;a href=|http://kjt.biblecommenter.com/judges/19.htm| title=|King James Translators' Notes| target=|_top|&gt;KJT&lt;/a&gt;</v>
      </c>
      <c r="AG230" s="2" t="str">
        <f t="shared" si="918"/>
        <v>&lt;/li&gt;&lt;li&gt;&lt;a href=|http://mhc.biblecommenter.com/judges/19.htm| title=|Matthew Henry's Concise Commentary| target=|_top|&gt;MHC&lt;/a&gt;</v>
      </c>
      <c r="AH230" s="2" t="str">
        <f t="shared" si="918"/>
        <v>&lt;/li&gt;&lt;li&gt;&lt;a href=|http://sco.biblecommenter.com/judges/19.htm| title=|Scofield Reference Notes| target=|_top|&gt;SCO&lt;/a&gt;</v>
      </c>
      <c r="AI230" s="2" t="str">
        <f t="shared" si="918"/>
        <v>&lt;/li&gt;&lt;li&gt;&lt;a href=|http://wes.biblecommenter.com/judges/19.htm| title=|Wesley's Notes on the Bible| target=|_top|&gt;WES&lt;/a&gt;</v>
      </c>
      <c r="AJ230" t="str">
        <f t="shared" si="918"/>
        <v>&lt;/li&gt;&lt;li&gt;&lt;a href=|http://worldebible.com/judges/19.htm| title=|World English Bible| target=|_top|&gt;WEB&lt;/a&gt;</v>
      </c>
      <c r="AK230" t="str">
        <f t="shared" si="918"/>
        <v>&lt;/li&gt;&lt;li&gt;&lt;a href=|http://yltbible.com/judges/19.htm| title=|Young's Literal Translation| target=|_top|&gt;YLT&lt;/a&gt;</v>
      </c>
      <c r="AL230" t="str">
        <f>CONCATENATE("&lt;a href=|http://",AL1191,"/judges/19.htm","| ","title=|",AL1190,"| target=|_top|&gt;",AL1192,"&lt;/a&gt;")</f>
        <v>&lt;a href=|http://kjv.us/judges/19.htm| title=|American King James Version| target=|_top|&gt;AKJ&lt;/a&gt;</v>
      </c>
      <c r="AM230" t="str">
        <f t="shared" ref="AM230:AN230" si="919">CONCATENATE("&lt;/li&gt;&lt;li&gt;&lt;a href=|http://",AM1191,"/judges/19.htm","| ","title=|",AM1190,"| target=|_top|&gt;",AM1192,"&lt;/a&gt;")</f>
        <v>&lt;/li&gt;&lt;li&gt;&lt;a href=|http://basicenglishbible.com/judges/19.htm| title=|Bible in Basic English| target=|_top|&gt;BBE&lt;/a&gt;</v>
      </c>
      <c r="AN230" t="str">
        <f t="shared" si="919"/>
        <v>&lt;/li&gt;&lt;li&gt;&lt;a href=|http://darbybible.com/judges/19.htm| title=|Darby Bible Translation| target=|_top|&gt;DBY&lt;/a&gt;</v>
      </c>
      <c r="AO23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3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3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30" t="str">
        <f>CONCATENATE("&lt;/li&gt;&lt;li&gt;&lt;a href=|http://",AR1191,"/judges/19.htm","| ","title=|",AR1190,"| target=|_top|&gt;",AR1192,"&lt;/a&gt;")</f>
        <v>&lt;/li&gt;&lt;li&gt;&lt;a href=|http://websterbible.com/judges/19.htm| title=|Webster's Bible Translation| target=|_top|&gt;WBS&lt;/a&gt;</v>
      </c>
      <c r="AS23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30" t="str">
        <f>CONCATENATE("&lt;/li&gt;&lt;li&gt;&lt;a href=|http://",AT1191,"/judges/19-1.htm","| ","title=|",AT1190,"| target=|_top|&gt;",AT1192,"&lt;/a&gt;")</f>
        <v>&lt;/li&gt;&lt;li&gt;&lt;a href=|http://biblebrowser.com/judges/19-1.htm| title=|Split View| target=|_top|&gt;Split&lt;/a&gt;</v>
      </c>
      <c r="AU230" s="2" t="s">
        <v>1276</v>
      </c>
      <c r="AV230" t="s">
        <v>64</v>
      </c>
    </row>
    <row r="231" spans="1:48">
      <c r="A231" t="s">
        <v>622</v>
      </c>
      <c r="B231" t="s">
        <v>284</v>
      </c>
      <c r="C231" t="s">
        <v>624</v>
      </c>
      <c r="D231" t="s">
        <v>1268</v>
      </c>
      <c r="E231" t="s">
        <v>1277</v>
      </c>
      <c r="F231" t="s">
        <v>1304</v>
      </c>
      <c r="G231" t="s">
        <v>1266</v>
      </c>
      <c r="H231" t="s">
        <v>1305</v>
      </c>
      <c r="I231" t="s">
        <v>1303</v>
      </c>
      <c r="J231" t="s">
        <v>1267</v>
      </c>
      <c r="K231" t="s">
        <v>1275</v>
      </c>
      <c r="L231" s="2" t="s">
        <v>1274</v>
      </c>
      <c r="M231" t="str">
        <f t="shared" ref="M231:AB231" si="920">CONCATENATE("&lt;/li&gt;&lt;li&gt;&lt;a href=|http://",M1191,"/judges/20.htm","| ","title=|",M1190,"| target=|_top|&gt;",M1192,"&lt;/a&gt;")</f>
        <v>&lt;/li&gt;&lt;li&gt;&lt;a href=|http://niv.scripturetext.com/judges/20.htm| title=|New International Version| target=|_top|&gt;NIV&lt;/a&gt;</v>
      </c>
      <c r="N231" t="str">
        <f t="shared" si="920"/>
        <v>&lt;/li&gt;&lt;li&gt;&lt;a href=|http://nlt.scripturetext.com/judges/20.htm| title=|New Living Translation| target=|_top|&gt;NLT&lt;/a&gt;</v>
      </c>
      <c r="O231" t="str">
        <f t="shared" si="920"/>
        <v>&lt;/li&gt;&lt;li&gt;&lt;a href=|http://nasb.scripturetext.com/judges/20.htm| title=|New American Standard Bible| target=|_top|&gt;NAS&lt;/a&gt;</v>
      </c>
      <c r="P231" t="str">
        <f t="shared" si="920"/>
        <v>&lt;/li&gt;&lt;li&gt;&lt;a href=|http://gwt.scripturetext.com/judges/20.htm| title=|God's Word Translation| target=|_top|&gt;GWT&lt;/a&gt;</v>
      </c>
      <c r="Q231" t="str">
        <f t="shared" si="920"/>
        <v>&lt;/li&gt;&lt;li&gt;&lt;a href=|http://kingjbible.com/judges/20.htm| title=|King James Bible| target=|_top|&gt;KJV&lt;/a&gt;</v>
      </c>
      <c r="R231" t="str">
        <f t="shared" si="920"/>
        <v>&lt;/li&gt;&lt;li&gt;&lt;a href=|http://asvbible.com/judges/20.htm| title=|American Standard Version| target=|_top|&gt;ASV&lt;/a&gt;</v>
      </c>
      <c r="S231" t="str">
        <f t="shared" si="920"/>
        <v>&lt;/li&gt;&lt;li&gt;&lt;a href=|http://drb.scripturetext.com/judges/20.htm| title=|Douay-Rheims Bible| target=|_top|&gt;DRB&lt;/a&gt;</v>
      </c>
      <c r="T231" t="str">
        <f t="shared" si="920"/>
        <v>&lt;/li&gt;&lt;li&gt;&lt;a href=|http://erv.scripturetext.com/judges/20.htm| title=|English Revised Version| target=|_top|&gt;ERV&lt;/a&gt;</v>
      </c>
      <c r="V231" t="str">
        <f>CONCATENATE("&lt;/li&gt;&lt;li&gt;&lt;a href=|http://",V1191,"/judges/20.htm","| ","title=|",V1190,"| target=|_top|&gt;",V1192,"&lt;/a&gt;")</f>
        <v>&lt;/li&gt;&lt;li&gt;&lt;a href=|http://study.interlinearbible.org/judges/20.htm| title=|Hebrew Study Bible| target=|_top|&gt;Heb Study&lt;/a&gt;</v>
      </c>
      <c r="W231" t="str">
        <f t="shared" si="920"/>
        <v>&lt;/li&gt;&lt;li&gt;&lt;a href=|http://apostolic.interlinearbible.org/judges/20.htm| title=|Apostolic Bible Polyglot Interlinear| target=|_top|&gt;Polyglot&lt;/a&gt;</v>
      </c>
      <c r="X231" t="str">
        <f t="shared" si="920"/>
        <v>&lt;/li&gt;&lt;li&gt;&lt;a href=|http://interlinearbible.org/judges/20.htm| title=|Interlinear Bible| target=|_top|&gt;Interlin&lt;/a&gt;</v>
      </c>
      <c r="Y231" t="str">
        <f t="shared" ref="Y231" si="921">CONCATENATE("&lt;/li&gt;&lt;li&gt;&lt;a href=|http://",Y1191,"/judges/20.htm","| ","title=|",Y1190,"| target=|_top|&gt;",Y1192,"&lt;/a&gt;")</f>
        <v>&lt;/li&gt;&lt;li&gt;&lt;a href=|http://bibleoutline.org/judges/20.htm| title=|Outline with People and Places List| target=|_top|&gt;Outline&lt;/a&gt;</v>
      </c>
      <c r="Z231" t="str">
        <f t="shared" si="920"/>
        <v>&lt;/li&gt;&lt;li&gt;&lt;a href=|http://kjvs.scripturetext.com/judges/20.htm| title=|King James Bible with Strong's Numbers| target=|_top|&gt;Strong's&lt;/a&gt;</v>
      </c>
      <c r="AA231" t="str">
        <f t="shared" si="920"/>
        <v>&lt;/li&gt;&lt;li&gt;&lt;a href=|http://childrensbibleonline.com/judges/20.htm| title=|The Children's Bible| target=|_top|&gt;Children's&lt;/a&gt;</v>
      </c>
      <c r="AB231" s="2" t="str">
        <f t="shared" si="920"/>
        <v>&lt;/li&gt;&lt;li&gt;&lt;a href=|http://tsk.scripturetext.com/judges/20.htm| title=|Treasury of Scripture Knowledge| target=|_top|&gt;TSK&lt;/a&gt;</v>
      </c>
      <c r="AC231" t="str">
        <f>CONCATENATE("&lt;a href=|http://",AC1191,"/judges/20.htm","| ","title=|",AC1190,"| target=|_top|&gt;",AC1192,"&lt;/a&gt;")</f>
        <v>&lt;a href=|http://parallelbible.com/judges/20.htm| title=|Parallel Chapters| target=|_top|&gt;PAR&lt;/a&gt;</v>
      </c>
      <c r="AD231" s="2" t="str">
        <f t="shared" ref="AD231:AK231" si="922">CONCATENATE("&lt;/li&gt;&lt;li&gt;&lt;a href=|http://",AD1191,"/judges/20.htm","| ","title=|",AD1190,"| target=|_top|&gt;",AD1192,"&lt;/a&gt;")</f>
        <v>&lt;/li&gt;&lt;li&gt;&lt;a href=|http://gsb.biblecommenter.com/judges/20.htm| title=|Geneva Study Bible| target=|_top|&gt;GSB&lt;/a&gt;</v>
      </c>
      <c r="AE231" s="2" t="str">
        <f t="shared" si="922"/>
        <v>&lt;/li&gt;&lt;li&gt;&lt;a href=|http://jfb.biblecommenter.com/judges/20.htm| title=|Jamieson-Fausset-Brown Bible Commentary| target=|_top|&gt;JFB&lt;/a&gt;</v>
      </c>
      <c r="AF231" s="2" t="str">
        <f t="shared" si="922"/>
        <v>&lt;/li&gt;&lt;li&gt;&lt;a href=|http://kjt.biblecommenter.com/judges/20.htm| title=|King James Translators' Notes| target=|_top|&gt;KJT&lt;/a&gt;</v>
      </c>
      <c r="AG231" s="2" t="str">
        <f t="shared" si="922"/>
        <v>&lt;/li&gt;&lt;li&gt;&lt;a href=|http://mhc.biblecommenter.com/judges/20.htm| title=|Matthew Henry's Concise Commentary| target=|_top|&gt;MHC&lt;/a&gt;</v>
      </c>
      <c r="AH231" s="2" t="str">
        <f t="shared" si="922"/>
        <v>&lt;/li&gt;&lt;li&gt;&lt;a href=|http://sco.biblecommenter.com/judges/20.htm| title=|Scofield Reference Notes| target=|_top|&gt;SCO&lt;/a&gt;</v>
      </c>
      <c r="AI231" s="2" t="str">
        <f t="shared" si="922"/>
        <v>&lt;/li&gt;&lt;li&gt;&lt;a href=|http://wes.biblecommenter.com/judges/20.htm| title=|Wesley's Notes on the Bible| target=|_top|&gt;WES&lt;/a&gt;</v>
      </c>
      <c r="AJ231" t="str">
        <f t="shared" si="922"/>
        <v>&lt;/li&gt;&lt;li&gt;&lt;a href=|http://worldebible.com/judges/20.htm| title=|World English Bible| target=|_top|&gt;WEB&lt;/a&gt;</v>
      </c>
      <c r="AK231" t="str">
        <f t="shared" si="922"/>
        <v>&lt;/li&gt;&lt;li&gt;&lt;a href=|http://yltbible.com/judges/20.htm| title=|Young's Literal Translation| target=|_top|&gt;YLT&lt;/a&gt;</v>
      </c>
      <c r="AL231" t="str">
        <f>CONCATENATE("&lt;a href=|http://",AL1191,"/judges/20.htm","| ","title=|",AL1190,"| target=|_top|&gt;",AL1192,"&lt;/a&gt;")</f>
        <v>&lt;a href=|http://kjv.us/judges/20.htm| title=|American King James Version| target=|_top|&gt;AKJ&lt;/a&gt;</v>
      </c>
      <c r="AM231" t="str">
        <f t="shared" ref="AM231:AN231" si="923">CONCATENATE("&lt;/li&gt;&lt;li&gt;&lt;a href=|http://",AM1191,"/judges/20.htm","| ","title=|",AM1190,"| target=|_top|&gt;",AM1192,"&lt;/a&gt;")</f>
        <v>&lt;/li&gt;&lt;li&gt;&lt;a href=|http://basicenglishbible.com/judges/20.htm| title=|Bible in Basic English| target=|_top|&gt;BBE&lt;/a&gt;</v>
      </c>
      <c r="AN231" t="str">
        <f t="shared" si="923"/>
        <v>&lt;/li&gt;&lt;li&gt;&lt;a href=|http://darbybible.com/judges/20.htm| title=|Darby Bible Translation| target=|_top|&gt;DBY&lt;/a&gt;</v>
      </c>
      <c r="AO23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3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3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31" t="str">
        <f>CONCATENATE("&lt;/li&gt;&lt;li&gt;&lt;a href=|http://",AR1191,"/judges/20.htm","| ","title=|",AR1190,"| target=|_top|&gt;",AR1192,"&lt;/a&gt;")</f>
        <v>&lt;/li&gt;&lt;li&gt;&lt;a href=|http://websterbible.com/judges/20.htm| title=|Webster's Bible Translation| target=|_top|&gt;WBS&lt;/a&gt;</v>
      </c>
      <c r="AS23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31" t="str">
        <f>CONCATENATE("&lt;/li&gt;&lt;li&gt;&lt;a href=|http://",AT1191,"/judges/20-1.htm","| ","title=|",AT1190,"| target=|_top|&gt;",AT1192,"&lt;/a&gt;")</f>
        <v>&lt;/li&gt;&lt;li&gt;&lt;a href=|http://biblebrowser.com/judges/20-1.htm| title=|Split View| target=|_top|&gt;Split&lt;/a&gt;</v>
      </c>
      <c r="AU231" s="2" t="s">
        <v>1276</v>
      </c>
      <c r="AV231" t="s">
        <v>64</v>
      </c>
    </row>
    <row r="232" spans="1:48">
      <c r="A232" t="s">
        <v>622</v>
      </c>
      <c r="B232" t="s">
        <v>285</v>
      </c>
      <c r="C232" t="s">
        <v>624</v>
      </c>
      <c r="D232" t="s">
        <v>1268</v>
      </c>
      <c r="E232" t="s">
        <v>1277</v>
      </c>
      <c r="F232" t="s">
        <v>1304</v>
      </c>
      <c r="G232" t="s">
        <v>1266</v>
      </c>
      <c r="H232" t="s">
        <v>1305</v>
      </c>
      <c r="I232" t="s">
        <v>1303</v>
      </c>
      <c r="J232" t="s">
        <v>1267</v>
      </c>
      <c r="K232" t="s">
        <v>1275</v>
      </c>
      <c r="L232" s="2" t="s">
        <v>1274</v>
      </c>
      <c r="M232" t="str">
        <f t="shared" ref="M232:AB232" si="924">CONCATENATE("&lt;/li&gt;&lt;li&gt;&lt;a href=|http://",M1191,"/judges/21.htm","| ","title=|",M1190,"| target=|_top|&gt;",M1192,"&lt;/a&gt;")</f>
        <v>&lt;/li&gt;&lt;li&gt;&lt;a href=|http://niv.scripturetext.com/judges/21.htm| title=|New International Version| target=|_top|&gt;NIV&lt;/a&gt;</v>
      </c>
      <c r="N232" t="str">
        <f t="shared" si="924"/>
        <v>&lt;/li&gt;&lt;li&gt;&lt;a href=|http://nlt.scripturetext.com/judges/21.htm| title=|New Living Translation| target=|_top|&gt;NLT&lt;/a&gt;</v>
      </c>
      <c r="O232" t="str">
        <f t="shared" si="924"/>
        <v>&lt;/li&gt;&lt;li&gt;&lt;a href=|http://nasb.scripturetext.com/judges/21.htm| title=|New American Standard Bible| target=|_top|&gt;NAS&lt;/a&gt;</v>
      </c>
      <c r="P232" t="str">
        <f t="shared" si="924"/>
        <v>&lt;/li&gt;&lt;li&gt;&lt;a href=|http://gwt.scripturetext.com/judges/21.htm| title=|God's Word Translation| target=|_top|&gt;GWT&lt;/a&gt;</v>
      </c>
      <c r="Q232" t="str">
        <f t="shared" si="924"/>
        <v>&lt;/li&gt;&lt;li&gt;&lt;a href=|http://kingjbible.com/judges/21.htm| title=|King James Bible| target=|_top|&gt;KJV&lt;/a&gt;</v>
      </c>
      <c r="R232" t="str">
        <f t="shared" si="924"/>
        <v>&lt;/li&gt;&lt;li&gt;&lt;a href=|http://asvbible.com/judges/21.htm| title=|American Standard Version| target=|_top|&gt;ASV&lt;/a&gt;</v>
      </c>
      <c r="S232" t="str">
        <f t="shared" si="924"/>
        <v>&lt;/li&gt;&lt;li&gt;&lt;a href=|http://drb.scripturetext.com/judges/21.htm| title=|Douay-Rheims Bible| target=|_top|&gt;DRB&lt;/a&gt;</v>
      </c>
      <c r="T232" t="str">
        <f t="shared" si="924"/>
        <v>&lt;/li&gt;&lt;li&gt;&lt;a href=|http://erv.scripturetext.com/judges/21.htm| title=|English Revised Version| target=|_top|&gt;ERV&lt;/a&gt;</v>
      </c>
      <c r="V232" t="str">
        <f>CONCATENATE("&lt;/li&gt;&lt;li&gt;&lt;a href=|http://",V1191,"/judges/21.htm","| ","title=|",V1190,"| target=|_top|&gt;",V1192,"&lt;/a&gt;")</f>
        <v>&lt;/li&gt;&lt;li&gt;&lt;a href=|http://study.interlinearbible.org/judges/21.htm| title=|Hebrew Study Bible| target=|_top|&gt;Heb Study&lt;/a&gt;</v>
      </c>
      <c r="W232" t="str">
        <f t="shared" si="924"/>
        <v>&lt;/li&gt;&lt;li&gt;&lt;a href=|http://apostolic.interlinearbible.org/judges/21.htm| title=|Apostolic Bible Polyglot Interlinear| target=|_top|&gt;Polyglot&lt;/a&gt;</v>
      </c>
      <c r="X232" t="str">
        <f t="shared" si="924"/>
        <v>&lt;/li&gt;&lt;li&gt;&lt;a href=|http://interlinearbible.org/judges/21.htm| title=|Interlinear Bible| target=|_top|&gt;Interlin&lt;/a&gt;</v>
      </c>
      <c r="Y232" t="str">
        <f t="shared" ref="Y232" si="925">CONCATENATE("&lt;/li&gt;&lt;li&gt;&lt;a href=|http://",Y1191,"/judges/21.htm","| ","title=|",Y1190,"| target=|_top|&gt;",Y1192,"&lt;/a&gt;")</f>
        <v>&lt;/li&gt;&lt;li&gt;&lt;a href=|http://bibleoutline.org/judges/21.htm| title=|Outline with People and Places List| target=|_top|&gt;Outline&lt;/a&gt;</v>
      </c>
      <c r="Z232" t="str">
        <f t="shared" si="924"/>
        <v>&lt;/li&gt;&lt;li&gt;&lt;a href=|http://kjvs.scripturetext.com/judges/21.htm| title=|King James Bible with Strong's Numbers| target=|_top|&gt;Strong's&lt;/a&gt;</v>
      </c>
      <c r="AA232" t="str">
        <f t="shared" si="924"/>
        <v>&lt;/li&gt;&lt;li&gt;&lt;a href=|http://childrensbibleonline.com/judges/21.htm| title=|The Children's Bible| target=|_top|&gt;Children's&lt;/a&gt;</v>
      </c>
      <c r="AB232" s="2" t="str">
        <f t="shared" si="924"/>
        <v>&lt;/li&gt;&lt;li&gt;&lt;a href=|http://tsk.scripturetext.com/judges/21.htm| title=|Treasury of Scripture Knowledge| target=|_top|&gt;TSK&lt;/a&gt;</v>
      </c>
      <c r="AC232" t="str">
        <f>CONCATENATE("&lt;a href=|http://",AC1191,"/judges/21.htm","| ","title=|",AC1190,"| target=|_top|&gt;",AC1192,"&lt;/a&gt;")</f>
        <v>&lt;a href=|http://parallelbible.com/judges/21.htm| title=|Parallel Chapters| target=|_top|&gt;PAR&lt;/a&gt;</v>
      </c>
      <c r="AD232" s="2" t="str">
        <f t="shared" ref="AD232:AK232" si="926">CONCATENATE("&lt;/li&gt;&lt;li&gt;&lt;a href=|http://",AD1191,"/judges/21.htm","| ","title=|",AD1190,"| target=|_top|&gt;",AD1192,"&lt;/a&gt;")</f>
        <v>&lt;/li&gt;&lt;li&gt;&lt;a href=|http://gsb.biblecommenter.com/judges/21.htm| title=|Geneva Study Bible| target=|_top|&gt;GSB&lt;/a&gt;</v>
      </c>
      <c r="AE232" s="2" t="str">
        <f t="shared" si="926"/>
        <v>&lt;/li&gt;&lt;li&gt;&lt;a href=|http://jfb.biblecommenter.com/judges/21.htm| title=|Jamieson-Fausset-Brown Bible Commentary| target=|_top|&gt;JFB&lt;/a&gt;</v>
      </c>
      <c r="AF232" s="2" t="str">
        <f t="shared" si="926"/>
        <v>&lt;/li&gt;&lt;li&gt;&lt;a href=|http://kjt.biblecommenter.com/judges/21.htm| title=|King James Translators' Notes| target=|_top|&gt;KJT&lt;/a&gt;</v>
      </c>
      <c r="AG232" s="2" t="str">
        <f t="shared" si="926"/>
        <v>&lt;/li&gt;&lt;li&gt;&lt;a href=|http://mhc.biblecommenter.com/judges/21.htm| title=|Matthew Henry's Concise Commentary| target=|_top|&gt;MHC&lt;/a&gt;</v>
      </c>
      <c r="AH232" s="2" t="str">
        <f t="shared" si="926"/>
        <v>&lt;/li&gt;&lt;li&gt;&lt;a href=|http://sco.biblecommenter.com/judges/21.htm| title=|Scofield Reference Notes| target=|_top|&gt;SCO&lt;/a&gt;</v>
      </c>
      <c r="AI232" s="2" t="str">
        <f t="shared" si="926"/>
        <v>&lt;/li&gt;&lt;li&gt;&lt;a href=|http://wes.biblecommenter.com/judges/21.htm| title=|Wesley's Notes on the Bible| target=|_top|&gt;WES&lt;/a&gt;</v>
      </c>
      <c r="AJ232" t="str">
        <f t="shared" si="926"/>
        <v>&lt;/li&gt;&lt;li&gt;&lt;a href=|http://worldebible.com/judges/21.htm| title=|World English Bible| target=|_top|&gt;WEB&lt;/a&gt;</v>
      </c>
      <c r="AK232" t="str">
        <f t="shared" si="926"/>
        <v>&lt;/li&gt;&lt;li&gt;&lt;a href=|http://yltbible.com/judges/21.htm| title=|Young's Literal Translation| target=|_top|&gt;YLT&lt;/a&gt;</v>
      </c>
      <c r="AL232" t="str">
        <f>CONCATENATE("&lt;a href=|http://",AL1191,"/judges/21.htm","| ","title=|",AL1190,"| target=|_top|&gt;",AL1192,"&lt;/a&gt;")</f>
        <v>&lt;a href=|http://kjv.us/judges/21.htm| title=|American King James Version| target=|_top|&gt;AKJ&lt;/a&gt;</v>
      </c>
      <c r="AM232" t="str">
        <f t="shared" ref="AM232:AN232" si="927">CONCATENATE("&lt;/li&gt;&lt;li&gt;&lt;a href=|http://",AM1191,"/judges/21.htm","| ","title=|",AM1190,"| target=|_top|&gt;",AM1192,"&lt;/a&gt;")</f>
        <v>&lt;/li&gt;&lt;li&gt;&lt;a href=|http://basicenglishbible.com/judges/21.htm| title=|Bible in Basic English| target=|_top|&gt;BBE&lt;/a&gt;</v>
      </c>
      <c r="AN232" t="str">
        <f t="shared" si="927"/>
        <v>&lt;/li&gt;&lt;li&gt;&lt;a href=|http://darbybible.com/judges/21.htm| title=|Darby Bible Translation| target=|_top|&gt;DBY&lt;/a&gt;</v>
      </c>
      <c r="AO23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3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3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32" t="str">
        <f>CONCATENATE("&lt;/li&gt;&lt;li&gt;&lt;a href=|http://",AR1191,"/judges/21.htm","| ","title=|",AR1190,"| target=|_top|&gt;",AR1192,"&lt;/a&gt;")</f>
        <v>&lt;/li&gt;&lt;li&gt;&lt;a href=|http://websterbible.com/judges/21.htm| title=|Webster's Bible Translation| target=|_top|&gt;WBS&lt;/a&gt;</v>
      </c>
      <c r="AS23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32" t="str">
        <f>CONCATENATE("&lt;/li&gt;&lt;li&gt;&lt;a href=|http://",AT1191,"/judges/21-1.htm","| ","title=|",AT1190,"| target=|_top|&gt;",AT1192,"&lt;/a&gt;")</f>
        <v>&lt;/li&gt;&lt;li&gt;&lt;a href=|http://biblebrowser.com/judges/21-1.htm| title=|Split View| target=|_top|&gt;Split&lt;/a&gt;</v>
      </c>
      <c r="AU232" s="2" t="s">
        <v>1276</v>
      </c>
      <c r="AV232" t="s">
        <v>64</v>
      </c>
    </row>
    <row r="233" spans="1:48">
      <c r="A233" t="s">
        <v>622</v>
      </c>
      <c r="B233" t="s">
        <v>286</v>
      </c>
      <c r="C233" t="s">
        <v>624</v>
      </c>
      <c r="D233" t="s">
        <v>1268</v>
      </c>
      <c r="E233" t="s">
        <v>1277</v>
      </c>
      <c r="F233" t="s">
        <v>1304</v>
      </c>
      <c r="G233" t="s">
        <v>1266</v>
      </c>
      <c r="H233" t="s">
        <v>1305</v>
      </c>
      <c r="I233" t="s">
        <v>1303</v>
      </c>
      <c r="J233" t="s">
        <v>1267</v>
      </c>
      <c r="K233" t="s">
        <v>1275</v>
      </c>
      <c r="L233" s="2" t="s">
        <v>1274</v>
      </c>
      <c r="M233" t="str">
        <f t="shared" ref="M233:AB233" si="928">CONCATENATE("&lt;/li&gt;&lt;li&gt;&lt;a href=|http://",M1191,"/ruth/1.htm","| ","title=|",M1190,"| target=|_top|&gt;",M1192,"&lt;/a&gt;")</f>
        <v>&lt;/li&gt;&lt;li&gt;&lt;a href=|http://niv.scripturetext.com/ruth/1.htm| title=|New International Version| target=|_top|&gt;NIV&lt;/a&gt;</v>
      </c>
      <c r="N233" t="str">
        <f t="shared" si="928"/>
        <v>&lt;/li&gt;&lt;li&gt;&lt;a href=|http://nlt.scripturetext.com/ruth/1.htm| title=|New Living Translation| target=|_top|&gt;NLT&lt;/a&gt;</v>
      </c>
      <c r="O233" t="str">
        <f t="shared" si="928"/>
        <v>&lt;/li&gt;&lt;li&gt;&lt;a href=|http://nasb.scripturetext.com/ruth/1.htm| title=|New American Standard Bible| target=|_top|&gt;NAS&lt;/a&gt;</v>
      </c>
      <c r="P233" t="str">
        <f t="shared" si="928"/>
        <v>&lt;/li&gt;&lt;li&gt;&lt;a href=|http://gwt.scripturetext.com/ruth/1.htm| title=|God's Word Translation| target=|_top|&gt;GWT&lt;/a&gt;</v>
      </c>
      <c r="Q233" t="str">
        <f t="shared" si="928"/>
        <v>&lt;/li&gt;&lt;li&gt;&lt;a href=|http://kingjbible.com/ruth/1.htm| title=|King James Bible| target=|_top|&gt;KJV&lt;/a&gt;</v>
      </c>
      <c r="R233" t="str">
        <f t="shared" si="928"/>
        <v>&lt;/li&gt;&lt;li&gt;&lt;a href=|http://asvbible.com/ruth/1.htm| title=|American Standard Version| target=|_top|&gt;ASV&lt;/a&gt;</v>
      </c>
      <c r="S233" t="str">
        <f t="shared" si="928"/>
        <v>&lt;/li&gt;&lt;li&gt;&lt;a href=|http://drb.scripturetext.com/ruth/1.htm| title=|Douay-Rheims Bible| target=|_top|&gt;DRB&lt;/a&gt;</v>
      </c>
      <c r="T233" t="str">
        <f t="shared" si="928"/>
        <v>&lt;/li&gt;&lt;li&gt;&lt;a href=|http://erv.scripturetext.com/ruth/1.htm| title=|English Revised Version| target=|_top|&gt;ERV&lt;/a&gt;</v>
      </c>
      <c r="V233" t="str">
        <f>CONCATENATE("&lt;/li&gt;&lt;li&gt;&lt;a href=|http://",V1191,"/ruth/1.htm","| ","title=|",V1190,"| target=|_top|&gt;",V1192,"&lt;/a&gt;")</f>
        <v>&lt;/li&gt;&lt;li&gt;&lt;a href=|http://study.interlinearbible.org/ruth/1.htm| title=|Hebrew Study Bible| target=|_top|&gt;Heb Study&lt;/a&gt;</v>
      </c>
      <c r="W233" t="str">
        <f t="shared" si="928"/>
        <v>&lt;/li&gt;&lt;li&gt;&lt;a href=|http://apostolic.interlinearbible.org/ruth/1.htm| title=|Apostolic Bible Polyglot Interlinear| target=|_top|&gt;Polyglot&lt;/a&gt;</v>
      </c>
      <c r="X233" t="str">
        <f t="shared" si="928"/>
        <v>&lt;/li&gt;&lt;li&gt;&lt;a href=|http://interlinearbible.org/ruth/1.htm| title=|Interlinear Bible| target=|_top|&gt;Interlin&lt;/a&gt;</v>
      </c>
      <c r="Y233" t="str">
        <f t="shared" ref="Y233" si="929">CONCATENATE("&lt;/li&gt;&lt;li&gt;&lt;a href=|http://",Y1191,"/ruth/1.htm","| ","title=|",Y1190,"| target=|_top|&gt;",Y1192,"&lt;/a&gt;")</f>
        <v>&lt;/li&gt;&lt;li&gt;&lt;a href=|http://bibleoutline.org/ruth/1.htm| title=|Outline with People and Places List| target=|_top|&gt;Outline&lt;/a&gt;</v>
      </c>
      <c r="Z233" t="str">
        <f t="shared" si="928"/>
        <v>&lt;/li&gt;&lt;li&gt;&lt;a href=|http://kjvs.scripturetext.com/ruth/1.htm| title=|King James Bible with Strong's Numbers| target=|_top|&gt;Strong's&lt;/a&gt;</v>
      </c>
      <c r="AA233" t="str">
        <f t="shared" si="928"/>
        <v>&lt;/li&gt;&lt;li&gt;&lt;a href=|http://childrensbibleonline.com/ruth/1.htm| title=|The Children's Bible| target=|_top|&gt;Children's&lt;/a&gt;</v>
      </c>
      <c r="AB233" s="2" t="str">
        <f t="shared" si="928"/>
        <v>&lt;/li&gt;&lt;li&gt;&lt;a href=|http://tsk.scripturetext.com/ruth/1.htm| title=|Treasury of Scripture Knowledge| target=|_top|&gt;TSK&lt;/a&gt;</v>
      </c>
      <c r="AC233" t="str">
        <f>CONCATENATE("&lt;a href=|http://",AC1191,"/ruth/1.htm","| ","title=|",AC1190,"| target=|_top|&gt;",AC1192,"&lt;/a&gt;")</f>
        <v>&lt;a href=|http://parallelbible.com/ruth/1.htm| title=|Parallel Chapters| target=|_top|&gt;PAR&lt;/a&gt;</v>
      </c>
      <c r="AD233" s="2" t="str">
        <f t="shared" ref="AD233:AK233" si="930">CONCATENATE("&lt;/li&gt;&lt;li&gt;&lt;a href=|http://",AD1191,"/ruth/1.htm","| ","title=|",AD1190,"| target=|_top|&gt;",AD1192,"&lt;/a&gt;")</f>
        <v>&lt;/li&gt;&lt;li&gt;&lt;a href=|http://gsb.biblecommenter.com/ruth/1.htm| title=|Geneva Study Bible| target=|_top|&gt;GSB&lt;/a&gt;</v>
      </c>
      <c r="AE233" s="2" t="str">
        <f t="shared" si="930"/>
        <v>&lt;/li&gt;&lt;li&gt;&lt;a href=|http://jfb.biblecommenter.com/ruth/1.htm| title=|Jamieson-Fausset-Brown Bible Commentary| target=|_top|&gt;JFB&lt;/a&gt;</v>
      </c>
      <c r="AF233" s="2" t="str">
        <f t="shared" si="930"/>
        <v>&lt;/li&gt;&lt;li&gt;&lt;a href=|http://kjt.biblecommenter.com/ruth/1.htm| title=|King James Translators' Notes| target=|_top|&gt;KJT&lt;/a&gt;</v>
      </c>
      <c r="AG233" s="2" t="str">
        <f t="shared" si="930"/>
        <v>&lt;/li&gt;&lt;li&gt;&lt;a href=|http://mhc.biblecommenter.com/ruth/1.htm| title=|Matthew Henry's Concise Commentary| target=|_top|&gt;MHC&lt;/a&gt;</v>
      </c>
      <c r="AH233" s="2" t="str">
        <f t="shared" si="930"/>
        <v>&lt;/li&gt;&lt;li&gt;&lt;a href=|http://sco.biblecommenter.com/ruth/1.htm| title=|Scofield Reference Notes| target=|_top|&gt;SCO&lt;/a&gt;</v>
      </c>
      <c r="AI233" s="2" t="str">
        <f t="shared" si="930"/>
        <v>&lt;/li&gt;&lt;li&gt;&lt;a href=|http://wes.biblecommenter.com/ruth/1.htm| title=|Wesley's Notes on the Bible| target=|_top|&gt;WES&lt;/a&gt;</v>
      </c>
      <c r="AJ233" t="str">
        <f t="shared" si="930"/>
        <v>&lt;/li&gt;&lt;li&gt;&lt;a href=|http://worldebible.com/ruth/1.htm| title=|World English Bible| target=|_top|&gt;WEB&lt;/a&gt;</v>
      </c>
      <c r="AK233" t="str">
        <f t="shared" si="930"/>
        <v>&lt;/li&gt;&lt;li&gt;&lt;a href=|http://yltbible.com/ruth/1.htm| title=|Young's Literal Translation| target=|_top|&gt;YLT&lt;/a&gt;</v>
      </c>
      <c r="AL233" t="str">
        <f>CONCATENATE("&lt;a href=|http://",AL1191,"/ruth/1.htm","| ","title=|",AL1190,"| target=|_top|&gt;",AL1192,"&lt;/a&gt;")</f>
        <v>&lt;a href=|http://kjv.us/ruth/1.htm| title=|American King James Version| target=|_top|&gt;AKJ&lt;/a&gt;</v>
      </c>
      <c r="AM233" t="str">
        <f t="shared" ref="AM233:AN233" si="931">CONCATENATE("&lt;/li&gt;&lt;li&gt;&lt;a href=|http://",AM1191,"/ruth/1.htm","| ","title=|",AM1190,"| target=|_top|&gt;",AM1192,"&lt;/a&gt;")</f>
        <v>&lt;/li&gt;&lt;li&gt;&lt;a href=|http://basicenglishbible.com/ruth/1.htm| title=|Bible in Basic English| target=|_top|&gt;BBE&lt;/a&gt;</v>
      </c>
      <c r="AN233" t="str">
        <f t="shared" si="931"/>
        <v>&lt;/li&gt;&lt;li&gt;&lt;a href=|http://darbybible.com/ruth/1.htm| title=|Darby Bible Translation| target=|_top|&gt;DBY&lt;/a&gt;</v>
      </c>
      <c r="AO23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3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3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33" t="str">
        <f>CONCATENATE("&lt;/li&gt;&lt;li&gt;&lt;a href=|http://",AR1191,"/ruth/1.htm","| ","title=|",AR1190,"| target=|_top|&gt;",AR1192,"&lt;/a&gt;")</f>
        <v>&lt;/li&gt;&lt;li&gt;&lt;a href=|http://websterbible.com/ruth/1.htm| title=|Webster's Bible Translation| target=|_top|&gt;WBS&lt;/a&gt;</v>
      </c>
      <c r="AS23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33" t="str">
        <f>CONCATENATE("&lt;/li&gt;&lt;li&gt;&lt;a href=|http://",AT1191,"/ruth/1-1.htm","| ","title=|",AT1190,"| target=|_top|&gt;",AT1192,"&lt;/a&gt;")</f>
        <v>&lt;/li&gt;&lt;li&gt;&lt;a href=|http://biblebrowser.com/ruth/1-1.htm| title=|Split View| target=|_top|&gt;Split&lt;/a&gt;</v>
      </c>
      <c r="AU233" s="2" t="s">
        <v>1276</v>
      </c>
      <c r="AV233" t="s">
        <v>64</v>
      </c>
    </row>
    <row r="234" spans="1:48">
      <c r="A234" t="s">
        <v>622</v>
      </c>
      <c r="B234" t="s">
        <v>287</v>
      </c>
      <c r="C234" t="s">
        <v>624</v>
      </c>
      <c r="D234" t="s">
        <v>1268</v>
      </c>
      <c r="E234" t="s">
        <v>1277</v>
      </c>
      <c r="F234" t="s">
        <v>1304</v>
      </c>
      <c r="G234" t="s">
        <v>1266</v>
      </c>
      <c r="H234" t="s">
        <v>1305</v>
      </c>
      <c r="I234" t="s">
        <v>1303</v>
      </c>
      <c r="J234" t="s">
        <v>1267</v>
      </c>
      <c r="K234" t="s">
        <v>1275</v>
      </c>
      <c r="L234" s="2" t="s">
        <v>1274</v>
      </c>
      <c r="M234" t="str">
        <f t="shared" ref="M234:AB234" si="932">CONCATENATE("&lt;/li&gt;&lt;li&gt;&lt;a href=|http://",M1191,"/ruth/2.htm","| ","title=|",M1190,"| target=|_top|&gt;",M1192,"&lt;/a&gt;")</f>
        <v>&lt;/li&gt;&lt;li&gt;&lt;a href=|http://niv.scripturetext.com/ruth/2.htm| title=|New International Version| target=|_top|&gt;NIV&lt;/a&gt;</v>
      </c>
      <c r="N234" t="str">
        <f t="shared" si="932"/>
        <v>&lt;/li&gt;&lt;li&gt;&lt;a href=|http://nlt.scripturetext.com/ruth/2.htm| title=|New Living Translation| target=|_top|&gt;NLT&lt;/a&gt;</v>
      </c>
      <c r="O234" t="str">
        <f t="shared" si="932"/>
        <v>&lt;/li&gt;&lt;li&gt;&lt;a href=|http://nasb.scripturetext.com/ruth/2.htm| title=|New American Standard Bible| target=|_top|&gt;NAS&lt;/a&gt;</v>
      </c>
      <c r="P234" t="str">
        <f t="shared" si="932"/>
        <v>&lt;/li&gt;&lt;li&gt;&lt;a href=|http://gwt.scripturetext.com/ruth/2.htm| title=|God's Word Translation| target=|_top|&gt;GWT&lt;/a&gt;</v>
      </c>
      <c r="Q234" t="str">
        <f t="shared" si="932"/>
        <v>&lt;/li&gt;&lt;li&gt;&lt;a href=|http://kingjbible.com/ruth/2.htm| title=|King James Bible| target=|_top|&gt;KJV&lt;/a&gt;</v>
      </c>
      <c r="R234" t="str">
        <f t="shared" si="932"/>
        <v>&lt;/li&gt;&lt;li&gt;&lt;a href=|http://asvbible.com/ruth/2.htm| title=|American Standard Version| target=|_top|&gt;ASV&lt;/a&gt;</v>
      </c>
      <c r="S234" t="str">
        <f t="shared" si="932"/>
        <v>&lt;/li&gt;&lt;li&gt;&lt;a href=|http://drb.scripturetext.com/ruth/2.htm| title=|Douay-Rheims Bible| target=|_top|&gt;DRB&lt;/a&gt;</v>
      </c>
      <c r="T234" t="str">
        <f t="shared" si="932"/>
        <v>&lt;/li&gt;&lt;li&gt;&lt;a href=|http://erv.scripturetext.com/ruth/2.htm| title=|English Revised Version| target=|_top|&gt;ERV&lt;/a&gt;</v>
      </c>
      <c r="V234" t="str">
        <f>CONCATENATE("&lt;/li&gt;&lt;li&gt;&lt;a href=|http://",V1191,"/ruth/2.htm","| ","title=|",V1190,"| target=|_top|&gt;",V1192,"&lt;/a&gt;")</f>
        <v>&lt;/li&gt;&lt;li&gt;&lt;a href=|http://study.interlinearbible.org/ruth/2.htm| title=|Hebrew Study Bible| target=|_top|&gt;Heb Study&lt;/a&gt;</v>
      </c>
      <c r="W234" t="str">
        <f t="shared" si="932"/>
        <v>&lt;/li&gt;&lt;li&gt;&lt;a href=|http://apostolic.interlinearbible.org/ruth/2.htm| title=|Apostolic Bible Polyglot Interlinear| target=|_top|&gt;Polyglot&lt;/a&gt;</v>
      </c>
      <c r="X234" t="str">
        <f t="shared" si="932"/>
        <v>&lt;/li&gt;&lt;li&gt;&lt;a href=|http://interlinearbible.org/ruth/2.htm| title=|Interlinear Bible| target=|_top|&gt;Interlin&lt;/a&gt;</v>
      </c>
      <c r="Y234" t="str">
        <f t="shared" ref="Y234" si="933">CONCATENATE("&lt;/li&gt;&lt;li&gt;&lt;a href=|http://",Y1191,"/ruth/2.htm","| ","title=|",Y1190,"| target=|_top|&gt;",Y1192,"&lt;/a&gt;")</f>
        <v>&lt;/li&gt;&lt;li&gt;&lt;a href=|http://bibleoutline.org/ruth/2.htm| title=|Outline with People and Places List| target=|_top|&gt;Outline&lt;/a&gt;</v>
      </c>
      <c r="Z234" t="str">
        <f t="shared" si="932"/>
        <v>&lt;/li&gt;&lt;li&gt;&lt;a href=|http://kjvs.scripturetext.com/ruth/2.htm| title=|King James Bible with Strong's Numbers| target=|_top|&gt;Strong's&lt;/a&gt;</v>
      </c>
      <c r="AA234" t="str">
        <f t="shared" si="932"/>
        <v>&lt;/li&gt;&lt;li&gt;&lt;a href=|http://childrensbibleonline.com/ruth/2.htm| title=|The Children's Bible| target=|_top|&gt;Children's&lt;/a&gt;</v>
      </c>
      <c r="AB234" s="2" t="str">
        <f t="shared" si="932"/>
        <v>&lt;/li&gt;&lt;li&gt;&lt;a href=|http://tsk.scripturetext.com/ruth/2.htm| title=|Treasury of Scripture Knowledge| target=|_top|&gt;TSK&lt;/a&gt;</v>
      </c>
      <c r="AC234" t="str">
        <f>CONCATENATE("&lt;a href=|http://",AC1191,"/ruth/2.htm","| ","title=|",AC1190,"| target=|_top|&gt;",AC1192,"&lt;/a&gt;")</f>
        <v>&lt;a href=|http://parallelbible.com/ruth/2.htm| title=|Parallel Chapters| target=|_top|&gt;PAR&lt;/a&gt;</v>
      </c>
      <c r="AD234" s="2" t="str">
        <f t="shared" ref="AD234:AK234" si="934">CONCATENATE("&lt;/li&gt;&lt;li&gt;&lt;a href=|http://",AD1191,"/ruth/2.htm","| ","title=|",AD1190,"| target=|_top|&gt;",AD1192,"&lt;/a&gt;")</f>
        <v>&lt;/li&gt;&lt;li&gt;&lt;a href=|http://gsb.biblecommenter.com/ruth/2.htm| title=|Geneva Study Bible| target=|_top|&gt;GSB&lt;/a&gt;</v>
      </c>
      <c r="AE234" s="2" t="str">
        <f t="shared" si="934"/>
        <v>&lt;/li&gt;&lt;li&gt;&lt;a href=|http://jfb.biblecommenter.com/ruth/2.htm| title=|Jamieson-Fausset-Brown Bible Commentary| target=|_top|&gt;JFB&lt;/a&gt;</v>
      </c>
      <c r="AF234" s="2" t="str">
        <f t="shared" si="934"/>
        <v>&lt;/li&gt;&lt;li&gt;&lt;a href=|http://kjt.biblecommenter.com/ruth/2.htm| title=|King James Translators' Notes| target=|_top|&gt;KJT&lt;/a&gt;</v>
      </c>
      <c r="AG234" s="2" t="str">
        <f t="shared" si="934"/>
        <v>&lt;/li&gt;&lt;li&gt;&lt;a href=|http://mhc.biblecommenter.com/ruth/2.htm| title=|Matthew Henry's Concise Commentary| target=|_top|&gt;MHC&lt;/a&gt;</v>
      </c>
      <c r="AH234" s="2" t="str">
        <f t="shared" si="934"/>
        <v>&lt;/li&gt;&lt;li&gt;&lt;a href=|http://sco.biblecommenter.com/ruth/2.htm| title=|Scofield Reference Notes| target=|_top|&gt;SCO&lt;/a&gt;</v>
      </c>
      <c r="AI234" s="2" t="str">
        <f t="shared" si="934"/>
        <v>&lt;/li&gt;&lt;li&gt;&lt;a href=|http://wes.biblecommenter.com/ruth/2.htm| title=|Wesley's Notes on the Bible| target=|_top|&gt;WES&lt;/a&gt;</v>
      </c>
      <c r="AJ234" t="str">
        <f t="shared" si="934"/>
        <v>&lt;/li&gt;&lt;li&gt;&lt;a href=|http://worldebible.com/ruth/2.htm| title=|World English Bible| target=|_top|&gt;WEB&lt;/a&gt;</v>
      </c>
      <c r="AK234" t="str">
        <f t="shared" si="934"/>
        <v>&lt;/li&gt;&lt;li&gt;&lt;a href=|http://yltbible.com/ruth/2.htm| title=|Young's Literal Translation| target=|_top|&gt;YLT&lt;/a&gt;</v>
      </c>
      <c r="AL234" t="str">
        <f>CONCATENATE("&lt;a href=|http://",AL1191,"/ruth/2.htm","| ","title=|",AL1190,"| target=|_top|&gt;",AL1192,"&lt;/a&gt;")</f>
        <v>&lt;a href=|http://kjv.us/ruth/2.htm| title=|American King James Version| target=|_top|&gt;AKJ&lt;/a&gt;</v>
      </c>
      <c r="AM234" t="str">
        <f t="shared" ref="AM234:AN234" si="935">CONCATENATE("&lt;/li&gt;&lt;li&gt;&lt;a href=|http://",AM1191,"/ruth/2.htm","| ","title=|",AM1190,"| target=|_top|&gt;",AM1192,"&lt;/a&gt;")</f>
        <v>&lt;/li&gt;&lt;li&gt;&lt;a href=|http://basicenglishbible.com/ruth/2.htm| title=|Bible in Basic English| target=|_top|&gt;BBE&lt;/a&gt;</v>
      </c>
      <c r="AN234" t="str">
        <f t="shared" si="935"/>
        <v>&lt;/li&gt;&lt;li&gt;&lt;a href=|http://darbybible.com/ruth/2.htm| title=|Darby Bible Translation| target=|_top|&gt;DBY&lt;/a&gt;</v>
      </c>
      <c r="AO23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3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3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34" t="str">
        <f>CONCATENATE("&lt;/li&gt;&lt;li&gt;&lt;a href=|http://",AR1191,"/ruth/2.htm","| ","title=|",AR1190,"| target=|_top|&gt;",AR1192,"&lt;/a&gt;")</f>
        <v>&lt;/li&gt;&lt;li&gt;&lt;a href=|http://websterbible.com/ruth/2.htm| title=|Webster's Bible Translation| target=|_top|&gt;WBS&lt;/a&gt;</v>
      </c>
      <c r="AS23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34" t="str">
        <f>CONCATENATE("&lt;/li&gt;&lt;li&gt;&lt;a href=|http://",AT1191,"/ruth/2-1.htm","| ","title=|",AT1190,"| target=|_top|&gt;",AT1192,"&lt;/a&gt;")</f>
        <v>&lt;/li&gt;&lt;li&gt;&lt;a href=|http://biblebrowser.com/ruth/2-1.htm| title=|Split View| target=|_top|&gt;Split&lt;/a&gt;</v>
      </c>
      <c r="AU234" s="2" t="s">
        <v>1276</v>
      </c>
      <c r="AV234" t="s">
        <v>64</v>
      </c>
    </row>
    <row r="235" spans="1:48">
      <c r="A235" t="s">
        <v>622</v>
      </c>
      <c r="B235" t="s">
        <v>288</v>
      </c>
      <c r="C235" t="s">
        <v>624</v>
      </c>
      <c r="D235" t="s">
        <v>1268</v>
      </c>
      <c r="E235" t="s">
        <v>1277</v>
      </c>
      <c r="F235" t="s">
        <v>1304</v>
      </c>
      <c r="G235" t="s">
        <v>1266</v>
      </c>
      <c r="H235" t="s">
        <v>1305</v>
      </c>
      <c r="I235" t="s">
        <v>1303</v>
      </c>
      <c r="J235" t="s">
        <v>1267</v>
      </c>
      <c r="K235" t="s">
        <v>1275</v>
      </c>
      <c r="L235" s="2" t="s">
        <v>1274</v>
      </c>
      <c r="M235" t="str">
        <f t="shared" ref="M235:AB235" si="936">CONCATENATE("&lt;/li&gt;&lt;li&gt;&lt;a href=|http://",M1191,"/ruth/3.htm","| ","title=|",M1190,"| target=|_top|&gt;",M1192,"&lt;/a&gt;")</f>
        <v>&lt;/li&gt;&lt;li&gt;&lt;a href=|http://niv.scripturetext.com/ruth/3.htm| title=|New International Version| target=|_top|&gt;NIV&lt;/a&gt;</v>
      </c>
      <c r="N235" t="str">
        <f t="shared" si="936"/>
        <v>&lt;/li&gt;&lt;li&gt;&lt;a href=|http://nlt.scripturetext.com/ruth/3.htm| title=|New Living Translation| target=|_top|&gt;NLT&lt;/a&gt;</v>
      </c>
      <c r="O235" t="str">
        <f t="shared" si="936"/>
        <v>&lt;/li&gt;&lt;li&gt;&lt;a href=|http://nasb.scripturetext.com/ruth/3.htm| title=|New American Standard Bible| target=|_top|&gt;NAS&lt;/a&gt;</v>
      </c>
      <c r="P235" t="str">
        <f t="shared" si="936"/>
        <v>&lt;/li&gt;&lt;li&gt;&lt;a href=|http://gwt.scripturetext.com/ruth/3.htm| title=|God's Word Translation| target=|_top|&gt;GWT&lt;/a&gt;</v>
      </c>
      <c r="Q235" t="str">
        <f t="shared" si="936"/>
        <v>&lt;/li&gt;&lt;li&gt;&lt;a href=|http://kingjbible.com/ruth/3.htm| title=|King James Bible| target=|_top|&gt;KJV&lt;/a&gt;</v>
      </c>
      <c r="R235" t="str">
        <f t="shared" si="936"/>
        <v>&lt;/li&gt;&lt;li&gt;&lt;a href=|http://asvbible.com/ruth/3.htm| title=|American Standard Version| target=|_top|&gt;ASV&lt;/a&gt;</v>
      </c>
      <c r="S235" t="str">
        <f t="shared" si="936"/>
        <v>&lt;/li&gt;&lt;li&gt;&lt;a href=|http://drb.scripturetext.com/ruth/3.htm| title=|Douay-Rheims Bible| target=|_top|&gt;DRB&lt;/a&gt;</v>
      </c>
      <c r="T235" t="str">
        <f t="shared" si="936"/>
        <v>&lt;/li&gt;&lt;li&gt;&lt;a href=|http://erv.scripturetext.com/ruth/3.htm| title=|English Revised Version| target=|_top|&gt;ERV&lt;/a&gt;</v>
      </c>
      <c r="V235" t="str">
        <f>CONCATENATE("&lt;/li&gt;&lt;li&gt;&lt;a href=|http://",V1191,"/ruth/3.htm","| ","title=|",V1190,"| target=|_top|&gt;",V1192,"&lt;/a&gt;")</f>
        <v>&lt;/li&gt;&lt;li&gt;&lt;a href=|http://study.interlinearbible.org/ruth/3.htm| title=|Hebrew Study Bible| target=|_top|&gt;Heb Study&lt;/a&gt;</v>
      </c>
      <c r="W235" t="str">
        <f t="shared" si="936"/>
        <v>&lt;/li&gt;&lt;li&gt;&lt;a href=|http://apostolic.interlinearbible.org/ruth/3.htm| title=|Apostolic Bible Polyglot Interlinear| target=|_top|&gt;Polyglot&lt;/a&gt;</v>
      </c>
      <c r="X235" t="str">
        <f t="shared" si="936"/>
        <v>&lt;/li&gt;&lt;li&gt;&lt;a href=|http://interlinearbible.org/ruth/3.htm| title=|Interlinear Bible| target=|_top|&gt;Interlin&lt;/a&gt;</v>
      </c>
      <c r="Y235" t="str">
        <f t="shared" ref="Y235" si="937">CONCATENATE("&lt;/li&gt;&lt;li&gt;&lt;a href=|http://",Y1191,"/ruth/3.htm","| ","title=|",Y1190,"| target=|_top|&gt;",Y1192,"&lt;/a&gt;")</f>
        <v>&lt;/li&gt;&lt;li&gt;&lt;a href=|http://bibleoutline.org/ruth/3.htm| title=|Outline with People and Places List| target=|_top|&gt;Outline&lt;/a&gt;</v>
      </c>
      <c r="Z235" t="str">
        <f t="shared" si="936"/>
        <v>&lt;/li&gt;&lt;li&gt;&lt;a href=|http://kjvs.scripturetext.com/ruth/3.htm| title=|King James Bible with Strong's Numbers| target=|_top|&gt;Strong's&lt;/a&gt;</v>
      </c>
      <c r="AA235" t="str">
        <f t="shared" si="936"/>
        <v>&lt;/li&gt;&lt;li&gt;&lt;a href=|http://childrensbibleonline.com/ruth/3.htm| title=|The Children's Bible| target=|_top|&gt;Children's&lt;/a&gt;</v>
      </c>
      <c r="AB235" s="2" t="str">
        <f t="shared" si="936"/>
        <v>&lt;/li&gt;&lt;li&gt;&lt;a href=|http://tsk.scripturetext.com/ruth/3.htm| title=|Treasury of Scripture Knowledge| target=|_top|&gt;TSK&lt;/a&gt;</v>
      </c>
      <c r="AC235" t="str">
        <f>CONCATENATE("&lt;a href=|http://",AC1191,"/ruth/3.htm","| ","title=|",AC1190,"| target=|_top|&gt;",AC1192,"&lt;/a&gt;")</f>
        <v>&lt;a href=|http://parallelbible.com/ruth/3.htm| title=|Parallel Chapters| target=|_top|&gt;PAR&lt;/a&gt;</v>
      </c>
      <c r="AD235" s="2" t="str">
        <f t="shared" ref="AD235:AK235" si="938">CONCATENATE("&lt;/li&gt;&lt;li&gt;&lt;a href=|http://",AD1191,"/ruth/3.htm","| ","title=|",AD1190,"| target=|_top|&gt;",AD1192,"&lt;/a&gt;")</f>
        <v>&lt;/li&gt;&lt;li&gt;&lt;a href=|http://gsb.biblecommenter.com/ruth/3.htm| title=|Geneva Study Bible| target=|_top|&gt;GSB&lt;/a&gt;</v>
      </c>
      <c r="AE235" s="2" t="str">
        <f t="shared" si="938"/>
        <v>&lt;/li&gt;&lt;li&gt;&lt;a href=|http://jfb.biblecommenter.com/ruth/3.htm| title=|Jamieson-Fausset-Brown Bible Commentary| target=|_top|&gt;JFB&lt;/a&gt;</v>
      </c>
      <c r="AF235" s="2" t="str">
        <f t="shared" si="938"/>
        <v>&lt;/li&gt;&lt;li&gt;&lt;a href=|http://kjt.biblecommenter.com/ruth/3.htm| title=|King James Translators' Notes| target=|_top|&gt;KJT&lt;/a&gt;</v>
      </c>
      <c r="AG235" s="2" t="str">
        <f t="shared" si="938"/>
        <v>&lt;/li&gt;&lt;li&gt;&lt;a href=|http://mhc.biblecommenter.com/ruth/3.htm| title=|Matthew Henry's Concise Commentary| target=|_top|&gt;MHC&lt;/a&gt;</v>
      </c>
      <c r="AH235" s="2" t="str">
        <f t="shared" si="938"/>
        <v>&lt;/li&gt;&lt;li&gt;&lt;a href=|http://sco.biblecommenter.com/ruth/3.htm| title=|Scofield Reference Notes| target=|_top|&gt;SCO&lt;/a&gt;</v>
      </c>
      <c r="AI235" s="2" t="str">
        <f t="shared" si="938"/>
        <v>&lt;/li&gt;&lt;li&gt;&lt;a href=|http://wes.biblecommenter.com/ruth/3.htm| title=|Wesley's Notes on the Bible| target=|_top|&gt;WES&lt;/a&gt;</v>
      </c>
      <c r="AJ235" t="str">
        <f t="shared" si="938"/>
        <v>&lt;/li&gt;&lt;li&gt;&lt;a href=|http://worldebible.com/ruth/3.htm| title=|World English Bible| target=|_top|&gt;WEB&lt;/a&gt;</v>
      </c>
      <c r="AK235" t="str">
        <f t="shared" si="938"/>
        <v>&lt;/li&gt;&lt;li&gt;&lt;a href=|http://yltbible.com/ruth/3.htm| title=|Young's Literal Translation| target=|_top|&gt;YLT&lt;/a&gt;</v>
      </c>
      <c r="AL235" t="str">
        <f>CONCATENATE("&lt;a href=|http://",AL1191,"/ruth/3.htm","| ","title=|",AL1190,"| target=|_top|&gt;",AL1192,"&lt;/a&gt;")</f>
        <v>&lt;a href=|http://kjv.us/ruth/3.htm| title=|American King James Version| target=|_top|&gt;AKJ&lt;/a&gt;</v>
      </c>
      <c r="AM235" t="str">
        <f t="shared" ref="AM235:AN235" si="939">CONCATENATE("&lt;/li&gt;&lt;li&gt;&lt;a href=|http://",AM1191,"/ruth/3.htm","| ","title=|",AM1190,"| target=|_top|&gt;",AM1192,"&lt;/a&gt;")</f>
        <v>&lt;/li&gt;&lt;li&gt;&lt;a href=|http://basicenglishbible.com/ruth/3.htm| title=|Bible in Basic English| target=|_top|&gt;BBE&lt;/a&gt;</v>
      </c>
      <c r="AN235" t="str">
        <f t="shared" si="939"/>
        <v>&lt;/li&gt;&lt;li&gt;&lt;a href=|http://darbybible.com/ruth/3.htm| title=|Darby Bible Translation| target=|_top|&gt;DBY&lt;/a&gt;</v>
      </c>
      <c r="AO23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3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3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35" t="str">
        <f>CONCATENATE("&lt;/li&gt;&lt;li&gt;&lt;a href=|http://",AR1191,"/ruth/3.htm","| ","title=|",AR1190,"| target=|_top|&gt;",AR1192,"&lt;/a&gt;")</f>
        <v>&lt;/li&gt;&lt;li&gt;&lt;a href=|http://websterbible.com/ruth/3.htm| title=|Webster's Bible Translation| target=|_top|&gt;WBS&lt;/a&gt;</v>
      </c>
      <c r="AS23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35" t="str">
        <f>CONCATENATE("&lt;/li&gt;&lt;li&gt;&lt;a href=|http://",AT1191,"/ruth/3-1.htm","| ","title=|",AT1190,"| target=|_top|&gt;",AT1192,"&lt;/a&gt;")</f>
        <v>&lt;/li&gt;&lt;li&gt;&lt;a href=|http://biblebrowser.com/ruth/3-1.htm| title=|Split View| target=|_top|&gt;Split&lt;/a&gt;</v>
      </c>
      <c r="AU235" s="2" t="s">
        <v>1276</v>
      </c>
      <c r="AV235" t="s">
        <v>64</v>
      </c>
    </row>
    <row r="236" spans="1:48">
      <c r="A236" t="s">
        <v>622</v>
      </c>
      <c r="B236" t="s">
        <v>289</v>
      </c>
      <c r="C236" t="s">
        <v>624</v>
      </c>
      <c r="D236" t="s">
        <v>1268</v>
      </c>
      <c r="E236" t="s">
        <v>1277</v>
      </c>
      <c r="F236" t="s">
        <v>1304</v>
      </c>
      <c r="G236" t="s">
        <v>1266</v>
      </c>
      <c r="H236" t="s">
        <v>1305</v>
      </c>
      <c r="I236" t="s">
        <v>1303</v>
      </c>
      <c r="J236" t="s">
        <v>1267</v>
      </c>
      <c r="K236" t="s">
        <v>1275</v>
      </c>
      <c r="L236" s="2" t="s">
        <v>1274</v>
      </c>
      <c r="M236" t="str">
        <f t="shared" ref="M236:AB236" si="940">CONCATENATE("&lt;/li&gt;&lt;li&gt;&lt;a href=|http://",M1191,"/ruth/4.htm","| ","title=|",M1190,"| target=|_top|&gt;",M1192,"&lt;/a&gt;")</f>
        <v>&lt;/li&gt;&lt;li&gt;&lt;a href=|http://niv.scripturetext.com/ruth/4.htm| title=|New International Version| target=|_top|&gt;NIV&lt;/a&gt;</v>
      </c>
      <c r="N236" t="str">
        <f t="shared" si="940"/>
        <v>&lt;/li&gt;&lt;li&gt;&lt;a href=|http://nlt.scripturetext.com/ruth/4.htm| title=|New Living Translation| target=|_top|&gt;NLT&lt;/a&gt;</v>
      </c>
      <c r="O236" t="str">
        <f t="shared" si="940"/>
        <v>&lt;/li&gt;&lt;li&gt;&lt;a href=|http://nasb.scripturetext.com/ruth/4.htm| title=|New American Standard Bible| target=|_top|&gt;NAS&lt;/a&gt;</v>
      </c>
      <c r="P236" t="str">
        <f t="shared" si="940"/>
        <v>&lt;/li&gt;&lt;li&gt;&lt;a href=|http://gwt.scripturetext.com/ruth/4.htm| title=|God's Word Translation| target=|_top|&gt;GWT&lt;/a&gt;</v>
      </c>
      <c r="Q236" t="str">
        <f t="shared" si="940"/>
        <v>&lt;/li&gt;&lt;li&gt;&lt;a href=|http://kingjbible.com/ruth/4.htm| title=|King James Bible| target=|_top|&gt;KJV&lt;/a&gt;</v>
      </c>
      <c r="R236" t="str">
        <f t="shared" si="940"/>
        <v>&lt;/li&gt;&lt;li&gt;&lt;a href=|http://asvbible.com/ruth/4.htm| title=|American Standard Version| target=|_top|&gt;ASV&lt;/a&gt;</v>
      </c>
      <c r="S236" t="str">
        <f t="shared" si="940"/>
        <v>&lt;/li&gt;&lt;li&gt;&lt;a href=|http://drb.scripturetext.com/ruth/4.htm| title=|Douay-Rheims Bible| target=|_top|&gt;DRB&lt;/a&gt;</v>
      </c>
      <c r="T236" t="str">
        <f t="shared" si="940"/>
        <v>&lt;/li&gt;&lt;li&gt;&lt;a href=|http://erv.scripturetext.com/ruth/4.htm| title=|English Revised Version| target=|_top|&gt;ERV&lt;/a&gt;</v>
      </c>
      <c r="V236" t="str">
        <f>CONCATENATE("&lt;/li&gt;&lt;li&gt;&lt;a href=|http://",V1191,"/ruth/4.htm","| ","title=|",V1190,"| target=|_top|&gt;",V1192,"&lt;/a&gt;")</f>
        <v>&lt;/li&gt;&lt;li&gt;&lt;a href=|http://study.interlinearbible.org/ruth/4.htm| title=|Hebrew Study Bible| target=|_top|&gt;Heb Study&lt;/a&gt;</v>
      </c>
      <c r="W236" t="str">
        <f t="shared" si="940"/>
        <v>&lt;/li&gt;&lt;li&gt;&lt;a href=|http://apostolic.interlinearbible.org/ruth/4.htm| title=|Apostolic Bible Polyglot Interlinear| target=|_top|&gt;Polyglot&lt;/a&gt;</v>
      </c>
      <c r="X236" t="str">
        <f t="shared" si="940"/>
        <v>&lt;/li&gt;&lt;li&gt;&lt;a href=|http://interlinearbible.org/ruth/4.htm| title=|Interlinear Bible| target=|_top|&gt;Interlin&lt;/a&gt;</v>
      </c>
      <c r="Y236" t="str">
        <f t="shared" ref="Y236" si="941">CONCATENATE("&lt;/li&gt;&lt;li&gt;&lt;a href=|http://",Y1191,"/ruth/4.htm","| ","title=|",Y1190,"| target=|_top|&gt;",Y1192,"&lt;/a&gt;")</f>
        <v>&lt;/li&gt;&lt;li&gt;&lt;a href=|http://bibleoutline.org/ruth/4.htm| title=|Outline with People and Places List| target=|_top|&gt;Outline&lt;/a&gt;</v>
      </c>
      <c r="Z236" t="str">
        <f t="shared" si="940"/>
        <v>&lt;/li&gt;&lt;li&gt;&lt;a href=|http://kjvs.scripturetext.com/ruth/4.htm| title=|King James Bible with Strong's Numbers| target=|_top|&gt;Strong's&lt;/a&gt;</v>
      </c>
      <c r="AA236" t="str">
        <f t="shared" si="940"/>
        <v>&lt;/li&gt;&lt;li&gt;&lt;a href=|http://childrensbibleonline.com/ruth/4.htm| title=|The Children's Bible| target=|_top|&gt;Children's&lt;/a&gt;</v>
      </c>
      <c r="AB236" s="2" t="str">
        <f t="shared" si="940"/>
        <v>&lt;/li&gt;&lt;li&gt;&lt;a href=|http://tsk.scripturetext.com/ruth/4.htm| title=|Treasury of Scripture Knowledge| target=|_top|&gt;TSK&lt;/a&gt;</v>
      </c>
      <c r="AC236" t="str">
        <f>CONCATENATE("&lt;a href=|http://",AC1191,"/ruth/4.htm","| ","title=|",AC1190,"| target=|_top|&gt;",AC1192,"&lt;/a&gt;")</f>
        <v>&lt;a href=|http://parallelbible.com/ruth/4.htm| title=|Parallel Chapters| target=|_top|&gt;PAR&lt;/a&gt;</v>
      </c>
      <c r="AD236" s="2" t="str">
        <f t="shared" ref="AD236:AK236" si="942">CONCATENATE("&lt;/li&gt;&lt;li&gt;&lt;a href=|http://",AD1191,"/ruth/4.htm","| ","title=|",AD1190,"| target=|_top|&gt;",AD1192,"&lt;/a&gt;")</f>
        <v>&lt;/li&gt;&lt;li&gt;&lt;a href=|http://gsb.biblecommenter.com/ruth/4.htm| title=|Geneva Study Bible| target=|_top|&gt;GSB&lt;/a&gt;</v>
      </c>
      <c r="AE236" s="2" t="str">
        <f t="shared" si="942"/>
        <v>&lt;/li&gt;&lt;li&gt;&lt;a href=|http://jfb.biblecommenter.com/ruth/4.htm| title=|Jamieson-Fausset-Brown Bible Commentary| target=|_top|&gt;JFB&lt;/a&gt;</v>
      </c>
      <c r="AF236" s="2" t="str">
        <f t="shared" si="942"/>
        <v>&lt;/li&gt;&lt;li&gt;&lt;a href=|http://kjt.biblecommenter.com/ruth/4.htm| title=|King James Translators' Notes| target=|_top|&gt;KJT&lt;/a&gt;</v>
      </c>
      <c r="AG236" s="2" t="str">
        <f t="shared" si="942"/>
        <v>&lt;/li&gt;&lt;li&gt;&lt;a href=|http://mhc.biblecommenter.com/ruth/4.htm| title=|Matthew Henry's Concise Commentary| target=|_top|&gt;MHC&lt;/a&gt;</v>
      </c>
      <c r="AH236" s="2" t="str">
        <f t="shared" si="942"/>
        <v>&lt;/li&gt;&lt;li&gt;&lt;a href=|http://sco.biblecommenter.com/ruth/4.htm| title=|Scofield Reference Notes| target=|_top|&gt;SCO&lt;/a&gt;</v>
      </c>
      <c r="AI236" s="2" t="str">
        <f t="shared" si="942"/>
        <v>&lt;/li&gt;&lt;li&gt;&lt;a href=|http://wes.biblecommenter.com/ruth/4.htm| title=|Wesley's Notes on the Bible| target=|_top|&gt;WES&lt;/a&gt;</v>
      </c>
      <c r="AJ236" t="str">
        <f t="shared" si="942"/>
        <v>&lt;/li&gt;&lt;li&gt;&lt;a href=|http://worldebible.com/ruth/4.htm| title=|World English Bible| target=|_top|&gt;WEB&lt;/a&gt;</v>
      </c>
      <c r="AK236" t="str">
        <f t="shared" si="942"/>
        <v>&lt;/li&gt;&lt;li&gt;&lt;a href=|http://yltbible.com/ruth/4.htm| title=|Young's Literal Translation| target=|_top|&gt;YLT&lt;/a&gt;</v>
      </c>
      <c r="AL236" t="str">
        <f>CONCATENATE("&lt;a href=|http://",AL1191,"/ruth/4.htm","| ","title=|",AL1190,"| target=|_top|&gt;",AL1192,"&lt;/a&gt;")</f>
        <v>&lt;a href=|http://kjv.us/ruth/4.htm| title=|American King James Version| target=|_top|&gt;AKJ&lt;/a&gt;</v>
      </c>
      <c r="AM236" t="str">
        <f t="shared" ref="AM236:AN236" si="943">CONCATENATE("&lt;/li&gt;&lt;li&gt;&lt;a href=|http://",AM1191,"/ruth/4.htm","| ","title=|",AM1190,"| target=|_top|&gt;",AM1192,"&lt;/a&gt;")</f>
        <v>&lt;/li&gt;&lt;li&gt;&lt;a href=|http://basicenglishbible.com/ruth/4.htm| title=|Bible in Basic English| target=|_top|&gt;BBE&lt;/a&gt;</v>
      </c>
      <c r="AN236" t="str">
        <f t="shared" si="943"/>
        <v>&lt;/li&gt;&lt;li&gt;&lt;a href=|http://darbybible.com/ruth/4.htm| title=|Darby Bible Translation| target=|_top|&gt;DBY&lt;/a&gt;</v>
      </c>
      <c r="AO23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3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3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36" t="str">
        <f>CONCATENATE("&lt;/li&gt;&lt;li&gt;&lt;a href=|http://",AR1191,"/ruth/4.htm","| ","title=|",AR1190,"| target=|_top|&gt;",AR1192,"&lt;/a&gt;")</f>
        <v>&lt;/li&gt;&lt;li&gt;&lt;a href=|http://websterbible.com/ruth/4.htm| title=|Webster's Bible Translation| target=|_top|&gt;WBS&lt;/a&gt;</v>
      </c>
      <c r="AS23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36" t="str">
        <f>CONCATENATE("&lt;/li&gt;&lt;li&gt;&lt;a href=|http://",AT1191,"/ruth/4-1.htm","| ","title=|",AT1190,"| target=|_top|&gt;",AT1192,"&lt;/a&gt;")</f>
        <v>&lt;/li&gt;&lt;li&gt;&lt;a href=|http://biblebrowser.com/ruth/4-1.htm| title=|Split View| target=|_top|&gt;Split&lt;/a&gt;</v>
      </c>
      <c r="AU236" s="2" t="s">
        <v>1276</v>
      </c>
      <c r="AV236" t="s">
        <v>64</v>
      </c>
    </row>
    <row r="237" spans="1:48">
      <c r="A237" t="s">
        <v>622</v>
      </c>
      <c r="B237" t="s">
        <v>290</v>
      </c>
      <c r="C237" t="s">
        <v>624</v>
      </c>
      <c r="D237" t="s">
        <v>1268</v>
      </c>
      <c r="E237" t="s">
        <v>1277</v>
      </c>
      <c r="F237" t="s">
        <v>1304</v>
      </c>
      <c r="G237" t="s">
        <v>1266</v>
      </c>
      <c r="H237" t="s">
        <v>1305</v>
      </c>
      <c r="I237" t="s">
        <v>1303</v>
      </c>
      <c r="J237" t="s">
        <v>1267</v>
      </c>
      <c r="K237" t="s">
        <v>1275</v>
      </c>
      <c r="L237" s="2" t="s">
        <v>1274</v>
      </c>
      <c r="M237" t="str">
        <f t="shared" ref="M237:AB237" si="944">CONCATENATE("&lt;/li&gt;&lt;li&gt;&lt;a href=|http://",M1191,"/1_samuel/1.htm","| ","title=|",M1190,"| target=|_top|&gt;",M1192,"&lt;/a&gt;")</f>
        <v>&lt;/li&gt;&lt;li&gt;&lt;a href=|http://niv.scripturetext.com/1_samuel/1.htm| title=|New International Version| target=|_top|&gt;NIV&lt;/a&gt;</v>
      </c>
      <c r="N237" t="str">
        <f t="shared" si="944"/>
        <v>&lt;/li&gt;&lt;li&gt;&lt;a href=|http://nlt.scripturetext.com/1_samuel/1.htm| title=|New Living Translation| target=|_top|&gt;NLT&lt;/a&gt;</v>
      </c>
      <c r="O237" t="str">
        <f t="shared" si="944"/>
        <v>&lt;/li&gt;&lt;li&gt;&lt;a href=|http://nasb.scripturetext.com/1_samuel/1.htm| title=|New American Standard Bible| target=|_top|&gt;NAS&lt;/a&gt;</v>
      </c>
      <c r="P237" t="str">
        <f t="shared" si="944"/>
        <v>&lt;/li&gt;&lt;li&gt;&lt;a href=|http://gwt.scripturetext.com/1_samuel/1.htm| title=|God's Word Translation| target=|_top|&gt;GWT&lt;/a&gt;</v>
      </c>
      <c r="Q237" t="str">
        <f t="shared" si="944"/>
        <v>&lt;/li&gt;&lt;li&gt;&lt;a href=|http://kingjbible.com/1_samuel/1.htm| title=|King James Bible| target=|_top|&gt;KJV&lt;/a&gt;</v>
      </c>
      <c r="R237" t="str">
        <f t="shared" si="944"/>
        <v>&lt;/li&gt;&lt;li&gt;&lt;a href=|http://asvbible.com/1_samuel/1.htm| title=|American Standard Version| target=|_top|&gt;ASV&lt;/a&gt;</v>
      </c>
      <c r="S237" t="str">
        <f t="shared" si="944"/>
        <v>&lt;/li&gt;&lt;li&gt;&lt;a href=|http://drb.scripturetext.com/1_samuel/1.htm| title=|Douay-Rheims Bible| target=|_top|&gt;DRB&lt;/a&gt;</v>
      </c>
      <c r="T237" t="str">
        <f t="shared" si="944"/>
        <v>&lt;/li&gt;&lt;li&gt;&lt;a href=|http://erv.scripturetext.com/1_samuel/1.htm| title=|English Revised Version| target=|_top|&gt;ERV&lt;/a&gt;</v>
      </c>
      <c r="V237" t="str">
        <f>CONCATENATE("&lt;/li&gt;&lt;li&gt;&lt;a href=|http://",V1191,"/1_samuel/1.htm","| ","title=|",V1190,"| target=|_top|&gt;",V1192,"&lt;/a&gt;")</f>
        <v>&lt;/li&gt;&lt;li&gt;&lt;a href=|http://study.interlinearbible.org/1_samuel/1.htm| title=|Hebrew Study Bible| target=|_top|&gt;Heb Study&lt;/a&gt;</v>
      </c>
      <c r="W237" t="str">
        <f t="shared" si="944"/>
        <v>&lt;/li&gt;&lt;li&gt;&lt;a href=|http://apostolic.interlinearbible.org/1_samuel/1.htm| title=|Apostolic Bible Polyglot Interlinear| target=|_top|&gt;Polyglot&lt;/a&gt;</v>
      </c>
      <c r="X237" t="str">
        <f t="shared" si="944"/>
        <v>&lt;/li&gt;&lt;li&gt;&lt;a href=|http://interlinearbible.org/1_samuel/1.htm| title=|Interlinear Bible| target=|_top|&gt;Interlin&lt;/a&gt;</v>
      </c>
      <c r="Y237" t="str">
        <f t="shared" ref="Y237" si="945">CONCATENATE("&lt;/li&gt;&lt;li&gt;&lt;a href=|http://",Y1191,"/1_samuel/1.htm","| ","title=|",Y1190,"| target=|_top|&gt;",Y1192,"&lt;/a&gt;")</f>
        <v>&lt;/li&gt;&lt;li&gt;&lt;a href=|http://bibleoutline.org/1_samuel/1.htm| title=|Outline with People and Places List| target=|_top|&gt;Outline&lt;/a&gt;</v>
      </c>
      <c r="Z237" t="str">
        <f t="shared" si="944"/>
        <v>&lt;/li&gt;&lt;li&gt;&lt;a href=|http://kjvs.scripturetext.com/1_samuel/1.htm| title=|King James Bible with Strong's Numbers| target=|_top|&gt;Strong's&lt;/a&gt;</v>
      </c>
      <c r="AA237" t="str">
        <f t="shared" si="944"/>
        <v>&lt;/li&gt;&lt;li&gt;&lt;a href=|http://childrensbibleonline.com/1_samuel/1.htm| title=|The Children's Bible| target=|_top|&gt;Children's&lt;/a&gt;</v>
      </c>
      <c r="AB237" s="2" t="str">
        <f t="shared" si="944"/>
        <v>&lt;/li&gt;&lt;li&gt;&lt;a href=|http://tsk.scripturetext.com/1_samuel/1.htm| title=|Treasury of Scripture Knowledge| target=|_top|&gt;TSK&lt;/a&gt;</v>
      </c>
      <c r="AC237" t="str">
        <f>CONCATENATE("&lt;a href=|http://",AC1191,"/1_samuel/1.htm","| ","title=|",AC1190,"| target=|_top|&gt;",AC1192,"&lt;/a&gt;")</f>
        <v>&lt;a href=|http://parallelbible.com/1_samuel/1.htm| title=|Parallel Chapters| target=|_top|&gt;PAR&lt;/a&gt;</v>
      </c>
      <c r="AD237" s="2" t="str">
        <f t="shared" ref="AD237:AK237" si="946">CONCATENATE("&lt;/li&gt;&lt;li&gt;&lt;a href=|http://",AD1191,"/1_samuel/1.htm","| ","title=|",AD1190,"| target=|_top|&gt;",AD1192,"&lt;/a&gt;")</f>
        <v>&lt;/li&gt;&lt;li&gt;&lt;a href=|http://gsb.biblecommenter.com/1_samuel/1.htm| title=|Geneva Study Bible| target=|_top|&gt;GSB&lt;/a&gt;</v>
      </c>
      <c r="AE237" s="2" t="str">
        <f t="shared" si="946"/>
        <v>&lt;/li&gt;&lt;li&gt;&lt;a href=|http://jfb.biblecommenter.com/1_samuel/1.htm| title=|Jamieson-Fausset-Brown Bible Commentary| target=|_top|&gt;JFB&lt;/a&gt;</v>
      </c>
      <c r="AF237" s="2" t="str">
        <f t="shared" si="946"/>
        <v>&lt;/li&gt;&lt;li&gt;&lt;a href=|http://kjt.biblecommenter.com/1_samuel/1.htm| title=|King James Translators' Notes| target=|_top|&gt;KJT&lt;/a&gt;</v>
      </c>
      <c r="AG237" s="2" t="str">
        <f t="shared" si="946"/>
        <v>&lt;/li&gt;&lt;li&gt;&lt;a href=|http://mhc.biblecommenter.com/1_samuel/1.htm| title=|Matthew Henry's Concise Commentary| target=|_top|&gt;MHC&lt;/a&gt;</v>
      </c>
      <c r="AH237" s="2" t="str">
        <f t="shared" si="946"/>
        <v>&lt;/li&gt;&lt;li&gt;&lt;a href=|http://sco.biblecommenter.com/1_samuel/1.htm| title=|Scofield Reference Notes| target=|_top|&gt;SCO&lt;/a&gt;</v>
      </c>
      <c r="AI237" s="2" t="str">
        <f t="shared" si="946"/>
        <v>&lt;/li&gt;&lt;li&gt;&lt;a href=|http://wes.biblecommenter.com/1_samuel/1.htm| title=|Wesley's Notes on the Bible| target=|_top|&gt;WES&lt;/a&gt;</v>
      </c>
      <c r="AJ237" t="str">
        <f t="shared" si="946"/>
        <v>&lt;/li&gt;&lt;li&gt;&lt;a href=|http://worldebible.com/1_samuel/1.htm| title=|World English Bible| target=|_top|&gt;WEB&lt;/a&gt;</v>
      </c>
      <c r="AK237" t="str">
        <f t="shared" si="946"/>
        <v>&lt;/li&gt;&lt;li&gt;&lt;a href=|http://yltbible.com/1_samuel/1.htm| title=|Young's Literal Translation| target=|_top|&gt;YLT&lt;/a&gt;</v>
      </c>
      <c r="AL237" t="str">
        <f>CONCATENATE("&lt;a href=|http://",AL1191,"/1_samuel/1.htm","| ","title=|",AL1190,"| target=|_top|&gt;",AL1192,"&lt;/a&gt;")</f>
        <v>&lt;a href=|http://kjv.us/1_samuel/1.htm| title=|American King James Version| target=|_top|&gt;AKJ&lt;/a&gt;</v>
      </c>
      <c r="AM237" t="str">
        <f t="shared" ref="AM237:AN237" si="947">CONCATENATE("&lt;/li&gt;&lt;li&gt;&lt;a href=|http://",AM1191,"/1_samuel/1.htm","| ","title=|",AM1190,"| target=|_top|&gt;",AM1192,"&lt;/a&gt;")</f>
        <v>&lt;/li&gt;&lt;li&gt;&lt;a href=|http://basicenglishbible.com/1_samuel/1.htm| title=|Bible in Basic English| target=|_top|&gt;BBE&lt;/a&gt;</v>
      </c>
      <c r="AN237" t="str">
        <f t="shared" si="947"/>
        <v>&lt;/li&gt;&lt;li&gt;&lt;a href=|http://darbybible.com/1_samuel/1.htm| title=|Darby Bible Translation| target=|_top|&gt;DBY&lt;/a&gt;</v>
      </c>
      <c r="AO23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3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3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37" t="str">
        <f>CONCATENATE("&lt;/li&gt;&lt;li&gt;&lt;a href=|http://",AR1191,"/1_samuel/1.htm","| ","title=|",AR1190,"| target=|_top|&gt;",AR1192,"&lt;/a&gt;")</f>
        <v>&lt;/li&gt;&lt;li&gt;&lt;a href=|http://websterbible.com/1_samuel/1.htm| title=|Webster's Bible Translation| target=|_top|&gt;WBS&lt;/a&gt;</v>
      </c>
      <c r="AS23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37" t="str">
        <f>CONCATENATE("&lt;/li&gt;&lt;li&gt;&lt;a href=|http://",AT1191,"/1_samuel/1-1.htm","| ","title=|",AT1190,"| target=|_top|&gt;",AT1192,"&lt;/a&gt;")</f>
        <v>&lt;/li&gt;&lt;li&gt;&lt;a href=|http://biblebrowser.com/1_samuel/1-1.htm| title=|Split View| target=|_top|&gt;Split&lt;/a&gt;</v>
      </c>
      <c r="AU237" s="2" t="s">
        <v>1276</v>
      </c>
      <c r="AV237" t="s">
        <v>64</v>
      </c>
    </row>
    <row r="238" spans="1:48">
      <c r="A238" t="s">
        <v>622</v>
      </c>
      <c r="B238" t="s">
        <v>291</v>
      </c>
      <c r="C238" t="s">
        <v>624</v>
      </c>
      <c r="D238" t="s">
        <v>1268</v>
      </c>
      <c r="E238" t="s">
        <v>1277</v>
      </c>
      <c r="F238" t="s">
        <v>1304</v>
      </c>
      <c r="G238" t="s">
        <v>1266</v>
      </c>
      <c r="H238" t="s">
        <v>1305</v>
      </c>
      <c r="I238" t="s">
        <v>1303</v>
      </c>
      <c r="J238" t="s">
        <v>1267</v>
      </c>
      <c r="K238" t="s">
        <v>1275</v>
      </c>
      <c r="L238" s="2" t="s">
        <v>1274</v>
      </c>
      <c r="M238" t="str">
        <f t="shared" ref="M238:AB238" si="948">CONCATENATE("&lt;/li&gt;&lt;li&gt;&lt;a href=|http://",M1191,"/1_samuel/2.htm","| ","title=|",M1190,"| target=|_top|&gt;",M1192,"&lt;/a&gt;")</f>
        <v>&lt;/li&gt;&lt;li&gt;&lt;a href=|http://niv.scripturetext.com/1_samuel/2.htm| title=|New International Version| target=|_top|&gt;NIV&lt;/a&gt;</v>
      </c>
      <c r="N238" t="str">
        <f t="shared" si="948"/>
        <v>&lt;/li&gt;&lt;li&gt;&lt;a href=|http://nlt.scripturetext.com/1_samuel/2.htm| title=|New Living Translation| target=|_top|&gt;NLT&lt;/a&gt;</v>
      </c>
      <c r="O238" t="str">
        <f t="shared" si="948"/>
        <v>&lt;/li&gt;&lt;li&gt;&lt;a href=|http://nasb.scripturetext.com/1_samuel/2.htm| title=|New American Standard Bible| target=|_top|&gt;NAS&lt;/a&gt;</v>
      </c>
      <c r="P238" t="str">
        <f t="shared" si="948"/>
        <v>&lt;/li&gt;&lt;li&gt;&lt;a href=|http://gwt.scripturetext.com/1_samuel/2.htm| title=|God's Word Translation| target=|_top|&gt;GWT&lt;/a&gt;</v>
      </c>
      <c r="Q238" t="str">
        <f t="shared" si="948"/>
        <v>&lt;/li&gt;&lt;li&gt;&lt;a href=|http://kingjbible.com/1_samuel/2.htm| title=|King James Bible| target=|_top|&gt;KJV&lt;/a&gt;</v>
      </c>
      <c r="R238" t="str">
        <f t="shared" si="948"/>
        <v>&lt;/li&gt;&lt;li&gt;&lt;a href=|http://asvbible.com/1_samuel/2.htm| title=|American Standard Version| target=|_top|&gt;ASV&lt;/a&gt;</v>
      </c>
      <c r="S238" t="str">
        <f t="shared" si="948"/>
        <v>&lt;/li&gt;&lt;li&gt;&lt;a href=|http://drb.scripturetext.com/1_samuel/2.htm| title=|Douay-Rheims Bible| target=|_top|&gt;DRB&lt;/a&gt;</v>
      </c>
      <c r="T238" t="str">
        <f t="shared" si="948"/>
        <v>&lt;/li&gt;&lt;li&gt;&lt;a href=|http://erv.scripturetext.com/1_samuel/2.htm| title=|English Revised Version| target=|_top|&gt;ERV&lt;/a&gt;</v>
      </c>
      <c r="V238" t="str">
        <f>CONCATENATE("&lt;/li&gt;&lt;li&gt;&lt;a href=|http://",V1191,"/1_samuel/2.htm","| ","title=|",V1190,"| target=|_top|&gt;",V1192,"&lt;/a&gt;")</f>
        <v>&lt;/li&gt;&lt;li&gt;&lt;a href=|http://study.interlinearbible.org/1_samuel/2.htm| title=|Hebrew Study Bible| target=|_top|&gt;Heb Study&lt;/a&gt;</v>
      </c>
      <c r="W238" t="str">
        <f t="shared" si="948"/>
        <v>&lt;/li&gt;&lt;li&gt;&lt;a href=|http://apostolic.interlinearbible.org/1_samuel/2.htm| title=|Apostolic Bible Polyglot Interlinear| target=|_top|&gt;Polyglot&lt;/a&gt;</v>
      </c>
      <c r="X238" t="str">
        <f t="shared" si="948"/>
        <v>&lt;/li&gt;&lt;li&gt;&lt;a href=|http://interlinearbible.org/1_samuel/2.htm| title=|Interlinear Bible| target=|_top|&gt;Interlin&lt;/a&gt;</v>
      </c>
      <c r="Y238" t="str">
        <f t="shared" ref="Y238" si="949">CONCATENATE("&lt;/li&gt;&lt;li&gt;&lt;a href=|http://",Y1191,"/1_samuel/2.htm","| ","title=|",Y1190,"| target=|_top|&gt;",Y1192,"&lt;/a&gt;")</f>
        <v>&lt;/li&gt;&lt;li&gt;&lt;a href=|http://bibleoutline.org/1_samuel/2.htm| title=|Outline with People and Places List| target=|_top|&gt;Outline&lt;/a&gt;</v>
      </c>
      <c r="Z238" t="str">
        <f t="shared" si="948"/>
        <v>&lt;/li&gt;&lt;li&gt;&lt;a href=|http://kjvs.scripturetext.com/1_samuel/2.htm| title=|King James Bible with Strong's Numbers| target=|_top|&gt;Strong's&lt;/a&gt;</v>
      </c>
      <c r="AA238" t="str">
        <f t="shared" si="948"/>
        <v>&lt;/li&gt;&lt;li&gt;&lt;a href=|http://childrensbibleonline.com/1_samuel/2.htm| title=|The Children's Bible| target=|_top|&gt;Children's&lt;/a&gt;</v>
      </c>
      <c r="AB238" s="2" t="str">
        <f t="shared" si="948"/>
        <v>&lt;/li&gt;&lt;li&gt;&lt;a href=|http://tsk.scripturetext.com/1_samuel/2.htm| title=|Treasury of Scripture Knowledge| target=|_top|&gt;TSK&lt;/a&gt;</v>
      </c>
      <c r="AC238" t="str">
        <f>CONCATENATE("&lt;a href=|http://",AC1191,"/1_samuel/2.htm","| ","title=|",AC1190,"| target=|_top|&gt;",AC1192,"&lt;/a&gt;")</f>
        <v>&lt;a href=|http://parallelbible.com/1_samuel/2.htm| title=|Parallel Chapters| target=|_top|&gt;PAR&lt;/a&gt;</v>
      </c>
      <c r="AD238" s="2" t="str">
        <f t="shared" ref="AD238:AK238" si="950">CONCATENATE("&lt;/li&gt;&lt;li&gt;&lt;a href=|http://",AD1191,"/1_samuel/2.htm","| ","title=|",AD1190,"| target=|_top|&gt;",AD1192,"&lt;/a&gt;")</f>
        <v>&lt;/li&gt;&lt;li&gt;&lt;a href=|http://gsb.biblecommenter.com/1_samuel/2.htm| title=|Geneva Study Bible| target=|_top|&gt;GSB&lt;/a&gt;</v>
      </c>
      <c r="AE238" s="2" t="str">
        <f t="shared" si="950"/>
        <v>&lt;/li&gt;&lt;li&gt;&lt;a href=|http://jfb.biblecommenter.com/1_samuel/2.htm| title=|Jamieson-Fausset-Brown Bible Commentary| target=|_top|&gt;JFB&lt;/a&gt;</v>
      </c>
      <c r="AF238" s="2" t="str">
        <f t="shared" si="950"/>
        <v>&lt;/li&gt;&lt;li&gt;&lt;a href=|http://kjt.biblecommenter.com/1_samuel/2.htm| title=|King James Translators' Notes| target=|_top|&gt;KJT&lt;/a&gt;</v>
      </c>
      <c r="AG238" s="2" t="str">
        <f t="shared" si="950"/>
        <v>&lt;/li&gt;&lt;li&gt;&lt;a href=|http://mhc.biblecommenter.com/1_samuel/2.htm| title=|Matthew Henry's Concise Commentary| target=|_top|&gt;MHC&lt;/a&gt;</v>
      </c>
      <c r="AH238" s="2" t="str">
        <f t="shared" si="950"/>
        <v>&lt;/li&gt;&lt;li&gt;&lt;a href=|http://sco.biblecommenter.com/1_samuel/2.htm| title=|Scofield Reference Notes| target=|_top|&gt;SCO&lt;/a&gt;</v>
      </c>
      <c r="AI238" s="2" t="str">
        <f t="shared" si="950"/>
        <v>&lt;/li&gt;&lt;li&gt;&lt;a href=|http://wes.biblecommenter.com/1_samuel/2.htm| title=|Wesley's Notes on the Bible| target=|_top|&gt;WES&lt;/a&gt;</v>
      </c>
      <c r="AJ238" t="str">
        <f t="shared" si="950"/>
        <v>&lt;/li&gt;&lt;li&gt;&lt;a href=|http://worldebible.com/1_samuel/2.htm| title=|World English Bible| target=|_top|&gt;WEB&lt;/a&gt;</v>
      </c>
      <c r="AK238" t="str">
        <f t="shared" si="950"/>
        <v>&lt;/li&gt;&lt;li&gt;&lt;a href=|http://yltbible.com/1_samuel/2.htm| title=|Young's Literal Translation| target=|_top|&gt;YLT&lt;/a&gt;</v>
      </c>
      <c r="AL238" t="str">
        <f>CONCATENATE("&lt;a href=|http://",AL1191,"/1_samuel/2.htm","| ","title=|",AL1190,"| target=|_top|&gt;",AL1192,"&lt;/a&gt;")</f>
        <v>&lt;a href=|http://kjv.us/1_samuel/2.htm| title=|American King James Version| target=|_top|&gt;AKJ&lt;/a&gt;</v>
      </c>
      <c r="AM238" t="str">
        <f t="shared" ref="AM238:AN238" si="951">CONCATENATE("&lt;/li&gt;&lt;li&gt;&lt;a href=|http://",AM1191,"/1_samuel/2.htm","| ","title=|",AM1190,"| target=|_top|&gt;",AM1192,"&lt;/a&gt;")</f>
        <v>&lt;/li&gt;&lt;li&gt;&lt;a href=|http://basicenglishbible.com/1_samuel/2.htm| title=|Bible in Basic English| target=|_top|&gt;BBE&lt;/a&gt;</v>
      </c>
      <c r="AN238" t="str">
        <f t="shared" si="951"/>
        <v>&lt;/li&gt;&lt;li&gt;&lt;a href=|http://darbybible.com/1_samuel/2.htm| title=|Darby Bible Translation| target=|_top|&gt;DBY&lt;/a&gt;</v>
      </c>
      <c r="AO23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3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3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38" t="str">
        <f>CONCATENATE("&lt;/li&gt;&lt;li&gt;&lt;a href=|http://",AR1191,"/1_samuel/2.htm","| ","title=|",AR1190,"| target=|_top|&gt;",AR1192,"&lt;/a&gt;")</f>
        <v>&lt;/li&gt;&lt;li&gt;&lt;a href=|http://websterbible.com/1_samuel/2.htm| title=|Webster's Bible Translation| target=|_top|&gt;WBS&lt;/a&gt;</v>
      </c>
      <c r="AS23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38" t="str">
        <f>CONCATENATE("&lt;/li&gt;&lt;li&gt;&lt;a href=|http://",AT1191,"/1_samuel/2-1.htm","| ","title=|",AT1190,"| target=|_top|&gt;",AT1192,"&lt;/a&gt;")</f>
        <v>&lt;/li&gt;&lt;li&gt;&lt;a href=|http://biblebrowser.com/1_samuel/2-1.htm| title=|Split View| target=|_top|&gt;Split&lt;/a&gt;</v>
      </c>
      <c r="AU238" s="2" t="s">
        <v>1276</v>
      </c>
      <c r="AV238" t="s">
        <v>64</v>
      </c>
    </row>
    <row r="239" spans="1:48">
      <c r="A239" t="s">
        <v>622</v>
      </c>
      <c r="B239" t="s">
        <v>292</v>
      </c>
      <c r="C239" t="s">
        <v>624</v>
      </c>
      <c r="D239" t="s">
        <v>1268</v>
      </c>
      <c r="E239" t="s">
        <v>1277</v>
      </c>
      <c r="F239" t="s">
        <v>1304</v>
      </c>
      <c r="G239" t="s">
        <v>1266</v>
      </c>
      <c r="H239" t="s">
        <v>1305</v>
      </c>
      <c r="I239" t="s">
        <v>1303</v>
      </c>
      <c r="J239" t="s">
        <v>1267</v>
      </c>
      <c r="K239" t="s">
        <v>1275</v>
      </c>
      <c r="L239" s="2" t="s">
        <v>1274</v>
      </c>
      <c r="M239" t="str">
        <f t="shared" ref="M239:AB239" si="952">CONCATENATE("&lt;/li&gt;&lt;li&gt;&lt;a href=|http://",M1191,"/1_samuel/3.htm","| ","title=|",M1190,"| target=|_top|&gt;",M1192,"&lt;/a&gt;")</f>
        <v>&lt;/li&gt;&lt;li&gt;&lt;a href=|http://niv.scripturetext.com/1_samuel/3.htm| title=|New International Version| target=|_top|&gt;NIV&lt;/a&gt;</v>
      </c>
      <c r="N239" t="str">
        <f t="shared" si="952"/>
        <v>&lt;/li&gt;&lt;li&gt;&lt;a href=|http://nlt.scripturetext.com/1_samuel/3.htm| title=|New Living Translation| target=|_top|&gt;NLT&lt;/a&gt;</v>
      </c>
      <c r="O239" t="str">
        <f t="shared" si="952"/>
        <v>&lt;/li&gt;&lt;li&gt;&lt;a href=|http://nasb.scripturetext.com/1_samuel/3.htm| title=|New American Standard Bible| target=|_top|&gt;NAS&lt;/a&gt;</v>
      </c>
      <c r="P239" t="str">
        <f t="shared" si="952"/>
        <v>&lt;/li&gt;&lt;li&gt;&lt;a href=|http://gwt.scripturetext.com/1_samuel/3.htm| title=|God's Word Translation| target=|_top|&gt;GWT&lt;/a&gt;</v>
      </c>
      <c r="Q239" t="str">
        <f t="shared" si="952"/>
        <v>&lt;/li&gt;&lt;li&gt;&lt;a href=|http://kingjbible.com/1_samuel/3.htm| title=|King James Bible| target=|_top|&gt;KJV&lt;/a&gt;</v>
      </c>
      <c r="R239" t="str">
        <f t="shared" si="952"/>
        <v>&lt;/li&gt;&lt;li&gt;&lt;a href=|http://asvbible.com/1_samuel/3.htm| title=|American Standard Version| target=|_top|&gt;ASV&lt;/a&gt;</v>
      </c>
      <c r="S239" t="str">
        <f t="shared" si="952"/>
        <v>&lt;/li&gt;&lt;li&gt;&lt;a href=|http://drb.scripturetext.com/1_samuel/3.htm| title=|Douay-Rheims Bible| target=|_top|&gt;DRB&lt;/a&gt;</v>
      </c>
      <c r="T239" t="str">
        <f t="shared" si="952"/>
        <v>&lt;/li&gt;&lt;li&gt;&lt;a href=|http://erv.scripturetext.com/1_samuel/3.htm| title=|English Revised Version| target=|_top|&gt;ERV&lt;/a&gt;</v>
      </c>
      <c r="V239" t="str">
        <f>CONCATENATE("&lt;/li&gt;&lt;li&gt;&lt;a href=|http://",V1191,"/1_samuel/3.htm","| ","title=|",V1190,"| target=|_top|&gt;",V1192,"&lt;/a&gt;")</f>
        <v>&lt;/li&gt;&lt;li&gt;&lt;a href=|http://study.interlinearbible.org/1_samuel/3.htm| title=|Hebrew Study Bible| target=|_top|&gt;Heb Study&lt;/a&gt;</v>
      </c>
      <c r="W239" t="str">
        <f t="shared" si="952"/>
        <v>&lt;/li&gt;&lt;li&gt;&lt;a href=|http://apostolic.interlinearbible.org/1_samuel/3.htm| title=|Apostolic Bible Polyglot Interlinear| target=|_top|&gt;Polyglot&lt;/a&gt;</v>
      </c>
      <c r="X239" t="str">
        <f t="shared" si="952"/>
        <v>&lt;/li&gt;&lt;li&gt;&lt;a href=|http://interlinearbible.org/1_samuel/3.htm| title=|Interlinear Bible| target=|_top|&gt;Interlin&lt;/a&gt;</v>
      </c>
      <c r="Y239" t="str">
        <f t="shared" ref="Y239" si="953">CONCATENATE("&lt;/li&gt;&lt;li&gt;&lt;a href=|http://",Y1191,"/1_samuel/3.htm","| ","title=|",Y1190,"| target=|_top|&gt;",Y1192,"&lt;/a&gt;")</f>
        <v>&lt;/li&gt;&lt;li&gt;&lt;a href=|http://bibleoutline.org/1_samuel/3.htm| title=|Outline with People and Places List| target=|_top|&gt;Outline&lt;/a&gt;</v>
      </c>
      <c r="Z239" t="str">
        <f t="shared" si="952"/>
        <v>&lt;/li&gt;&lt;li&gt;&lt;a href=|http://kjvs.scripturetext.com/1_samuel/3.htm| title=|King James Bible with Strong's Numbers| target=|_top|&gt;Strong's&lt;/a&gt;</v>
      </c>
      <c r="AA239" t="str">
        <f t="shared" si="952"/>
        <v>&lt;/li&gt;&lt;li&gt;&lt;a href=|http://childrensbibleonline.com/1_samuel/3.htm| title=|The Children's Bible| target=|_top|&gt;Children's&lt;/a&gt;</v>
      </c>
      <c r="AB239" s="2" t="str">
        <f t="shared" si="952"/>
        <v>&lt;/li&gt;&lt;li&gt;&lt;a href=|http://tsk.scripturetext.com/1_samuel/3.htm| title=|Treasury of Scripture Knowledge| target=|_top|&gt;TSK&lt;/a&gt;</v>
      </c>
      <c r="AC239" t="str">
        <f>CONCATENATE("&lt;a href=|http://",AC1191,"/1_samuel/3.htm","| ","title=|",AC1190,"| target=|_top|&gt;",AC1192,"&lt;/a&gt;")</f>
        <v>&lt;a href=|http://parallelbible.com/1_samuel/3.htm| title=|Parallel Chapters| target=|_top|&gt;PAR&lt;/a&gt;</v>
      </c>
      <c r="AD239" s="2" t="str">
        <f t="shared" ref="AD239:AK239" si="954">CONCATENATE("&lt;/li&gt;&lt;li&gt;&lt;a href=|http://",AD1191,"/1_samuel/3.htm","| ","title=|",AD1190,"| target=|_top|&gt;",AD1192,"&lt;/a&gt;")</f>
        <v>&lt;/li&gt;&lt;li&gt;&lt;a href=|http://gsb.biblecommenter.com/1_samuel/3.htm| title=|Geneva Study Bible| target=|_top|&gt;GSB&lt;/a&gt;</v>
      </c>
      <c r="AE239" s="2" t="str">
        <f t="shared" si="954"/>
        <v>&lt;/li&gt;&lt;li&gt;&lt;a href=|http://jfb.biblecommenter.com/1_samuel/3.htm| title=|Jamieson-Fausset-Brown Bible Commentary| target=|_top|&gt;JFB&lt;/a&gt;</v>
      </c>
      <c r="AF239" s="2" t="str">
        <f t="shared" si="954"/>
        <v>&lt;/li&gt;&lt;li&gt;&lt;a href=|http://kjt.biblecommenter.com/1_samuel/3.htm| title=|King James Translators' Notes| target=|_top|&gt;KJT&lt;/a&gt;</v>
      </c>
      <c r="AG239" s="2" t="str">
        <f t="shared" si="954"/>
        <v>&lt;/li&gt;&lt;li&gt;&lt;a href=|http://mhc.biblecommenter.com/1_samuel/3.htm| title=|Matthew Henry's Concise Commentary| target=|_top|&gt;MHC&lt;/a&gt;</v>
      </c>
      <c r="AH239" s="2" t="str">
        <f t="shared" si="954"/>
        <v>&lt;/li&gt;&lt;li&gt;&lt;a href=|http://sco.biblecommenter.com/1_samuel/3.htm| title=|Scofield Reference Notes| target=|_top|&gt;SCO&lt;/a&gt;</v>
      </c>
      <c r="AI239" s="2" t="str">
        <f t="shared" si="954"/>
        <v>&lt;/li&gt;&lt;li&gt;&lt;a href=|http://wes.biblecommenter.com/1_samuel/3.htm| title=|Wesley's Notes on the Bible| target=|_top|&gt;WES&lt;/a&gt;</v>
      </c>
      <c r="AJ239" t="str">
        <f t="shared" si="954"/>
        <v>&lt;/li&gt;&lt;li&gt;&lt;a href=|http://worldebible.com/1_samuel/3.htm| title=|World English Bible| target=|_top|&gt;WEB&lt;/a&gt;</v>
      </c>
      <c r="AK239" t="str">
        <f t="shared" si="954"/>
        <v>&lt;/li&gt;&lt;li&gt;&lt;a href=|http://yltbible.com/1_samuel/3.htm| title=|Young's Literal Translation| target=|_top|&gt;YLT&lt;/a&gt;</v>
      </c>
      <c r="AL239" t="str">
        <f>CONCATENATE("&lt;a href=|http://",AL1191,"/1_samuel/3.htm","| ","title=|",AL1190,"| target=|_top|&gt;",AL1192,"&lt;/a&gt;")</f>
        <v>&lt;a href=|http://kjv.us/1_samuel/3.htm| title=|American King James Version| target=|_top|&gt;AKJ&lt;/a&gt;</v>
      </c>
      <c r="AM239" t="str">
        <f t="shared" ref="AM239:AN239" si="955">CONCATENATE("&lt;/li&gt;&lt;li&gt;&lt;a href=|http://",AM1191,"/1_samuel/3.htm","| ","title=|",AM1190,"| target=|_top|&gt;",AM1192,"&lt;/a&gt;")</f>
        <v>&lt;/li&gt;&lt;li&gt;&lt;a href=|http://basicenglishbible.com/1_samuel/3.htm| title=|Bible in Basic English| target=|_top|&gt;BBE&lt;/a&gt;</v>
      </c>
      <c r="AN239" t="str">
        <f t="shared" si="955"/>
        <v>&lt;/li&gt;&lt;li&gt;&lt;a href=|http://darbybible.com/1_samuel/3.htm| title=|Darby Bible Translation| target=|_top|&gt;DBY&lt;/a&gt;</v>
      </c>
      <c r="AO23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3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3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39" t="str">
        <f>CONCATENATE("&lt;/li&gt;&lt;li&gt;&lt;a href=|http://",AR1191,"/1_samuel/3.htm","| ","title=|",AR1190,"| target=|_top|&gt;",AR1192,"&lt;/a&gt;")</f>
        <v>&lt;/li&gt;&lt;li&gt;&lt;a href=|http://websterbible.com/1_samuel/3.htm| title=|Webster's Bible Translation| target=|_top|&gt;WBS&lt;/a&gt;</v>
      </c>
      <c r="AS23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39" t="str">
        <f>CONCATENATE("&lt;/li&gt;&lt;li&gt;&lt;a href=|http://",AT1191,"/1_samuel/3-1.htm","| ","title=|",AT1190,"| target=|_top|&gt;",AT1192,"&lt;/a&gt;")</f>
        <v>&lt;/li&gt;&lt;li&gt;&lt;a href=|http://biblebrowser.com/1_samuel/3-1.htm| title=|Split View| target=|_top|&gt;Split&lt;/a&gt;</v>
      </c>
      <c r="AU239" s="2" t="s">
        <v>1276</v>
      </c>
      <c r="AV239" t="s">
        <v>64</v>
      </c>
    </row>
    <row r="240" spans="1:48">
      <c r="A240" t="s">
        <v>622</v>
      </c>
      <c r="B240" t="s">
        <v>293</v>
      </c>
      <c r="C240" t="s">
        <v>624</v>
      </c>
      <c r="D240" t="s">
        <v>1268</v>
      </c>
      <c r="E240" t="s">
        <v>1277</v>
      </c>
      <c r="F240" t="s">
        <v>1304</v>
      </c>
      <c r="G240" t="s">
        <v>1266</v>
      </c>
      <c r="H240" t="s">
        <v>1305</v>
      </c>
      <c r="I240" t="s">
        <v>1303</v>
      </c>
      <c r="J240" t="s">
        <v>1267</v>
      </c>
      <c r="K240" t="s">
        <v>1275</v>
      </c>
      <c r="L240" s="2" t="s">
        <v>1274</v>
      </c>
      <c r="M240" t="str">
        <f t="shared" ref="M240:AB240" si="956">CONCATENATE("&lt;/li&gt;&lt;li&gt;&lt;a href=|http://",M1191,"/1_samuel/4.htm","| ","title=|",M1190,"| target=|_top|&gt;",M1192,"&lt;/a&gt;")</f>
        <v>&lt;/li&gt;&lt;li&gt;&lt;a href=|http://niv.scripturetext.com/1_samuel/4.htm| title=|New International Version| target=|_top|&gt;NIV&lt;/a&gt;</v>
      </c>
      <c r="N240" t="str">
        <f t="shared" si="956"/>
        <v>&lt;/li&gt;&lt;li&gt;&lt;a href=|http://nlt.scripturetext.com/1_samuel/4.htm| title=|New Living Translation| target=|_top|&gt;NLT&lt;/a&gt;</v>
      </c>
      <c r="O240" t="str">
        <f t="shared" si="956"/>
        <v>&lt;/li&gt;&lt;li&gt;&lt;a href=|http://nasb.scripturetext.com/1_samuel/4.htm| title=|New American Standard Bible| target=|_top|&gt;NAS&lt;/a&gt;</v>
      </c>
      <c r="P240" t="str">
        <f t="shared" si="956"/>
        <v>&lt;/li&gt;&lt;li&gt;&lt;a href=|http://gwt.scripturetext.com/1_samuel/4.htm| title=|God's Word Translation| target=|_top|&gt;GWT&lt;/a&gt;</v>
      </c>
      <c r="Q240" t="str">
        <f t="shared" si="956"/>
        <v>&lt;/li&gt;&lt;li&gt;&lt;a href=|http://kingjbible.com/1_samuel/4.htm| title=|King James Bible| target=|_top|&gt;KJV&lt;/a&gt;</v>
      </c>
      <c r="R240" t="str">
        <f t="shared" si="956"/>
        <v>&lt;/li&gt;&lt;li&gt;&lt;a href=|http://asvbible.com/1_samuel/4.htm| title=|American Standard Version| target=|_top|&gt;ASV&lt;/a&gt;</v>
      </c>
      <c r="S240" t="str">
        <f t="shared" si="956"/>
        <v>&lt;/li&gt;&lt;li&gt;&lt;a href=|http://drb.scripturetext.com/1_samuel/4.htm| title=|Douay-Rheims Bible| target=|_top|&gt;DRB&lt;/a&gt;</v>
      </c>
      <c r="T240" t="str">
        <f t="shared" si="956"/>
        <v>&lt;/li&gt;&lt;li&gt;&lt;a href=|http://erv.scripturetext.com/1_samuel/4.htm| title=|English Revised Version| target=|_top|&gt;ERV&lt;/a&gt;</v>
      </c>
      <c r="V240" t="str">
        <f>CONCATENATE("&lt;/li&gt;&lt;li&gt;&lt;a href=|http://",V1191,"/1_samuel/4.htm","| ","title=|",V1190,"| target=|_top|&gt;",V1192,"&lt;/a&gt;")</f>
        <v>&lt;/li&gt;&lt;li&gt;&lt;a href=|http://study.interlinearbible.org/1_samuel/4.htm| title=|Hebrew Study Bible| target=|_top|&gt;Heb Study&lt;/a&gt;</v>
      </c>
      <c r="W240" t="str">
        <f t="shared" si="956"/>
        <v>&lt;/li&gt;&lt;li&gt;&lt;a href=|http://apostolic.interlinearbible.org/1_samuel/4.htm| title=|Apostolic Bible Polyglot Interlinear| target=|_top|&gt;Polyglot&lt;/a&gt;</v>
      </c>
      <c r="X240" t="str">
        <f t="shared" si="956"/>
        <v>&lt;/li&gt;&lt;li&gt;&lt;a href=|http://interlinearbible.org/1_samuel/4.htm| title=|Interlinear Bible| target=|_top|&gt;Interlin&lt;/a&gt;</v>
      </c>
      <c r="Y240" t="str">
        <f t="shared" ref="Y240" si="957">CONCATENATE("&lt;/li&gt;&lt;li&gt;&lt;a href=|http://",Y1191,"/1_samuel/4.htm","| ","title=|",Y1190,"| target=|_top|&gt;",Y1192,"&lt;/a&gt;")</f>
        <v>&lt;/li&gt;&lt;li&gt;&lt;a href=|http://bibleoutline.org/1_samuel/4.htm| title=|Outline with People and Places List| target=|_top|&gt;Outline&lt;/a&gt;</v>
      </c>
      <c r="Z240" t="str">
        <f t="shared" si="956"/>
        <v>&lt;/li&gt;&lt;li&gt;&lt;a href=|http://kjvs.scripturetext.com/1_samuel/4.htm| title=|King James Bible with Strong's Numbers| target=|_top|&gt;Strong's&lt;/a&gt;</v>
      </c>
      <c r="AA240" t="str">
        <f t="shared" si="956"/>
        <v>&lt;/li&gt;&lt;li&gt;&lt;a href=|http://childrensbibleonline.com/1_samuel/4.htm| title=|The Children's Bible| target=|_top|&gt;Children's&lt;/a&gt;</v>
      </c>
      <c r="AB240" s="2" t="str">
        <f t="shared" si="956"/>
        <v>&lt;/li&gt;&lt;li&gt;&lt;a href=|http://tsk.scripturetext.com/1_samuel/4.htm| title=|Treasury of Scripture Knowledge| target=|_top|&gt;TSK&lt;/a&gt;</v>
      </c>
      <c r="AC240" t="str">
        <f>CONCATENATE("&lt;a href=|http://",AC1191,"/1_samuel/4.htm","| ","title=|",AC1190,"| target=|_top|&gt;",AC1192,"&lt;/a&gt;")</f>
        <v>&lt;a href=|http://parallelbible.com/1_samuel/4.htm| title=|Parallel Chapters| target=|_top|&gt;PAR&lt;/a&gt;</v>
      </c>
      <c r="AD240" s="2" t="str">
        <f t="shared" ref="AD240:AK240" si="958">CONCATENATE("&lt;/li&gt;&lt;li&gt;&lt;a href=|http://",AD1191,"/1_samuel/4.htm","| ","title=|",AD1190,"| target=|_top|&gt;",AD1192,"&lt;/a&gt;")</f>
        <v>&lt;/li&gt;&lt;li&gt;&lt;a href=|http://gsb.biblecommenter.com/1_samuel/4.htm| title=|Geneva Study Bible| target=|_top|&gt;GSB&lt;/a&gt;</v>
      </c>
      <c r="AE240" s="2" t="str">
        <f t="shared" si="958"/>
        <v>&lt;/li&gt;&lt;li&gt;&lt;a href=|http://jfb.biblecommenter.com/1_samuel/4.htm| title=|Jamieson-Fausset-Brown Bible Commentary| target=|_top|&gt;JFB&lt;/a&gt;</v>
      </c>
      <c r="AF240" s="2" t="str">
        <f t="shared" si="958"/>
        <v>&lt;/li&gt;&lt;li&gt;&lt;a href=|http://kjt.biblecommenter.com/1_samuel/4.htm| title=|King James Translators' Notes| target=|_top|&gt;KJT&lt;/a&gt;</v>
      </c>
      <c r="AG240" s="2" t="str">
        <f t="shared" si="958"/>
        <v>&lt;/li&gt;&lt;li&gt;&lt;a href=|http://mhc.biblecommenter.com/1_samuel/4.htm| title=|Matthew Henry's Concise Commentary| target=|_top|&gt;MHC&lt;/a&gt;</v>
      </c>
      <c r="AH240" s="2" t="str">
        <f t="shared" si="958"/>
        <v>&lt;/li&gt;&lt;li&gt;&lt;a href=|http://sco.biblecommenter.com/1_samuel/4.htm| title=|Scofield Reference Notes| target=|_top|&gt;SCO&lt;/a&gt;</v>
      </c>
      <c r="AI240" s="2" t="str">
        <f t="shared" si="958"/>
        <v>&lt;/li&gt;&lt;li&gt;&lt;a href=|http://wes.biblecommenter.com/1_samuel/4.htm| title=|Wesley's Notes on the Bible| target=|_top|&gt;WES&lt;/a&gt;</v>
      </c>
      <c r="AJ240" t="str">
        <f t="shared" si="958"/>
        <v>&lt;/li&gt;&lt;li&gt;&lt;a href=|http://worldebible.com/1_samuel/4.htm| title=|World English Bible| target=|_top|&gt;WEB&lt;/a&gt;</v>
      </c>
      <c r="AK240" t="str">
        <f t="shared" si="958"/>
        <v>&lt;/li&gt;&lt;li&gt;&lt;a href=|http://yltbible.com/1_samuel/4.htm| title=|Young's Literal Translation| target=|_top|&gt;YLT&lt;/a&gt;</v>
      </c>
      <c r="AL240" t="str">
        <f>CONCATENATE("&lt;a href=|http://",AL1191,"/1_samuel/4.htm","| ","title=|",AL1190,"| target=|_top|&gt;",AL1192,"&lt;/a&gt;")</f>
        <v>&lt;a href=|http://kjv.us/1_samuel/4.htm| title=|American King James Version| target=|_top|&gt;AKJ&lt;/a&gt;</v>
      </c>
      <c r="AM240" t="str">
        <f t="shared" ref="AM240:AN240" si="959">CONCATENATE("&lt;/li&gt;&lt;li&gt;&lt;a href=|http://",AM1191,"/1_samuel/4.htm","| ","title=|",AM1190,"| target=|_top|&gt;",AM1192,"&lt;/a&gt;")</f>
        <v>&lt;/li&gt;&lt;li&gt;&lt;a href=|http://basicenglishbible.com/1_samuel/4.htm| title=|Bible in Basic English| target=|_top|&gt;BBE&lt;/a&gt;</v>
      </c>
      <c r="AN240" t="str">
        <f t="shared" si="959"/>
        <v>&lt;/li&gt;&lt;li&gt;&lt;a href=|http://darbybible.com/1_samuel/4.htm| title=|Darby Bible Translation| target=|_top|&gt;DBY&lt;/a&gt;</v>
      </c>
      <c r="AO24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4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4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40" t="str">
        <f>CONCATENATE("&lt;/li&gt;&lt;li&gt;&lt;a href=|http://",AR1191,"/1_samuel/4.htm","| ","title=|",AR1190,"| target=|_top|&gt;",AR1192,"&lt;/a&gt;")</f>
        <v>&lt;/li&gt;&lt;li&gt;&lt;a href=|http://websterbible.com/1_samuel/4.htm| title=|Webster's Bible Translation| target=|_top|&gt;WBS&lt;/a&gt;</v>
      </c>
      <c r="AS24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40" t="str">
        <f>CONCATENATE("&lt;/li&gt;&lt;li&gt;&lt;a href=|http://",AT1191,"/1_samuel/4-1.htm","| ","title=|",AT1190,"| target=|_top|&gt;",AT1192,"&lt;/a&gt;")</f>
        <v>&lt;/li&gt;&lt;li&gt;&lt;a href=|http://biblebrowser.com/1_samuel/4-1.htm| title=|Split View| target=|_top|&gt;Split&lt;/a&gt;</v>
      </c>
      <c r="AU240" s="2" t="s">
        <v>1276</v>
      </c>
      <c r="AV240" t="s">
        <v>64</v>
      </c>
    </row>
    <row r="241" spans="1:48">
      <c r="A241" t="s">
        <v>622</v>
      </c>
      <c r="B241" t="s">
        <v>294</v>
      </c>
      <c r="C241" t="s">
        <v>624</v>
      </c>
      <c r="D241" t="s">
        <v>1268</v>
      </c>
      <c r="E241" t="s">
        <v>1277</v>
      </c>
      <c r="F241" t="s">
        <v>1304</v>
      </c>
      <c r="G241" t="s">
        <v>1266</v>
      </c>
      <c r="H241" t="s">
        <v>1305</v>
      </c>
      <c r="I241" t="s">
        <v>1303</v>
      </c>
      <c r="J241" t="s">
        <v>1267</v>
      </c>
      <c r="K241" t="s">
        <v>1275</v>
      </c>
      <c r="L241" s="2" t="s">
        <v>1274</v>
      </c>
      <c r="M241" t="str">
        <f t="shared" ref="M241:AB241" si="960">CONCATENATE("&lt;/li&gt;&lt;li&gt;&lt;a href=|http://",M1191,"/1_samuel/5.htm","| ","title=|",M1190,"| target=|_top|&gt;",M1192,"&lt;/a&gt;")</f>
        <v>&lt;/li&gt;&lt;li&gt;&lt;a href=|http://niv.scripturetext.com/1_samuel/5.htm| title=|New International Version| target=|_top|&gt;NIV&lt;/a&gt;</v>
      </c>
      <c r="N241" t="str">
        <f t="shared" si="960"/>
        <v>&lt;/li&gt;&lt;li&gt;&lt;a href=|http://nlt.scripturetext.com/1_samuel/5.htm| title=|New Living Translation| target=|_top|&gt;NLT&lt;/a&gt;</v>
      </c>
      <c r="O241" t="str">
        <f t="shared" si="960"/>
        <v>&lt;/li&gt;&lt;li&gt;&lt;a href=|http://nasb.scripturetext.com/1_samuel/5.htm| title=|New American Standard Bible| target=|_top|&gt;NAS&lt;/a&gt;</v>
      </c>
      <c r="P241" t="str">
        <f t="shared" si="960"/>
        <v>&lt;/li&gt;&lt;li&gt;&lt;a href=|http://gwt.scripturetext.com/1_samuel/5.htm| title=|God's Word Translation| target=|_top|&gt;GWT&lt;/a&gt;</v>
      </c>
      <c r="Q241" t="str">
        <f t="shared" si="960"/>
        <v>&lt;/li&gt;&lt;li&gt;&lt;a href=|http://kingjbible.com/1_samuel/5.htm| title=|King James Bible| target=|_top|&gt;KJV&lt;/a&gt;</v>
      </c>
      <c r="R241" t="str">
        <f t="shared" si="960"/>
        <v>&lt;/li&gt;&lt;li&gt;&lt;a href=|http://asvbible.com/1_samuel/5.htm| title=|American Standard Version| target=|_top|&gt;ASV&lt;/a&gt;</v>
      </c>
      <c r="S241" t="str">
        <f t="shared" si="960"/>
        <v>&lt;/li&gt;&lt;li&gt;&lt;a href=|http://drb.scripturetext.com/1_samuel/5.htm| title=|Douay-Rheims Bible| target=|_top|&gt;DRB&lt;/a&gt;</v>
      </c>
      <c r="T241" t="str">
        <f t="shared" si="960"/>
        <v>&lt;/li&gt;&lt;li&gt;&lt;a href=|http://erv.scripturetext.com/1_samuel/5.htm| title=|English Revised Version| target=|_top|&gt;ERV&lt;/a&gt;</v>
      </c>
      <c r="V241" t="str">
        <f>CONCATENATE("&lt;/li&gt;&lt;li&gt;&lt;a href=|http://",V1191,"/1_samuel/5.htm","| ","title=|",V1190,"| target=|_top|&gt;",V1192,"&lt;/a&gt;")</f>
        <v>&lt;/li&gt;&lt;li&gt;&lt;a href=|http://study.interlinearbible.org/1_samuel/5.htm| title=|Hebrew Study Bible| target=|_top|&gt;Heb Study&lt;/a&gt;</v>
      </c>
      <c r="W241" t="str">
        <f t="shared" si="960"/>
        <v>&lt;/li&gt;&lt;li&gt;&lt;a href=|http://apostolic.interlinearbible.org/1_samuel/5.htm| title=|Apostolic Bible Polyglot Interlinear| target=|_top|&gt;Polyglot&lt;/a&gt;</v>
      </c>
      <c r="X241" t="str">
        <f t="shared" si="960"/>
        <v>&lt;/li&gt;&lt;li&gt;&lt;a href=|http://interlinearbible.org/1_samuel/5.htm| title=|Interlinear Bible| target=|_top|&gt;Interlin&lt;/a&gt;</v>
      </c>
      <c r="Y241" t="str">
        <f t="shared" ref="Y241" si="961">CONCATENATE("&lt;/li&gt;&lt;li&gt;&lt;a href=|http://",Y1191,"/1_samuel/5.htm","| ","title=|",Y1190,"| target=|_top|&gt;",Y1192,"&lt;/a&gt;")</f>
        <v>&lt;/li&gt;&lt;li&gt;&lt;a href=|http://bibleoutline.org/1_samuel/5.htm| title=|Outline with People and Places List| target=|_top|&gt;Outline&lt;/a&gt;</v>
      </c>
      <c r="Z241" t="str">
        <f t="shared" si="960"/>
        <v>&lt;/li&gt;&lt;li&gt;&lt;a href=|http://kjvs.scripturetext.com/1_samuel/5.htm| title=|King James Bible with Strong's Numbers| target=|_top|&gt;Strong's&lt;/a&gt;</v>
      </c>
      <c r="AA241" t="str">
        <f t="shared" si="960"/>
        <v>&lt;/li&gt;&lt;li&gt;&lt;a href=|http://childrensbibleonline.com/1_samuel/5.htm| title=|The Children's Bible| target=|_top|&gt;Children's&lt;/a&gt;</v>
      </c>
      <c r="AB241" s="2" t="str">
        <f t="shared" si="960"/>
        <v>&lt;/li&gt;&lt;li&gt;&lt;a href=|http://tsk.scripturetext.com/1_samuel/5.htm| title=|Treasury of Scripture Knowledge| target=|_top|&gt;TSK&lt;/a&gt;</v>
      </c>
      <c r="AC241" t="str">
        <f>CONCATENATE("&lt;a href=|http://",AC1191,"/1_samuel/5.htm","| ","title=|",AC1190,"| target=|_top|&gt;",AC1192,"&lt;/a&gt;")</f>
        <v>&lt;a href=|http://parallelbible.com/1_samuel/5.htm| title=|Parallel Chapters| target=|_top|&gt;PAR&lt;/a&gt;</v>
      </c>
      <c r="AD241" s="2" t="str">
        <f t="shared" ref="AD241:AK241" si="962">CONCATENATE("&lt;/li&gt;&lt;li&gt;&lt;a href=|http://",AD1191,"/1_samuel/5.htm","| ","title=|",AD1190,"| target=|_top|&gt;",AD1192,"&lt;/a&gt;")</f>
        <v>&lt;/li&gt;&lt;li&gt;&lt;a href=|http://gsb.biblecommenter.com/1_samuel/5.htm| title=|Geneva Study Bible| target=|_top|&gt;GSB&lt;/a&gt;</v>
      </c>
      <c r="AE241" s="2" t="str">
        <f t="shared" si="962"/>
        <v>&lt;/li&gt;&lt;li&gt;&lt;a href=|http://jfb.biblecommenter.com/1_samuel/5.htm| title=|Jamieson-Fausset-Brown Bible Commentary| target=|_top|&gt;JFB&lt;/a&gt;</v>
      </c>
      <c r="AF241" s="2" t="str">
        <f t="shared" si="962"/>
        <v>&lt;/li&gt;&lt;li&gt;&lt;a href=|http://kjt.biblecommenter.com/1_samuel/5.htm| title=|King James Translators' Notes| target=|_top|&gt;KJT&lt;/a&gt;</v>
      </c>
      <c r="AG241" s="2" t="str">
        <f t="shared" si="962"/>
        <v>&lt;/li&gt;&lt;li&gt;&lt;a href=|http://mhc.biblecommenter.com/1_samuel/5.htm| title=|Matthew Henry's Concise Commentary| target=|_top|&gt;MHC&lt;/a&gt;</v>
      </c>
      <c r="AH241" s="2" t="str">
        <f t="shared" si="962"/>
        <v>&lt;/li&gt;&lt;li&gt;&lt;a href=|http://sco.biblecommenter.com/1_samuel/5.htm| title=|Scofield Reference Notes| target=|_top|&gt;SCO&lt;/a&gt;</v>
      </c>
      <c r="AI241" s="2" t="str">
        <f t="shared" si="962"/>
        <v>&lt;/li&gt;&lt;li&gt;&lt;a href=|http://wes.biblecommenter.com/1_samuel/5.htm| title=|Wesley's Notes on the Bible| target=|_top|&gt;WES&lt;/a&gt;</v>
      </c>
      <c r="AJ241" t="str">
        <f t="shared" si="962"/>
        <v>&lt;/li&gt;&lt;li&gt;&lt;a href=|http://worldebible.com/1_samuel/5.htm| title=|World English Bible| target=|_top|&gt;WEB&lt;/a&gt;</v>
      </c>
      <c r="AK241" t="str">
        <f t="shared" si="962"/>
        <v>&lt;/li&gt;&lt;li&gt;&lt;a href=|http://yltbible.com/1_samuel/5.htm| title=|Young's Literal Translation| target=|_top|&gt;YLT&lt;/a&gt;</v>
      </c>
      <c r="AL241" t="str">
        <f>CONCATENATE("&lt;a href=|http://",AL1191,"/1_samuel/5.htm","| ","title=|",AL1190,"| target=|_top|&gt;",AL1192,"&lt;/a&gt;")</f>
        <v>&lt;a href=|http://kjv.us/1_samuel/5.htm| title=|American King James Version| target=|_top|&gt;AKJ&lt;/a&gt;</v>
      </c>
      <c r="AM241" t="str">
        <f t="shared" ref="AM241:AN241" si="963">CONCATENATE("&lt;/li&gt;&lt;li&gt;&lt;a href=|http://",AM1191,"/1_samuel/5.htm","| ","title=|",AM1190,"| target=|_top|&gt;",AM1192,"&lt;/a&gt;")</f>
        <v>&lt;/li&gt;&lt;li&gt;&lt;a href=|http://basicenglishbible.com/1_samuel/5.htm| title=|Bible in Basic English| target=|_top|&gt;BBE&lt;/a&gt;</v>
      </c>
      <c r="AN241" t="str">
        <f t="shared" si="963"/>
        <v>&lt;/li&gt;&lt;li&gt;&lt;a href=|http://darbybible.com/1_samuel/5.htm| title=|Darby Bible Translation| target=|_top|&gt;DBY&lt;/a&gt;</v>
      </c>
      <c r="AO24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4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4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41" t="str">
        <f>CONCATENATE("&lt;/li&gt;&lt;li&gt;&lt;a href=|http://",AR1191,"/1_samuel/5.htm","| ","title=|",AR1190,"| target=|_top|&gt;",AR1192,"&lt;/a&gt;")</f>
        <v>&lt;/li&gt;&lt;li&gt;&lt;a href=|http://websterbible.com/1_samuel/5.htm| title=|Webster's Bible Translation| target=|_top|&gt;WBS&lt;/a&gt;</v>
      </c>
      <c r="AS24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41" t="str">
        <f>CONCATENATE("&lt;/li&gt;&lt;li&gt;&lt;a href=|http://",AT1191,"/1_samuel/5-1.htm","| ","title=|",AT1190,"| target=|_top|&gt;",AT1192,"&lt;/a&gt;")</f>
        <v>&lt;/li&gt;&lt;li&gt;&lt;a href=|http://biblebrowser.com/1_samuel/5-1.htm| title=|Split View| target=|_top|&gt;Split&lt;/a&gt;</v>
      </c>
      <c r="AU241" s="2" t="s">
        <v>1276</v>
      </c>
      <c r="AV241" t="s">
        <v>64</v>
      </c>
    </row>
    <row r="242" spans="1:48">
      <c r="A242" t="s">
        <v>622</v>
      </c>
      <c r="B242" t="s">
        <v>295</v>
      </c>
      <c r="C242" t="s">
        <v>624</v>
      </c>
      <c r="D242" t="s">
        <v>1268</v>
      </c>
      <c r="E242" t="s">
        <v>1277</v>
      </c>
      <c r="F242" t="s">
        <v>1304</v>
      </c>
      <c r="G242" t="s">
        <v>1266</v>
      </c>
      <c r="H242" t="s">
        <v>1305</v>
      </c>
      <c r="I242" t="s">
        <v>1303</v>
      </c>
      <c r="J242" t="s">
        <v>1267</v>
      </c>
      <c r="K242" t="s">
        <v>1275</v>
      </c>
      <c r="L242" s="2" t="s">
        <v>1274</v>
      </c>
      <c r="M242" t="str">
        <f t="shared" ref="M242:AB242" si="964">CONCATENATE("&lt;/li&gt;&lt;li&gt;&lt;a href=|http://",M1191,"/1_samuel/6.htm","| ","title=|",M1190,"| target=|_top|&gt;",M1192,"&lt;/a&gt;")</f>
        <v>&lt;/li&gt;&lt;li&gt;&lt;a href=|http://niv.scripturetext.com/1_samuel/6.htm| title=|New International Version| target=|_top|&gt;NIV&lt;/a&gt;</v>
      </c>
      <c r="N242" t="str">
        <f t="shared" si="964"/>
        <v>&lt;/li&gt;&lt;li&gt;&lt;a href=|http://nlt.scripturetext.com/1_samuel/6.htm| title=|New Living Translation| target=|_top|&gt;NLT&lt;/a&gt;</v>
      </c>
      <c r="O242" t="str">
        <f t="shared" si="964"/>
        <v>&lt;/li&gt;&lt;li&gt;&lt;a href=|http://nasb.scripturetext.com/1_samuel/6.htm| title=|New American Standard Bible| target=|_top|&gt;NAS&lt;/a&gt;</v>
      </c>
      <c r="P242" t="str">
        <f t="shared" si="964"/>
        <v>&lt;/li&gt;&lt;li&gt;&lt;a href=|http://gwt.scripturetext.com/1_samuel/6.htm| title=|God's Word Translation| target=|_top|&gt;GWT&lt;/a&gt;</v>
      </c>
      <c r="Q242" t="str">
        <f t="shared" si="964"/>
        <v>&lt;/li&gt;&lt;li&gt;&lt;a href=|http://kingjbible.com/1_samuel/6.htm| title=|King James Bible| target=|_top|&gt;KJV&lt;/a&gt;</v>
      </c>
      <c r="R242" t="str">
        <f t="shared" si="964"/>
        <v>&lt;/li&gt;&lt;li&gt;&lt;a href=|http://asvbible.com/1_samuel/6.htm| title=|American Standard Version| target=|_top|&gt;ASV&lt;/a&gt;</v>
      </c>
      <c r="S242" t="str">
        <f t="shared" si="964"/>
        <v>&lt;/li&gt;&lt;li&gt;&lt;a href=|http://drb.scripturetext.com/1_samuel/6.htm| title=|Douay-Rheims Bible| target=|_top|&gt;DRB&lt;/a&gt;</v>
      </c>
      <c r="T242" t="str">
        <f t="shared" si="964"/>
        <v>&lt;/li&gt;&lt;li&gt;&lt;a href=|http://erv.scripturetext.com/1_samuel/6.htm| title=|English Revised Version| target=|_top|&gt;ERV&lt;/a&gt;</v>
      </c>
      <c r="V242" t="str">
        <f>CONCATENATE("&lt;/li&gt;&lt;li&gt;&lt;a href=|http://",V1191,"/1_samuel/6.htm","| ","title=|",V1190,"| target=|_top|&gt;",V1192,"&lt;/a&gt;")</f>
        <v>&lt;/li&gt;&lt;li&gt;&lt;a href=|http://study.interlinearbible.org/1_samuel/6.htm| title=|Hebrew Study Bible| target=|_top|&gt;Heb Study&lt;/a&gt;</v>
      </c>
      <c r="W242" t="str">
        <f t="shared" si="964"/>
        <v>&lt;/li&gt;&lt;li&gt;&lt;a href=|http://apostolic.interlinearbible.org/1_samuel/6.htm| title=|Apostolic Bible Polyglot Interlinear| target=|_top|&gt;Polyglot&lt;/a&gt;</v>
      </c>
      <c r="X242" t="str">
        <f t="shared" si="964"/>
        <v>&lt;/li&gt;&lt;li&gt;&lt;a href=|http://interlinearbible.org/1_samuel/6.htm| title=|Interlinear Bible| target=|_top|&gt;Interlin&lt;/a&gt;</v>
      </c>
      <c r="Y242" t="str">
        <f t="shared" ref="Y242" si="965">CONCATENATE("&lt;/li&gt;&lt;li&gt;&lt;a href=|http://",Y1191,"/1_samuel/6.htm","| ","title=|",Y1190,"| target=|_top|&gt;",Y1192,"&lt;/a&gt;")</f>
        <v>&lt;/li&gt;&lt;li&gt;&lt;a href=|http://bibleoutline.org/1_samuel/6.htm| title=|Outline with People and Places List| target=|_top|&gt;Outline&lt;/a&gt;</v>
      </c>
      <c r="Z242" t="str">
        <f t="shared" si="964"/>
        <v>&lt;/li&gt;&lt;li&gt;&lt;a href=|http://kjvs.scripturetext.com/1_samuel/6.htm| title=|King James Bible with Strong's Numbers| target=|_top|&gt;Strong's&lt;/a&gt;</v>
      </c>
      <c r="AA242" t="str">
        <f t="shared" si="964"/>
        <v>&lt;/li&gt;&lt;li&gt;&lt;a href=|http://childrensbibleonline.com/1_samuel/6.htm| title=|The Children's Bible| target=|_top|&gt;Children's&lt;/a&gt;</v>
      </c>
      <c r="AB242" s="2" t="str">
        <f t="shared" si="964"/>
        <v>&lt;/li&gt;&lt;li&gt;&lt;a href=|http://tsk.scripturetext.com/1_samuel/6.htm| title=|Treasury of Scripture Knowledge| target=|_top|&gt;TSK&lt;/a&gt;</v>
      </c>
      <c r="AC242" t="str">
        <f>CONCATENATE("&lt;a href=|http://",AC1191,"/1_samuel/6.htm","| ","title=|",AC1190,"| target=|_top|&gt;",AC1192,"&lt;/a&gt;")</f>
        <v>&lt;a href=|http://parallelbible.com/1_samuel/6.htm| title=|Parallel Chapters| target=|_top|&gt;PAR&lt;/a&gt;</v>
      </c>
      <c r="AD242" s="2" t="str">
        <f t="shared" ref="AD242:AK242" si="966">CONCATENATE("&lt;/li&gt;&lt;li&gt;&lt;a href=|http://",AD1191,"/1_samuel/6.htm","| ","title=|",AD1190,"| target=|_top|&gt;",AD1192,"&lt;/a&gt;")</f>
        <v>&lt;/li&gt;&lt;li&gt;&lt;a href=|http://gsb.biblecommenter.com/1_samuel/6.htm| title=|Geneva Study Bible| target=|_top|&gt;GSB&lt;/a&gt;</v>
      </c>
      <c r="AE242" s="2" t="str">
        <f t="shared" si="966"/>
        <v>&lt;/li&gt;&lt;li&gt;&lt;a href=|http://jfb.biblecommenter.com/1_samuel/6.htm| title=|Jamieson-Fausset-Brown Bible Commentary| target=|_top|&gt;JFB&lt;/a&gt;</v>
      </c>
      <c r="AF242" s="2" t="str">
        <f t="shared" si="966"/>
        <v>&lt;/li&gt;&lt;li&gt;&lt;a href=|http://kjt.biblecommenter.com/1_samuel/6.htm| title=|King James Translators' Notes| target=|_top|&gt;KJT&lt;/a&gt;</v>
      </c>
      <c r="AG242" s="2" t="str">
        <f t="shared" si="966"/>
        <v>&lt;/li&gt;&lt;li&gt;&lt;a href=|http://mhc.biblecommenter.com/1_samuel/6.htm| title=|Matthew Henry's Concise Commentary| target=|_top|&gt;MHC&lt;/a&gt;</v>
      </c>
      <c r="AH242" s="2" t="str">
        <f t="shared" si="966"/>
        <v>&lt;/li&gt;&lt;li&gt;&lt;a href=|http://sco.biblecommenter.com/1_samuel/6.htm| title=|Scofield Reference Notes| target=|_top|&gt;SCO&lt;/a&gt;</v>
      </c>
      <c r="AI242" s="2" t="str">
        <f t="shared" si="966"/>
        <v>&lt;/li&gt;&lt;li&gt;&lt;a href=|http://wes.biblecommenter.com/1_samuel/6.htm| title=|Wesley's Notes on the Bible| target=|_top|&gt;WES&lt;/a&gt;</v>
      </c>
      <c r="AJ242" t="str">
        <f t="shared" si="966"/>
        <v>&lt;/li&gt;&lt;li&gt;&lt;a href=|http://worldebible.com/1_samuel/6.htm| title=|World English Bible| target=|_top|&gt;WEB&lt;/a&gt;</v>
      </c>
      <c r="AK242" t="str">
        <f t="shared" si="966"/>
        <v>&lt;/li&gt;&lt;li&gt;&lt;a href=|http://yltbible.com/1_samuel/6.htm| title=|Young's Literal Translation| target=|_top|&gt;YLT&lt;/a&gt;</v>
      </c>
      <c r="AL242" t="str">
        <f>CONCATENATE("&lt;a href=|http://",AL1191,"/1_samuel/6.htm","| ","title=|",AL1190,"| target=|_top|&gt;",AL1192,"&lt;/a&gt;")</f>
        <v>&lt;a href=|http://kjv.us/1_samuel/6.htm| title=|American King James Version| target=|_top|&gt;AKJ&lt;/a&gt;</v>
      </c>
      <c r="AM242" t="str">
        <f t="shared" ref="AM242:AN242" si="967">CONCATENATE("&lt;/li&gt;&lt;li&gt;&lt;a href=|http://",AM1191,"/1_samuel/6.htm","| ","title=|",AM1190,"| target=|_top|&gt;",AM1192,"&lt;/a&gt;")</f>
        <v>&lt;/li&gt;&lt;li&gt;&lt;a href=|http://basicenglishbible.com/1_samuel/6.htm| title=|Bible in Basic English| target=|_top|&gt;BBE&lt;/a&gt;</v>
      </c>
      <c r="AN242" t="str">
        <f t="shared" si="967"/>
        <v>&lt;/li&gt;&lt;li&gt;&lt;a href=|http://darbybible.com/1_samuel/6.htm| title=|Darby Bible Translation| target=|_top|&gt;DBY&lt;/a&gt;</v>
      </c>
      <c r="AO24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4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4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42" t="str">
        <f>CONCATENATE("&lt;/li&gt;&lt;li&gt;&lt;a href=|http://",AR1191,"/1_samuel/6.htm","| ","title=|",AR1190,"| target=|_top|&gt;",AR1192,"&lt;/a&gt;")</f>
        <v>&lt;/li&gt;&lt;li&gt;&lt;a href=|http://websterbible.com/1_samuel/6.htm| title=|Webster's Bible Translation| target=|_top|&gt;WBS&lt;/a&gt;</v>
      </c>
      <c r="AS24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42" t="str">
        <f>CONCATENATE("&lt;/li&gt;&lt;li&gt;&lt;a href=|http://",AT1191,"/1_samuel/6-1.htm","| ","title=|",AT1190,"| target=|_top|&gt;",AT1192,"&lt;/a&gt;")</f>
        <v>&lt;/li&gt;&lt;li&gt;&lt;a href=|http://biblebrowser.com/1_samuel/6-1.htm| title=|Split View| target=|_top|&gt;Split&lt;/a&gt;</v>
      </c>
      <c r="AU242" s="2" t="s">
        <v>1276</v>
      </c>
      <c r="AV242" t="s">
        <v>64</v>
      </c>
    </row>
    <row r="243" spans="1:48">
      <c r="A243" t="s">
        <v>622</v>
      </c>
      <c r="B243" t="s">
        <v>296</v>
      </c>
      <c r="C243" t="s">
        <v>624</v>
      </c>
      <c r="D243" t="s">
        <v>1268</v>
      </c>
      <c r="E243" t="s">
        <v>1277</v>
      </c>
      <c r="F243" t="s">
        <v>1304</v>
      </c>
      <c r="G243" t="s">
        <v>1266</v>
      </c>
      <c r="H243" t="s">
        <v>1305</v>
      </c>
      <c r="I243" t="s">
        <v>1303</v>
      </c>
      <c r="J243" t="s">
        <v>1267</v>
      </c>
      <c r="K243" t="s">
        <v>1275</v>
      </c>
      <c r="L243" s="2" t="s">
        <v>1274</v>
      </c>
      <c r="M243" t="str">
        <f t="shared" ref="M243:AB243" si="968">CONCATENATE("&lt;/li&gt;&lt;li&gt;&lt;a href=|http://",M1191,"/1_samuel/7.htm","| ","title=|",M1190,"| target=|_top|&gt;",M1192,"&lt;/a&gt;")</f>
        <v>&lt;/li&gt;&lt;li&gt;&lt;a href=|http://niv.scripturetext.com/1_samuel/7.htm| title=|New International Version| target=|_top|&gt;NIV&lt;/a&gt;</v>
      </c>
      <c r="N243" t="str">
        <f t="shared" si="968"/>
        <v>&lt;/li&gt;&lt;li&gt;&lt;a href=|http://nlt.scripturetext.com/1_samuel/7.htm| title=|New Living Translation| target=|_top|&gt;NLT&lt;/a&gt;</v>
      </c>
      <c r="O243" t="str">
        <f t="shared" si="968"/>
        <v>&lt;/li&gt;&lt;li&gt;&lt;a href=|http://nasb.scripturetext.com/1_samuel/7.htm| title=|New American Standard Bible| target=|_top|&gt;NAS&lt;/a&gt;</v>
      </c>
      <c r="P243" t="str">
        <f t="shared" si="968"/>
        <v>&lt;/li&gt;&lt;li&gt;&lt;a href=|http://gwt.scripturetext.com/1_samuel/7.htm| title=|God's Word Translation| target=|_top|&gt;GWT&lt;/a&gt;</v>
      </c>
      <c r="Q243" t="str">
        <f t="shared" si="968"/>
        <v>&lt;/li&gt;&lt;li&gt;&lt;a href=|http://kingjbible.com/1_samuel/7.htm| title=|King James Bible| target=|_top|&gt;KJV&lt;/a&gt;</v>
      </c>
      <c r="R243" t="str">
        <f t="shared" si="968"/>
        <v>&lt;/li&gt;&lt;li&gt;&lt;a href=|http://asvbible.com/1_samuel/7.htm| title=|American Standard Version| target=|_top|&gt;ASV&lt;/a&gt;</v>
      </c>
      <c r="S243" t="str">
        <f t="shared" si="968"/>
        <v>&lt;/li&gt;&lt;li&gt;&lt;a href=|http://drb.scripturetext.com/1_samuel/7.htm| title=|Douay-Rheims Bible| target=|_top|&gt;DRB&lt;/a&gt;</v>
      </c>
      <c r="T243" t="str">
        <f t="shared" si="968"/>
        <v>&lt;/li&gt;&lt;li&gt;&lt;a href=|http://erv.scripturetext.com/1_samuel/7.htm| title=|English Revised Version| target=|_top|&gt;ERV&lt;/a&gt;</v>
      </c>
      <c r="V243" t="str">
        <f>CONCATENATE("&lt;/li&gt;&lt;li&gt;&lt;a href=|http://",V1191,"/1_samuel/7.htm","| ","title=|",V1190,"| target=|_top|&gt;",V1192,"&lt;/a&gt;")</f>
        <v>&lt;/li&gt;&lt;li&gt;&lt;a href=|http://study.interlinearbible.org/1_samuel/7.htm| title=|Hebrew Study Bible| target=|_top|&gt;Heb Study&lt;/a&gt;</v>
      </c>
      <c r="W243" t="str">
        <f t="shared" si="968"/>
        <v>&lt;/li&gt;&lt;li&gt;&lt;a href=|http://apostolic.interlinearbible.org/1_samuel/7.htm| title=|Apostolic Bible Polyglot Interlinear| target=|_top|&gt;Polyglot&lt;/a&gt;</v>
      </c>
      <c r="X243" t="str">
        <f t="shared" si="968"/>
        <v>&lt;/li&gt;&lt;li&gt;&lt;a href=|http://interlinearbible.org/1_samuel/7.htm| title=|Interlinear Bible| target=|_top|&gt;Interlin&lt;/a&gt;</v>
      </c>
      <c r="Y243" t="str">
        <f t="shared" ref="Y243" si="969">CONCATENATE("&lt;/li&gt;&lt;li&gt;&lt;a href=|http://",Y1191,"/1_samuel/7.htm","| ","title=|",Y1190,"| target=|_top|&gt;",Y1192,"&lt;/a&gt;")</f>
        <v>&lt;/li&gt;&lt;li&gt;&lt;a href=|http://bibleoutline.org/1_samuel/7.htm| title=|Outline with People and Places List| target=|_top|&gt;Outline&lt;/a&gt;</v>
      </c>
      <c r="Z243" t="str">
        <f t="shared" si="968"/>
        <v>&lt;/li&gt;&lt;li&gt;&lt;a href=|http://kjvs.scripturetext.com/1_samuel/7.htm| title=|King James Bible with Strong's Numbers| target=|_top|&gt;Strong's&lt;/a&gt;</v>
      </c>
      <c r="AA243" t="str">
        <f t="shared" si="968"/>
        <v>&lt;/li&gt;&lt;li&gt;&lt;a href=|http://childrensbibleonline.com/1_samuel/7.htm| title=|The Children's Bible| target=|_top|&gt;Children's&lt;/a&gt;</v>
      </c>
      <c r="AB243" s="2" t="str">
        <f t="shared" si="968"/>
        <v>&lt;/li&gt;&lt;li&gt;&lt;a href=|http://tsk.scripturetext.com/1_samuel/7.htm| title=|Treasury of Scripture Knowledge| target=|_top|&gt;TSK&lt;/a&gt;</v>
      </c>
      <c r="AC243" t="str">
        <f>CONCATENATE("&lt;a href=|http://",AC1191,"/1_samuel/7.htm","| ","title=|",AC1190,"| target=|_top|&gt;",AC1192,"&lt;/a&gt;")</f>
        <v>&lt;a href=|http://parallelbible.com/1_samuel/7.htm| title=|Parallel Chapters| target=|_top|&gt;PAR&lt;/a&gt;</v>
      </c>
      <c r="AD243" s="2" t="str">
        <f t="shared" ref="AD243:AK243" si="970">CONCATENATE("&lt;/li&gt;&lt;li&gt;&lt;a href=|http://",AD1191,"/1_samuel/7.htm","| ","title=|",AD1190,"| target=|_top|&gt;",AD1192,"&lt;/a&gt;")</f>
        <v>&lt;/li&gt;&lt;li&gt;&lt;a href=|http://gsb.biblecommenter.com/1_samuel/7.htm| title=|Geneva Study Bible| target=|_top|&gt;GSB&lt;/a&gt;</v>
      </c>
      <c r="AE243" s="2" t="str">
        <f t="shared" si="970"/>
        <v>&lt;/li&gt;&lt;li&gt;&lt;a href=|http://jfb.biblecommenter.com/1_samuel/7.htm| title=|Jamieson-Fausset-Brown Bible Commentary| target=|_top|&gt;JFB&lt;/a&gt;</v>
      </c>
      <c r="AF243" s="2" t="str">
        <f t="shared" si="970"/>
        <v>&lt;/li&gt;&lt;li&gt;&lt;a href=|http://kjt.biblecommenter.com/1_samuel/7.htm| title=|King James Translators' Notes| target=|_top|&gt;KJT&lt;/a&gt;</v>
      </c>
      <c r="AG243" s="2" t="str">
        <f t="shared" si="970"/>
        <v>&lt;/li&gt;&lt;li&gt;&lt;a href=|http://mhc.biblecommenter.com/1_samuel/7.htm| title=|Matthew Henry's Concise Commentary| target=|_top|&gt;MHC&lt;/a&gt;</v>
      </c>
      <c r="AH243" s="2" t="str">
        <f t="shared" si="970"/>
        <v>&lt;/li&gt;&lt;li&gt;&lt;a href=|http://sco.biblecommenter.com/1_samuel/7.htm| title=|Scofield Reference Notes| target=|_top|&gt;SCO&lt;/a&gt;</v>
      </c>
      <c r="AI243" s="2" t="str">
        <f t="shared" si="970"/>
        <v>&lt;/li&gt;&lt;li&gt;&lt;a href=|http://wes.biblecommenter.com/1_samuel/7.htm| title=|Wesley's Notes on the Bible| target=|_top|&gt;WES&lt;/a&gt;</v>
      </c>
      <c r="AJ243" t="str">
        <f t="shared" si="970"/>
        <v>&lt;/li&gt;&lt;li&gt;&lt;a href=|http://worldebible.com/1_samuel/7.htm| title=|World English Bible| target=|_top|&gt;WEB&lt;/a&gt;</v>
      </c>
      <c r="AK243" t="str">
        <f t="shared" si="970"/>
        <v>&lt;/li&gt;&lt;li&gt;&lt;a href=|http://yltbible.com/1_samuel/7.htm| title=|Young's Literal Translation| target=|_top|&gt;YLT&lt;/a&gt;</v>
      </c>
      <c r="AL243" t="str">
        <f>CONCATENATE("&lt;a href=|http://",AL1191,"/1_samuel/7.htm","| ","title=|",AL1190,"| target=|_top|&gt;",AL1192,"&lt;/a&gt;")</f>
        <v>&lt;a href=|http://kjv.us/1_samuel/7.htm| title=|American King James Version| target=|_top|&gt;AKJ&lt;/a&gt;</v>
      </c>
      <c r="AM243" t="str">
        <f t="shared" ref="AM243:AN243" si="971">CONCATENATE("&lt;/li&gt;&lt;li&gt;&lt;a href=|http://",AM1191,"/1_samuel/7.htm","| ","title=|",AM1190,"| target=|_top|&gt;",AM1192,"&lt;/a&gt;")</f>
        <v>&lt;/li&gt;&lt;li&gt;&lt;a href=|http://basicenglishbible.com/1_samuel/7.htm| title=|Bible in Basic English| target=|_top|&gt;BBE&lt;/a&gt;</v>
      </c>
      <c r="AN243" t="str">
        <f t="shared" si="971"/>
        <v>&lt;/li&gt;&lt;li&gt;&lt;a href=|http://darbybible.com/1_samuel/7.htm| title=|Darby Bible Translation| target=|_top|&gt;DBY&lt;/a&gt;</v>
      </c>
      <c r="AO24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4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4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43" t="str">
        <f>CONCATENATE("&lt;/li&gt;&lt;li&gt;&lt;a href=|http://",AR1191,"/1_samuel/7.htm","| ","title=|",AR1190,"| target=|_top|&gt;",AR1192,"&lt;/a&gt;")</f>
        <v>&lt;/li&gt;&lt;li&gt;&lt;a href=|http://websterbible.com/1_samuel/7.htm| title=|Webster's Bible Translation| target=|_top|&gt;WBS&lt;/a&gt;</v>
      </c>
      <c r="AS24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43" t="str">
        <f>CONCATENATE("&lt;/li&gt;&lt;li&gt;&lt;a href=|http://",AT1191,"/1_samuel/7-1.htm","| ","title=|",AT1190,"| target=|_top|&gt;",AT1192,"&lt;/a&gt;")</f>
        <v>&lt;/li&gt;&lt;li&gt;&lt;a href=|http://biblebrowser.com/1_samuel/7-1.htm| title=|Split View| target=|_top|&gt;Split&lt;/a&gt;</v>
      </c>
      <c r="AU243" s="2" t="s">
        <v>1276</v>
      </c>
      <c r="AV243" t="s">
        <v>64</v>
      </c>
    </row>
    <row r="244" spans="1:48">
      <c r="A244" t="s">
        <v>622</v>
      </c>
      <c r="B244" t="s">
        <v>297</v>
      </c>
      <c r="C244" t="s">
        <v>624</v>
      </c>
      <c r="D244" t="s">
        <v>1268</v>
      </c>
      <c r="E244" t="s">
        <v>1277</v>
      </c>
      <c r="F244" t="s">
        <v>1304</v>
      </c>
      <c r="G244" t="s">
        <v>1266</v>
      </c>
      <c r="H244" t="s">
        <v>1305</v>
      </c>
      <c r="I244" t="s">
        <v>1303</v>
      </c>
      <c r="J244" t="s">
        <v>1267</v>
      </c>
      <c r="K244" t="s">
        <v>1275</v>
      </c>
      <c r="L244" s="2" t="s">
        <v>1274</v>
      </c>
      <c r="M244" t="str">
        <f t="shared" ref="M244:AB244" si="972">CONCATENATE("&lt;/li&gt;&lt;li&gt;&lt;a href=|http://",M1191,"/1_samuel/8.htm","| ","title=|",M1190,"| target=|_top|&gt;",M1192,"&lt;/a&gt;")</f>
        <v>&lt;/li&gt;&lt;li&gt;&lt;a href=|http://niv.scripturetext.com/1_samuel/8.htm| title=|New International Version| target=|_top|&gt;NIV&lt;/a&gt;</v>
      </c>
      <c r="N244" t="str">
        <f t="shared" si="972"/>
        <v>&lt;/li&gt;&lt;li&gt;&lt;a href=|http://nlt.scripturetext.com/1_samuel/8.htm| title=|New Living Translation| target=|_top|&gt;NLT&lt;/a&gt;</v>
      </c>
      <c r="O244" t="str">
        <f t="shared" si="972"/>
        <v>&lt;/li&gt;&lt;li&gt;&lt;a href=|http://nasb.scripturetext.com/1_samuel/8.htm| title=|New American Standard Bible| target=|_top|&gt;NAS&lt;/a&gt;</v>
      </c>
      <c r="P244" t="str">
        <f t="shared" si="972"/>
        <v>&lt;/li&gt;&lt;li&gt;&lt;a href=|http://gwt.scripturetext.com/1_samuel/8.htm| title=|God's Word Translation| target=|_top|&gt;GWT&lt;/a&gt;</v>
      </c>
      <c r="Q244" t="str">
        <f t="shared" si="972"/>
        <v>&lt;/li&gt;&lt;li&gt;&lt;a href=|http://kingjbible.com/1_samuel/8.htm| title=|King James Bible| target=|_top|&gt;KJV&lt;/a&gt;</v>
      </c>
      <c r="R244" t="str">
        <f t="shared" si="972"/>
        <v>&lt;/li&gt;&lt;li&gt;&lt;a href=|http://asvbible.com/1_samuel/8.htm| title=|American Standard Version| target=|_top|&gt;ASV&lt;/a&gt;</v>
      </c>
      <c r="S244" t="str">
        <f t="shared" si="972"/>
        <v>&lt;/li&gt;&lt;li&gt;&lt;a href=|http://drb.scripturetext.com/1_samuel/8.htm| title=|Douay-Rheims Bible| target=|_top|&gt;DRB&lt;/a&gt;</v>
      </c>
      <c r="T244" t="str">
        <f t="shared" si="972"/>
        <v>&lt;/li&gt;&lt;li&gt;&lt;a href=|http://erv.scripturetext.com/1_samuel/8.htm| title=|English Revised Version| target=|_top|&gt;ERV&lt;/a&gt;</v>
      </c>
      <c r="V244" t="str">
        <f>CONCATENATE("&lt;/li&gt;&lt;li&gt;&lt;a href=|http://",V1191,"/1_samuel/8.htm","| ","title=|",V1190,"| target=|_top|&gt;",V1192,"&lt;/a&gt;")</f>
        <v>&lt;/li&gt;&lt;li&gt;&lt;a href=|http://study.interlinearbible.org/1_samuel/8.htm| title=|Hebrew Study Bible| target=|_top|&gt;Heb Study&lt;/a&gt;</v>
      </c>
      <c r="W244" t="str">
        <f t="shared" si="972"/>
        <v>&lt;/li&gt;&lt;li&gt;&lt;a href=|http://apostolic.interlinearbible.org/1_samuel/8.htm| title=|Apostolic Bible Polyglot Interlinear| target=|_top|&gt;Polyglot&lt;/a&gt;</v>
      </c>
      <c r="X244" t="str">
        <f t="shared" si="972"/>
        <v>&lt;/li&gt;&lt;li&gt;&lt;a href=|http://interlinearbible.org/1_samuel/8.htm| title=|Interlinear Bible| target=|_top|&gt;Interlin&lt;/a&gt;</v>
      </c>
      <c r="Y244" t="str">
        <f t="shared" ref="Y244" si="973">CONCATENATE("&lt;/li&gt;&lt;li&gt;&lt;a href=|http://",Y1191,"/1_samuel/8.htm","| ","title=|",Y1190,"| target=|_top|&gt;",Y1192,"&lt;/a&gt;")</f>
        <v>&lt;/li&gt;&lt;li&gt;&lt;a href=|http://bibleoutline.org/1_samuel/8.htm| title=|Outline with People and Places List| target=|_top|&gt;Outline&lt;/a&gt;</v>
      </c>
      <c r="Z244" t="str">
        <f t="shared" si="972"/>
        <v>&lt;/li&gt;&lt;li&gt;&lt;a href=|http://kjvs.scripturetext.com/1_samuel/8.htm| title=|King James Bible with Strong's Numbers| target=|_top|&gt;Strong's&lt;/a&gt;</v>
      </c>
      <c r="AA244" t="str">
        <f t="shared" si="972"/>
        <v>&lt;/li&gt;&lt;li&gt;&lt;a href=|http://childrensbibleonline.com/1_samuel/8.htm| title=|The Children's Bible| target=|_top|&gt;Children's&lt;/a&gt;</v>
      </c>
      <c r="AB244" s="2" t="str">
        <f t="shared" si="972"/>
        <v>&lt;/li&gt;&lt;li&gt;&lt;a href=|http://tsk.scripturetext.com/1_samuel/8.htm| title=|Treasury of Scripture Knowledge| target=|_top|&gt;TSK&lt;/a&gt;</v>
      </c>
      <c r="AC244" t="str">
        <f>CONCATENATE("&lt;a href=|http://",AC1191,"/1_samuel/8.htm","| ","title=|",AC1190,"| target=|_top|&gt;",AC1192,"&lt;/a&gt;")</f>
        <v>&lt;a href=|http://parallelbible.com/1_samuel/8.htm| title=|Parallel Chapters| target=|_top|&gt;PAR&lt;/a&gt;</v>
      </c>
      <c r="AD244" s="2" t="str">
        <f t="shared" ref="AD244:AK244" si="974">CONCATENATE("&lt;/li&gt;&lt;li&gt;&lt;a href=|http://",AD1191,"/1_samuel/8.htm","| ","title=|",AD1190,"| target=|_top|&gt;",AD1192,"&lt;/a&gt;")</f>
        <v>&lt;/li&gt;&lt;li&gt;&lt;a href=|http://gsb.biblecommenter.com/1_samuel/8.htm| title=|Geneva Study Bible| target=|_top|&gt;GSB&lt;/a&gt;</v>
      </c>
      <c r="AE244" s="2" t="str">
        <f t="shared" si="974"/>
        <v>&lt;/li&gt;&lt;li&gt;&lt;a href=|http://jfb.biblecommenter.com/1_samuel/8.htm| title=|Jamieson-Fausset-Brown Bible Commentary| target=|_top|&gt;JFB&lt;/a&gt;</v>
      </c>
      <c r="AF244" s="2" t="str">
        <f t="shared" si="974"/>
        <v>&lt;/li&gt;&lt;li&gt;&lt;a href=|http://kjt.biblecommenter.com/1_samuel/8.htm| title=|King James Translators' Notes| target=|_top|&gt;KJT&lt;/a&gt;</v>
      </c>
      <c r="AG244" s="2" t="str">
        <f t="shared" si="974"/>
        <v>&lt;/li&gt;&lt;li&gt;&lt;a href=|http://mhc.biblecommenter.com/1_samuel/8.htm| title=|Matthew Henry's Concise Commentary| target=|_top|&gt;MHC&lt;/a&gt;</v>
      </c>
      <c r="AH244" s="2" t="str">
        <f t="shared" si="974"/>
        <v>&lt;/li&gt;&lt;li&gt;&lt;a href=|http://sco.biblecommenter.com/1_samuel/8.htm| title=|Scofield Reference Notes| target=|_top|&gt;SCO&lt;/a&gt;</v>
      </c>
      <c r="AI244" s="2" t="str">
        <f t="shared" si="974"/>
        <v>&lt;/li&gt;&lt;li&gt;&lt;a href=|http://wes.biblecommenter.com/1_samuel/8.htm| title=|Wesley's Notes on the Bible| target=|_top|&gt;WES&lt;/a&gt;</v>
      </c>
      <c r="AJ244" t="str">
        <f t="shared" si="974"/>
        <v>&lt;/li&gt;&lt;li&gt;&lt;a href=|http://worldebible.com/1_samuel/8.htm| title=|World English Bible| target=|_top|&gt;WEB&lt;/a&gt;</v>
      </c>
      <c r="AK244" t="str">
        <f t="shared" si="974"/>
        <v>&lt;/li&gt;&lt;li&gt;&lt;a href=|http://yltbible.com/1_samuel/8.htm| title=|Young's Literal Translation| target=|_top|&gt;YLT&lt;/a&gt;</v>
      </c>
      <c r="AL244" t="str">
        <f>CONCATENATE("&lt;a href=|http://",AL1191,"/1_samuel/8.htm","| ","title=|",AL1190,"| target=|_top|&gt;",AL1192,"&lt;/a&gt;")</f>
        <v>&lt;a href=|http://kjv.us/1_samuel/8.htm| title=|American King James Version| target=|_top|&gt;AKJ&lt;/a&gt;</v>
      </c>
      <c r="AM244" t="str">
        <f t="shared" ref="AM244:AN244" si="975">CONCATENATE("&lt;/li&gt;&lt;li&gt;&lt;a href=|http://",AM1191,"/1_samuel/8.htm","| ","title=|",AM1190,"| target=|_top|&gt;",AM1192,"&lt;/a&gt;")</f>
        <v>&lt;/li&gt;&lt;li&gt;&lt;a href=|http://basicenglishbible.com/1_samuel/8.htm| title=|Bible in Basic English| target=|_top|&gt;BBE&lt;/a&gt;</v>
      </c>
      <c r="AN244" t="str">
        <f t="shared" si="975"/>
        <v>&lt;/li&gt;&lt;li&gt;&lt;a href=|http://darbybible.com/1_samuel/8.htm| title=|Darby Bible Translation| target=|_top|&gt;DBY&lt;/a&gt;</v>
      </c>
      <c r="AO24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4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4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44" t="str">
        <f>CONCATENATE("&lt;/li&gt;&lt;li&gt;&lt;a href=|http://",AR1191,"/1_samuel/8.htm","| ","title=|",AR1190,"| target=|_top|&gt;",AR1192,"&lt;/a&gt;")</f>
        <v>&lt;/li&gt;&lt;li&gt;&lt;a href=|http://websterbible.com/1_samuel/8.htm| title=|Webster's Bible Translation| target=|_top|&gt;WBS&lt;/a&gt;</v>
      </c>
      <c r="AS24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44" t="str">
        <f>CONCATENATE("&lt;/li&gt;&lt;li&gt;&lt;a href=|http://",AT1191,"/1_samuel/8-1.htm","| ","title=|",AT1190,"| target=|_top|&gt;",AT1192,"&lt;/a&gt;")</f>
        <v>&lt;/li&gt;&lt;li&gt;&lt;a href=|http://biblebrowser.com/1_samuel/8-1.htm| title=|Split View| target=|_top|&gt;Split&lt;/a&gt;</v>
      </c>
      <c r="AU244" s="2" t="s">
        <v>1276</v>
      </c>
      <c r="AV244" t="s">
        <v>64</v>
      </c>
    </row>
    <row r="245" spans="1:48">
      <c r="A245" t="s">
        <v>622</v>
      </c>
      <c r="B245" t="s">
        <v>298</v>
      </c>
      <c r="C245" t="s">
        <v>624</v>
      </c>
      <c r="D245" t="s">
        <v>1268</v>
      </c>
      <c r="E245" t="s">
        <v>1277</v>
      </c>
      <c r="F245" t="s">
        <v>1304</v>
      </c>
      <c r="G245" t="s">
        <v>1266</v>
      </c>
      <c r="H245" t="s">
        <v>1305</v>
      </c>
      <c r="I245" t="s">
        <v>1303</v>
      </c>
      <c r="J245" t="s">
        <v>1267</v>
      </c>
      <c r="K245" t="s">
        <v>1275</v>
      </c>
      <c r="L245" s="2" t="s">
        <v>1274</v>
      </c>
      <c r="M245" t="str">
        <f t="shared" ref="M245:AB245" si="976">CONCATENATE("&lt;/li&gt;&lt;li&gt;&lt;a href=|http://",M1191,"/1_samuel/9.htm","| ","title=|",M1190,"| target=|_top|&gt;",M1192,"&lt;/a&gt;")</f>
        <v>&lt;/li&gt;&lt;li&gt;&lt;a href=|http://niv.scripturetext.com/1_samuel/9.htm| title=|New International Version| target=|_top|&gt;NIV&lt;/a&gt;</v>
      </c>
      <c r="N245" t="str">
        <f t="shared" si="976"/>
        <v>&lt;/li&gt;&lt;li&gt;&lt;a href=|http://nlt.scripturetext.com/1_samuel/9.htm| title=|New Living Translation| target=|_top|&gt;NLT&lt;/a&gt;</v>
      </c>
      <c r="O245" t="str">
        <f t="shared" si="976"/>
        <v>&lt;/li&gt;&lt;li&gt;&lt;a href=|http://nasb.scripturetext.com/1_samuel/9.htm| title=|New American Standard Bible| target=|_top|&gt;NAS&lt;/a&gt;</v>
      </c>
      <c r="P245" t="str">
        <f t="shared" si="976"/>
        <v>&lt;/li&gt;&lt;li&gt;&lt;a href=|http://gwt.scripturetext.com/1_samuel/9.htm| title=|God's Word Translation| target=|_top|&gt;GWT&lt;/a&gt;</v>
      </c>
      <c r="Q245" t="str">
        <f t="shared" si="976"/>
        <v>&lt;/li&gt;&lt;li&gt;&lt;a href=|http://kingjbible.com/1_samuel/9.htm| title=|King James Bible| target=|_top|&gt;KJV&lt;/a&gt;</v>
      </c>
      <c r="R245" t="str">
        <f t="shared" si="976"/>
        <v>&lt;/li&gt;&lt;li&gt;&lt;a href=|http://asvbible.com/1_samuel/9.htm| title=|American Standard Version| target=|_top|&gt;ASV&lt;/a&gt;</v>
      </c>
      <c r="S245" t="str">
        <f t="shared" si="976"/>
        <v>&lt;/li&gt;&lt;li&gt;&lt;a href=|http://drb.scripturetext.com/1_samuel/9.htm| title=|Douay-Rheims Bible| target=|_top|&gt;DRB&lt;/a&gt;</v>
      </c>
      <c r="T245" t="str">
        <f t="shared" si="976"/>
        <v>&lt;/li&gt;&lt;li&gt;&lt;a href=|http://erv.scripturetext.com/1_samuel/9.htm| title=|English Revised Version| target=|_top|&gt;ERV&lt;/a&gt;</v>
      </c>
      <c r="V245" t="str">
        <f>CONCATENATE("&lt;/li&gt;&lt;li&gt;&lt;a href=|http://",V1191,"/1_samuel/9.htm","| ","title=|",V1190,"| target=|_top|&gt;",V1192,"&lt;/a&gt;")</f>
        <v>&lt;/li&gt;&lt;li&gt;&lt;a href=|http://study.interlinearbible.org/1_samuel/9.htm| title=|Hebrew Study Bible| target=|_top|&gt;Heb Study&lt;/a&gt;</v>
      </c>
      <c r="W245" t="str">
        <f t="shared" si="976"/>
        <v>&lt;/li&gt;&lt;li&gt;&lt;a href=|http://apostolic.interlinearbible.org/1_samuel/9.htm| title=|Apostolic Bible Polyglot Interlinear| target=|_top|&gt;Polyglot&lt;/a&gt;</v>
      </c>
      <c r="X245" t="str">
        <f t="shared" si="976"/>
        <v>&lt;/li&gt;&lt;li&gt;&lt;a href=|http://interlinearbible.org/1_samuel/9.htm| title=|Interlinear Bible| target=|_top|&gt;Interlin&lt;/a&gt;</v>
      </c>
      <c r="Y245" t="str">
        <f t="shared" ref="Y245" si="977">CONCATENATE("&lt;/li&gt;&lt;li&gt;&lt;a href=|http://",Y1191,"/1_samuel/9.htm","| ","title=|",Y1190,"| target=|_top|&gt;",Y1192,"&lt;/a&gt;")</f>
        <v>&lt;/li&gt;&lt;li&gt;&lt;a href=|http://bibleoutline.org/1_samuel/9.htm| title=|Outline with People and Places List| target=|_top|&gt;Outline&lt;/a&gt;</v>
      </c>
      <c r="Z245" t="str">
        <f t="shared" si="976"/>
        <v>&lt;/li&gt;&lt;li&gt;&lt;a href=|http://kjvs.scripturetext.com/1_samuel/9.htm| title=|King James Bible with Strong's Numbers| target=|_top|&gt;Strong's&lt;/a&gt;</v>
      </c>
      <c r="AA245" t="str">
        <f t="shared" si="976"/>
        <v>&lt;/li&gt;&lt;li&gt;&lt;a href=|http://childrensbibleonline.com/1_samuel/9.htm| title=|The Children's Bible| target=|_top|&gt;Children's&lt;/a&gt;</v>
      </c>
      <c r="AB245" s="2" t="str">
        <f t="shared" si="976"/>
        <v>&lt;/li&gt;&lt;li&gt;&lt;a href=|http://tsk.scripturetext.com/1_samuel/9.htm| title=|Treasury of Scripture Knowledge| target=|_top|&gt;TSK&lt;/a&gt;</v>
      </c>
      <c r="AC245" t="str">
        <f>CONCATENATE("&lt;a href=|http://",AC1191,"/1_samuel/9.htm","| ","title=|",AC1190,"| target=|_top|&gt;",AC1192,"&lt;/a&gt;")</f>
        <v>&lt;a href=|http://parallelbible.com/1_samuel/9.htm| title=|Parallel Chapters| target=|_top|&gt;PAR&lt;/a&gt;</v>
      </c>
      <c r="AD245" s="2" t="str">
        <f t="shared" ref="AD245:AK245" si="978">CONCATENATE("&lt;/li&gt;&lt;li&gt;&lt;a href=|http://",AD1191,"/1_samuel/9.htm","| ","title=|",AD1190,"| target=|_top|&gt;",AD1192,"&lt;/a&gt;")</f>
        <v>&lt;/li&gt;&lt;li&gt;&lt;a href=|http://gsb.biblecommenter.com/1_samuel/9.htm| title=|Geneva Study Bible| target=|_top|&gt;GSB&lt;/a&gt;</v>
      </c>
      <c r="AE245" s="2" t="str">
        <f t="shared" si="978"/>
        <v>&lt;/li&gt;&lt;li&gt;&lt;a href=|http://jfb.biblecommenter.com/1_samuel/9.htm| title=|Jamieson-Fausset-Brown Bible Commentary| target=|_top|&gt;JFB&lt;/a&gt;</v>
      </c>
      <c r="AF245" s="2" t="str">
        <f t="shared" si="978"/>
        <v>&lt;/li&gt;&lt;li&gt;&lt;a href=|http://kjt.biblecommenter.com/1_samuel/9.htm| title=|King James Translators' Notes| target=|_top|&gt;KJT&lt;/a&gt;</v>
      </c>
      <c r="AG245" s="2" t="str">
        <f t="shared" si="978"/>
        <v>&lt;/li&gt;&lt;li&gt;&lt;a href=|http://mhc.biblecommenter.com/1_samuel/9.htm| title=|Matthew Henry's Concise Commentary| target=|_top|&gt;MHC&lt;/a&gt;</v>
      </c>
      <c r="AH245" s="2" t="str">
        <f t="shared" si="978"/>
        <v>&lt;/li&gt;&lt;li&gt;&lt;a href=|http://sco.biblecommenter.com/1_samuel/9.htm| title=|Scofield Reference Notes| target=|_top|&gt;SCO&lt;/a&gt;</v>
      </c>
      <c r="AI245" s="2" t="str">
        <f t="shared" si="978"/>
        <v>&lt;/li&gt;&lt;li&gt;&lt;a href=|http://wes.biblecommenter.com/1_samuel/9.htm| title=|Wesley's Notes on the Bible| target=|_top|&gt;WES&lt;/a&gt;</v>
      </c>
      <c r="AJ245" t="str">
        <f t="shared" si="978"/>
        <v>&lt;/li&gt;&lt;li&gt;&lt;a href=|http://worldebible.com/1_samuel/9.htm| title=|World English Bible| target=|_top|&gt;WEB&lt;/a&gt;</v>
      </c>
      <c r="AK245" t="str">
        <f t="shared" si="978"/>
        <v>&lt;/li&gt;&lt;li&gt;&lt;a href=|http://yltbible.com/1_samuel/9.htm| title=|Young's Literal Translation| target=|_top|&gt;YLT&lt;/a&gt;</v>
      </c>
      <c r="AL245" t="str">
        <f>CONCATENATE("&lt;a href=|http://",AL1191,"/1_samuel/9.htm","| ","title=|",AL1190,"| target=|_top|&gt;",AL1192,"&lt;/a&gt;")</f>
        <v>&lt;a href=|http://kjv.us/1_samuel/9.htm| title=|American King James Version| target=|_top|&gt;AKJ&lt;/a&gt;</v>
      </c>
      <c r="AM245" t="str">
        <f t="shared" ref="AM245:AN245" si="979">CONCATENATE("&lt;/li&gt;&lt;li&gt;&lt;a href=|http://",AM1191,"/1_samuel/9.htm","| ","title=|",AM1190,"| target=|_top|&gt;",AM1192,"&lt;/a&gt;")</f>
        <v>&lt;/li&gt;&lt;li&gt;&lt;a href=|http://basicenglishbible.com/1_samuel/9.htm| title=|Bible in Basic English| target=|_top|&gt;BBE&lt;/a&gt;</v>
      </c>
      <c r="AN245" t="str">
        <f t="shared" si="979"/>
        <v>&lt;/li&gt;&lt;li&gt;&lt;a href=|http://darbybible.com/1_samuel/9.htm| title=|Darby Bible Translation| target=|_top|&gt;DBY&lt;/a&gt;</v>
      </c>
      <c r="AO24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4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4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45" t="str">
        <f>CONCATENATE("&lt;/li&gt;&lt;li&gt;&lt;a href=|http://",AR1191,"/1_samuel/9.htm","| ","title=|",AR1190,"| target=|_top|&gt;",AR1192,"&lt;/a&gt;")</f>
        <v>&lt;/li&gt;&lt;li&gt;&lt;a href=|http://websterbible.com/1_samuel/9.htm| title=|Webster's Bible Translation| target=|_top|&gt;WBS&lt;/a&gt;</v>
      </c>
      <c r="AS24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45" t="str">
        <f>CONCATENATE("&lt;/li&gt;&lt;li&gt;&lt;a href=|http://",AT1191,"/1_samuel/9-1.htm","| ","title=|",AT1190,"| target=|_top|&gt;",AT1192,"&lt;/a&gt;")</f>
        <v>&lt;/li&gt;&lt;li&gt;&lt;a href=|http://biblebrowser.com/1_samuel/9-1.htm| title=|Split View| target=|_top|&gt;Split&lt;/a&gt;</v>
      </c>
      <c r="AU245" s="2" t="s">
        <v>1276</v>
      </c>
      <c r="AV245" t="s">
        <v>64</v>
      </c>
    </row>
    <row r="246" spans="1:48">
      <c r="A246" t="s">
        <v>622</v>
      </c>
      <c r="B246" t="s">
        <v>299</v>
      </c>
      <c r="C246" t="s">
        <v>624</v>
      </c>
      <c r="D246" t="s">
        <v>1268</v>
      </c>
      <c r="E246" t="s">
        <v>1277</v>
      </c>
      <c r="F246" t="s">
        <v>1304</v>
      </c>
      <c r="G246" t="s">
        <v>1266</v>
      </c>
      <c r="H246" t="s">
        <v>1305</v>
      </c>
      <c r="I246" t="s">
        <v>1303</v>
      </c>
      <c r="J246" t="s">
        <v>1267</v>
      </c>
      <c r="K246" t="s">
        <v>1275</v>
      </c>
      <c r="L246" s="2" t="s">
        <v>1274</v>
      </c>
      <c r="M246" t="str">
        <f t="shared" ref="M246:AB246" si="980">CONCATENATE("&lt;/li&gt;&lt;li&gt;&lt;a href=|http://",M1191,"/1_samuel/10.htm","| ","title=|",M1190,"| target=|_top|&gt;",M1192,"&lt;/a&gt;")</f>
        <v>&lt;/li&gt;&lt;li&gt;&lt;a href=|http://niv.scripturetext.com/1_samuel/10.htm| title=|New International Version| target=|_top|&gt;NIV&lt;/a&gt;</v>
      </c>
      <c r="N246" t="str">
        <f t="shared" si="980"/>
        <v>&lt;/li&gt;&lt;li&gt;&lt;a href=|http://nlt.scripturetext.com/1_samuel/10.htm| title=|New Living Translation| target=|_top|&gt;NLT&lt;/a&gt;</v>
      </c>
      <c r="O246" t="str">
        <f t="shared" si="980"/>
        <v>&lt;/li&gt;&lt;li&gt;&lt;a href=|http://nasb.scripturetext.com/1_samuel/10.htm| title=|New American Standard Bible| target=|_top|&gt;NAS&lt;/a&gt;</v>
      </c>
      <c r="P246" t="str">
        <f t="shared" si="980"/>
        <v>&lt;/li&gt;&lt;li&gt;&lt;a href=|http://gwt.scripturetext.com/1_samuel/10.htm| title=|God's Word Translation| target=|_top|&gt;GWT&lt;/a&gt;</v>
      </c>
      <c r="Q246" t="str">
        <f t="shared" si="980"/>
        <v>&lt;/li&gt;&lt;li&gt;&lt;a href=|http://kingjbible.com/1_samuel/10.htm| title=|King James Bible| target=|_top|&gt;KJV&lt;/a&gt;</v>
      </c>
      <c r="R246" t="str">
        <f t="shared" si="980"/>
        <v>&lt;/li&gt;&lt;li&gt;&lt;a href=|http://asvbible.com/1_samuel/10.htm| title=|American Standard Version| target=|_top|&gt;ASV&lt;/a&gt;</v>
      </c>
      <c r="S246" t="str">
        <f t="shared" si="980"/>
        <v>&lt;/li&gt;&lt;li&gt;&lt;a href=|http://drb.scripturetext.com/1_samuel/10.htm| title=|Douay-Rheims Bible| target=|_top|&gt;DRB&lt;/a&gt;</v>
      </c>
      <c r="T246" t="str">
        <f t="shared" si="980"/>
        <v>&lt;/li&gt;&lt;li&gt;&lt;a href=|http://erv.scripturetext.com/1_samuel/10.htm| title=|English Revised Version| target=|_top|&gt;ERV&lt;/a&gt;</v>
      </c>
      <c r="V246" t="str">
        <f>CONCATENATE("&lt;/li&gt;&lt;li&gt;&lt;a href=|http://",V1191,"/1_samuel/10.htm","| ","title=|",V1190,"| target=|_top|&gt;",V1192,"&lt;/a&gt;")</f>
        <v>&lt;/li&gt;&lt;li&gt;&lt;a href=|http://study.interlinearbible.org/1_samuel/10.htm| title=|Hebrew Study Bible| target=|_top|&gt;Heb Study&lt;/a&gt;</v>
      </c>
      <c r="W246" t="str">
        <f t="shared" si="980"/>
        <v>&lt;/li&gt;&lt;li&gt;&lt;a href=|http://apostolic.interlinearbible.org/1_samuel/10.htm| title=|Apostolic Bible Polyglot Interlinear| target=|_top|&gt;Polyglot&lt;/a&gt;</v>
      </c>
      <c r="X246" t="str">
        <f t="shared" si="980"/>
        <v>&lt;/li&gt;&lt;li&gt;&lt;a href=|http://interlinearbible.org/1_samuel/10.htm| title=|Interlinear Bible| target=|_top|&gt;Interlin&lt;/a&gt;</v>
      </c>
      <c r="Y246" t="str">
        <f t="shared" ref="Y246" si="981">CONCATENATE("&lt;/li&gt;&lt;li&gt;&lt;a href=|http://",Y1191,"/1_samuel/10.htm","| ","title=|",Y1190,"| target=|_top|&gt;",Y1192,"&lt;/a&gt;")</f>
        <v>&lt;/li&gt;&lt;li&gt;&lt;a href=|http://bibleoutline.org/1_samuel/10.htm| title=|Outline with People and Places List| target=|_top|&gt;Outline&lt;/a&gt;</v>
      </c>
      <c r="Z246" t="str">
        <f t="shared" si="980"/>
        <v>&lt;/li&gt;&lt;li&gt;&lt;a href=|http://kjvs.scripturetext.com/1_samuel/10.htm| title=|King James Bible with Strong's Numbers| target=|_top|&gt;Strong's&lt;/a&gt;</v>
      </c>
      <c r="AA246" t="str">
        <f t="shared" si="980"/>
        <v>&lt;/li&gt;&lt;li&gt;&lt;a href=|http://childrensbibleonline.com/1_samuel/10.htm| title=|The Children's Bible| target=|_top|&gt;Children's&lt;/a&gt;</v>
      </c>
      <c r="AB246" s="2" t="str">
        <f t="shared" si="980"/>
        <v>&lt;/li&gt;&lt;li&gt;&lt;a href=|http://tsk.scripturetext.com/1_samuel/10.htm| title=|Treasury of Scripture Knowledge| target=|_top|&gt;TSK&lt;/a&gt;</v>
      </c>
      <c r="AC246" t="str">
        <f>CONCATENATE("&lt;a href=|http://",AC1191,"/1_samuel/10.htm","| ","title=|",AC1190,"| target=|_top|&gt;",AC1192,"&lt;/a&gt;")</f>
        <v>&lt;a href=|http://parallelbible.com/1_samuel/10.htm| title=|Parallel Chapters| target=|_top|&gt;PAR&lt;/a&gt;</v>
      </c>
      <c r="AD246" s="2" t="str">
        <f t="shared" ref="AD246:AK246" si="982">CONCATENATE("&lt;/li&gt;&lt;li&gt;&lt;a href=|http://",AD1191,"/1_samuel/10.htm","| ","title=|",AD1190,"| target=|_top|&gt;",AD1192,"&lt;/a&gt;")</f>
        <v>&lt;/li&gt;&lt;li&gt;&lt;a href=|http://gsb.biblecommenter.com/1_samuel/10.htm| title=|Geneva Study Bible| target=|_top|&gt;GSB&lt;/a&gt;</v>
      </c>
      <c r="AE246" s="2" t="str">
        <f t="shared" si="982"/>
        <v>&lt;/li&gt;&lt;li&gt;&lt;a href=|http://jfb.biblecommenter.com/1_samuel/10.htm| title=|Jamieson-Fausset-Brown Bible Commentary| target=|_top|&gt;JFB&lt;/a&gt;</v>
      </c>
      <c r="AF246" s="2" t="str">
        <f t="shared" si="982"/>
        <v>&lt;/li&gt;&lt;li&gt;&lt;a href=|http://kjt.biblecommenter.com/1_samuel/10.htm| title=|King James Translators' Notes| target=|_top|&gt;KJT&lt;/a&gt;</v>
      </c>
      <c r="AG246" s="2" t="str">
        <f t="shared" si="982"/>
        <v>&lt;/li&gt;&lt;li&gt;&lt;a href=|http://mhc.biblecommenter.com/1_samuel/10.htm| title=|Matthew Henry's Concise Commentary| target=|_top|&gt;MHC&lt;/a&gt;</v>
      </c>
      <c r="AH246" s="2" t="str">
        <f t="shared" si="982"/>
        <v>&lt;/li&gt;&lt;li&gt;&lt;a href=|http://sco.biblecommenter.com/1_samuel/10.htm| title=|Scofield Reference Notes| target=|_top|&gt;SCO&lt;/a&gt;</v>
      </c>
      <c r="AI246" s="2" t="str">
        <f t="shared" si="982"/>
        <v>&lt;/li&gt;&lt;li&gt;&lt;a href=|http://wes.biblecommenter.com/1_samuel/10.htm| title=|Wesley's Notes on the Bible| target=|_top|&gt;WES&lt;/a&gt;</v>
      </c>
      <c r="AJ246" t="str">
        <f t="shared" si="982"/>
        <v>&lt;/li&gt;&lt;li&gt;&lt;a href=|http://worldebible.com/1_samuel/10.htm| title=|World English Bible| target=|_top|&gt;WEB&lt;/a&gt;</v>
      </c>
      <c r="AK246" t="str">
        <f t="shared" si="982"/>
        <v>&lt;/li&gt;&lt;li&gt;&lt;a href=|http://yltbible.com/1_samuel/10.htm| title=|Young's Literal Translation| target=|_top|&gt;YLT&lt;/a&gt;</v>
      </c>
      <c r="AL246" t="str">
        <f>CONCATENATE("&lt;a href=|http://",AL1191,"/1_samuel/10.htm","| ","title=|",AL1190,"| target=|_top|&gt;",AL1192,"&lt;/a&gt;")</f>
        <v>&lt;a href=|http://kjv.us/1_samuel/10.htm| title=|American King James Version| target=|_top|&gt;AKJ&lt;/a&gt;</v>
      </c>
      <c r="AM246" t="str">
        <f t="shared" ref="AM246:AN246" si="983">CONCATENATE("&lt;/li&gt;&lt;li&gt;&lt;a href=|http://",AM1191,"/1_samuel/10.htm","| ","title=|",AM1190,"| target=|_top|&gt;",AM1192,"&lt;/a&gt;")</f>
        <v>&lt;/li&gt;&lt;li&gt;&lt;a href=|http://basicenglishbible.com/1_samuel/10.htm| title=|Bible in Basic English| target=|_top|&gt;BBE&lt;/a&gt;</v>
      </c>
      <c r="AN246" t="str">
        <f t="shared" si="983"/>
        <v>&lt;/li&gt;&lt;li&gt;&lt;a href=|http://darbybible.com/1_samuel/10.htm| title=|Darby Bible Translation| target=|_top|&gt;DBY&lt;/a&gt;</v>
      </c>
      <c r="AO24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4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4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46" t="str">
        <f>CONCATENATE("&lt;/li&gt;&lt;li&gt;&lt;a href=|http://",AR1191,"/1_samuel/10.htm","| ","title=|",AR1190,"| target=|_top|&gt;",AR1192,"&lt;/a&gt;")</f>
        <v>&lt;/li&gt;&lt;li&gt;&lt;a href=|http://websterbible.com/1_samuel/10.htm| title=|Webster's Bible Translation| target=|_top|&gt;WBS&lt;/a&gt;</v>
      </c>
      <c r="AS24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46" t="str">
        <f>CONCATENATE("&lt;/li&gt;&lt;li&gt;&lt;a href=|http://",AT1191,"/1_samuel/10-1.htm","| ","title=|",AT1190,"| target=|_top|&gt;",AT1192,"&lt;/a&gt;")</f>
        <v>&lt;/li&gt;&lt;li&gt;&lt;a href=|http://biblebrowser.com/1_samuel/10-1.htm| title=|Split View| target=|_top|&gt;Split&lt;/a&gt;</v>
      </c>
      <c r="AU246" s="2" t="s">
        <v>1276</v>
      </c>
      <c r="AV246" t="s">
        <v>64</v>
      </c>
    </row>
    <row r="247" spans="1:48">
      <c r="A247" t="s">
        <v>622</v>
      </c>
      <c r="B247" t="s">
        <v>300</v>
      </c>
      <c r="C247" t="s">
        <v>624</v>
      </c>
      <c r="D247" t="s">
        <v>1268</v>
      </c>
      <c r="E247" t="s">
        <v>1277</v>
      </c>
      <c r="F247" t="s">
        <v>1304</v>
      </c>
      <c r="G247" t="s">
        <v>1266</v>
      </c>
      <c r="H247" t="s">
        <v>1305</v>
      </c>
      <c r="I247" t="s">
        <v>1303</v>
      </c>
      <c r="J247" t="s">
        <v>1267</v>
      </c>
      <c r="K247" t="s">
        <v>1275</v>
      </c>
      <c r="L247" s="2" t="s">
        <v>1274</v>
      </c>
      <c r="M247" t="str">
        <f t="shared" ref="M247:AB247" si="984">CONCATENATE("&lt;/li&gt;&lt;li&gt;&lt;a href=|http://",M1191,"/1_samuel/11.htm","| ","title=|",M1190,"| target=|_top|&gt;",M1192,"&lt;/a&gt;")</f>
        <v>&lt;/li&gt;&lt;li&gt;&lt;a href=|http://niv.scripturetext.com/1_samuel/11.htm| title=|New International Version| target=|_top|&gt;NIV&lt;/a&gt;</v>
      </c>
      <c r="N247" t="str">
        <f t="shared" si="984"/>
        <v>&lt;/li&gt;&lt;li&gt;&lt;a href=|http://nlt.scripturetext.com/1_samuel/11.htm| title=|New Living Translation| target=|_top|&gt;NLT&lt;/a&gt;</v>
      </c>
      <c r="O247" t="str">
        <f t="shared" si="984"/>
        <v>&lt;/li&gt;&lt;li&gt;&lt;a href=|http://nasb.scripturetext.com/1_samuel/11.htm| title=|New American Standard Bible| target=|_top|&gt;NAS&lt;/a&gt;</v>
      </c>
      <c r="P247" t="str">
        <f t="shared" si="984"/>
        <v>&lt;/li&gt;&lt;li&gt;&lt;a href=|http://gwt.scripturetext.com/1_samuel/11.htm| title=|God's Word Translation| target=|_top|&gt;GWT&lt;/a&gt;</v>
      </c>
      <c r="Q247" t="str">
        <f t="shared" si="984"/>
        <v>&lt;/li&gt;&lt;li&gt;&lt;a href=|http://kingjbible.com/1_samuel/11.htm| title=|King James Bible| target=|_top|&gt;KJV&lt;/a&gt;</v>
      </c>
      <c r="R247" t="str">
        <f t="shared" si="984"/>
        <v>&lt;/li&gt;&lt;li&gt;&lt;a href=|http://asvbible.com/1_samuel/11.htm| title=|American Standard Version| target=|_top|&gt;ASV&lt;/a&gt;</v>
      </c>
      <c r="S247" t="str">
        <f t="shared" si="984"/>
        <v>&lt;/li&gt;&lt;li&gt;&lt;a href=|http://drb.scripturetext.com/1_samuel/11.htm| title=|Douay-Rheims Bible| target=|_top|&gt;DRB&lt;/a&gt;</v>
      </c>
      <c r="T247" t="str">
        <f t="shared" si="984"/>
        <v>&lt;/li&gt;&lt;li&gt;&lt;a href=|http://erv.scripturetext.com/1_samuel/11.htm| title=|English Revised Version| target=|_top|&gt;ERV&lt;/a&gt;</v>
      </c>
      <c r="V247" t="str">
        <f>CONCATENATE("&lt;/li&gt;&lt;li&gt;&lt;a href=|http://",V1191,"/1_samuel/11.htm","| ","title=|",V1190,"| target=|_top|&gt;",V1192,"&lt;/a&gt;")</f>
        <v>&lt;/li&gt;&lt;li&gt;&lt;a href=|http://study.interlinearbible.org/1_samuel/11.htm| title=|Hebrew Study Bible| target=|_top|&gt;Heb Study&lt;/a&gt;</v>
      </c>
      <c r="W247" t="str">
        <f t="shared" si="984"/>
        <v>&lt;/li&gt;&lt;li&gt;&lt;a href=|http://apostolic.interlinearbible.org/1_samuel/11.htm| title=|Apostolic Bible Polyglot Interlinear| target=|_top|&gt;Polyglot&lt;/a&gt;</v>
      </c>
      <c r="X247" t="str">
        <f t="shared" si="984"/>
        <v>&lt;/li&gt;&lt;li&gt;&lt;a href=|http://interlinearbible.org/1_samuel/11.htm| title=|Interlinear Bible| target=|_top|&gt;Interlin&lt;/a&gt;</v>
      </c>
      <c r="Y247" t="str">
        <f t="shared" ref="Y247" si="985">CONCATENATE("&lt;/li&gt;&lt;li&gt;&lt;a href=|http://",Y1191,"/1_samuel/11.htm","| ","title=|",Y1190,"| target=|_top|&gt;",Y1192,"&lt;/a&gt;")</f>
        <v>&lt;/li&gt;&lt;li&gt;&lt;a href=|http://bibleoutline.org/1_samuel/11.htm| title=|Outline with People and Places List| target=|_top|&gt;Outline&lt;/a&gt;</v>
      </c>
      <c r="Z247" t="str">
        <f t="shared" si="984"/>
        <v>&lt;/li&gt;&lt;li&gt;&lt;a href=|http://kjvs.scripturetext.com/1_samuel/11.htm| title=|King James Bible with Strong's Numbers| target=|_top|&gt;Strong's&lt;/a&gt;</v>
      </c>
      <c r="AA247" t="str">
        <f t="shared" si="984"/>
        <v>&lt;/li&gt;&lt;li&gt;&lt;a href=|http://childrensbibleonline.com/1_samuel/11.htm| title=|The Children's Bible| target=|_top|&gt;Children's&lt;/a&gt;</v>
      </c>
      <c r="AB247" s="2" t="str">
        <f t="shared" si="984"/>
        <v>&lt;/li&gt;&lt;li&gt;&lt;a href=|http://tsk.scripturetext.com/1_samuel/11.htm| title=|Treasury of Scripture Knowledge| target=|_top|&gt;TSK&lt;/a&gt;</v>
      </c>
      <c r="AC247" t="str">
        <f>CONCATENATE("&lt;a href=|http://",AC1191,"/1_samuel/11.htm","| ","title=|",AC1190,"| target=|_top|&gt;",AC1192,"&lt;/a&gt;")</f>
        <v>&lt;a href=|http://parallelbible.com/1_samuel/11.htm| title=|Parallel Chapters| target=|_top|&gt;PAR&lt;/a&gt;</v>
      </c>
      <c r="AD247" s="2" t="str">
        <f t="shared" ref="AD247:AK247" si="986">CONCATENATE("&lt;/li&gt;&lt;li&gt;&lt;a href=|http://",AD1191,"/1_samuel/11.htm","| ","title=|",AD1190,"| target=|_top|&gt;",AD1192,"&lt;/a&gt;")</f>
        <v>&lt;/li&gt;&lt;li&gt;&lt;a href=|http://gsb.biblecommenter.com/1_samuel/11.htm| title=|Geneva Study Bible| target=|_top|&gt;GSB&lt;/a&gt;</v>
      </c>
      <c r="AE247" s="2" t="str">
        <f t="shared" si="986"/>
        <v>&lt;/li&gt;&lt;li&gt;&lt;a href=|http://jfb.biblecommenter.com/1_samuel/11.htm| title=|Jamieson-Fausset-Brown Bible Commentary| target=|_top|&gt;JFB&lt;/a&gt;</v>
      </c>
      <c r="AF247" s="2" t="str">
        <f t="shared" si="986"/>
        <v>&lt;/li&gt;&lt;li&gt;&lt;a href=|http://kjt.biblecommenter.com/1_samuel/11.htm| title=|King James Translators' Notes| target=|_top|&gt;KJT&lt;/a&gt;</v>
      </c>
      <c r="AG247" s="2" t="str">
        <f t="shared" si="986"/>
        <v>&lt;/li&gt;&lt;li&gt;&lt;a href=|http://mhc.biblecommenter.com/1_samuel/11.htm| title=|Matthew Henry's Concise Commentary| target=|_top|&gt;MHC&lt;/a&gt;</v>
      </c>
      <c r="AH247" s="2" t="str">
        <f t="shared" si="986"/>
        <v>&lt;/li&gt;&lt;li&gt;&lt;a href=|http://sco.biblecommenter.com/1_samuel/11.htm| title=|Scofield Reference Notes| target=|_top|&gt;SCO&lt;/a&gt;</v>
      </c>
      <c r="AI247" s="2" t="str">
        <f t="shared" si="986"/>
        <v>&lt;/li&gt;&lt;li&gt;&lt;a href=|http://wes.biblecommenter.com/1_samuel/11.htm| title=|Wesley's Notes on the Bible| target=|_top|&gt;WES&lt;/a&gt;</v>
      </c>
      <c r="AJ247" t="str">
        <f t="shared" si="986"/>
        <v>&lt;/li&gt;&lt;li&gt;&lt;a href=|http://worldebible.com/1_samuel/11.htm| title=|World English Bible| target=|_top|&gt;WEB&lt;/a&gt;</v>
      </c>
      <c r="AK247" t="str">
        <f t="shared" si="986"/>
        <v>&lt;/li&gt;&lt;li&gt;&lt;a href=|http://yltbible.com/1_samuel/11.htm| title=|Young's Literal Translation| target=|_top|&gt;YLT&lt;/a&gt;</v>
      </c>
      <c r="AL247" t="str">
        <f>CONCATENATE("&lt;a href=|http://",AL1191,"/1_samuel/11.htm","| ","title=|",AL1190,"| target=|_top|&gt;",AL1192,"&lt;/a&gt;")</f>
        <v>&lt;a href=|http://kjv.us/1_samuel/11.htm| title=|American King James Version| target=|_top|&gt;AKJ&lt;/a&gt;</v>
      </c>
      <c r="AM247" t="str">
        <f t="shared" ref="AM247:AN247" si="987">CONCATENATE("&lt;/li&gt;&lt;li&gt;&lt;a href=|http://",AM1191,"/1_samuel/11.htm","| ","title=|",AM1190,"| target=|_top|&gt;",AM1192,"&lt;/a&gt;")</f>
        <v>&lt;/li&gt;&lt;li&gt;&lt;a href=|http://basicenglishbible.com/1_samuel/11.htm| title=|Bible in Basic English| target=|_top|&gt;BBE&lt;/a&gt;</v>
      </c>
      <c r="AN247" t="str">
        <f t="shared" si="987"/>
        <v>&lt;/li&gt;&lt;li&gt;&lt;a href=|http://darbybible.com/1_samuel/11.htm| title=|Darby Bible Translation| target=|_top|&gt;DBY&lt;/a&gt;</v>
      </c>
      <c r="AO24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4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4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47" t="str">
        <f>CONCATENATE("&lt;/li&gt;&lt;li&gt;&lt;a href=|http://",AR1191,"/1_samuel/11.htm","| ","title=|",AR1190,"| target=|_top|&gt;",AR1192,"&lt;/a&gt;")</f>
        <v>&lt;/li&gt;&lt;li&gt;&lt;a href=|http://websterbible.com/1_samuel/11.htm| title=|Webster's Bible Translation| target=|_top|&gt;WBS&lt;/a&gt;</v>
      </c>
      <c r="AS24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47" t="str">
        <f>CONCATENATE("&lt;/li&gt;&lt;li&gt;&lt;a href=|http://",AT1191,"/1_samuel/11-1.htm","| ","title=|",AT1190,"| target=|_top|&gt;",AT1192,"&lt;/a&gt;")</f>
        <v>&lt;/li&gt;&lt;li&gt;&lt;a href=|http://biblebrowser.com/1_samuel/11-1.htm| title=|Split View| target=|_top|&gt;Split&lt;/a&gt;</v>
      </c>
      <c r="AU247" s="2" t="s">
        <v>1276</v>
      </c>
      <c r="AV247" t="s">
        <v>64</v>
      </c>
    </row>
    <row r="248" spans="1:48">
      <c r="A248" t="s">
        <v>622</v>
      </c>
      <c r="B248" t="s">
        <v>301</v>
      </c>
      <c r="C248" t="s">
        <v>624</v>
      </c>
      <c r="D248" t="s">
        <v>1268</v>
      </c>
      <c r="E248" t="s">
        <v>1277</v>
      </c>
      <c r="F248" t="s">
        <v>1304</v>
      </c>
      <c r="G248" t="s">
        <v>1266</v>
      </c>
      <c r="H248" t="s">
        <v>1305</v>
      </c>
      <c r="I248" t="s">
        <v>1303</v>
      </c>
      <c r="J248" t="s">
        <v>1267</v>
      </c>
      <c r="K248" t="s">
        <v>1275</v>
      </c>
      <c r="L248" s="2" t="s">
        <v>1274</v>
      </c>
      <c r="M248" t="str">
        <f t="shared" ref="M248:AB248" si="988">CONCATENATE("&lt;/li&gt;&lt;li&gt;&lt;a href=|http://",M1191,"/1_samuel/12.htm","| ","title=|",M1190,"| target=|_top|&gt;",M1192,"&lt;/a&gt;")</f>
        <v>&lt;/li&gt;&lt;li&gt;&lt;a href=|http://niv.scripturetext.com/1_samuel/12.htm| title=|New International Version| target=|_top|&gt;NIV&lt;/a&gt;</v>
      </c>
      <c r="N248" t="str">
        <f t="shared" si="988"/>
        <v>&lt;/li&gt;&lt;li&gt;&lt;a href=|http://nlt.scripturetext.com/1_samuel/12.htm| title=|New Living Translation| target=|_top|&gt;NLT&lt;/a&gt;</v>
      </c>
      <c r="O248" t="str">
        <f t="shared" si="988"/>
        <v>&lt;/li&gt;&lt;li&gt;&lt;a href=|http://nasb.scripturetext.com/1_samuel/12.htm| title=|New American Standard Bible| target=|_top|&gt;NAS&lt;/a&gt;</v>
      </c>
      <c r="P248" t="str">
        <f t="shared" si="988"/>
        <v>&lt;/li&gt;&lt;li&gt;&lt;a href=|http://gwt.scripturetext.com/1_samuel/12.htm| title=|God's Word Translation| target=|_top|&gt;GWT&lt;/a&gt;</v>
      </c>
      <c r="Q248" t="str">
        <f t="shared" si="988"/>
        <v>&lt;/li&gt;&lt;li&gt;&lt;a href=|http://kingjbible.com/1_samuel/12.htm| title=|King James Bible| target=|_top|&gt;KJV&lt;/a&gt;</v>
      </c>
      <c r="R248" t="str">
        <f t="shared" si="988"/>
        <v>&lt;/li&gt;&lt;li&gt;&lt;a href=|http://asvbible.com/1_samuel/12.htm| title=|American Standard Version| target=|_top|&gt;ASV&lt;/a&gt;</v>
      </c>
      <c r="S248" t="str">
        <f t="shared" si="988"/>
        <v>&lt;/li&gt;&lt;li&gt;&lt;a href=|http://drb.scripturetext.com/1_samuel/12.htm| title=|Douay-Rheims Bible| target=|_top|&gt;DRB&lt;/a&gt;</v>
      </c>
      <c r="T248" t="str">
        <f t="shared" si="988"/>
        <v>&lt;/li&gt;&lt;li&gt;&lt;a href=|http://erv.scripturetext.com/1_samuel/12.htm| title=|English Revised Version| target=|_top|&gt;ERV&lt;/a&gt;</v>
      </c>
      <c r="V248" t="str">
        <f>CONCATENATE("&lt;/li&gt;&lt;li&gt;&lt;a href=|http://",V1191,"/1_samuel/12.htm","| ","title=|",V1190,"| target=|_top|&gt;",V1192,"&lt;/a&gt;")</f>
        <v>&lt;/li&gt;&lt;li&gt;&lt;a href=|http://study.interlinearbible.org/1_samuel/12.htm| title=|Hebrew Study Bible| target=|_top|&gt;Heb Study&lt;/a&gt;</v>
      </c>
      <c r="W248" t="str">
        <f t="shared" si="988"/>
        <v>&lt;/li&gt;&lt;li&gt;&lt;a href=|http://apostolic.interlinearbible.org/1_samuel/12.htm| title=|Apostolic Bible Polyglot Interlinear| target=|_top|&gt;Polyglot&lt;/a&gt;</v>
      </c>
      <c r="X248" t="str">
        <f t="shared" si="988"/>
        <v>&lt;/li&gt;&lt;li&gt;&lt;a href=|http://interlinearbible.org/1_samuel/12.htm| title=|Interlinear Bible| target=|_top|&gt;Interlin&lt;/a&gt;</v>
      </c>
      <c r="Y248" t="str">
        <f t="shared" ref="Y248" si="989">CONCATENATE("&lt;/li&gt;&lt;li&gt;&lt;a href=|http://",Y1191,"/1_samuel/12.htm","| ","title=|",Y1190,"| target=|_top|&gt;",Y1192,"&lt;/a&gt;")</f>
        <v>&lt;/li&gt;&lt;li&gt;&lt;a href=|http://bibleoutline.org/1_samuel/12.htm| title=|Outline with People and Places List| target=|_top|&gt;Outline&lt;/a&gt;</v>
      </c>
      <c r="Z248" t="str">
        <f t="shared" si="988"/>
        <v>&lt;/li&gt;&lt;li&gt;&lt;a href=|http://kjvs.scripturetext.com/1_samuel/12.htm| title=|King James Bible with Strong's Numbers| target=|_top|&gt;Strong's&lt;/a&gt;</v>
      </c>
      <c r="AA248" t="str">
        <f t="shared" si="988"/>
        <v>&lt;/li&gt;&lt;li&gt;&lt;a href=|http://childrensbibleonline.com/1_samuel/12.htm| title=|The Children's Bible| target=|_top|&gt;Children's&lt;/a&gt;</v>
      </c>
      <c r="AB248" s="2" t="str">
        <f t="shared" si="988"/>
        <v>&lt;/li&gt;&lt;li&gt;&lt;a href=|http://tsk.scripturetext.com/1_samuel/12.htm| title=|Treasury of Scripture Knowledge| target=|_top|&gt;TSK&lt;/a&gt;</v>
      </c>
      <c r="AC248" t="str">
        <f>CONCATENATE("&lt;a href=|http://",AC1191,"/1_samuel/12.htm","| ","title=|",AC1190,"| target=|_top|&gt;",AC1192,"&lt;/a&gt;")</f>
        <v>&lt;a href=|http://parallelbible.com/1_samuel/12.htm| title=|Parallel Chapters| target=|_top|&gt;PAR&lt;/a&gt;</v>
      </c>
      <c r="AD248" s="2" t="str">
        <f t="shared" ref="AD248:AK248" si="990">CONCATENATE("&lt;/li&gt;&lt;li&gt;&lt;a href=|http://",AD1191,"/1_samuel/12.htm","| ","title=|",AD1190,"| target=|_top|&gt;",AD1192,"&lt;/a&gt;")</f>
        <v>&lt;/li&gt;&lt;li&gt;&lt;a href=|http://gsb.biblecommenter.com/1_samuel/12.htm| title=|Geneva Study Bible| target=|_top|&gt;GSB&lt;/a&gt;</v>
      </c>
      <c r="AE248" s="2" t="str">
        <f t="shared" si="990"/>
        <v>&lt;/li&gt;&lt;li&gt;&lt;a href=|http://jfb.biblecommenter.com/1_samuel/12.htm| title=|Jamieson-Fausset-Brown Bible Commentary| target=|_top|&gt;JFB&lt;/a&gt;</v>
      </c>
      <c r="AF248" s="2" t="str">
        <f t="shared" si="990"/>
        <v>&lt;/li&gt;&lt;li&gt;&lt;a href=|http://kjt.biblecommenter.com/1_samuel/12.htm| title=|King James Translators' Notes| target=|_top|&gt;KJT&lt;/a&gt;</v>
      </c>
      <c r="AG248" s="2" t="str">
        <f t="shared" si="990"/>
        <v>&lt;/li&gt;&lt;li&gt;&lt;a href=|http://mhc.biblecommenter.com/1_samuel/12.htm| title=|Matthew Henry's Concise Commentary| target=|_top|&gt;MHC&lt;/a&gt;</v>
      </c>
      <c r="AH248" s="2" t="str">
        <f t="shared" si="990"/>
        <v>&lt;/li&gt;&lt;li&gt;&lt;a href=|http://sco.biblecommenter.com/1_samuel/12.htm| title=|Scofield Reference Notes| target=|_top|&gt;SCO&lt;/a&gt;</v>
      </c>
      <c r="AI248" s="2" t="str">
        <f t="shared" si="990"/>
        <v>&lt;/li&gt;&lt;li&gt;&lt;a href=|http://wes.biblecommenter.com/1_samuel/12.htm| title=|Wesley's Notes on the Bible| target=|_top|&gt;WES&lt;/a&gt;</v>
      </c>
      <c r="AJ248" t="str">
        <f t="shared" si="990"/>
        <v>&lt;/li&gt;&lt;li&gt;&lt;a href=|http://worldebible.com/1_samuel/12.htm| title=|World English Bible| target=|_top|&gt;WEB&lt;/a&gt;</v>
      </c>
      <c r="AK248" t="str">
        <f t="shared" si="990"/>
        <v>&lt;/li&gt;&lt;li&gt;&lt;a href=|http://yltbible.com/1_samuel/12.htm| title=|Young's Literal Translation| target=|_top|&gt;YLT&lt;/a&gt;</v>
      </c>
      <c r="AL248" t="str">
        <f>CONCATENATE("&lt;a href=|http://",AL1191,"/1_samuel/12.htm","| ","title=|",AL1190,"| target=|_top|&gt;",AL1192,"&lt;/a&gt;")</f>
        <v>&lt;a href=|http://kjv.us/1_samuel/12.htm| title=|American King James Version| target=|_top|&gt;AKJ&lt;/a&gt;</v>
      </c>
      <c r="AM248" t="str">
        <f t="shared" ref="AM248:AN248" si="991">CONCATENATE("&lt;/li&gt;&lt;li&gt;&lt;a href=|http://",AM1191,"/1_samuel/12.htm","| ","title=|",AM1190,"| target=|_top|&gt;",AM1192,"&lt;/a&gt;")</f>
        <v>&lt;/li&gt;&lt;li&gt;&lt;a href=|http://basicenglishbible.com/1_samuel/12.htm| title=|Bible in Basic English| target=|_top|&gt;BBE&lt;/a&gt;</v>
      </c>
      <c r="AN248" t="str">
        <f t="shared" si="991"/>
        <v>&lt;/li&gt;&lt;li&gt;&lt;a href=|http://darbybible.com/1_samuel/12.htm| title=|Darby Bible Translation| target=|_top|&gt;DBY&lt;/a&gt;</v>
      </c>
      <c r="AO24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4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4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48" t="str">
        <f>CONCATENATE("&lt;/li&gt;&lt;li&gt;&lt;a href=|http://",AR1191,"/1_samuel/12.htm","| ","title=|",AR1190,"| target=|_top|&gt;",AR1192,"&lt;/a&gt;")</f>
        <v>&lt;/li&gt;&lt;li&gt;&lt;a href=|http://websterbible.com/1_samuel/12.htm| title=|Webster's Bible Translation| target=|_top|&gt;WBS&lt;/a&gt;</v>
      </c>
      <c r="AS24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48" t="str">
        <f>CONCATENATE("&lt;/li&gt;&lt;li&gt;&lt;a href=|http://",AT1191,"/1_samuel/12-1.htm","| ","title=|",AT1190,"| target=|_top|&gt;",AT1192,"&lt;/a&gt;")</f>
        <v>&lt;/li&gt;&lt;li&gt;&lt;a href=|http://biblebrowser.com/1_samuel/12-1.htm| title=|Split View| target=|_top|&gt;Split&lt;/a&gt;</v>
      </c>
      <c r="AU248" s="2" t="s">
        <v>1276</v>
      </c>
      <c r="AV248" t="s">
        <v>64</v>
      </c>
    </row>
    <row r="249" spans="1:48">
      <c r="A249" t="s">
        <v>622</v>
      </c>
      <c r="B249" t="s">
        <v>302</v>
      </c>
      <c r="C249" t="s">
        <v>624</v>
      </c>
      <c r="D249" t="s">
        <v>1268</v>
      </c>
      <c r="E249" t="s">
        <v>1277</v>
      </c>
      <c r="F249" t="s">
        <v>1304</v>
      </c>
      <c r="G249" t="s">
        <v>1266</v>
      </c>
      <c r="H249" t="s">
        <v>1305</v>
      </c>
      <c r="I249" t="s">
        <v>1303</v>
      </c>
      <c r="J249" t="s">
        <v>1267</v>
      </c>
      <c r="K249" t="s">
        <v>1275</v>
      </c>
      <c r="L249" s="2" t="s">
        <v>1274</v>
      </c>
      <c r="M249" t="str">
        <f t="shared" ref="M249:AB249" si="992">CONCATENATE("&lt;/li&gt;&lt;li&gt;&lt;a href=|http://",M1191,"/1_samuel/13.htm","| ","title=|",M1190,"| target=|_top|&gt;",M1192,"&lt;/a&gt;")</f>
        <v>&lt;/li&gt;&lt;li&gt;&lt;a href=|http://niv.scripturetext.com/1_samuel/13.htm| title=|New International Version| target=|_top|&gt;NIV&lt;/a&gt;</v>
      </c>
      <c r="N249" t="str">
        <f t="shared" si="992"/>
        <v>&lt;/li&gt;&lt;li&gt;&lt;a href=|http://nlt.scripturetext.com/1_samuel/13.htm| title=|New Living Translation| target=|_top|&gt;NLT&lt;/a&gt;</v>
      </c>
      <c r="O249" t="str">
        <f t="shared" si="992"/>
        <v>&lt;/li&gt;&lt;li&gt;&lt;a href=|http://nasb.scripturetext.com/1_samuel/13.htm| title=|New American Standard Bible| target=|_top|&gt;NAS&lt;/a&gt;</v>
      </c>
      <c r="P249" t="str">
        <f t="shared" si="992"/>
        <v>&lt;/li&gt;&lt;li&gt;&lt;a href=|http://gwt.scripturetext.com/1_samuel/13.htm| title=|God's Word Translation| target=|_top|&gt;GWT&lt;/a&gt;</v>
      </c>
      <c r="Q249" t="str">
        <f t="shared" si="992"/>
        <v>&lt;/li&gt;&lt;li&gt;&lt;a href=|http://kingjbible.com/1_samuel/13.htm| title=|King James Bible| target=|_top|&gt;KJV&lt;/a&gt;</v>
      </c>
      <c r="R249" t="str">
        <f t="shared" si="992"/>
        <v>&lt;/li&gt;&lt;li&gt;&lt;a href=|http://asvbible.com/1_samuel/13.htm| title=|American Standard Version| target=|_top|&gt;ASV&lt;/a&gt;</v>
      </c>
      <c r="S249" t="str">
        <f t="shared" si="992"/>
        <v>&lt;/li&gt;&lt;li&gt;&lt;a href=|http://drb.scripturetext.com/1_samuel/13.htm| title=|Douay-Rheims Bible| target=|_top|&gt;DRB&lt;/a&gt;</v>
      </c>
      <c r="T249" t="str">
        <f t="shared" si="992"/>
        <v>&lt;/li&gt;&lt;li&gt;&lt;a href=|http://erv.scripturetext.com/1_samuel/13.htm| title=|English Revised Version| target=|_top|&gt;ERV&lt;/a&gt;</v>
      </c>
      <c r="V249" t="str">
        <f>CONCATENATE("&lt;/li&gt;&lt;li&gt;&lt;a href=|http://",V1191,"/1_samuel/13.htm","| ","title=|",V1190,"| target=|_top|&gt;",V1192,"&lt;/a&gt;")</f>
        <v>&lt;/li&gt;&lt;li&gt;&lt;a href=|http://study.interlinearbible.org/1_samuel/13.htm| title=|Hebrew Study Bible| target=|_top|&gt;Heb Study&lt;/a&gt;</v>
      </c>
      <c r="W249" t="str">
        <f t="shared" si="992"/>
        <v>&lt;/li&gt;&lt;li&gt;&lt;a href=|http://apostolic.interlinearbible.org/1_samuel/13.htm| title=|Apostolic Bible Polyglot Interlinear| target=|_top|&gt;Polyglot&lt;/a&gt;</v>
      </c>
      <c r="X249" t="str">
        <f t="shared" si="992"/>
        <v>&lt;/li&gt;&lt;li&gt;&lt;a href=|http://interlinearbible.org/1_samuel/13.htm| title=|Interlinear Bible| target=|_top|&gt;Interlin&lt;/a&gt;</v>
      </c>
      <c r="Y249" t="str">
        <f t="shared" ref="Y249" si="993">CONCATENATE("&lt;/li&gt;&lt;li&gt;&lt;a href=|http://",Y1191,"/1_samuel/13.htm","| ","title=|",Y1190,"| target=|_top|&gt;",Y1192,"&lt;/a&gt;")</f>
        <v>&lt;/li&gt;&lt;li&gt;&lt;a href=|http://bibleoutline.org/1_samuel/13.htm| title=|Outline with People and Places List| target=|_top|&gt;Outline&lt;/a&gt;</v>
      </c>
      <c r="Z249" t="str">
        <f t="shared" si="992"/>
        <v>&lt;/li&gt;&lt;li&gt;&lt;a href=|http://kjvs.scripturetext.com/1_samuel/13.htm| title=|King James Bible with Strong's Numbers| target=|_top|&gt;Strong's&lt;/a&gt;</v>
      </c>
      <c r="AA249" t="str">
        <f t="shared" si="992"/>
        <v>&lt;/li&gt;&lt;li&gt;&lt;a href=|http://childrensbibleonline.com/1_samuel/13.htm| title=|The Children's Bible| target=|_top|&gt;Children's&lt;/a&gt;</v>
      </c>
      <c r="AB249" s="2" t="str">
        <f t="shared" si="992"/>
        <v>&lt;/li&gt;&lt;li&gt;&lt;a href=|http://tsk.scripturetext.com/1_samuel/13.htm| title=|Treasury of Scripture Knowledge| target=|_top|&gt;TSK&lt;/a&gt;</v>
      </c>
      <c r="AC249" t="str">
        <f>CONCATENATE("&lt;a href=|http://",AC1191,"/1_samuel/13.htm","| ","title=|",AC1190,"| target=|_top|&gt;",AC1192,"&lt;/a&gt;")</f>
        <v>&lt;a href=|http://parallelbible.com/1_samuel/13.htm| title=|Parallel Chapters| target=|_top|&gt;PAR&lt;/a&gt;</v>
      </c>
      <c r="AD249" s="2" t="str">
        <f t="shared" ref="AD249:AK249" si="994">CONCATENATE("&lt;/li&gt;&lt;li&gt;&lt;a href=|http://",AD1191,"/1_samuel/13.htm","| ","title=|",AD1190,"| target=|_top|&gt;",AD1192,"&lt;/a&gt;")</f>
        <v>&lt;/li&gt;&lt;li&gt;&lt;a href=|http://gsb.biblecommenter.com/1_samuel/13.htm| title=|Geneva Study Bible| target=|_top|&gt;GSB&lt;/a&gt;</v>
      </c>
      <c r="AE249" s="2" t="str">
        <f t="shared" si="994"/>
        <v>&lt;/li&gt;&lt;li&gt;&lt;a href=|http://jfb.biblecommenter.com/1_samuel/13.htm| title=|Jamieson-Fausset-Brown Bible Commentary| target=|_top|&gt;JFB&lt;/a&gt;</v>
      </c>
      <c r="AF249" s="2" t="str">
        <f t="shared" si="994"/>
        <v>&lt;/li&gt;&lt;li&gt;&lt;a href=|http://kjt.biblecommenter.com/1_samuel/13.htm| title=|King James Translators' Notes| target=|_top|&gt;KJT&lt;/a&gt;</v>
      </c>
      <c r="AG249" s="2" t="str">
        <f t="shared" si="994"/>
        <v>&lt;/li&gt;&lt;li&gt;&lt;a href=|http://mhc.biblecommenter.com/1_samuel/13.htm| title=|Matthew Henry's Concise Commentary| target=|_top|&gt;MHC&lt;/a&gt;</v>
      </c>
      <c r="AH249" s="2" t="str">
        <f t="shared" si="994"/>
        <v>&lt;/li&gt;&lt;li&gt;&lt;a href=|http://sco.biblecommenter.com/1_samuel/13.htm| title=|Scofield Reference Notes| target=|_top|&gt;SCO&lt;/a&gt;</v>
      </c>
      <c r="AI249" s="2" t="str">
        <f t="shared" si="994"/>
        <v>&lt;/li&gt;&lt;li&gt;&lt;a href=|http://wes.biblecommenter.com/1_samuel/13.htm| title=|Wesley's Notes on the Bible| target=|_top|&gt;WES&lt;/a&gt;</v>
      </c>
      <c r="AJ249" t="str">
        <f t="shared" si="994"/>
        <v>&lt;/li&gt;&lt;li&gt;&lt;a href=|http://worldebible.com/1_samuel/13.htm| title=|World English Bible| target=|_top|&gt;WEB&lt;/a&gt;</v>
      </c>
      <c r="AK249" t="str">
        <f t="shared" si="994"/>
        <v>&lt;/li&gt;&lt;li&gt;&lt;a href=|http://yltbible.com/1_samuel/13.htm| title=|Young's Literal Translation| target=|_top|&gt;YLT&lt;/a&gt;</v>
      </c>
      <c r="AL249" t="str">
        <f>CONCATENATE("&lt;a href=|http://",AL1191,"/1_samuel/13.htm","| ","title=|",AL1190,"| target=|_top|&gt;",AL1192,"&lt;/a&gt;")</f>
        <v>&lt;a href=|http://kjv.us/1_samuel/13.htm| title=|American King James Version| target=|_top|&gt;AKJ&lt;/a&gt;</v>
      </c>
      <c r="AM249" t="str">
        <f t="shared" ref="AM249:AN249" si="995">CONCATENATE("&lt;/li&gt;&lt;li&gt;&lt;a href=|http://",AM1191,"/1_samuel/13.htm","| ","title=|",AM1190,"| target=|_top|&gt;",AM1192,"&lt;/a&gt;")</f>
        <v>&lt;/li&gt;&lt;li&gt;&lt;a href=|http://basicenglishbible.com/1_samuel/13.htm| title=|Bible in Basic English| target=|_top|&gt;BBE&lt;/a&gt;</v>
      </c>
      <c r="AN249" t="str">
        <f t="shared" si="995"/>
        <v>&lt;/li&gt;&lt;li&gt;&lt;a href=|http://darbybible.com/1_samuel/13.htm| title=|Darby Bible Translation| target=|_top|&gt;DBY&lt;/a&gt;</v>
      </c>
      <c r="AO24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4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4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49" t="str">
        <f>CONCATENATE("&lt;/li&gt;&lt;li&gt;&lt;a href=|http://",AR1191,"/1_samuel/13.htm","| ","title=|",AR1190,"| target=|_top|&gt;",AR1192,"&lt;/a&gt;")</f>
        <v>&lt;/li&gt;&lt;li&gt;&lt;a href=|http://websterbible.com/1_samuel/13.htm| title=|Webster's Bible Translation| target=|_top|&gt;WBS&lt;/a&gt;</v>
      </c>
      <c r="AS24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49" t="str">
        <f>CONCATENATE("&lt;/li&gt;&lt;li&gt;&lt;a href=|http://",AT1191,"/1_samuel/13-1.htm","| ","title=|",AT1190,"| target=|_top|&gt;",AT1192,"&lt;/a&gt;")</f>
        <v>&lt;/li&gt;&lt;li&gt;&lt;a href=|http://biblebrowser.com/1_samuel/13-1.htm| title=|Split View| target=|_top|&gt;Split&lt;/a&gt;</v>
      </c>
      <c r="AU249" s="2" t="s">
        <v>1276</v>
      </c>
      <c r="AV249" t="s">
        <v>64</v>
      </c>
    </row>
    <row r="250" spans="1:48">
      <c r="A250" t="s">
        <v>622</v>
      </c>
      <c r="B250" t="s">
        <v>303</v>
      </c>
      <c r="C250" t="s">
        <v>624</v>
      </c>
      <c r="D250" t="s">
        <v>1268</v>
      </c>
      <c r="E250" t="s">
        <v>1277</v>
      </c>
      <c r="F250" t="s">
        <v>1304</v>
      </c>
      <c r="G250" t="s">
        <v>1266</v>
      </c>
      <c r="H250" t="s">
        <v>1305</v>
      </c>
      <c r="I250" t="s">
        <v>1303</v>
      </c>
      <c r="J250" t="s">
        <v>1267</v>
      </c>
      <c r="K250" t="s">
        <v>1275</v>
      </c>
      <c r="L250" s="2" t="s">
        <v>1274</v>
      </c>
      <c r="M250" t="str">
        <f t="shared" ref="M250:AB250" si="996">CONCATENATE("&lt;/li&gt;&lt;li&gt;&lt;a href=|http://",M1191,"/1_samuel/14.htm","| ","title=|",M1190,"| target=|_top|&gt;",M1192,"&lt;/a&gt;")</f>
        <v>&lt;/li&gt;&lt;li&gt;&lt;a href=|http://niv.scripturetext.com/1_samuel/14.htm| title=|New International Version| target=|_top|&gt;NIV&lt;/a&gt;</v>
      </c>
      <c r="N250" t="str">
        <f t="shared" si="996"/>
        <v>&lt;/li&gt;&lt;li&gt;&lt;a href=|http://nlt.scripturetext.com/1_samuel/14.htm| title=|New Living Translation| target=|_top|&gt;NLT&lt;/a&gt;</v>
      </c>
      <c r="O250" t="str">
        <f t="shared" si="996"/>
        <v>&lt;/li&gt;&lt;li&gt;&lt;a href=|http://nasb.scripturetext.com/1_samuel/14.htm| title=|New American Standard Bible| target=|_top|&gt;NAS&lt;/a&gt;</v>
      </c>
      <c r="P250" t="str">
        <f t="shared" si="996"/>
        <v>&lt;/li&gt;&lt;li&gt;&lt;a href=|http://gwt.scripturetext.com/1_samuel/14.htm| title=|God's Word Translation| target=|_top|&gt;GWT&lt;/a&gt;</v>
      </c>
      <c r="Q250" t="str">
        <f t="shared" si="996"/>
        <v>&lt;/li&gt;&lt;li&gt;&lt;a href=|http://kingjbible.com/1_samuel/14.htm| title=|King James Bible| target=|_top|&gt;KJV&lt;/a&gt;</v>
      </c>
      <c r="R250" t="str">
        <f t="shared" si="996"/>
        <v>&lt;/li&gt;&lt;li&gt;&lt;a href=|http://asvbible.com/1_samuel/14.htm| title=|American Standard Version| target=|_top|&gt;ASV&lt;/a&gt;</v>
      </c>
      <c r="S250" t="str">
        <f t="shared" si="996"/>
        <v>&lt;/li&gt;&lt;li&gt;&lt;a href=|http://drb.scripturetext.com/1_samuel/14.htm| title=|Douay-Rheims Bible| target=|_top|&gt;DRB&lt;/a&gt;</v>
      </c>
      <c r="T250" t="str">
        <f t="shared" si="996"/>
        <v>&lt;/li&gt;&lt;li&gt;&lt;a href=|http://erv.scripturetext.com/1_samuel/14.htm| title=|English Revised Version| target=|_top|&gt;ERV&lt;/a&gt;</v>
      </c>
      <c r="V250" t="str">
        <f>CONCATENATE("&lt;/li&gt;&lt;li&gt;&lt;a href=|http://",V1191,"/1_samuel/14.htm","| ","title=|",V1190,"| target=|_top|&gt;",V1192,"&lt;/a&gt;")</f>
        <v>&lt;/li&gt;&lt;li&gt;&lt;a href=|http://study.interlinearbible.org/1_samuel/14.htm| title=|Hebrew Study Bible| target=|_top|&gt;Heb Study&lt;/a&gt;</v>
      </c>
      <c r="W250" t="str">
        <f t="shared" si="996"/>
        <v>&lt;/li&gt;&lt;li&gt;&lt;a href=|http://apostolic.interlinearbible.org/1_samuel/14.htm| title=|Apostolic Bible Polyglot Interlinear| target=|_top|&gt;Polyglot&lt;/a&gt;</v>
      </c>
      <c r="X250" t="str">
        <f t="shared" si="996"/>
        <v>&lt;/li&gt;&lt;li&gt;&lt;a href=|http://interlinearbible.org/1_samuel/14.htm| title=|Interlinear Bible| target=|_top|&gt;Interlin&lt;/a&gt;</v>
      </c>
      <c r="Y250" t="str">
        <f t="shared" ref="Y250" si="997">CONCATENATE("&lt;/li&gt;&lt;li&gt;&lt;a href=|http://",Y1191,"/1_samuel/14.htm","| ","title=|",Y1190,"| target=|_top|&gt;",Y1192,"&lt;/a&gt;")</f>
        <v>&lt;/li&gt;&lt;li&gt;&lt;a href=|http://bibleoutline.org/1_samuel/14.htm| title=|Outline with People and Places List| target=|_top|&gt;Outline&lt;/a&gt;</v>
      </c>
      <c r="Z250" t="str">
        <f t="shared" si="996"/>
        <v>&lt;/li&gt;&lt;li&gt;&lt;a href=|http://kjvs.scripturetext.com/1_samuel/14.htm| title=|King James Bible with Strong's Numbers| target=|_top|&gt;Strong's&lt;/a&gt;</v>
      </c>
      <c r="AA250" t="str">
        <f t="shared" si="996"/>
        <v>&lt;/li&gt;&lt;li&gt;&lt;a href=|http://childrensbibleonline.com/1_samuel/14.htm| title=|The Children's Bible| target=|_top|&gt;Children's&lt;/a&gt;</v>
      </c>
      <c r="AB250" s="2" t="str">
        <f t="shared" si="996"/>
        <v>&lt;/li&gt;&lt;li&gt;&lt;a href=|http://tsk.scripturetext.com/1_samuel/14.htm| title=|Treasury of Scripture Knowledge| target=|_top|&gt;TSK&lt;/a&gt;</v>
      </c>
      <c r="AC250" t="str">
        <f>CONCATENATE("&lt;a href=|http://",AC1191,"/1_samuel/14.htm","| ","title=|",AC1190,"| target=|_top|&gt;",AC1192,"&lt;/a&gt;")</f>
        <v>&lt;a href=|http://parallelbible.com/1_samuel/14.htm| title=|Parallel Chapters| target=|_top|&gt;PAR&lt;/a&gt;</v>
      </c>
      <c r="AD250" s="2" t="str">
        <f t="shared" ref="AD250:AK250" si="998">CONCATENATE("&lt;/li&gt;&lt;li&gt;&lt;a href=|http://",AD1191,"/1_samuel/14.htm","| ","title=|",AD1190,"| target=|_top|&gt;",AD1192,"&lt;/a&gt;")</f>
        <v>&lt;/li&gt;&lt;li&gt;&lt;a href=|http://gsb.biblecommenter.com/1_samuel/14.htm| title=|Geneva Study Bible| target=|_top|&gt;GSB&lt;/a&gt;</v>
      </c>
      <c r="AE250" s="2" t="str">
        <f t="shared" si="998"/>
        <v>&lt;/li&gt;&lt;li&gt;&lt;a href=|http://jfb.biblecommenter.com/1_samuel/14.htm| title=|Jamieson-Fausset-Brown Bible Commentary| target=|_top|&gt;JFB&lt;/a&gt;</v>
      </c>
      <c r="AF250" s="2" t="str">
        <f t="shared" si="998"/>
        <v>&lt;/li&gt;&lt;li&gt;&lt;a href=|http://kjt.biblecommenter.com/1_samuel/14.htm| title=|King James Translators' Notes| target=|_top|&gt;KJT&lt;/a&gt;</v>
      </c>
      <c r="AG250" s="2" t="str">
        <f t="shared" si="998"/>
        <v>&lt;/li&gt;&lt;li&gt;&lt;a href=|http://mhc.biblecommenter.com/1_samuel/14.htm| title=|Matthew Henry's Concise Commentary| target=|_top|&gt;MHC&lt;/a&gt;</v>
      </c>
      <c r="AH250" s="2" t="str">
        <f t="shared" si="998"/>
        <v>&lt;/li&gt;&lt;li&gt;&lt;a href=|http://sco.biblecommenter.com/1_samuel/14.htm| title=|Scofield Reference Notes| target=|_top|&gt;SCO&lt;/a&gt;</v>
      </c>
      <c r="AI250" s="2" t="str">
        <f t="shared" si="998"/>
        <v>&lt;/li&gt;&lt;li&gt;&lt;a href=|http://wes.biblecommenter.com/1_samuel/14.htm| title=|Wesley's Notes on the Bible| target=|_top|&gt;WES&lt;/a&gt;</v>
      </c>
      <c r="AJ250" t="str">
        <f t="shared" si="998"/>
        <v>&lt;/li&gt;&lt;li&gt;&lt;a href=|http://worldebible.com/1_samuel/14.htm| title=|World English Bible| target=|_top|&gt;WEB&lt;/a&gt;</v>
      </c>
      <c r="AK250" t="str">
        <f t="shared" si="998"/>
        <v>&lt;/li&gt;&lt;li&gt;&lt;a href=|http://yltbible.com/1_samuel/14.htm| title=|Young's Literal Translation| target=|_top|&gt;YLT&lt;/a&gt;</v>
      </c>
      <c r="AL250" t="str">
        <f>CONCATENATE("&lt;a href=|http://",AL1191,"/1_samuel/14.htm","| ","title=|",AL1190,"| target=|_top|&gt;",AL1192,"&lt;/a&gt;")</f>
        <v>&lt;a href=|http://kjv.us/1_samuel/14.htm| title=|American King James Version| target=|_top|&gt;AKJ&lt;/a&gt;</v>
      </c>
      <c r="AM250" t="str">
        <f t="shared" ref="AM250:AN250" si="999">CONCATENATE("&lt;/li&gt;&lt;li&gt;&lt;a href=|http://",AM1191,"/1_samuel/14.htm","| ","title=|",AM1190,"| target=|_top|&gt;",AM1192,"&lt;/a&gt;")</f>
        <v>&lt;/li&gt;&lt;li&gt;&lt;a href=|http://basicenglishbible.com/1_samuel/14.htm| title=|Bible in Basic English| target=|_top|&gt;BBE&lt;/a&gt;</v>
      </c>
      <c r="AN250" t="str">
        <f t="shared" si="999"/>
        <v>&lt;/li&gt;&lt;li&gt;&lt;a href=|http://darbybible.com/1_samuel/14.htm| title=|Darby Bible Translation| target=|_top|&gt;DBY&lt;/a&gt;</v>
      </c>
      <c r="AO25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5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5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50" t="str">
        <f>CONCATENATE("&lt;/li&gt;&lt;li&gt;&lt;a href=|http://",AR1191,"/1_samuel/14.htm","| ","title=|",AR1190,"| target=|_top|&gt;",AR1192,"&lt;/a&gt;")</f>
        <v>&lt;/li&gt;&lt;li&gt;&lt;a href=|http://websterbible.com/1_samuel/14.htm| title=|Webster's Bible Translation| target=|_top|&gt;WBS&lt;/a&gt;</v>
      </c>
      <c r="AS25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50" t="str">
        <f>CONCATENATE("&lt;/li&gt;&lt;li&gt;&lt;a href=|http://",AT1191,"/1_samuel/14-1.htm","| ","title=|",AT1190,"| target=|_top|&gt;",AT1192,"&lt;/a&gt;")</f>
        <v>&lt;/li&gt;&lt;li&gt;&lt;a href=|http://biblebrowser.com/1_samuel/14-1.htm| title=|Split View| target=|_top|&gt;Split&lt;/a&gt;</v>
      </c>
      <c r="AU250" s="2" t="s">
        <v>1276</v>
      </c>
      <c r="AV250" t="s">
        <v>64</v>
      </c>
    </row>
    <row r="251" spans="1:48">
      <c r="A251" t="s">
        <v>622</v>
      </c>
      <c r="B251" t="s">
        <v>304</v>
      </c>
      <c r="C251" t="s">
        <v>624</v>
      </c>
      <c r="D251" t="s">
        <v>1268</v>
      </c>
      <c r="E251" t="s">
        <v>1277</v>
      </c>
      <c r="F251" t="s">
        <v>1304</v>
      </c>
      <c r="G251" t="s">
        <v>1266</v>
      </c>
      <c r="H251" t="s">
        <v>1305</v>
      </c>
      <c r="I251" t="s">
        <v>1303</v>
      </c>
      <c r="J251" t="s">
        <v>1267</v>
      </c>
      <c r="K251" t="s">
        <v>1275</v>
      </c>
      <c r="L251" s="2" t="s">
        <v>1274</v>
      </c>
      <c r="M251" t="str">
        <f t="shared" ref="M251:AB251" si="1000">CONCATENATE("&lt;/li&gt;&lt;li&gt;&lt;a href=|http://",M1191,"/1_samuel/15.htm","| ","title=|",M1190,"| target=|_top|&gt;",M1192,"&lt;/a&gt;")</f>
        <v>&lt;/li&gt;&lt;li&gt;&lt;a href=|http://niv.scripturetext.com/1_samuel/15.htm| title=|New International Version| target=|_top|&gt;NIV&lt;/a&gt;</v>
      </c>
      <c r="N251" t="str">
        <f t="shared" si="1000"/>
        <v>&lt;/li&gt;&lt;li&gt;&lt;a href=|http://nlt.scripturetext.com/1_samuel/15.htm| title=|New Living Translation| target=|_top|&gt;NLT&lt;/a&gt;</v>
      </c>
      <c r="O251" t="str">
        <f t="shared" si="1000"/>
        <v>&lt;/li&gt;&lt;li&gt;&lt;a href=|http://nasb.scripturetext.com/1_samuel/15.htm| title=|New American Standard Bible| target=|_top|&gt;NAS&lt;/a&gt;</v>
      </c>
      <c r="P251" t="str">
        <f t="shared" si="1000"/>
        <v>&lt;/li&gt;&lt;li&gt;&lt;a href=|http://gwt.scripturetext.com/1_samuel/15.htm| title=|God's Word Translation| target=|_top|&gt;GWT&lt;/a&gt;</v>
      </c>
      <c r="Q251" t="str">
        <f t="shared" si="1000"/>
        <v>&lt;/li&gt;&lt;li&gt;&lt;a href=|http://kingjbible.com/1_samuel/15.htm| title=|King James Bible| target=|_top|&gt;KJV&lt;/a&gt;</v>
      </c>
      <c r="R251" t="str">
        <f t="shared" si="1000"/>
        <v>&lt;/li&gt;&lt;li&gt;&lt;a href=|http://asvbible.com/1_samuel/15.htm| title=|American Standard Version| target=|_top|&gt;ASV&lt;/a&gt;</v>
      </c>
      <c r="S251" t="str">
        <f t="shared" si="1000"/>
        <v>&lt;/li&gt;&lt;li&gt;&lt;a href=|http://drb.scripturetext.com/1_samuel/15.htm| title=|Douay-Rheims Bible| target=|_top|&gt;DRB&lt;/a&gt;</v>
      </c>
      <c r="T251" t="str">
        <f t="shared" si="1000"/>
        <v>&lt;/li&gt;&lt;li&gt;&lt;a href=|http://erv.scripturetext.com/1_samuel/15.htm| title=|English Revised Version| target=|_top|&gt;ERV&lt;/a&gt;</v>
      </c>
      <c r="V251" t="str">
        <f>CONCATENATE("&lt;/li&gt;&lt;li&gt;&lt;a href=|http://",V1191,"/1_samuel/15.htm","| ","title=|",V1190,"| target=|_top|&gt;",V1192,"&lt;/a&gt;")</f>
        <v>&lt;/li&gt;&lt;li&gt;&lt;a href=|http://study.interlinearbible.org/1_samuel/15.htm| title=|Hebrew Study Bible| target=|_top|&gt;Heb Study&lt;/a&gt;</v>
      </c>
      <c r="W251" t="str">
        <f t="shared" si="1000"/>
        <v>&lt;/li&gt;&lt;li&gt;&lt;a href=|http://apostolic.interlinearbible.org/1_samuel/15.htm| title=|Apostolic Bible Polyglot Interlinear| target=|_top|&gt;Polyglot&lt;/a&gt;</v>
      </c>
      <c r="X251" t="str">
        <f t="shared" si="1000"/>
        <v>&lt;/li&gt;&lt;li&gt;&lt;a href=|http://interlinearbible.org/1_samuel/15.htm| title=|Interlinear Bible| target=|_top|&gt;Interlin&lt;/a&gt;</v>
      </c>
      <c r="Y251" t="str">
        <f t="shared" ref="Y251" si="1001">CONCATENATE("&lt;/li&gt;&lt;li&gt;&lt;a href=|http://",Y1191,"/1_samuel/15.htm","| ","title=|",Y1190,"| target=|_top|&gt;",Y1192,"&lt;/a&gt;")</f>
        <v>&lt;/li&gt;&lt;li&gt;&lt;a href=|http://bibleoutline.org/1_samuel/15.htm| title=|Outline with People and Places List| target=|_top|&gt;Outline&lt;/a&gt;</v>
      </c>
      <c r="Z251" t="str">
        <f t="shared" si="1000"/>
        <v>&lt;/li&gt;&lt;li&gt;&lt;a href=|http://kjvs.scripturetext.com/1_samuel/15.htm| title=|King James Bible with Strong's Numbers| target=|_top|&gt;Strong's&lt;/a&gt;</v>
      </c>
      <c r="AA251" t="str">
        <f t="shared" si="1000"/>
        <v>&lt;/li&gt;&lt;li&gt;&lt;a href=|http://childrensbibleonline.com/1_samuel/15.htm| title=|The Children's Bible| target=|_top|&gt;Children's&lt;/a&gt;</v>
      </c>
      <c r="AB251" s="2" t="str">
        <f t="shared" si="1000"/>
        <v>&lt;/li&gt;&lt;li&gt;&lt;a href=|http://tsk.scripturetext.com/1_samuel/15.htm| title=|Treasury of Scripture Knowledge| target=|_top|&gt;TSK&lt;/a&gt;</v>
      </c>
      <c r="AC251" t="str">
        <f>CONCATENATE("&lt;a href=|http://",AC1191,"/1_samuel/15.htm","| ","title=|",AC1190,"| target=|_top|&gt;",AC1192,"&lt;/a&gt;")</f>
        <v>&lt;a href=|http://parallelbible.com/1_samuel/15.htm| title=|Parallel Chapters| target=|_top|&gt;PAR&lt;/a&gt;</v>
      </c>
      <c r="AD251" s="2" t="str">
        <f t="shared" ref="AD251:AK251" si="1002">CONCATENATE("&lt;/li&gt;&lt;li&gt;&lt;a href=|http://",AD1191,"/1_samuel/15.htm","| ","title=|",AD1190,"| target=|_top|&gt;",AD1192,"&lt;/a&gt;")</f>
        <v>&lt;/li&gt;&lt;li&gt;&lt;a href=|http://gsb.biblecommenter.com/1_samuel/15.htm| title=|Geneva Study Bible| target=|_top|&gt;GSB&lt;/a&gt;</v>
      </c>
      <c r="AE251" s="2" t="str">
        <f t="shared" si="1002"/>
        <v>&lt;/li&gt;&lt;li&gt;&lt;a href=|http://jfb.biblecommenter.com/1_samuel/15.htm| title=|Jamieson-Fausset-Brown Bible Commentary| target=|_top|&gt;JFB&lt;/a&gt;</v>
      </c>
      <c r="AF251" s="2" t="str">
        <f t="shared" si="1002"/>
        <v>&lt;/li&gt;&lt;li&gt;&lt;a href=|http://kjt.biblecommenter.com/1_samuel/15.htm| title=|King James Translators' Notes| target=|_top|&gt;KJT&lt;/a&gt;</v>
      </c>
      <c r="AG251" s="2" t="str">
        <f t="shared" si="1002"/>
        <v>&lt;/li&gt;&lt;li&gt;&lt;a href=|http://mhc.biblecommenter.com/1_samuel/15.htm| title=|Matthew Henry's Concise Commentary| target=|_top|&gt;MHC&lt;/a&gt;</v>
      </c>
      <c r="AH251" s="2" t="str">
        <f t="shared" si="1002"/>
        <v>&lt;/li&gt;&lt;li&gt;&lt;a href=|http://sco.biblecommenter.com/1_samuel/15.htm| title=|Scofield Reference Notes| target=|_top|&gt;SCO&lt;/a&gt;</v>
      </c>
      <c r="AI251" s="2" t="str">
        <f t="shared" si="1002"/>
        <v>&lt;/li&gt;&lt;li&gt;&lt;a href=|http://wes.biblecommenter.com/1_samuel/15.htm| title=|Wesley's Notes on the Bible| target=|_top|&gt;WES&lt;/a&gt;</v>
      </c>
      <c r="AJ251" t="str">
        <f t="shared" si="1002"/>
        <v>&lt;/li&gt;&lt;li&gt;&lt;a href=|http://worldebible.com/1_samuel/15.htm| title=|World English Bible| target=|_top|&gt;WEB&lt;/a&gt;</v>
      </c>
      <c r="AK251" t="str">
        <f t="shared" si="1002"/>
        <v>&lt;/li&gt;&lt;li&gt;&lt;a href=|http://yltbible.com/1_samuel/15.htm| title=|Young's Literal Translation| target=|_top|&gt;YLT&lt;/a&gt;</v>
      </c>
      <c r="AL251" t="str">
        <f>CONCATENATE("&lt;a href=|http://",AL1191,"/1_samuel/15.htm","| ","title=|",AL1190,"| target=|_top|&gt;",AL1192,"&lt;/a&gt;")</f>
        <v>&lt;a href=|http://kjv.us/1_samuel/15.htm| title=|American King James Version| target=|_top|&gt;AKJ&lt;/a&gt;</v>
      </c>
      <c r="AM251" t="str">
        <f t="shared" ref="AM251:AN251" si="1003">CONCATENATE("&lt;/li&gt;&lt;li&gt;&lt;a href=|http://",AM1191,"/1_samuel/15.htm","| ","title=|",AM1190,"| target=|_top|&gt;",AM1192,"&lt;/a&gt;")</f>
        <v>&lt;/li&gt;&lt;li&gt;&lt;a href=|http://basicenglishbible.com/1_samuel/15.htm| title=|Bible in Basic English| target=|_top|&gt;BBE&lt;/a&gt;</v>
      </c>
      <c r="AN251" t="str">
        <f t="shared" si="1003"/>
        <v>&lt;/li&gt;&lt;li&gt;&lt;a href=|http://darbybible.com/1_samuel/15.htm| title=|Darby Bible Translation| target=|_top|&gt;DBY&lt;/a&gt;</v>
      </c>
      <c r="AO25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5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5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51" t="str">
        <f>CONCATENATE("&lt;/li&gt;&lt;li&gt;&lt;a href=|http://",AR1191,"/1_samuel/15.htm","| ","title=|",AR1190,"| target=|_top|&gt;",AR1192,"&lt;/a&gt;")</f>
        <v>&lt;/li&gt;&lt;li&gt;&lt;a href=|http://websterbible.com/1_samuel/15.htm| title=|Webster's Bible Translation| target=|_top|&gt;WBS&lt;/a&gt;</v>
      </c>
      <c r="AS25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51" t="str">
        <f>CONCATENATE("&lt;/li&gt;&lt;li&gt;&lt;a href=|http://",AT1191,"/1_samuel/15-1.htm","| ","title=|",AT1190,"| target=|_top|&gt;",AT1192,"&lt;/a&gt;")</f>
        <v>&lt;/li&gt;&lt;li&gt;&lt;a href=|http://biblebrowser.com/1_samuel/15-1.htm| title=|Split View| target=|_top|&gt;Split&lt;/a&gt;</v>
      </c>
      <c r="AU251" s="2" t="s">
        <v>1276</v>
      </c>
      <c r="AV251" t="s">
        <v>64</v>
      </c>
    </row>
    <row r="252" spans="1:48">
      <c r="A252" t="s">
        <v>622</v>
      </c>
      <c r="B252" t="s">
        <v>305</v>
      </c>
      <c r="C252" t="s">
        <v>624</v>
      </c>
      <c r="D252" t="s">
        <v>1268</v>
      </c>
      <c r="E252" t="s">
        <v>1277</v>
      </c>
      <c r="F252" t="s">
        <v>1304</v>
      </c>
      <c r="G252" t="s">
        <v>1266</v>
      </c>
      <c r="H252" t="s">
        <v>1305</v>
      </c>
      <c r="I252" t="s">
        <v>1303</v>
      </c>
      <c r="J252" t="s">
        <v>1267</v>
      </c>
      <c r="K252" t="s">
        <v>1275</v>
      </c>
      <c r="L252" s="2" t="s">
        <v>1274</v>
      </c>
      <c r="M252" t="str">
        <f t="shared" ref="M252:AB252" si="1004">CONCATENATE("&lt;/li&gt;&lt;li&gt;&lt;a href=|http://",M1191,"/1_samuel/16.htm","| ","title=|",M1190,"| target=|_top|&gt;",M1192,"&lt;/a&gt;")</f>
        <v>&lt;/li&gt;&lt;li&gt;&lt;a href=|http://niv.scripturetext.com/1_samuel/16.htm| title=|New International Version| target=|_top|&gt;NIV&lt;/a&gt;</v>
      </c>
      <c r="N252" t="str">
        <f t="shared" si="1004"/>
        <v>&lt;/li&gt;&lt;li&gt;&lt;a href=|http://nlt.scripturetext.com/1_samuel/16.htm| title=|New Living Translation| target=|_top|&gt;NLT&lt;/a&gt;</v>
      </c>
      <c r="O252" t="str">
        <f t="shared" si="1004"/>
        <v>&lt;/li&gt;&lt;li&gt;&lt;a href=|http://nasb.scripturetext.com/1_samuel/16.htm| title=|New American Standard Bible| target=|_top|&gt;NAS&lt;/a&gt;</v>
      </c>
      <c r="P252" t="str">
        <f t="shared" si="1004"/>
        <v>&lt;/li&gt;&lt;li&gt;&lt;a href=|http://gwt.scripturetext.com/1_samuel/16.htm| title=|God's Word Translation| target=|_top|&gt;GWT&lt;/a&gt;</v>
      </c>
      <c r="Q252" t="str">
        <f t="shared" si="1004"/>
        <v>&lt;/li&gt;&lt;li&gt;&lt;a href=|http://kingjbible.com/1_samuel/16.htm| title=|King James Bible| target=|_top|&gt;KJV&lt;/a&gt;</v>
      </c>
      <c r="R252" t="str">
        <f t="shared" si="1004"/>
        <v>&lt;/li&gt;&lt;li&gt;&lt;a href=|http://asvbible.com/1_samuel/16.htm| title=|American Standard Version| target=|_top|&gt;ASV&lt;/a&gt;</v>
      </c>
      <c r="S252" t="str">
        <f t="shared" si="1004"/>
        <v>&lt;/li&gt;&lt;li&gt;&lt;a href=|http://drb.scripturetext.com/1_samuel/16.htm| title=|Douay-Rheims Bible| target=|_top|&gt;DRB&lt;/a&gt;</v>
      </c>
      <c r="T252" t="str">
        <f t="shared" si="1004"/>
        <v>&lt;/li&gt;&lt;li&gt;&lt;a href=|http://erv.scripturetext.com/1_samuel/16.htm| title=|English Revised Version| target=|_top|&gt;ERV&lt;/a&gt;</v>
      </c>
      <c r="V252" t="str">
        <f>CONCATENATE("&lt;/li&gt;&lt;li&gt;&lt;a href=|http://",V1191,"/1_samuel/16.htm","| ","title=|",V1190,"| target=|_top|&gt;",V1192,"&lt;/a&gt;")</f>
        <v>&lt;/li&gt;&lt;li&gt;&lt;a href=|http://study.interlinearbible.org/1_samuel/16.htm| title=|Hebrew Study Bible| target=|_top|&gt;Heb Study&lt;/a&gt;</v>
      </c>
      <c r="W252" t="str">
        <f t="shared" si="1004"/>
        <v>&lt;/li&gt;&lt;li&gt;&lt;a href=|http://apostolic.interlinearbible.org/1_samuel/16.htm| title=|Apostolic Bible Polyglot Interlinear| target=|_top|&gt;Polyglot&lt;/a&gt;</v>
      </c>
      <c r="X252" t="str">
        <f t="shared" si="1004"/>
        <v>&lt;/li&gt;&lt;li&gt;&lt;a href=|http://interlinearbible.org/1_samuel/16.htm| title=|Interlinear Bible| target=|_top|&gt;Interlin&lt;/a&gt;</v>
      </c>
      <c r="Y252" t="str">
        <f t="shared" ref="Y252" si="1005">CONCATENATE("&lt;/li&gt;&lt;li&gt;&lt;a href=|http://",Y1191,"/1_samuel/16.htm","| ","title=|",Y1190,"| target=|_top|&gt;",Y1192,"&lt;/a&gt;")</f>
        <v>&lt;/li&gt;&lt;li&gt;&lt;a href=|http://bibleoutline.org/1_samuel/16.htm| title=|Outline with People and Places List| target=|_top|&gt;Outline&lt;/a&gt;</v>
      </c>
      <c r="Z252" t="str">
        <f t="shared" si="1004"/>
        <v>&lt;/li&gt;&lt;li&gt;&lt;a href=|http://kjvs.scripturetext.com/1_samuel/16.htm| title=|King James Bible with Strong's Numbers| target=|_top|&gt;Strong's&lt;/a&gt;</v>
      </c>
      <c r="AA252" t="str">
        <f t="shared" si="1004"/>
        <v>&lt;/li&gt;&lt;li&gt;&lt;a href=|http://childrensbibleonline.com/1_samuel/16.htm| title=|The Children's Bible| target=|_top|&gt;Children's&lt;/a&gt;</v>
      </c>
      <c r="AB252" s="2" t="str">
        <f t="shared" si="1004"/>
        <v>&lt;/li&gt;&lt;li&gt;&lt;a href=|http://tsk.scripturetext.com/1_samuel/16.htm| title=|Treasury of Scripture Knowledge| target=|_top|&gt;TSK&lt;/a&gt;</v>
      </c>
      <c r="AC252" t="str">
        <f>CONCATENATE("&lt;a href=|http://",AC1191,"/1_samuel/16.htm","| ","title=|",AC1190,"| target=|_top|&gt;",AC1192,"&lt;/a&gt;")</f>
        <v>&lt;a href=|http://parallelbible.com/1_samuel/16.htm| title=|Parallel Chapters| target=|_top|&gt;PAR&lt;/a&gt;</v>
      </c>
      <c r="AD252" s="2" t="str">
        <f t="shared" ref="AD252:AK252" si="1006">CONCATENATE("&lt;/li&gt;&lt;li&gt;&lt;a href=|http://",AD1191,"/1_samuel/16.htm","| ","title=|",AD1190,"| target=|_top|&gt;",AD1192,"&lt;/a&gt;")</f>
        <v>&lt;/li&gt;&lt;li&gt;&lt;a href=|http://gsb.biblecommenter.com/1_samuel/16.htm| title=|Geneva Study Bible| target=|_top|&gt;GSB&lt;/a&gt;</v>
      </c>
      <c r="AE252" s="2" t="str">
        <f t="shared" si="1006"/>
        <v>&lt;/li&gt;&lt;li&gt;&lt;a href=|http://jfb.biblecommenter.com/1_samuel/16.htm| title=|Jamieson-Fausset-Brown Bible Commentary| target=|_top|&gt;JFB&lt;/a&gt;</v>
      </c>
      <c r="AF252" s="2" t="str">
        <f t="shared" si="1006"/>
        <v>&lt;/li&gt;&lt;li&gt;&lt;a href=|http://kjt.biblecommenter.com/1_samuel/16.htm| title=|King James Translators' Notes| target=|_top|&gt;KJT&lt;/a&gt;</v>
      </c>
      <c r="AG252" s="2" t="str">
        <f t="shared" si="1006"/>
        <v>&lt;/li&gt;&lt;li&gt;&lt;a href=|http://mhc.biblecommenter.com/1_samuel/16.htm| title=|Matthew Henry's Concise Commentary| target=|_top|&gt;MHC&lt;/a&gt;</v>
      </c>
      <c r="AH252" s="2" t="str">
        <f t="shared" si="1006"/>
        <v>&lt;/li&gt;&lt;li&gt;&lt;a href=|http://sco.biblecommenter.com/1_samuel/16.htm| title=|Scofield Reference Notes| target=|_top|&gt;SCO&lt;/a&gt;</v>
      </c>
      <c r="AI252" s="2" t="str">
        <f t="shared" si="1006"/>
        <v>&lt;/li&gt;&lt;li&gt;&lt;a href=|http://wes.biblecommenter.com/1_samuel/16.htm| title=|Wesley's Notes on the Bible| target=|_top|&gt;WES&lt;/a&gt;</v>
      </c>
      <c r="AJ252" t="str">
        <f t="shared" si="1006"/>
        <v>&lt;/li&gt;&lt;li&gt;&lt;a href=|http://worldebible.com/1_samuel/16.htm| title=|World English Bible| target=|_top|&gt;WEB&lt;/a&gt;</v>
      </c>
      <c r="AK252" t="str">
        <f t="shared" si="1006"/>
        <v>&lt;/li&gt;&lt;li&gt;&lt;a href=|http://yltbible.com/1_samuel/16.htm| title=|Young's Literal Translation| target=|_top|&gt;YLT&lt;/a&gt;</v>
      </c>
      <c r="AL252" t="str">
        <f>CONCATENATE("&lt;a href=|http://",AL1191,"/1_samuel/16.htm","| ","title=|",AL1190,"| target=|_top|&gt;",AL1192,"&lt;/a&gt;")</f>
        <v>&lt;a href=|http://kjv.us/1_samuel/16.htm| title=|American King James Version| target=|_top|&gt;AKJ&lt;/a&gt;</v>
      </c>
      <c r="AM252" t="str">
        <f t="shared" ref="AM252:AN252" si="1007">CONCATENATE("&lt;/li&gt;&lt;li&gt;&lt;a href=|http://",AM1191,"/1_samuel/16.htm","| ","title=|",AM1190,"| target=|_top|&gt;",AM1192,"&lt;/a&gt;")</f>
        <v>&lt;/li&gt;&lt;li&gt;&lt;a href=|http://basicenglishbible.com/1_samuel/16.htm| title=|Bible in Basic English| target=|_top|&gt;BBE&lt;/a&gt;</v>
      </c>
      <c r="AN252" t="str">
        <f t="shared" si="1007"/>
        <v>&lt;/li&gt;&lt;li&gt;&lt;a href=|http://darbybible.com/1_samuel/16.htm| title=|Darby Bible Translation| target=|_top|&gt;DBY&lt;/a&gt;</v>
      </c>
      <c r="AO25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5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5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52" t="str">
        <f>CONCATENATE("&lt;/li&gt;&lt;li&gt;&lt;a href=|http://",AR1191,"/1_samuel/16.htm","| ","title=|",AR1190,"| target=|_top|&gt;",AR1192,"&lt;/a&gt;")</f>
        <v>&lt;/li&gt;&lt;li&gt;&lt;a href=|http://websterbible.com/1_samuel/16.htm| title=|Webster's Bible Translation| target=|_top|&gt;WBS&lt;/a&gt;</v>
      </c>
      <c r="AS25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52" t="str">
        <f>CONCATENATE("&lt;/li&gt;&lt;li&gt;&lt;a href=|http://",AT1191,"/1_samuel/16-1.htm","| ","title=|",AT1190,"| target=|_top|&gt;",AT1192,"&lt;/a&gt;")</f>
        <v>&lt;/li&gt;&lt;li&gt;&lt;a href=|http://biblebrowser.com/1_samuel/16-1.htm| title=|Split View| target=|_top|&gt;Split&lt;/a&gt;</v>
      </c>
      <c r="AU252" s="2" t="s">
        <v>1276</v>
      </c>
      <c r="AV252" t="s">
        <v>64</v>
      </c>
    </row>
    <row r="253" spans="1:48">
      <c r="A253" t="s">
        <v>622</v>
      </c>
      <c r="B253" t="s">
        <v>306</v>
      </c>
      <c r="C253" t="s">
        <v>624</v>
      </c>
      <c r="D253" t="s">
        <v>1268</v>
      </c>
      <c r="E253" t="s">
        <v>1277</v>
      </c>
      <c r="F253" t="s">
        <v>1304</v>
      </c>
      <c r="G253" t="s">
        <v>1266</v>
      </c>
      <c r="H253" t="s">
        <v>1305</v>
      </c>
      <c r="I253" t="s">
        <v>1303</v>
      </c>
      <c r="J253" t="s">
        <v>1267</v>
      </c>
      <c r="K253" t="s">
        <v>1275</v>
      </c>
      <c r="L253" s="2" t="s">
        <v>1274</v>
      </c>
      <c r="M253" t="str">
        <f t="shared" ref="M253:AB253" si="1008">CONCATENATE("&lt;/li&gt;&lt;li&gt;&lt;a href=|http://",M1191,"/1_samuel/17.htm","| ","title=|",M1190,"| target=|_top|&gt;",M1192,"&lt;/a&gt;")</f>
        <v>&lt;/li&gt;&lt;li&gt;&lt;a href=|http://niv.scripturetext.com/1_samuel/17.htm| title=|New International Version| target=|_top|&gt;NIV&lt;/a&gt;</v>
      </c>
      <c r="N253" t="str">
        <f t="shared" si="1008"/>
        <v>&lt;/li&gt;&lt;li&gt;&lt;a href=|http://nlt.scripturetext.com/1_samuel/17.htm| title=|New Living Translation| target=|_top|&gt;NLT&lt;/a&gt;</v>
      </c>
      <c r="O253" t="str">
        <f t="shared" si="1008"/>
        <v>&lt;/li&gt;&lt;li&gt;&lt;a href=|http://nasb.scripturetext.com/1_samuel/17.htm| title=|New American Standard Bible| target=|_top|&gt;NAS&lt;/a&gt;</v>
      </c>
      <c r="P253" t="str">
        <f t="shared" si="1008"/>
        <v>&lt;/li&gt;&lt;li&gt;&lt;a href=|http://gwt.scripturetext.com/1_samuel/17.htm| title=|God's Word Translation| target=|_top|&gt;GWT&lt;/a&gt;</v>
      </c>
      <c r="Q253" t="str">
        <f t="shared" si="1008"/>
        <v>&lt;/li&gt;&lt;li&gt;&lt;a href=|http://kingjbible.com/1_samuel/17.htm| title=|King James Bible| target=|_top|&gt;KJV&lt;/a&gt;</v>
      </c>
      <c r="R253" t="str">
        <f t="shared" si="1008"/>
        <v>&lt;/li&gt;&lt;li&gt;&lt;a href=|http://asvbible.com/1_samuel/17.htm| title=|American Standard Version| target=|_top|&gt;ASV&lt;/a&gt;</v>
      </c>
      <c r="S253" t="str">
        <f t="shared" si="1008"/>
        <v>&lt;/li&gt;&lt;li&gt;&lt;a href=|http://drb.scripturetext.com/1_samuel/17.htm| title=|Douay-Rheims Bible| target=|_top|&gt;DRB&lt;/a&gt;</v>
      </c>
      <c r="T253" t="str">
        <f t="shared" si="1008"/>
        <v>&lt;/li&gt;&lt;li&gt;&lt;a href=|http://erv.scripturetext.com/1_samuel/17.htm| title=|English Revised Version| target=|_top|&gt;ERV&lt;/a&gt;</v>
      </c>
      <c r="V253" t="str">
        <f>CONCATENATE("&lt;/li&gt;&lt;li&gt;&lt;a href=|http://",V1191,"/1_samuel/17.htm","| ","title=|",V1190,"| target=|_top|&gt;",V1192,"&lt;/a&gt;")</f>
        <v>&lt;/li&gt;&lt;li&gt;&lt;a href=|http://study.interlinearbible.org/1_samuel/17.htm| title=|Hebrew Study Bible| target=|_top|&gt;Heb Study&lt;/a&gt;</v>
      </c>
      <c r="W253" t="str">
        <f t="shared" si="1008"/>
        <v>&lt;/li&gt;&lt;li&gt;&lt;a href=|http://apostolic.interlinearbible.org/1_samuel/17.htm| title=|Apostolic Bible Polyglot Interlinear| target=|_top|&gt;Polyglot&lt;/a&gt;</v>
      </c>
      <c r="X253" t="str">
        <f t="shared" si="1008"/>
        <v>&lt;/li&gt;&lt;li&gt;&lt;a href=|http://interlinearbible.org/1_samuel/17.htm| title=|Interlinear Bible| target=|_top|&gt;Interlin&lt;/a&gt;</v>
      </c>
      <c r="Y253" t="str">
        <f t="shared" ref="Y253" si="1009">CONCATENATE("&lt;/li&gt;&lt;li&gt;&lt;a href=|http://",Y1191,"/1_samuel/17.htm","| ","title=|",Y1190,"| target=|_top|&gt;",Y1192,"&lt;/a&gt;")</f>
        <v>&lt;/li&gt;&lt;li&gt;&lt;a href=|http://bibleoutline.org/1_samuel/17.htm| title=|Outline with People and Places List| target=|_top|&gt;Outline&lt;/a&gt;</v>
      </c>
      <c r="Z253" t="str">
        <f t="shared" si="1008"/>
        <v>&lt;/li&gt;&lt;li&gt;&lt;a href=|http://kjvs.scripturetext.com/1_samuel/17.htm| title=|King James Bible with Strong's Numbers| target=|_top|&gt;Strong's&lt;/a&gt;</v>
      </c>
      <c r="AA253" t="str">
        <f t="shared" si="1008"/>
        <v>&lt;/li&gt;&lt;li&gt;&lt;a href=|http://childrensbibleonline.com/1_samuel/17.htm| title=|The Children's Bible| target=|_top|&gt;Children's&lt;/a&gt;</v>
      </c>
      <c r="AB253" s="2" t="str">
        <f t="shared" si="1008"/>
        <v>&lt;/li&gt;&lt;li&gt;&lt;a href=|http://tsk.scripturetext.com/1_samuel/17.htm| title=|Treasury of Scripture Knowledge| target=|_top|&gt;TSK&lt;/a&gt;</v>
      </c>
      <c r="AC253" t="str">
        <f>CONCATENATE("&lt;a href=|http://",AC1191,"/1_samuel/17.htm","| ","title=|",AC1190,"| target=|_top|&gt;",AC1192,"&lt;/a&gt;")</f>
        <v>&lt;a href=|http://parallelbible.com/1_samuel/17.htm| title=|Parallel Chapters| target=|_top|&gt;PAR&lt;/a&gt;</v>
      </c>
      <c r="AD253" s="2" t="str">
        <f t="shared" ref="AD253:AK253" si="1010">CONCATENATE("&lt;/li&gt;&lt;li&gt;&lt;a href=|http://",AD1191,"/1_samuel/17.htm","| ","title=|",AD1190,"| target=|_top|&gt;",AD1192,"&lt;/a&gt;")</f>
        <v>&lt;/li&gt;&lt;li&gt;&lt;a href=|http://gsb.biblecommenter.com/1_samuel/17.htm| title=|Geneva Study Bible| target=|_top|&gt;GSB&lt;/a&gt;</v>
      </c>
      <c r="AE253" s="2" t="str">
        <f t="shared" si="1010"/>
        <v>&lt;/li&gt;&lt;li&gt;&lt;a href=|http://jfb.biblecommenter.com/1_samuel/17.htm| title=|Jamieson-Fausset-Brown Bible Commentary| target=|_top|&gt;JFB&lt;/a&gt;</v>
      </c>
      <c r="AF253" s="2" t="str">
        <f t="shared" si="1010"/>
        <v>&lt;/li&gt;&lt;li&gt;&lt;a href=|http://kjt.biblecommenter.com/1_samuel/17.htm| title=|King James Translators' Notes| target=|_top|&gt;KJT&lt;/a&gt;</v>
      </c>
      <c r="AG253" s="2" t="str">
        <f t="shared" si="1010"/>
        <v>&lt;/li&gt;&lt;li&gt;&lt;a href=|http://mhc.biblecommenter.com/1_samuel/17.htm| title=|Matthew Henry's Concise Commentary| target=|_top|&gt;MHC&lt;/a&gt;</v>
      </c>
      <c r="AH253" s="2" t="str">
        <f t="shared" si="1010"/>
        <v>&lt;/li&gt;&lt;li&gt;&lt;a href=|http://sco.biblecommenter.com/1_samuel/17.htm| title=|Scofield Reference Notes| target=|_top|&gt;SCO&lt;/a&gt;</v>
      </c>
      <c r="AI253" s="2" t="str">
        <f t="shared" si="1010"/>
        <v>&lt;/li&gt;&lt;li&gt;&lt;a href=|http://wes.biblecommenter.com/1_samuel/17.htm| title=|Wesley's Notes on the Bible| target=|_top|&gt;WES&lt;/a&gt;</v>
      </c>
      <c r="AJ253" t="str">
        <f t="shared" si="1010"/>
        <v>&lt;/li&gt;&lt;li&gt;&lt;a href=|http://worldebible.com/1_samuel/17.htm| title=|World English Bible| target=|_top|&gt;WEB&lt;/a&gt;</v>
      </c>
      <c r="AK253" t="str">
        <f t="shared" si="1010"/>
        <v>&lt;/li&gt;&lt;li&gt;&lt;a href=|http://yltbible.com/1_samuel/17.htm| title=|Young's Literal Translation| target=|_top|&gt;YLT&lt;/a&gt;</v>
      </c>
      <c r="AL253" t="str">
        <f>CONCATENATE("&lt;a href=|http://",AL1191,"/1_samuel/17.htm","| ","title=|",AL1190,"| target=|_top|&gt;",AL1192,"&lt;/a&gt;")</f>
        <v>&lt;a href=|http://kjv.us/1_samuel/17.htm| title=|American King James Version| target=|_top|&gt;AKJ&lt;/a&gt;</v>
      </c>
      <c r="AM253" t="str">
        <f t="shared" ref="AM253:AN253" si="1011">CONCATENATE("&lt;/li&gt;&lt;li&gt;&lt;a href=|http://",AM1191,"/1_samuel/17.htm","| ","title=|",AM1190,"| target=|_top|&gt;",AM1192,"&lt;/a&gt;")</f>
        <v>&lt;/li&gt;&lt;li&gt;&lt;a href=|http://basicenglishbible.com/1_samuel/17.htm| title=|Bible in Basic English| target=|_top|&gt;BBE&lt;/a&gt;</v>
      </c>
      <c r="AN253" t="str">
        <f t="shared" si="1011"/>
        <v>&lt;/li&gt;&lt;li&gt;&lt;a href=|http://darbybible.com/1_samuel/17.htm| title=|Darby Bible Translation| target=|_top|&gt;DBY&lt;/a&gt;</v>
      </c>
      <c r="AO25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5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5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53" t="str">
        <f>CONCATENATE("&lt;/li&gt;&lt;li&gt;&lt;a href=|http://",AR1191,"/1_samuel/17.htm","| ","title=|",AR1190,"| target=|_top|&gt;",AR1192,"&lt;/a&gt;")</f>
        <v>&lt;/li&gt;&lt;li&gt;&lt;a href=|http://websterbible.com/1_samuel/17.htm| title=|Webster's Bible Translation| target=|_top|&gt;WBS&lt;/a&gt;</v>
      </c>
      <c r="AS25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53" t="str">
        <f>CONCATENATE("&lt;/li&gt;&lt;li&gt;&lt;a href=|http://",AT1191,"/1_samuel/17-1.htm","| ","title=|",AT1190,"| target=|_top|&gt;",AT1192,"&lt;/a&gt;")</f>
        <v>&lt;/li&gt;&lt;li&gt;&lt;a href=|http://biblebrowser.com/1_samuel/17-1.htm| title=|Split View| target=|_top|&gt;Split&lt;/a&gt;</v>
      </c>
      <c r="AU253" s="2" t="s">
        <v>1276</v>
      </c>
      <c r="AV253" t="s">
        <v>64</v>
      </c>
    </row>
    <row r="254" spans="1:48">
      <c r="A254" t="s">
        <v>622</v>
      </c>
      <c r="B254" t="s">
        <v>307</v>
      </c>
      <c r="C254" t="s">
        <v>624</v>
      </c>
      <c r="D254" t="s">
        <v>1268</v>
      </c>
      <c r="E254" t="s">
        <v>1277</v>
      </c>
      <c r="F254" t="s">
        <v>1304</v>
      </c>
      <c r="G254" t="s">
        <v>1266</v>
      </c>
      <c r="H254" t="s">
        <v>1305</v>
      </c>
      <c r="I254" t="s">
        <v>1303</v>
      </c>
      <c r="J254" t="s">
        <v>1267</v>
      </c>
      <c r="K254" t="s">
        <v>1275</v>
      </c>
      <c r="L254" s="2" t="s">
        <v>1274</v>
      </c>
      <c r="M254" t="str">
        <f t="shared" ref="M254:AB254" si="1012">CONCATENATE("&lt;/li&gt;&lt;li&gt;&lt;a href=|http://",M1191,"/1_samuel/18.htm","| ","title=|",M1190,"| target=|_top|&gt;",M1192,"&lt;/a&gt;")</f>
        <v>&lt;/li&gt;&lt;li&gt;&lt;a href=|http://niv.scripturetext.com/1_samuel/18.htm| title=|New International Version| target=|_top|&gt;NIV&lt;/a&gt;</v>
      </c>
      <c r="N254" t="str">
        <f t="shared" si="1012"/>
        <v>&lt;/li&gt;&lt;li&gt;&lt;a href=|http://nlt.scripturetext.com/1_samuel/18.htm| title=|New Living Translation| target=|_top|&gt;NLT&lt;/a&gt;</v>
      </c>
      <c r="O254" t="str">
        <f t="shared" si="1012"/>
        <v>&lt;/li&gt;&lt;li&gt;&lt;a href=|http://nasb.scripturetext.com/1_samuel/18.htm| title=|New American Standard Bible| target=|_top|&gt;NAS&lt;/a&gt;</v>
      </c>
      <c r="P254" t="str">
        <f t="shared" si="1012"/>
        <v>&lt;/li&gt;&lt;li&gt;&lt;a href=|http://gwt.scripturetext.com/1_samuel/18.htm| title=|God's Word Translation| target=|_top|&gt;GWT&lt;/a&gt;</v>
      </c>
      <c r="Q254" t="str">
        <f t="shared" si="1012"/>
        <v>&lt;/li&gt;&lt;li&gt;&lt;a href=|http://kingjbible.com/1_samuel/18.htm| title=|King James Bible| target=|_top|&gt;KJV&lt;/a&gt;</v>
      </c>
      <c r="R254" t="str">
        <f t="shared" si="1012"/>
        <v>&lt;/li&gt;&lt;li&gt;&lt;a href=|http://asvbible.com/1_samuel/18.htm| title=|American Standard Version| target=|_top|&gt;ASV&lt;/a&gt;</v>
      </c>
      <c r="S254" t="str">
        <f t="shared" si="1012"/>
        <v>&lt;/li&gt;&lt;li&gt;&lt;a href=|http://drb.scripturetext.com/1_samuel/18.htm| title=|Douay-Rheims Bible| target=|_top|&gt;DRB&lt;/a&gt;</v>
      </c>
      <c r="T254" t="str">
        <f t="shared" si="1012"/>
        <v>&lt;/li&gt;&lt;li&gt;&lt;a href=|http://erv.scripturetext.com/1_samuel/18.htm| title=|English Revised Version| target=|_top|&gt;ERV&lt;/a&gt;</v>
      </c>
      <c r="V254" t="str">
        <f>CONCATENATE("&lt;/li&gt;&lt;li&gt;&lt;a href=|http://",V1191,"/1_samuel/18.htm","| ","title=|",V1190,"| target=|_top|&gt;",V1192,"&lt;/a&gt;")</f>
        <v>&lt;/li&gt;&lt;li&gt;&lt;a href=|http://study.interlinearbible.org/1_samuel/18.htm| title=|Hebrew Study Bible| target=|_top|&gt;Heb Study&lt;/a&gt;</v>
      </c>
      <c r="W254" t="str">
        <f t="shared" si="1012"/>
        <v>&lt;/li&gt;&lt;li&gt;&lt;a href=|http://apostolic.interlinearbible.org/1_samuel/18.htm| title=|Apostolic Bible Polyglot Interlinear| target=|_top|&gt;Polyglot&lt;/a&gt;</v>
      </c>
      <c r="X254" t="str">
        <f t="shared" si="1012"/>
        <v>&lt;/li&gt;&lt;li&gt;&lt;a href=|http://interlinearbible.org/1_samuel/18.htm| title=|Interlinear Bible| target=|_top|&gt;Interlin&lt;/a&gt;</v>
      </c>
      <c r="Y254" t="str">
        <f t="shared" ref="Y254" si="1013">CONCATENATE("&lt;/li&gt;&lt;li&gt;&lt;a href=|http://",Y1191,"/1_samuel/18.htm","| ","title=|",Y1190,"| target=|_top|&gt;",Y1192,"&lt;/a&gt;")</f>
        <v>&lt;/li&gt;&lt;li&gt;&lt;a href=|http://bibleoutline.org/1_samuel/18.htm| title=|Outline with People and Places List| target=|_top|&gt;Outline&lt;/a&gt;</v>
      </c>
      <c r="Z254" t="str">
        <f t="shared" si="1012"/>
        <v>&lt;/li&gt;&lt;li&gt;&lt;a href=|http://kjvs.scripturetext.com/1_samuel/18.htm| title=|King James Bible with Strong's Numbers| target=|_top|&gt;Strong's&lt;/a&gt;</v>
      </c>
      <c r="AA254" t="str">
        <f t="shared" si="1012"/>
        <v>&lt;/li&gt;&lt;li&gt;&lt;a href=|http://childrensbibleonline.com/1_samuel/18.htm| title=|The Children's Bible| target=|_top|&gt;Children's&lt;/a&gt;</v>
      </c>
      <c r="AB254" s="2" t="str">
        <f t="shared" si="1012"/>
        <v>&lt;/li&gt;&lt;li&gt;&lt;a href=|http://tsk.scripturetext.com/1_samuel/18.htm| title=|Treasury of Scripture Knowledge| target=|_top|&gt;TSK&lt;/a&gt;</v>
      </c>
      <c r="AC254" t="str">
        <f>CONCATENATE("&lt;a href=|http://",AC1191,"/1_samuel/18.htm","| ","title=|",AC1190,"| target=|_top|&gt;",AC1192,"&lt;/a&gt;")</f>
        <v>&lt;a href=|http://parallelbible.com/1_samuel/18.htm| title=|Parallel Chapters| target=|_top|&gt;PAR&lt;/a&gt;</v>
      </c>
      <c r="AD254" s="2" t="str">
        <f t="shared" ref="AD254:AK254" si="1014">CONCATENATE("&lt;/li&gt;&lt;li&gt;&lt;a href=|http://",AD1191,"/1_samuel/18.htm","| ","title=|",AD1190,"| target=|_top|&gt;",AD1192,"&lt;/a&gt;")</f>
        <v>&lt;/li&gt;&lt;li&gt;&lt;a href=|http://gsb.biblecommenter.com/1_samuel/18.htm| title=|Geneva Study Bible| target=|_top|&gt;GSB&lt;/a&gt;</v>
      </c>
      <c r="AE254" s="2" t="str">
        <f t="shared" si="1014"/>
        <v>&lt;/li&gt;&lt;li&gt;&lt;a href=|http://jfb.biblecommenter.com/1_samuel/18.htm| title=|Jamieson-Fausset-Brown Bible Commentary| target=|_top|&gt;JFB&lt;/a&gt;</v>
      </c>
      <c r="AF254" s="2" t="str">
        <f t="shared" si="1014"/>
        <v>&lt;/li&gt;&lt;li&gt;&lt;a href=|http://kjt.biblecommenter.com/1_samuel/18.htm| title=|King James Translators' Notes| target=|_top|&gt;KJT&lt;/a&gt;</v>
      </c>
      <c r="AG254" s="2" t="str">
        <f t="shared" si="1014"/>
        <v>&lt;/li&gt;&lt;li&gt;&lt;a href=|http://mhc.biblecommenter.com/1_samuel/18.htm| title=|Matthew Henry's Concise Commentary| target=|_top|&gt;MHC&lt;/a&gt;</v>
      </c>
      <c r="AH254" s="2" t="str">
        <f t="shared" si="1014"/>
        <v>&lt;/li&gt;&lt;li&gt;&lt;a href=|http://sco.biblecommenter.com/1_samuel/18.htm| title=|Scofield Reference Notes| target=|_top|&gt;SCO&lt;/a&gt;</v>
      </c>
      <c r="AI254" s="2" t="str">
        <f t="shared" si="1014"/>
        <v>&lt;/li&gt;&lt;li&gt;&lt;a href=|http://wes.biblecommenter.com/1_samuel/18.htm| title=|Wesley's Notes on the Bible| target=|_top|&gt;WES&lt;/a&gt;</v>
      </c>
      <c r="AJ254" t="str">
        <f t="shared" si="1014"/>
        <v>&lt;/li&gt;&lt;li&gt;&lt;a href=|http://worldebible.com/1_samuel/18.htm| title=|World English Bible| target=|_top|&gt;WEB&lt;/a&gt;</v>
      </c>
      <c r="AK254" t="str">
        <f t="shared" si="1014"/>
        <v>&lt;/li&gt;&lt;li&gt;&lt;a href=|http://yltbible.com/1_samuel/18.htm| title=|Young's Literal Translation| target=|_top|&gt;YLT&lt;/a&gt;</v>
      </c>
      <c r="AL254" t="str">
        <f>CONCATENATE("&lt;a href=|http://",AL1191,"/1_samuel/18.htm","| ","title=|",AL1190,"| target=|_top|&gt;",AL1192,"&lt;/a&gt;")</f>
        <v>&lt;a href=|http://kjv.us/1_samuel/18.htm| title=|American King James Version| target=|_top|&gt;AKJ&lt;/a&gt;</v>
      </c>
      <c r="AM254" t="str">
        <f t="shared" ref="AM254:AN254" si="1015">CONCATENATE("&lt;/li&gt;&lt;li&gt;&lt;a href=|http://",AM1191,"/1_samuel/18.htm","| ","title=|",AM1190,"| target=|_top|&gt;",AM1192,"&lt;/a&gt;")</f>
        <v>&lt;/li&gt;&lt;li&gt;&lt;a href=|http://basicenglishbible.com/1_samuel/18.htm| title=|Bible in Basic English| target=|_top|&gt;BBE&lt;/a&gt;</v>
      </c>
      <c r="AN254" t="str">
        <f t="shared" si="1015"/>
        <v>&lt;/li&gt;&lt;li&gt;&lt;a href=|http://darbybible.com/1_samuel/18.htm| title=|Darby Bible Translation| target=|_top|&gt;DBY&lt;/a&gt;</v>
      </c>
      <c r="AO25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5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5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54" t="str">
        <f>CONCATENATE("&lt;/li&gt;&lt;li&gt;&lt;a href=|http://",AR1191,"/1_samuel/18.htm","| ","title=|",AR1190,"| target=|_top|&gt;",AR1192,"&lt;/a&gt;")</f>
        <v>&lt;/li&gt;&lt;li&gt;&lt;a href=|http://websterbible.com/1_samuel/18.htm| title=|Webster's Bible Translation| target=|_top|&gt;WBS&lt;/a&gt;</v>
      </c>
      <c r="AS25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54" t="str">
        <f>CONCATENATE("&lt;/li&gt;&lt;li&gt;&lt;a href=|http://",AT1191,"/1_samuel/18-1.htm","| ","title=|",AT1190,"| target=|_top|&gt;",AT1192,"&lt;/a&gt;")</f>
        <v>&lt;/li&gt;&lt;li&gt;&lt;a href=|http://biblebrowser.com/1_samuel/18-1.htm| title=|Split View| target=|_top|&gt;Split&lt;/a&gt;</v>
      </c>
      <c r="AU254" s="2" t="s">
        <v>1276</v>
      </c>
      <c r="AV254" t="s">
        <v>64</v>
      </c>
    </row>
    <row r="255" spans="1:48">
      <c r="A255" t="s">
        <v>622</v>
      </c>
      <c r="B255" t="s">
        <v>308</v>
      </c>
      <c r="C255" t="s">
        <v>624</v>
      </c>
      <c r="D255" t="s">
        <v>1268</v>
      </c>
      <c r="E255" t="s">
        <v>1277</v>
      </c>
      <c r="F255" t="s">
        <v>1304</v>
      </c>
      <c r="G255" t="s">
        <v>1266</v>
      </c>
      <c r="H255" t="s">
        <v>1305</v>
      </c>
      <c r="I255" t="s">
        <v>1303</v>
      </c>
      <c r="J255" t="s">
        <v>1267</v>
      </c>
      <c r="K255" t="s">
        <v>1275</v>
      </c>
      <c r="L255" s="2" t="s">
        <v>1274</v>
      </c>
      <c r="M255" t="str">
        <f t="shared" ref="M255:AB255" si="1016">CONCATENATE("&lt;/li&gt;&lt;li&gt;&lt;a href=|http://",M1191,"/1_samuel/19.htm","| ","title=|",M1190,"| target=|_top|&gt;",M1192,"&lt;/a&gt;")</f>
        <v>&lt;/li&gt;&lt;li&gt;&lt;a href=|http://niv.scripturetext.com/1_samuel/19.htm| title=|New International Version| target=|_top|&gt;NIV&lt;/a&gt;</v>
      </c>
      <c r="N255" t="str">
        <f t="shared" si="1016"/>
        <v>&lt;/li&gt;&lt;li&gt;&lt;a href=|http://nlt.scripturetext.com/1_samuel/19.htm| title=|New Living Translation| target=|_top|&gt;NLT&lt;/a&gt;</v>
      </c>
      <c r="O255" t="str">
        <f t="shared" si="1016"/>
        <v>&lt;/li&gt;&lt;li&gt;&lt;a href=|http://nasb.scripturetext.com/1_samuel/19.htm| title=|New American Standard Bible| target=|_top|&gt;NAS&lt;/a&gt;</v>
      </c>
      <c r="P255" t="str">
        <f t="shared" si="1016"/>
        <v>&lt;/li&gt;&lt;li&gt;&lt;a href=|http://gwt.scripturetext.com/1_samuel/19.htm| title=|God's Word Translation| target=|_top|&gt;GWT&lt;/a&gt;</v>
      </c>
      <c r="Q255" t="str">
        <f t="shared" si="1016"/>
        <v>&lt;/li&gt;&lt;li&gt;&lt;a href=|http://kingjbible.com/1_samuel/19.htm| title=|King James Bible| target=|_top|&gt;KJV&lt;/a&gt;</v>
      </c>
      <c r="R255" t="str">
        <f t="shared" si="1016"/>
        <v>&lt;/li&gt;&lt;li&gt;&lt;a href=|http://asvbible.com/1_samuel/19.htm| title=|American Standard Version| target=|_top|&gt;ASV&lt;/a&gt;</v>
      </c>
      <c r="S255" t="str">
        <f t="shared" si="1016"/>
        <v>&lt;/li&gt;&lt;li&gt;&lt;a href=|http://drb.scripturetext.com/1_samuel/19.htm| title=|Douay-Rheims Bible| target=|_top|&gt;DRB&lt;/a&gt;</v>
      </c>
      <c r="T255" t="str">
        <f t="shared" si="1016"/>
        <v>&lt;/li&gt;&lt;li&gt;&lt;a href=|http://erv.scripturetext.com/1_samuel/19.htm| title=|English Revised Version| target=|_top|&gt;ERV&lt;/a&gt;</v>
      </c>
      <c r="V255" t="str">
        <f>CONCATENATE("&lt;/li&gt;&lt;li&gt;&lt;a href=|http://",V1191,"/1_samuel/19.htm","| ","title=|",V1190,"| target=|_top|&gt;",V1192,"&lt;/a&gt;")</f>
        <v>&lt;/li&gt;&lt;li&gt;&lt;a href=|http://study.interlinearbible.org/1_samuel/19.htm| title=|Hebrew Study Bible| target=|_top|&gt;Heb Study&lt;/a&gt;</v>
      </c>
      <c r="W255" t="str">
        <f t="shared" si="1016"/>
        <v>&lt;/li&gt;&lt;li&gt;&lt;a href=|http://apostolic.interlinearbible.org/1_samuel/19.htm| title=|Apostolic Bible Polyglot Interlinear| target=|_top|&gt;Polyglot&lt;/a&gt;</v>
      </c>
      <c r="X255" t="str">
        <f t="shared" si="1016"/>
        <v>&lt;/li&gt;&lt;li&gt;&lt;a href=|http://interlinearbible.org/1_samuel/19.htm| title=|Interlinear Bible| target=|_top|&gt;Interlin&lt;/a&gt;</v>
      </c>
      <c r="Y255" t="str">
        <f t="shared" ref="Y255" si="1017">CONCATENATE("&lt;/li&gt;&lt;li&gt;&lt;a href=|http://",Y1191,"/1_samuel/19.htm","| ","title=|",Y1190,"| target=|_top|&gt;",Y1192,"&lt;/a&gt;")</f>
        <v>&lt;/li&gt;&lt;li&gt;&lt;a href=|http://bibleoutline.org/1_samuel/19.htm| title=|Outline with People and Places List| target=|_top|&gt;Outline&lt;/a&gt;</v>
      </c>
      <c r="Z255" t="str">
        <f t="shared" si="1016"/>
        <v>&lt;/li&gt;&lt;li&gt;&lt;a href=|http://kjvs.scripturetext.com/1_samuel/19.htm| title=|King James Bible with Strong's Numbers| target=|_top|&gt;Strong's&lt;/a&gt;</v>
      </c>
      <c r="AA255" t="str">
        <f t="shared" si="1016"/>
        <v>&lt;/li&gt;&lt;li&gt;&lt;a href=|http://childrensbibleonline.com/1_samuel/19.htm| title=|The Children's Bible| target=|_top|&gt;Children's&lt;/a&gt;</v>
      </c>
      <c r="AB255" s="2" t="str">
        <f t="shared" si="1016"/>
        <v>&lt;/li&gt;&lt;li&gt;&lt;a href=|http://tsk.scripturetext.com/1_samuel/19.htm| title=|Treasury of Scripture Knowledge| target=|_top|&gt;TSK&lt;/a&gt;</v>
      </c>
      <c r="AC255" t="str">
        <f>CONCATENATE("&lt;a href=|http://",AC1191,"/1_samuel/19.htm","| ","title=|",AC1190,"| target=|_top|&gt;",AC1192,"&lt;/a&gt;")</f>
        <v>&lt;a href=|http://parallelbible.com/1_samuel/19.htm| title=|Parallel Chapters| target=|_top|&gt;PAR&lt;/a&gt;</v>
      </c>
      <c r="AD255" s="2" t="str">
        <f t="shared" ref="AD255:AK255" si="1018">CONCATENATE("&lt;/li&gt;&lt;li&gt;&lt;a href=|http://",AD1191,"/1_samuel/19.htm","| ","title=|",AD1190,"| target=|_top|&gt;",AD1192,"&lt;/a&gt;")</f>
        <v>&lt;/li&gt;&lt;li&gt;&lt;a href=|http://gsb.biblecommenter.com/1_samuel/19.htm| title=|Geneva Study Bible| target=|_top|&gt;GSB&lt;/a&gt;</v>
      </c>
      <c r="AE255" s="2" t="str">
        <f t="shared" si="1018"/>
        <v>&lt;/li&gt;&lt;li&gt;&lt;a href=|http://jfb.biblecommenter.com/1_samuel/19.htm| title=|Jamieson-Fausset-Brown Bible Commentary| target=|_top|&gt;JFB&lt;/a&gt;</v>
      </c>
      <c r="AF255" s="2" t="str">
        <f t="shared" si="1018"/>
        <v>&lt;/li&gt;&lt;li&gt;&lt;a href=|http://kjt.biblecommenter.com/1_samuel/19.htm| title=|King James Translators' Notes| target=|_top|&gt;KJT&lt;/a&gt;</v>
      </c>
      <c r="AG255" s="2" t="str">
        <f t="shared" si="1018"/>
        <v>&lt;/li&gt;&lt;li&gt;&lt;a href=|http://mhc.biblecommenter.com/1_samuel/19.htm| title=|Matthew Henry's Concise Commentary| target=|_top|&gt;MHC&lt;/a&gt;</v>
      </c>
      <c r="AH255" s="2" t="str">
        <f t="shared" si="1018"/>
        <v>&lt;/li&gt;&lt;li&gt;&lt;a href=|http://sco.biblecommenter.com/1_samuel/19.htm| title=|Scofield Reference Notes| target=|_top|&gt;SCO&lt;/a&gt;</v>
      </c>
      <c r="AI255" s="2" t="str">
        <f t="shared" si="1018"/>
        <v>&lt;/li&gt;&lt;li&gt;&lt;a href=|http://wes.biblecommenter.com/1_samuel/19.htm| title=|Wesley's Notes on the Bible| target=|_top|&gt;WES&lt;/a&gt;</v>
      </c>
      <c r="AJ255" t="str">
        <f t="shared" si="1018"/>
        <v>&lt;/li&gt;&lt;li&gt;&lt;a href=|http://worldebible.com/1_samuel/19.htm| title=|World English Bible| target=|_top|&gt;WEB&lt;/a&gt;</v>
      </c>
      <c r="AK255" t="str">
        <f t="shared" si="1018"/>
        <v>&lt;/li&gt;&lt;li&gt;&lt;a href=|http://yltbible.com/1_samuel/19.htm| title=|Young's Literal Translation| target=|_top|&gt;YLT&lt;/a&gt;</v>
      </c>
      <c r="AL255" t="str">
        <f>CONCATENATE("&lt;a href=|http://",AL1191,"/1_samuel/19.htm","| ","title=|",AL1190,"| target=|_top|&gt;",AL1192,"&lt;/a&gt;")</f>
        <v>&lt;a href=|http://kjv.us/1_samuel/19.htm| title=|American King James Version| target=|_top|&gt;AKJ&lt;/a&gt;</v>
      </c>
      <c r="AM255" t="str">
        <f t="shared" ref="AM255:AN255" si="1019">CONCATENATE("&lt;/li&gt;&lt;li&gt;&lt;a href=|http://",AM1191,"/1_samuel/19.htm","| ","title=|",AM1190,"| target=|_top|&gt;",AM1192,"&lt;/a&gt;")</f>
        <v>&lt;/li&gt;&lt;li&gt;&lt;a href=|http://basicenglishbible.com/1_samuel/19.htm| title=|Bible in Basic English| target=|_top|&gt;BBE&lt;/a&gt;</v>
      </c>
      <c r="AN255" t="str">
        <f t="shared" si="1019"/>
        <v>&lt;/li&gt;&lt;li&gt;&lt;a href=|http://darbybible.com/1_samuel/19.htm| title=|Darby Bible Translation| target=|_top|&gt;DBY&lt;/a&gt;</v>
      </c>
      <c r="AO25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5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5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55" t="str">
        <f>CONCATENATE("&lt;/li&gt;&lt;li&gt;&lt;a href=|http://",AR1191,"/1_samuel/19.htm","| ","title=|",AR1190,"| target=|_top|&gt;",AR1192,"&lt;/a&gt;")</f>
        <v>&lt;/li&gt;&lt;li&gt;&lt;a href=|http://websterbible.com/1_samuel/19.htm| title=|Webster's Bible Translation| target=|_top|&gt;WBS&lt;/a&gt;</v>
      </c>
      <c r="AS25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55" t="str">
        <f>CONCATENATE("&lt;/li&gt;&lt;li&gt;&lt;a href=|http://",AT1191,"/1_samuel/19-1.htm","| ","title=|",AT1190,"| target=|_top|&gt;",AT1192,"&lt;/a&gt;")</f>
        <v>&lt;/li&gt;&lt;li&gt;&lt;a href=|http://biblebrowser.com/1_samuel/19-1.htm| title=|Split View| target=|_top|&gt;Split&lt;/a&gt;</v>
      </c>
      <c r="AU255" s="2" t="s">
        <v>1276</v>
      </c>
      <c r="AV255" t="s">
        <v>64</v>
      </c>
    </row>
    <row r="256" spans="1:48">
      <c r="A256" t="s">
        <v>622</v>
      </c>
      <c r="B256" t="s">
        <v>309</v>
      </c>
      <c r="C256" t="s">
        <v>624</v>
      </c>
      <c r="D256" t="s">
        <v>1268</v>
      </c>
      <c r="E256" t="s">
        <v>1277</v>
      </c>
      <c r="F256" t="s">
        <v>1304</v>
      </c>
      <c r="G256" t="s">
        <v>1266</v>
      </c>
      <c r="H256" t="s">
        <v>1305</v>
      </c>
      <c r="I256" t="s">
        <v>1303</v>
      </c>
      <c r="J256" t="s">
        <v>1267</v>
      </c>
      <c r="K256" t="s">
        <v>1275</v>
      </c>
      <c r="L256" s="2" t="s">
        <v>1274</v>
      </c>
      <c r="M256" t="str">
        <f t="shared" ref="M256:AB256" si="1020">CONCATENATE("&lt;/li&gt;&lt;li&gt;&lt;a href=|http://",M1191,"/1_samuel/20.htm","| ","title=|",M1190,"| target=|_top|&gt;",M1192,"&lt;/a&gt;")</f>
        <v>&lt;/li&gt;&lt;li&gt;&lt;a href=|http://niv.scripturetext.com/1_samuel/20.htm| title=|New International Version| target=|_top|&gt;NIV&lt;/a&gt;</v>
      </c>
      <c r="N256" t="str">
        <f t="shared" si="1020"/>
        <v>&lt;/li&gt;&lt;li&gt;&lt;a href=|http://nlt.scripturetext.com/1_samuel/20.htm| title=|New Living Translation| target=|_top|&gt;NLT&lt;/a&gt;</v>
      </c>
      <c r="O256" t="str">
        <f t="shared" si="1020"/>
        <v>&lt;/li&gt;&lt;li&gt;&lt;a href=|http://nasb.scripturetext.com/1_samuel/20.htm| title=|New American Standard Bible| target=|_top|&gt;NAS&lt;/a&gt;</v>
      </c>
      <c r="P256" t="str">
        <f t="shared" si="1020"/>
        <v>&lt;/li&gt;&lt;li&gt;&lt;a href=|http://gwt.scripturetext.com/1_samuel/20.htm| title=|God's Word Translation| target=|_top|&gt;GWT&lt;/a&gt;</v>
      </c>
      <c r="Q256" t="str">
        <f t="shared" si="1020"/>
        <v>&lt;/li&gt;&lt;li&gt;&lt;a href=|http://kingjbible.com/1_samuel/20.htm| title=|King James Bible| target=|_top|&gt;KJV&lt;/a&gt;</v>
      </c>
      <c r="R256" t="str">
        <f t="shared" si="1020"/>
        <v>&lt;/li&gt;&lt;li&gt;&lt;a href=|http://asvbible.com/1_samuel/20.htm| title=|American Standard Version| target=|_top|&gt;ASV&lt;/a&gt;</v>
      </c>
      <c r="S256" t="str">
        <f t="shared" si="1020"/>
        <v>&lt;/li&gt;&lt;li&gt;&lt;a href=|http://drb.scripturetext.com/1_samuel/20.htm| title=|Douay-Rheims Bible| target=|_top|&gt;DRB&lt;/a&gt;</v>
      </c>
      <c r="T256" t="str">
        <f t="shared" si="1020"/>
        <v>&lt;/li&gt;&lt;li&gt;&lt;a href=|http://erv.scripturetext.com/1_samuel/20.htm| title=|English Revised Version| target=|_top|&gt;ERV&lt;/a&gt;</v>
      </c>
      <c r="V256" t="str">
        <f>CONCATENATE("&lt;/li&gt;&lt;li&gt;&lt;a href=|http://",V1191,"/1_samuel/20.htm","| ","title=|",V1190,"| target=|_top|&gt;",V1192,"&lt;/a&gt;")</f>
        <v>&lt;/li&gt;&lt;li&gt;&lt;a href=|http://study.interlinearbible.org/1_samuel/20.htm| title=|Hebrew Study Bible| target=|_top|&gt;Heb Study&lt;/a&gt;</v>
      </c>
      <c r="W256" t="str">
        <f t="shared" si="1020"/>
        <v>&lt;/li&gt;&lt;li&gt;&lt;a href=|http://apostolic.interlinearbible.org/1_samuel/20.htm| title=|Apostolic Bible Polyglot Interlinear| target=|_top|&gt;Polyglot&lt;/a&gt;</v>
      </c>
      <c r="X256" t="str">
        <f t="shared" si="1020"/>
        <v>&lt;/li&gt;&lt;li&gt;&lt;a href=|http://interlinearbible.org/1_samuel/20.htm| title=|Interlinear Bible| target=|_top|&gt;Interlin&lt;/a&gt;</v>
      </c>
      <c r="Y256" t="str">
        <f t="shared" ref="Y256" si="1021">CONCATENATE("&lt;/li&gt;&lt;li&gt;&lt;a href=|http://",Y1191,"/1_samuel/20.htm","| ","title=|",Y1190,"| target=|_top|&gt;",Y1192,"&lt;/a&gt;")</f>
        <v>&lt;/li&gt;&lt;li&gt;&lt;a href=|http://bibleoutline.org/1_samuel/20.htm| title=|Outline with People and Places List| target=|_top|&gt;Outline&lt;/a&gt;</v>
      </c>
      <c r="Z256" t="str">
        <f t="shared" si="1020"/>
        <v>&lt;/li&gt;&lt;li&gt;&lt;a href=|http://kjvs.scripturetext.com/1_samuel/20.htm| title=|King James Bible with Strong's Numbers| target=|_top|&gt;Strong's&lt;/a&gt;</v>
      </c>
      <c r="AA256" t="str">
        <f t="shared" si="1020"/>
        <v>&lt;/li&gt;&lt;li&gt;&lt;a href=|http://childrensbibleonline.com/1_samuel/20.htm| title=|The Children's Bible| target=|_top|&gt;Children's&lt;/a&gt;</v>
      </c>
      <c r="AB256" s="2" t="str">
        <f t="shared" si="1020"/>
        <v>&lt;/li&gt;&lt;li&gt;&lt;a href=|http://tsk.scripturetext.com/1_samuel/20.htm| title=|Treasury of Scripture Knowledge| target=|_top|&gt;TSK&lt;/a&gt;</v>
      </c>
      <c r="AC256" t="str">
        <f>CONCATENATE("&lt;a href=|http://",AC1191,"/1_samuel/20.htm","| ","title=|",AC1190,"| target=|_top|&gt;",AC1192,"&lt;/a&gt;")</f>
        <v>&lt;a href=|http://parallelbible.com/1_samuel/20.htm| title=|Parallel Chapters| target=|_top|&gt;PAR&lt;/a&gt;</v>
      </c>
      <c r="AD256" s="2" t="str">
        <f t="shared" ref="AD256:AK256" si="1022">CONCATENATE("&lt;/li&gt;&lt;li&gt;&lt;a href=|http://",AD1191,"/1_samuel/20.htm","| ","title=|",AD1190,"| target=|_top|&gt;",AD1192,"&lt;/a&gt;")</f>
        <v>&lt;/li&gt;&lt;li&gt;&lt;a href=|http://gsb.biblecommenter.com/1_samuel/20.htm| title=|Geneva Study Bible| target=|_top|&gt;GSB&lt;/a&gt;</v>
      </c>
      <c r="AE256" s="2" t="str">
        <f t="shared" si="1022"/>
        <v>&lt;/li&gt;&lt;li&gt;&lt;a href=|http://jfb.biblecommenter.com/1_samuel/20.htm| title=|Jamieson-Fausset-Brown Bible Commentary| target=|_top|&gt;JFB&lt;/a&gt;</v>
      </c>
      <c r="AF256" s="2" t="str">
        <f t="shared" si="1022"/>
        <v>&lt;/li&gt;&lt;li&gt;&lt;a href=|http://kjt.biblecommenter.com/1_samuel/20.htm| title=|King James Translators' Notes| target=|_top|&gt;KJT&lt;/a&gt;</v>
      </c>
      <c r="AG256" s="2" t="str">
        <f t="shared" si="1022"/>
        <v>&lt;/li&gt;&lt;li&gt;&lt;a href=|http://mhc.biblecommenter.com/1_samuel/20.htm| title=|Matthew Henry's Concise Commentary| target=|_top|&gt;MHC&lt;/a&gt;</v>
      </c>
      <c r="AH256" s="2" t="str">
        <f t="shared" si="1022"/>
        <v>&lt;/li&gt;&lt;li&gt;&lt;a href=|http://sco.biblecommenter.com/1_samuel/20.htm| title=|Scofield Reference Notes| target=|_top|&gt;SCO&lt;/a&gt;</v>
      </c>
      <c r="AI256" s="2" t="str">
        <f t="shared" si="1022"/>
        <v>&lt;/li&gt;&lt;li&gt;&lt;a href=|http://wes.biblecommenter.com/1_samuel/20.htm| title=|Wesley's Notes on the Bible| target=|_top|&gt;WES&lt;/a&gt;</v>
      </c>
      <c r="AJ256" t="str">
        <f t="shared" si="1022"/>
        <v>&lt;/li&gt;&lt;li&gt;&lt;a href=|http://worldebible.com/1_samuel/20.htm| title=|World English Bible| target=|_top|&gt;WEB&lt;/a&gt;</v>
      </c>
      <c r="AK256" t="str">
        <f t="shared" si="1022"/>
        <v>&lt;/li&gt;&lt;li&gt;&lt;a href=|http://yltbible.com/1_samuel/20.htm| title=|Young's Literal Translation| target=|_top|&gt;YLT&lt;/a&gt;</v>
      </c>
      <c r="AL256" t="str">
        <f>CONCATENATE("&lt;a href=|http://",AL1191,"/1_samuel/20.htm","| ","title=|",AL1190,"| target=|_top|&gt;",AL1192,"&lt;/a&gt;")</f>
        <v>&lt;a href=|http://kjv.us/1_samuel/20.htm| title=|American King James Version| target=|_top|&gt;AKJ&lt;/a&gt;</v>
      </c>
      <c r="AM256" t="str">
        <f t="shared" ref="AM256:AN256" si="1023">CONCATENATE("&lt;/li&gt;&lt;li&gt;&lt;a href=|http://",AM1191,"/1_samuel/20.htm","| ","title=|",AM1190,"| target=|_top|&gt;",AM1192,"&lt;/a&gt;")</f>
        <v>&lt;/li&gt;&lt;li&gt;&lt;a href=|http://basicenglishbible.com/1_samuel/20.htm| title=|Bible in Basic English| target=|_top|&gt;BBE&lt;/a&gt;</v>
      </c>
      <c r="AN256" t="str">
        <f t="shared" si="1023"/>
        <v>&lt;/li&gt;&lt;li&gt;&lt;a href=|http://darbybible.com/1_samuel/20.htm| title=|Darby Bible Translation| target=|_top|&gt;DBY&lt;/a&gt;</v>
      </c>
      <c r="AO25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5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5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56" t="str">
        <f>CONCATENATE("&lt;/li&gt;&lt;li&gt;&lt;a href=|http://",AR1191,"/1_samuel/20.htm","| ","title=|",AR1190,"| target=|_top|&gt;",AR1192,"&lt;/a&gt;")</f>
        <v>&lt;/li&gt;&lt;li&gt;&lt;a href=|http://websterbible.com/1_samuel/20.htm| title=|Webster's Bible Translation| target=|_top|&gt;WBS&lt;/a&gt;</v>
      </c>
      <c r="AS25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56" t="str">
        <f>CONCATENATE("&lt;/li&gt;&lt;li&gt;&lt;a href=|http://",AT1191,"/1_samuel/20-1.htm","| ","title=|",AT1190,"| target=|_top|&gt;",AT1192,"&lt;/a&gt;")</f>
        <v>&lt;/li&gt;&lt;li&gt;&lt;a href=|http://biblebrowser.com/1_samuel/20-1.htm| title=|Split View| target=|_top|&gt;Split&lt;/a&gt;</v>
      </c>
      <c r="AU256" s="2" t="s">
        <v>1276</v>
      </c>
      <c r="AV256" t="s">
        <v>64</v>
      </c>
    </row>
    <row r="257" spans="1:48">
      <c r="A257" t="s">
        <v>622</v>
      </c>
      <c r="B257" t="s">
        <v>310</v>
      </c>
      <c r="C257" t="s">
        <v>624</v>
      </c>
      <c r="D257" t="s">
        <v>1268</v>
      </c>
      <c r="E257" t="s">
        <v>1277</v>
      </c>
      <c r="F257" t="s">
        <v>1304</v>
      </c>
      <c r="G257" t="s">
        <v>1266</v>
      </c>
      <c r="H257" t="s">
        <v>1305</v>
      </c>
      <c r="I257" t="s">
        <v>1303</v>
      </c>
      <c r="J257" t="s">
        <v>1267</v>
      </c>
      <c r="K257" t="s">
        <v>1275</v>
      </c>
      <c r="L257" s="2" t="s">
        <v>1274</v>
      </c>
      <c r="M257" t="str">
        <f t="shared" ref="M257:AB257" si="1024">CONCATENATE("&lt;/li&gt;&lt;li&gt;&lt;a href=|http://",M1191,"/1_samuel/21.htm","| ","title=|",M1190,"| target=|_top|&gt;",M1192,"&lt;/a&gt;")</f>
        <v>&lt;/li&gt;&lt;li&gt;&lt;a href=|http://niv.scripturetext.com/1_samuel/21.htm| title=|New International Version| target=|_top|&gt;NIV&lt;/a&gt;</v>
      </c>
      <c r="N257" t="str">
        <f t="shared" si="1024"/>
        <v>&lt;/li&gt;&lt;li&gt;&lt;a href=|http://nlt.scripturetext.com/1_samuel/21.htm| title=|New Living Translation| target=|_top|&gt;NLT&lt;/a&gt;</v>
      </c>
      <c r="O257" t="str">
        <f t="shared" si="1024"/>
        <v>&lt;/li&gt;&lt;li&gt;&lt;a href=|http://nasb.scripturetext.com/1_samuel/21.htm| title=|New American Standard Bible| target=|_top|&gt;NAS&lt;/a&gt;</v>
      </c>
      <c r="P257" t="str">
        <f t="shared" si="1024"/>
        <v>&lt;/li&gt;&lt;li&gt;&lt;a href=|http://gwt.scripturetext.com/1_samuel/21.htm| title=|God's Word Translation| target=|_top|&gt;GWT&lt;/a&gt;</v>
      </c>
      <c r="Q257" t="str">
        <f t="shared" si="1024"/>
        <v>&lt;/li&gt;&lt;li&gt;&lt;a href=|http://kingjbible.com/1_samuel/21.htm| title=|King James Bible| target=|_top|&gt;KJV&lt;/a&gt;</v>
      </c>
      <c r="R257" t="str">
        <f t="shared" si="1024"/>
        <v>&lt;/li&gt;&lt;li&gt;&lt;a href=|http://asvbible.com/1_samuel/21.htm| title=|American Standard Version| target=|_top|&gt;ASV&lt;/a&gt;</v>
      </c>
      <c r="S257" t="str">
        <f t="shared" si="1024"/>
        <v>&lt;/li&gt;&lt;li&gt;&lt;a href=|http://drb.scripturetext.com/1_samuel/21.htm| title=|Douay-Rheims Bible| target=|_top|&gt;DRB&lt;/a&gt;</v>
      </c>
      <c r="T257" t="str">
        <f t="shared" si="1024"/>
        <v>&lt;/li&gt;&lt;li&gt;&lt;a href=|http://erv.scripturetext.com/1_samuel/21.htm| title=|English Revised Version| target=|_top|&gt;ERV&lt;/a&gt;</v>
      </c>
      <c r="V257" t="str">
        <f>CONCATENATE("&lt;/li&gt;&lt;li&gt;&lt;a href=|http://",V1191,"/1_samuel/21.htm","| ","title=|",V1190,"| target=|_top|&gt;",V1192,"&lt;/a&gt;")</f>
        <v>&lt;/li&gt;&lt;li&gt;&lt;a href=|http://study.interlinearbible.org/1_samuel/21.htm| title=|Hebrew Study Bible| target=|_top|&gt;Heb Study&lt;/a&gt;</v>
      </c>
      <c r="W257" t="str">
        <f t="shared" si="1024"/>
        <v>&lt;/li&gt;&lt;li&gt;&lt;a href=|http://apostolic.interlinearbible.org/1_samuel/21.htm| title=|Apostolic Bible Polyglot Interlinear| target=|_top|&gt;Polyglot&lt;/a&gt;</v>
      </c>
      <c r="X257" t="str">
        <f t="shared" si="1024"/>
        <v>&lt;/li&gt;&lt;li&gt;&lt;a href=|http://interlinearbible.org/1_samuel/21.htm| title=|Interlinear Bible| target=|_top|&gt;Interlin&lt;/a&gt;</v>
      </c>
      <c r="Y257" t="str">
        <f t="shared" ref="Y257" si="1025">CONCATENATE("&lt;/li&gt;&lt;li&gt;&lt;a href=|http://",Y1191,"/1_samuel/21.htm","| ","title=|",Y1190,"| target=|_top|&gt;",Y1192,"&lt;/a&gt;")</f>
        <v>&lt;/li&gt;&lt;li&gt;&lt;a href=|http://bibleoutline.org/1_samuel/21.htm| title=|Outline with People and Places List| target=|_top|&gt;Outline&lt;/a&gt;</v>
      </c>
      <c r="Z257" t="str">
        <f t="shared" si="1024"/>
        <v>&lt;/li&gt;&lt;li&gt;&lt;a href=|http://kjvs.scripturetext.com/1_samuel/21.htm| title=|King James Bible with Strong's Numbers| target=|_top|&gt;Strong's&lt;/a&gt;</v>
      </c>
      <c r="AA257" t="str">
        <f t="shared" si="1024"/>
        <v>&lt;/li&gt;&lt;li&gt;&lt;a href=|http://childrensbibleonline.com/1_samuel/21.htm| title=|The Children's Bible| target=|_top|&gt;Children's&lt;/a&gt;</v>
      </c>
      <c r="AB257" s="2" t="str">
        <f t="shared" si="1024"/>
        <v>&lt;/li&gt;&lt;li&gt;&lt;a href=|http://tsk.scripturetext.com/1_samuel/21.htm| title=|Treasury of Scripture Knowledge| target=|_top|&gt;TSK&lt;/a&gt;</v>
      </c>
      <c r="AC257" t="str">
        <f>CONCATENATE("&lt;a href=|http://",AC1191,"/1_samuel/21.htm","| ","title=|",AC1190,"| target=|_top|&gt;",AC1192,"&lt;/a&gt;")</f>
        <v>&lt;a href=|http://parallelbible.com/1_samuel/21.htm| title=|Parallel Chapters| target=|_top|&gt;PAR&lt;/a&gt;</v>
      </c>
      <c r="AD257" s="2" t="str">
        <f t="shared" ref="AD257:AK257" si="1026">CONCATENATE("&lt;/li&gt;&lt;li&gt;&lt;a href=|http://",AD1191,"/1_samuel/21.htm","| ","title=|",AD1190,"| target=|_top|&gt;",AD1192,"&lt;/a&gt;")</f>
        <v>&lt;/li&gt;&lt;li&gt;&lt;a href=|http://gsb.biblecommenter.com/1_samuel/21.htm| title=|Geneva Study Bible| target=|_top|&gt;GSB&lt;/a&gt;</v>
      </c>
      <c r="AE257" s="2" t="str">
        <f t="shared" si="1026"/>
        <v>&lt;/li&gt;&lt;li&gt;&lt;a href=|http://jfb.biblecommenter.com/1_samuel/21.htm| title=|Jamieson-Fausset-Brown Bible Commentary| target=|_top|&gt;JFB&lt;/a&gt;</v>
      </c>
      <c r="AF257" s="2" t="str">
        <f t="shared" si="1026"/>
        <v>&lt;/li&gt;&lt;li&gt;&lt;a href=|http://kjt.biblecommenter.com/1_samuel/21.htm| title=|King James Translators' Notes| target=|_top|&gt;KJT&lt;/a&gt;</v>
      </c>
      <c r="AG257" s="2" t="str">
        <f t="shared" si="1026"/>
        <v>&lt;/li&gt;&lt;li&gt;&lt;a href=|http://mhc.biblecommenter.com/1_samuel/21.htm| title=|Matthew Henry's Concise Commentary| target=|_top|&gt;MHC&lt;/a&gt;</v>
      </c>
      <c r="AH257" s="2" t="str">
        <f t="shared" si="1026"/>
        <v>&lt;/li&gt;&lt;li&gt;&lt;a href=|http://sco.biblecommenter.com/1_samuel/21.htm| title=|Scofield Reference Notes| target=|_top|&gt;SCO&lt;/a&gt;</v>
      </c>
      <c r="AI257" s="2" t="str">
        <f t="shared" si="1026"/>
        <v>&lt;/li&gt;&lt;li&gt;&lt;a href=|http://wes.biblecommenter.com/1_samuel/21.htm| title=|Wesley's Notes on the Bible| target=|_top|&gt;WES&lt;/a&gt;</v>
      </c>
      <c r="AJ257" t="str">
        <f t="shared" si="1026"/>
        <v>&lt;/li&gt;&lt;li&gt;&lt;a href=|http://worldebible.com/1_samuel/21.htm| title=|World English Bible| target=|_top|&gt;WEB&lt;/a&gt;</v>
      </c>
      <c r="AK257" t="str">
        <f t="shared" si="1026"/>
        <v>&lt;/li&gt;&lt;li&gt;&lt;a href=|http://yltbible.com/1_samuel/21.htm| title=|Young's Literal Translation| target=|_top|&gt;YLT&lt;/a&gt;</v>
      </c>
      <c r="AL257" t="str">
        <f>CONCATENATE("&lt;a href=|http://",AL1191,"/1_samuel/21.htm","| ","title=|",AL1190,"| target=|_top|&gt;",AL1192,"&lt;/a&gt;")</f>
        <v>&lt;a href=|http://kjv.us/1_samuel/21.htm| title=|American King James Version| target=|_top|&gt;AKJ&lt;/a&gt;</v>
      </c>
      <c r="AM257" t="str">
        <f t="shared" ref="AM257:AN257" si="1027">CONCATENATE("&lt;/li&gt;&lt;li&gt;&lt;a href=|http://",AM1191,"/1_samuel/21.htm","| ","title=|",AM1190,"| target=|_top|&gt;",AM1192,"&lt;/a&gt;")</f>
        <v>&lt;/li&gt;&lt;li&gt;&lt;a href=|http://basicenglishbible.com/1_samuel/21.htm| title=|Bible in Basic English| target=|_top|&gt;BBE&lt;/a&gt;</v>
      </c>
      <c r="AN257" t="str">
        <f t="shared" si="1027"/>
        <v>&lt;/li&gt;&lt;li&gt;&lt;a href=|http://darbybible.com/1_samuel/21.htm| title=|Darby Bible Translation| target=|_top|&gt;DBY&lt;/a&gt;</v>
      </c>
      <c r="AO25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5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5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57" t="str">
        <f>CONCATENATE("&lt;/li&gt;&lt;li&gt;&lt;a href=|http://",AR1191,"/1_samuel/21.htm","| ","title=|",AR1190,"| target=|_top|&gt;",AR1192,"&lt;/a&gt;")</f>
        <v>&lt;/li&gt;&lt;li&gt;&lt;a href=|http://websterbible.com/1_samuel/21.htm| title=|Webster's Bible Translation| target=|_top|&gt;WBS&lt;/a&gt;</v>
      </c>
      <c r="AS25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57" t="str">
        <f>CONCATENATE("&lt;/li&gt;&lt;li&gt;&lt;a href=|http://",AT1191,"/1_samuel/21-1.htm","| ","title=|",AT1190,"| target=|_top|&gt;",AT1192,"&lt;/a&gt;")</f>
        <v>&lt;/li&gt;&lt;li&gt;&lt;a href=|http://biblebrowser.com/1_samuel/21-1.htm| title=|Split View| target=|_top|&gt;Split&lt;/a&gt;</v>
      </c>
      <c r="AU257" s="2" t="s">
        <v>1276</v>
      </c>
      <c r="AV257" t="s">
        <v>64</v>
      </c>
    </row>
    <row r="258" spans="1:48">
      <c r="A258" t="s">
        <v>622</v>
      </c>
      <c r="B258" t="s">
        <v>311</v>
      </c>
      <c r="C258" t="s">
        <v>624</v>
      </c>
      <c r="D258" t="s">
        <v>1268</v>
      </c>
      <c r="E258" t="s">
        <v>1277</v>
      </c>
      <c r="F258" t="s">
        <v>1304</v>
      </c>
      <c r="G258" t="s">
        <v>1266</v>
      </c>
      <c r="H258" t="s">
        <v>1305</v>
      </c>
      <c r="I258" t="s">
        <v>1303</v>
      </c>
      <c r="J258" t="s">
        <v>1267</v>
      </c>
      <c r="K258" t="s">
        <v>1275</v>
      </c>
      <c r="L258" s="2" t="s">
        <v>1274</v>
      </c>
      <c r="M258" t="str">
        <f t="shared" ref="M258:AB258" si="1028">CONCATENATE("&lt;/li&gt;&lt;li&gt;&lt;a href=|http://",M1191,"/1_samuel/22.htm","| ","title=|",M1190,"| target=|_top|&gt;",M1192,"&lt;/a&gt;")</f>
        <v>&lt;/li&gt;&lt;li&gt;&lt;a href=|http://niv.scripturetext.com/1_samuel/22.htm| title=|New International Version| target=|_top|&gt;NIV&lt;/a&gt;</v>
      </c>
      <c r="N258" t="str">
        <f t="shared" si="1028"/>
        <v>&lt;/li&gt;&lt;li&gt;&lt;a href=|http://nlt.scripturetext.com/1_samuel/22.htm| title=|New Living Translation| target=|_top|&gt;NLT&lt;/a&gt;</v>
      </c>
      <c r="O258" t="str">
        <f t="shared" si="1028"/>
        <v>&lt;/li&gt;&lt;li&gt;&lt;a href=|http://nasb.scripturetext.com/1_samuel/22.htm| title=|New American Standard Bible| target=|_top|&gt;NAS&lt;/a&gt;</v>
      </c>
      <c r="P258" t="str">
        <f t="shared" si="1028"/>
        <v>&lt;/li&gt;&lt;li&gt;&lt;a href=|http://gwt.scripturetext.com/1_samuel/22.htm| title=|God's Word Translation| target=|_top|&gt;GWT&lt;/a&gt;</v>
      </c>
      <c r="Q258" t="str">
        <f t="shared" si="1028"/>
        <v>&lt;/li&gt;&lt;li&gt;&lt;a href=|http://kingjbible.com/1_samuel/22.htm| title=|King James Bible| target=|_top|&gt;KJV&lt;/a&gt;</v>
      </c>
      <c r="R258" t="str">
        <f t="shared" si="1028"/>
        <v>&lt;/li&gt;&lt;li&gt;&lt;a href=|http://asvbible.com/1_samuel/22.htm| title=|American Standard Version| target=|_top|&gt;ASV&lt;/a&gt;</v>
      </c>
      <c r="S258" t="str">
        <f t="shared" si="1028"/>
        <v>&lt;/li&gt;&lt;li&gt;&lt;a href=|http://drb.scripturetext.com/1_samuel/22.htm| title=|Douay-Rheims Bible| target=|_top|&gt;DRB&lt;/a&gt;</v>
      </c>
      <c r="T258" t="str">
        <f t="shared" si="1028"/>
        <v>&lt;/li&gt;&lt;li&gt;&lt;a href=|http://erv.scripturetext.com/1_samuel/22.htm| title=|English Revised Version| target=|_top|&gt;ERV&lt;/a&gt;</v>
      </c>
      <c r="V258" t="str">
        <f>CONCATENATE("&lt;/li&gt;&lt;li&gt;&lt;a href=|http://",V1191,"/1_samuel/22.htm","| ","title=|",V1190,"| target=|_top|&gt;",V1192,"&lt;/a&gt;")</f>
        <v>&lt;/li&gt;&lt;li&gt;&lt;a href=|http://study.interlinearbible.org/1_samuel/22.htm| title=|Hebrew Study Bible| target=|_top|&gt;Heb Study&lt;/a&gt;</v>
      </c>
      <c r="W258" t="str">
        <f t="shared" si="1028"/>
        <v>&lt;/li&gt;&lt;li&gt;&lt;a href=|http://apostolic.interlinearbible.org/1_samuel/22.htm| title=|Apostolic Bible Polyglot Interlinear| target=|_top|&gt;Polyglot&lt;/a&gt;</v>
      </c>
      <c r="X258" t="str">
        <f t="shared" si="1028"/>
        <v>&lt;/li&gt;&lt;li&gt;&lt;a href=|http://interlinearbible.org/1_samuel/22.htm| title=|Interlinear Bible| target=|_top|&gt;Interlin&lt;/a&gt;</v>
      </c>
      <c r="Y258" t="str">
        <f t="shared" ref="Y258" si="1029">CONCATENATE("&lt;/li&gt;&lt;li&gt;&lt;a href=|http://",Y1191,"/1_samuel/22.htm","| ","title=|",Y1190,"| target=|_top|&gt;",Y1192,"&lt;/a&gt;")</f>
        <v>&lt;/li&gt;&lt;li&gt;&lt;a href=|http://bibleoutline.org/1_samuel/22.htm| title=|Outline with People and Places List| target=|_top|&gt;Outline&lt;/a&gt;</v>
      </c>
      <c r="Z258" t="str">
        <f t="shared" si="1028"/>
        <v>&lt;/li&gt;&lt;li&gt;&lt;a href=|http://kjvs.scripturetext.com/1_samuel/22.htm| title=|King James Bible with Strong's Numbers| target=|_top|&gt;Strong's&lt;/a&gt;</v>
      </c>
      <c r="AA258" t="str">
        <f t="shared" si="1028"/>
        <v>&lt;/li&gt;&lt;li&gt;&lt;a href=|http://childrensbibleonline.com/1_samuel/22.htm| title=|The Children's Bible| target=|_top|&gt;Children's&lt;/a&gt;</v>
      </c>
      <c r="AB258" s="2" t="str">
        <f t="shared" si="1028"/>
        <v>&lt;/li&gt;&lt;li&gt;&lt;a href=|http://tsk.scripturetext.com/1_samuel/22.htm| title=|Treasury of Scripture Knowledge| target=|_top|&gt;TSK&lt;/a&gt;</v>
      </c>
      <c r="AC258" t="str">
        <f>CONCATENATE("&lt;a href=|http://",AC1191,"/1_samuel/22.htm","| ","title=|",AC1190,"| target=|_top|&gt;",AC1192,"&lt;/a&gt;")</f>
        <v>&lt;a href=|http://parallelbible.com/1_samuel/22.htm| title=|Parallel Chapters| target=|_top|&gt;PAR&lt;/a&gt;</v>
      </c>
      <c r="AD258" s="2" t="str">
        <f t="shared" ref="AD258:AK258" si="1030">CONCATENATE("&lt;/li&gt;&lt;li&gt;&lt;a href=|http://",AD1191,"/1_samuel/22.htm","| ","title=|",AD1190,"| target=|_top|&gt;",AD1192,"&lt;/a&gt;")</f>
        <v>&lt;/li&gt;&lt;li&gt;&lt;a href=|http://gsb.biblecommenter.com/1_samuel/22.htm| title=|Geneva Study Bible| target=|_top|&gt;GSB&lt;/a&gt;</v>
      </c>
      <c r="AE258" s="2" t="str">
        <f t="shared" si="1030"/>
        <v>&lt;/li&gt;&lt;li&gt;&lt;a href=|http://jfb.biblecommenter.com/1_samuel/22.htm| title=|Jamieson-Fausset-Brown Bible Commentary| target=|_top|&gt;JFB&lt;/a&gt;</v>
      </c>
      <c r="AF258" s="2" t="str">
        <f t="shared" si="1030"/>
        <v>&lt;/li&gt;&lt;li&gt;&lt;a href=|http://kjt.biblecommenter.com/1_samuel/22.htm| title=|King James Translators' Notes| target=|_top|&gt;KJT&lt;/a&gt;</v>
      </c>
      <c r="AG258" s="2" t="str">
        <f t="shared" si="1030"/>
        <v>&lt;/li&gt;&lt;li&gt;&lt;a href=|http://mhc.biblecommenter.com/1_samuel/22.htm| title=|Matthew Henry's Concise Commentary| target=|_top|&gt;MHC&lt;/a&gt;</v>
      </c>
      <c r="AH258" s="2" t="str">
        <f t="shared" si="1030"/>
        <v>&lt;/li&gt;&lt;li&gt;&lt;a href=|http://sco.biblecommenter.com/1_samuel/22.htm| title=|Scofield Reference Notes| target=|_top|&gt;SCO&lt;/a&gt;</v>
      </c>
      <c r="AI258" s="2" t="str">
        <f t="shared" si="1030"/>
        <v>&lt;/li&gt;&lt;li&gt;&lt;a href=|http://wes.biblecommenter.com/1_samuel/22.htm| title=|Wesley's Notes on the Bible| target=|_top|&gt;WES&lt;/a&gt;</v>
      </c>
      <c r="AJ258" t="str">
        <f t="shared" si="1030"/>
        <v>&lt;/li&gt;&lt;li&gt;&lt;a href=|http://worldebible.com/1_samuel/22.htm| title=|World English Bible| target=|_top|&gt;WEB&lt;/a&gt;</v>
      </c>
      <c r="AK258" t="str">
        <f t="shared" si="1030"/>
        <v>&lt;/li&gt;&lt;li&gt;&lt;a href=|http://yltbible.com/1_samuel/22.htm| title=|Young's Literal Translation| target=|_top|&gt;YLT&lt;/a&gt;</v>
      </c>
      <c r="AL258" t="str">
        <f>CONCATENATE("&lt;a href=|http://",AL1191,"/1_samuel/22.htm","| ","title=|",AL1190,"| target=|_top|&gt;",AL1192,"&lt;/a&gt;")</f>
        <v>&lt;a href=|http://kjv.us/1_samuel/22.htm| title=|American King James Version| target=|_top|&gt;AKJ&lt;/a&gt;</v>
      </c>
      <c r="AM258" t="str">
        <f t="shared" ref="AM258:AN258" si="1031">CONCATENATE("&lt;/li&gt;&lt;li&gt;&lt;a href=|http://",AM1191,"/1_samuel/22.htm","| ","title=|",AM1190,"| target=|_top|&gt;",AM1192,"&lt;/a&gt;")</f>
        <v>&lt;/li&gt;&lt;li&gt;&lt;a href=|http://basicenglishbible.com/1_samuel/22.htm| title=|Bible in Basic English| target=|_top|&gt;BBE&lt;/a&gt;</v>
      </c>
      <c r="AN258" t="str">
        <f t="shared" si="1031"/>
        <v>&lt;/li&gt;&lt;li&gt;&lt;a href=|http://darbybible.com/1_samuel/22.htm| title=|Darby Bible Translation| target=|_top|&gt;DBY&lt;/a&gt;</v>
      </c>
      <c r="AO25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5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5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58" t="str">
        <f>CONCATENATE("&lt;/li&gt;&lt;li&gt;&lt;a href=|http://",AR1191,"/1_samuel/22.htm","| ","title=|",AR1190,"| target=|_top|&gt;",AR1192,"&lt;/a&gt;")</f>
        <v>&lt;/li&gt;&lt;li&gt;&lt;a href=|http://websterbible.com/1_samuel/22.htm| title=|Webster's Bible Translation| target=|_top|&gt;WBS&lt;/a&gt;</v>
      </c>
      <c r="AS25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58" t="str">
        <f>CONCATENATE("&lt;/li&gt;&lt;li&gt;&lt;a href=|http://",AT1191,"/1_samuel/22-1.htm","| ","title=|",AT1190,"| target=|_top|&gt;",AT1192,"&lt;/a&gt;")</f>
        <v>&lt;/li&gt;&lt;li&gt;&lt;a href=|http://biblebrowser.com/1_samuel/22-1.htm| title=|Split View| target=|_top|&gt;Split&lt;/a&gt;</v>
      </c>
      <c r="AU258" s="2" t="s">
        <v>1276</v>
      </c>
      <c r="AV258" t="s">
        <v>64</v>
      </c>
    </row>
    <row r="259" spans="1:48">
      <c r="A259" t="s">
        <v>622</v>
      </c>
      <c r="B259" t="s">
        <v>312</v>
      </c>
      <c r="C259" t="s">
        <v>624</v>
      </c>
      <c r="D259" t="s">
        <v>1268</v>
      </c>
      <c r="E259" t="s">
        <v>1277</v>
      </c>
      <c r="F259" t="s">
        <v>1304</v>
      </c>
      <c r="G259" t="s">
        <v>1266</v>
      </c>
      <c r="H259" t="s">
        <v>1305</v>
      </c>
      <c r="I259" t="s">
        <v>1303</v>
      </c>
      <c r="J259" t="s">
        <v>1267</v>
      </c>
      <c r="K259" t="s">
        <v>1275</v>
      </c>
      <c r="L259" s="2" t="s">
        <v>1274</v>
      </c>
      <c r="M259" t="str">
        <f t="shared" ref="M259:AB259" si="1032">CONCATENATE("&lt;/li&gt;&lt;li&gt;&lt;a href=|http://",M1191,"/1_samuel/23.htm","| ","title=|",M1190,"| target=|_top|&gt;",M1192,"&lt;/a&gt;")</f>
        <v>&lt;/li&gt;&lt;li&gt;&lt;a href=|http://niv.scripturetext.com/1_samuel/23.htm| title=|New International Version| target=|_top|&gt;NIV&lt;/a&gt;</v>
      </c>
      <c r="N259" t="str">
        <f t="shared" si="1032"/>
        <v>&lt;/li&gt;&lt;li&gt;&lt;a href=|http://nlt.scripturetext.com/1_samuel/23.htm| title=|New Living Translation| target=|_top|&gt;NLT&lt;/a&gt;</v>
      </c>
      <c r="O259" t="str">
        <f t="shared" si="1032"/>
        <v>&lt;/li&gt;&lt;li&gt;&lt;a href=|http://nasb.scripturetext.com/1_samuel/23.htm| title=|New American Standard Bible| target=|_top|&gt;NAS&lt;/a&gt;</v>
      </c>
      <c r="P259" t="str">
        <f t="shared" si="1032"/>
        <v>&lt;/li&gt;&lt;li&gt;&lt;a href=|http://gwt.scripturetext.com/1_samuel/23.htm| title=|God's Word Translation| target=|_top|&gt;GWT&lt;/a&gt;</v>
      </c>
      <c r="Q259" t="str">
        <f t="shared" si="1032"/>
        <v>&lt;/li&gt;&lt;li&gt;&lt;a href=|http://kingjbible.com/1_samuel/23.htm| title=|King James Bible| target=|_top|&gt;KJV&lt;/a&gt;</v>
      </c>
      <c r="R259" t="str">
        <f t="shared" si="1032"/>
        <v>&lt;/li&gt;&lt;li&gt;&lt;a href=|http://asvbible.com/1_samuel/23.htm| title=|American Standard Version| target=|_top|&gt;ASV&lt;/a&gt;</v>
      </c>
      <c r="S259" t="str">
        <f t="shared" si="1032"/>
        <v>&lt;/li&gt;&lt;li&gt;&lt;a href=|http://drb.scripturetext.com/1_samuel/23.htm| title=|Douay-Rheims Bible| target=|_top|&gt;DRB&lt;/a&gt;</v>
      </c>
      <c r="T259" t="str">
        <f t="shared" si="1032"/>
        <v>&lt;/li&gt;&lt;li&gt;&lt;a href=|http://erv.scripturetext.com/1_samuel/23.htm| title=|English Revised Version| target=|_top|&gt;ERV&lt;/a&gt;</v>
      </c>
      <c r="V259" t="str">
        <f>CONCATENATE("&lt;/li&gt;&lt;li&gt;&lt;a href=|http://",V1191,"/1_samuel/23.htm","| ","title=|",V1190,"| target=|_top|&gt;",V1192,"&lt;/a&gt;")</f>
        <v>&lt;/li&gt;&lt;li&gt;&lt;a href=|http://study.interlinearbible.org/1_samuel/23.htm| title=|Hebrew Study Bible| target=|_top|&gt;Heb Study&lt;/a&gt;</v>
      </c>
      <c r="W259" t="str">
        <f t="shared" si="1032"/>
        <v>&lt;/li&gt;&lt;li&gt;&lt;a href=|http://apostolic.interlinearbible.org/1_samuel/23.htm| title=|Apostolic Bible Polyglot Interlinear| target=|_top|&gt;Polyglot&lt;/a&gt;</v>
      </c>
      <c r="X259" t="str">
        <f t="shared" si="1032"/>
        <v>&lt;/li&gt;&lt;li&gt;&lt;a href=|http://interlinearbible.org/1_samuel/23.htm| title=|Interlinear Bible| target=|_top|&gt;Interlin&lt;/a&gt;</v>
      </c>
      <c r="Y259" t="str">
        <f t="shared" ref="Y259" si="1033">CONCATENATE("&lt;/li&gt;&lt;li&gt;&lt;a href=|http://",Y1191,"/1_samuel/23.htm","| ","title=|",Y1190,"| target=|_top|&gt;",Y1192,"&lt;/a&gt;")</f>
        <v>&lt;/li&gt;&lt;li&gt;&lt;a href=|http://bibleoutline.org/1_samuel/23.htm| title=|Outline with People and Places List| target=|_top|&gt;Outline&lt;/a&gt;</v>
      </c>
      <c r="Z259" t="str">
        <f t="shared" si="1032"/>
        <v>&lt;/li&gt;&lt;li&gt;&lt;a href=|http://kjvs.scripturetext.com/1_samuel/23.htm| title=|King James Bible with Strong's Numbers| target=|_top|&gt;Strong's&lt;/a&gt;</v>
      </c>
      <c r="AA259" t="str">
        <f t="shared" si="1032"/>
        <v>&lt;/li&gt;&lt;li&gt;&lt;a href=|http://childrensbibleonline.com/1_samuel/23.htm| title=|The Children's Bible| target=|_top|&gt;Children's&lt;/a&gt;</v>
      </c>
      <c r="AB259" s="2" t="str">
        <f t="shared" si="1032"/>
        <v>&lt;/li&gt;&lt;li&gt;&lt;a href=|http://tsk.scripturetext.com/1_samuel/23.htm| title=|Treasury of Scripture Knowledge| target=|_top|&gt;TSK&lt;/a&gt;</v>
      </c>
      <c r="AC259" t="str">
        <f>CONCATENATE("&lt;a href=|http://",AC1191,"/1_samuel/23.htm","| ","title=|",AC1190,"| target=|_top|&gt;",AC1192,"&lt;/a&gt;")</f>
        <v>&lt;a href=|http://parallelbible.com/1_samuel/23.htm| title=|Parallel Chapters| target=|_top|&gt;PAR&lt;/a&gt;</v>
      </c>
      <c r="AD259" s="2" t="str">
        <f t="shared" ref="AD259:AK259" si="1034">CONCATENATE("&lt;/li&gt;&lt;li&gt;&lt;a href=|http://",AD1191,"/1_samuel/23.htm","| ","title=|",AD1190,"| target=|_top|&gt;",AD1192,"&lt;/a&gt;")</f>
        <v>&lt;/li&gt;&lt;li&gt;&lt;a href=|http://gsb.biblecommenter.com/1_samuel/23.htm| title=|Geneva Study Bible| target=|_top|&gt;GSB&lt;/a&gt;</v>
      </c>
      <c r="AE259" s="2" t="str">
        <f t="shared" si="1034"/>
        <v>&lt;/li&gt;&lt;li&gt;&lt;a href=|http://jfb.biblecommenter.com/1_samuel/23.htm| title=|Jamieson-Fausset-Brown Bible Commentary| target=|_top|&gt;JFB&lt;/a&gt;</v>
      </c>
      <c r="AF259" s="2" t="str">
        <f t="shared" si="1034"/>
        <v>&lt;/li&gt;&lt;li&gt;&lt;a href=|http://kjt.biblecommenter.com/1_samuel/23.htm| title=|King James Translators' Notes| target=|_top|&gt;KJT&lt;/a&gt;</v>
      </c>
      <c r="AG259" s="2" t="str">
        <f t="shared" si="1034"/>
        <v>&lt;/li&gt;&lt;li&gt;&lt;a href=|http://mhc.biblecommenter.com/1_samuel/23.htm| title=|Matthew Henry's Concise Commentary| target=|_top|&gt;MHC&lt;/a&gt;</v>
      </c>
      <c r="AH259" s="2" t="str">
        <f t="shared" si="1034"/>
        <v>&lt;/li&gt;&lt;li&gt;&lt;a href=|http://sco.biblecommenter.com/1_samuel/23.htm| title=|Scofield Reference Notes| target=|_top|&gt;SCO&lt;/a&gt;</v>
      </c>
      <c r="AI259" s="2" t="str">
        <f t="shared" si="1034"/>
        <v>&lt;/li&gt;&lt;li&gt;&lt;a href=|http://wes.biblecommenter.com/1_samuel/23.htm| title=|Wesley's Notes on the Bible| target=|_top|&gt;WES&lt;/a&gt;</v>
      </c>
      <c r="AJ259" t="str">
        <f t="shared" si="1034"/>
        <v>&lt;/li&gt;&lt;li&gt;&lt;a href=|http://worldebible.com/1_samuel/23.htm| title=|World English Bible| target=|_top|&gt;WEB&lt;/a&gt;</v>
      </c>
      <c r="AK259" t="str">
        <f t="shared" si="1034"/>
        <v>&lt;/li&gt;&lt;li&gt;&lt;a href=|http://yltbible.com/1_samuel/23.htm| title=|Young's Literal Translation| target=|_top|&gt;YLT&lt;/a&gt;</v>
      </c>
      <c r="AL259" t="str">
        <f>CONCATENATE("&lt;a href=|http://",AL1191,"/1_samuel/23.htm","| ","title=|",AL1190,"| target=|_top|&gt;",AL1192,"&lt;/a&gt;")</f>
        <v>&lt;a href=|http://kjv.us/1_samuel/23.htm| title=|American King James Version| target=|_top|&gt;AKJ&lt;/a&gt;</v>
      </c>
      <c r="AM259" t="str">
        <f t="shared" ref="AM259:AN259" si="1035">CONCATENATE("&lt;/li&gt;&lt;li&gt;&lt;a href=|http://",AM1191,"/1_samuel/23.htm","| ","title=|",AM1190,"| target=|_top|&gt;",AM1192,"&lt;/a&gt;")</f>
        <v>&lt;/li&gt;&lt;li&gt;&lt;a href=|http://basicenglishbible.com/1_samuel/23.htm| title=|Bible in Basic English| target=|_top|&gt;BBE&lt;/a&gt;</v>
      </c>
      <c r="AN259" t="str">
        <f t="shared" si="1035"/>
        <v>&lt;/li&gt;&lt;li&gt;&lt;a href=|http://darbybible.com/1_samuel/23.htm| title=|Darby Bible Translation| target=|_top|&gt;DBY&lt;/a&gt;</v>
      </c>
      <c r="AO25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5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5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59" t="str">
        <f>CONCATENATE("&lt;/li&gt;&lt;li&gt;&lt;a href=|http://",AR1191,"/1_samuel/23.htm","| ","title=|",AR1190,"| target=|_top|&gt;",AR1192,"&lt;/a&gt;")</f>
        <v>&lt;/li&gt;&lt;li&gt;&lt;a href=|http://websterbible.com/1_samuel/23.htm| title=|Webster's Bible Translation| target=|_top|&gt;WBS&lt;/a&gt;</v>
      </c>
      <c r="AS25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59" t="str">
        <f>CONCATENATE("&lt;/li&gt;&lt;li&gt;&lt;a href=|http://",AT1191,"/1_samuel/23-1.htm","| ","title=|",AT1190,"| target=|_top|&gt;",AT1192,"&lt;/a&gt;")</f>
        <v>&lt;/li&gt;&lt;li&gt;&lt;a href=|http://biblebrowser.com/1_samuel/23-1.htm| title=|Split View| target=|_top|&gt;Split&lt;/a&gt;</v>
      </c>
      <c r="AU259" s="2" t="s">
        <v>1276</v>
      </c>
      <c r="AV259" t="s">
        <v>64</v>
      </c>
    </row>
    <row r="260" spans="1:48">
      <c r="A260" t="s">
        <v>622</v>
      </c>
      <c r="B260" t="s">
        <v>313</v>
      </c>
      <c r="C260" t="s">
        <v>624</v>
      </c>
      <c r="D260" t="s">
        <v>1268</v>
      </c>
      <c r="E260" t="s">
        <v>1277</v>
      </c>
      <c r="F260" t="s">
        <v>1304</v>
      </c>
      <c r="G260" t="s">
        <v>1266</v>
      </c>
      <c r="H260" t="s">
        <v>1305</v>
      </c>
      <c r="I260" t="s">
        <v>1303</v>
      </c>
      <c r="J260" t="s">
        <v>1267</v>
      </c>
      <c r="K260" t="s">
        <v>1275</v>
      </c>
      <c r="L260" s="2" t="s">
        <v>1274</v>
      </c>
      <c r="M260" t="str">
        <f t="shared" ref="M260:AB260" si="1036">CONCATENATE("&lt;/li&gt;&lt;li&gt;&lt;a href=|http://",M1191,"/1_samuel/24.htm","| ","title=|",M1190,"| target=|_top|&gt;",M1192,"&lt;/a&gt;")</f>
        <v>&lt;/li&gt;&lt;li&gt;&lt;a href=|http://niv.scripturetext.com/1_samuel/24.htm| title=|New International Version| target=|_top|&gt;NIV&lt;/a&gt;</v>
      </c>
      <c r="N260" t="str">
        <f t="shared" si="1036"/>
        <v>&lt;/li&gt;&lt;li&gt;&lt;a href=|http://nlt.scripturetext.com/1_samuel/24.htm| title=|New Living Translation| target=|_top|&gt;NLT&lt;/a&gt;</v>
      </c>
      <c r="O260" t="str">
        <f t="shared" si="1036"/>
        <v>&lt;/li&gt;&lt;li&gt;&lt;a href=|http://nasb.scripturetext.com/1_samuel/24.htm| title=|New American Standard Bible| target=|_top|&gt;NAS&lt;/a&gt;</v>
      </c>
      <c r="P260" t="str">
        <f t="shared" si="1036"/>
        <v>&lt;/li&gt;&lt;li&gt;&lt;a href=|http://gwt.scripturetext.com/1_samuel/24.htm| title=|God's Word Translation| target=|_top|&gt;GWT&lt;/a&gt;</v>
      </c>
      <c r="Q260" t="str">
        <f t="shared" si="1036"/>
        <v>&lt;/li&gt;&lt;li&gt;&lt;a href=|http://kingjbible.com/1_samuel/24.htm| title=|King James Bible| target=|_top|&gt;KJV&lt;/a&gt;</v>
      </c>
      <c r="R260" t="str">
        <f t="shared" si="1036"/>
        <v>&lt;/li&gt;&lt;li&gt;&lt;a href=|http://asvbible.com/1_samuel/24.htm| title=|American Standard Version| target=|_top|&gt;ASV&lt;/a&gt;</v>
      </c>
      <c r="S260" t="str">
        <f t="shared" si="1036"/>
        <v>&lt;/li&gt;&lt;li&gt;&lt;a href=|http://drb.scripturetext.com/1_samuel/24.htm| title=|Douay-Rheims Bible| target=|_top|&gt;DRB&lt;/a&gt;</v>
      </c>
      <c r="T260" t="str">
        <f t="shared" si="1036"/>
        <v>&lt;/li&gt;&lt;li&gt;&lt;a href=|http://erv.scripturetext.com/1_samuel/24.htm| title=|English Revised Version| target=|_top|&gt;ERV&lt;/a&gt;</v>
      </c>
      <c r="V260" t="str">
        <f>CONCATENATE("&lt;/li&gt;&lt;li&gt;&lt;a href=|http://",V1191,"/1_samuel/24.htm","| ","title=|",V1190,"| target=|_top|&gt;",V1192,"&lt;/a&gt;")</f>
        <v>&lt;/li&gt;&lt;li&gt;&lt;a href=|http://study.interlinearbible.org/1_samuel/24.htm| title=|Hebrew Study Bible| target=|_top|&gt;Heb Study&lt;/a&gt;</v>
      </c>
      <c r="W260" t="str">
        <f t="shared" si="1036"/>
        <v>&lt;/li&gt;&lt;li&gt;&lt;a href=|http://apostolic.interlinearbible.org/1_samuel/24.htm| title=|Apostolic Bible Polyglot Interlinear| target=|_top|&gt;Polyglot&lt;/a&gt;</v>
      </c>
      <c r="X260" t="str">
        <f t="shared" si="1036"/>
        <v>&lt;/li&gt;&lt;li&gt;&lt;a href=|http://interlinearbible.org/1_samuel/24.htm| title=|Interlinear Bible| target=|_top|&gt;Interlin&lt;/a&gt;</v>
      </c>
      <c r="Y260" t="str">
        <f t="shared" ref="Y260" si="1037">CONCATENATE("&lt;/li&gt;&lt;li&gt;&lt;a href=|http://",Y1191,"/1_samuel/24.htm","| ","title=|",Y1190,"| target=|_top|&gt;",Y1192,"&lt;/a&gt;")</f>
        <v>&lt;/li&gt;&lt;li&gt;&lt;a href=|http://bibleoutline.org/1_samuel/24.htm| title=|Outline with People and Places List| target=|_top|&gt;Outline&lt;/a&gt;</v>
      </c>
      <c r="Z260" t="str">
        <f t="shared" si="1036"/>
        <v>&lt;/li&gt;&lt;li&gt;&lt;a href=|http://kjvs.scripturetext.com/1_samuel/24.htm| title=|King James Bible with Strong's Numbers| target=|_top|&gt;Strong's&lt;/a&gt;</v>
      </c>
      <c r="AA260" t="str">
        <f t="shared" si="1036"/>
        <v>&lt;/li&gt;&lt;li&gt;&lt;a href=|http://childrensbibleonline.com/1_samuel/24.htm| title=|The Children's Bible| target=|_top|&gt;Children's&lt;/a&gt;</v>
      </c>
      <c r="AB260" s="2" t="str">
        <f t="shared" si="1036"/>
        <v>&lt;/li&gt;&lt;li&gt;&lt;a href=|http://tsk.scripturetext.com/1_samuel/24.htm| title=|Treasury of Scripture Knowledge| target=|_top|&gt;TSK&lt;/a&gt;</v>
      </c>
      <c r="AC260" t="str">
        <f>CONCATENATE("&lt;a href=|http://",AC1191,"/1_samuel/24.htm","| ","title=|",AC1190,"| target=|_top|&gt;",AC1192,"&lt;/a&gt;")</f>
        <v>&lt;a href=|http://parallelbible.com/1_samuel/24.htm| title=|Parallel Chapters| target=|_top|&gt;PAR&lt;/a&gt;</v>
      </c>
      <c r="AD260" s="2" t="str">
        <f t="shared" ref="AD260:AK260" si="1038">CONCATENATE("&lt;/li&gt;&lt;li&gt;&lt;a href=|http://",AD1191,"/1_samuel/24.htm","| ","title=|",AD1190,"| target=|_top|&gt;",AD1192,"&lt;/a&gt;")</f>
        <v>&lt;/li&gt;&lt;li&gt;&lt;a href=|http://gsb.biblecommenter.com/1_samuel/24.htm| title=|Geneva Study Bible| target=|_top|&gt;GSB&lt;/a&gt;</v>
      </c>
      <c r="AE260" s="2" t="str">
        <f t="shared" si="1038"/>
        <v>&lt;/li&gt;&lt;li&gt;&lt;a href=|http://jfb.biblecommenter.com/1_samuel/24.htm| title=|Jamieson-Fausset-Brown Bible Commentary| target=|_top|&gt;JFB&lt;/a&gt;</v>
      </c>
      <c r="AF260" s="2" t="str">
        <f t="shared" si="1038"/>
        <v>&lt;/li&gt;&lt;li&gt;&lt;a href=|http://kjt.biblecommenter.com/1_samuel/24.htm| title=|King James Translators' Notes| target=|_top|&gt;KJT&lt;/a&gt;</v>
      </c>
      <c r="AG260" s="2" t="str">
        <f t="shared" si="1038"/>
        <v>&lt;/li&gt;&lt;li&gt;&lt;a href=|http://mhc.biblecommenter.com/1_samuel/24.htm| title=|Matthew Henry's Concise Commentary| target=|_top|&gt;MHC&lt;/a&gt;</v>
      </c>
      <c r="AH260" s="2" t="str">
        <f t="shared" si="1038"/>
        <v>&lt;/li&gt;&lt;li&gt;&lt;a href=|http://sco.biblecommenter.com/1_samuel/24.htm| title=|Scofield Reference Notes| target=|_top|&gt;SCO&lt;/a&gt;</v>
      </c>
      <c r="AI260" s="2" t="str">
        <f t="shared" si="1038"/>
        <v>&lt;/li&gt;&lt;li&gt;&lt;a href=|http://wes.biblecommenter.com/1_samuel/24.htm| title=|Wesley's Notes on the Bible| target=|_top|&gt;WES&lt;/a&gt;</v>
      </c>
      <c r="AJ260" t="str">
        <f t="shared" si="1038"/>
        <v>&lt;/li&gt;&lt;li&gt;&lt;a href=|http://worldebible.com/1_samuel/24.htm| title=|World English Bible| target=|_top|&gt;WEB&lt;/a&gt;</v>
      </c>
      <c r="AK260" t="str">
        <f t="shared" si="1038"/>
        <v>&lt;/li&gt;&lt;li&gt;&lt;a href=|http://yltbible.com/1_samuel/24.htm| title=|Young's Literal Translation| target=|_top|&gt;YLT&lt;/a&gt;</v>
      </c>
      <c r="AL260" t="str">
        <f>CONCATENATE("&lt;a href=|http://",AL1191,"/1_samuel/24.htm","| ","title=|",AL1190,"| target=|_top|&gt;",AL1192,"&lt;/a&gt;")</f>
        <v>&lt;a href=|http://kjv.us/1_samuel/24.htm| title=|American King James Version| target=|_top|&gt;AKJ&lt;/a&gt;</v>
      </c>
      <c r="AM260" t="str">
        <f t="shared" ref="AM260:AN260" si="1039">CONCATENATE("&lt;/li&gt;&lt;li&gt;&lt;a href=|http://",AM1191,"/1_samuel/24.htm","| ","title=|",AM1190,"| target=|_top|&gt;",AM1192,"&lt;/a&gt;")</f>
        <v>&lt;/li&gt;&lt;li&gt;&lt;a href=|http://basicenglishbible.com/1_samuel/24.htm| title=|Bible in Basic English| target=|_top|&gt;BBE&lt;/a&gt;</v>
      </c>
      <c r="AN260" t="str">
        <f t="shared" si="1039"/>
        <v>&lt;/li&gt;&lt;li&gt;&lt;a href=|http://darbybible.com/1_samuel/24.htm| title=|Darby Bible Translation| target=|_top|&gt;DBY&lt;/a&gt;</v>
      </c>
      <c r="AO26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6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6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60" t="str">
        <f>CONCATENATE("&lt;/li&gt;&lt;li&gt;&lt;a href=|http://",AR1191,"/1_samuel/24.htm","| ","title=|",AR1190,"| target=|_top|&gt;",AR1192,"&lt;/a&gt;")</f>
        <v>&lt;/li&gt;&lt;li&gt;&lt;a href=|http://websterbible.com/1_samuel/24.htm| title=|Webster's Bible Translation| target=|_top|&gt;WBS&lt;/a&gt;</v>
      </c>
      <c r="AS26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60" t="str">
        <f>CONCATENATE("&lt;/li&gt;&lt;li&gt;&lt;a href=|http://",AT1191,"/1_samuel/24-1.htm","| ","title=|",AT1190,"| target=|_top|&gt;",AT1192,"&lt;/a&gt;")</f>
        <v>&lt;/li&gt;&lt;li&gt;&lt;a href=|http://biblebrowser.com/1_samuel/24-1.htm| title=|Split View| target=|_top|&gt;Split&lt;/a&gt;</v>
      </c>
      <c r="AU260" s="2" t="s">
        <v>1276</v>
      </c>
      <c r="AV260" t="s">
        <v>64</v>
      </c>
    </row>
    <row r="261" spans="1:48">
      <c r="A261" t="s">
        <v>622</v>
      </c>
      <c r="B261" t="s">
        <v>314</v>
      </c>
      <c r="C261" t="s">
        <v>624</v>
      </c>
      <c r="D261" t="s">
        <v>1268</v>
      </c>
      <c r="E261" t="s">
        <v>1277</v>
      </c>
      <c r="F261" t="s">
        <v>1304</v>
      </c>
      <c r="G261" t="s">
        <v>1266</v>
      </c>
      <c r="H261" t="s">
        <v>1305</v>
      </c>
      <c r="I261" t="s">
        <v>1303</v>
      </c>
      <c r="J261" t="s">
        <v>1267</v>
      </c>
      <c r="K261" t="s">
        <v>1275</v>
      </c>
      <c r="L261" s="2" t="s">
        <v>1274</v>
      </c>
      <c r="M261" t="str">
        <f t="shared" ref="M261:AB261" si="1040">CONCATENATE("&lt;/li&gt;&lt;li&gt;&lt;a href=|http://",M1191,"/1_samuel/25.htm","| ","title=|",M1190,"| target=|_top|&gt;",M1192,"&lt;/a&gt;")</f>
        <v>&lt;/li&gt;&lt;li&gt;&lt;a href=|http://niv.scripturetext.com/1_samuel/25.htm| title=|New International Version| target=|_top|&gt;NIV&lt;/a&gt;</v>
      </c>
      <c r="N261" t="str">
        <f t="shared" si="1040"/>
        <v>&lt;/li&gt;&lt;li&gt;&lt;a href=|http://nlt.scripturetext.com/1_samuel/25.htm| title=|New Living Translation| target=|_top|&gt;NLT&lt;/a&gt;</v>
      </c>
      <c r="O261" t="str">
        <f t="shared" si="1040"/>
        <v>&lt;/li&gt;&lt;li&gt;&lt;a href=|http://nasb.scripturetext.com/1_samuel/25.htm| title=|New American Standard Bible| target=|_top|&gt;NAS&lt;/a&gt;</v>
      </c>
      <c r="P261" t="str">
        <f t="shared" si="1040"/>
        <v>&lt;/li&gt;&lt;li&gt;&lt;a href=|http://gwt.scripturetext.com/1_samuel/25.htm| title=|God's Word Translation| target=|_top|&gt;GWT&lt;/a&gt;</v>
      </c>
      <c r="Q261" t="str">
        <f t="shared" si="1040"/>
        <v>&lt;/li&gt;&lt;li&gt;&lt;a href=|http://kingjbible.com/1_samuel/25.htm| title=|King James Bible| target=|_top|&gt;KJV&lt;/a&gt;</v>
      </c>
      <c r="R261" t="str">
        <f t="shared" si="1040"/>
        <v>&lt;/li&gt;&lt;li&gt;&lt;a href=|http://asvbible.com/1_samuel/25.htm| title=|American Standard Version| target=|_top|&gt;ASV&lt;/a&gt;</v>
      </c>
      <c r="S261" t="str">
        <f t="shared" si="1040"/>
        <v>&lt;/li&gt;&lt;li&gt;&lt;a href=|http://drb.scripturetext.com/1_samuel/25.htm| title=|Douay-Rheims Bible| target=|_top|&gt;DRB&lt;/a&gt;</v>
      </c>
      <c r="T261" t="str">
        <f t="shared" si="1040"/>
        <v>&lt;/li&gt;&lt;li&gt;&lt;a href=|http://erv.scripturetext.com/1_samuel/25.htm| title=|English Revised Version| target=|_top|&gt;ERV&lt;/a&gt;</v>
      </c>
      <c r="V261" t="str">
        <f>CONCATENATE("&lt;/li&gt;&lt;li&gt;&lt;a href=|http://",V1191,"/1_samuel/25.htm","| ","title=|",V1190,"| target=|_top|&gt;",V1192,"&lt;/a&gt;")</f>
        <v>&lt;/li&gt;&lt;li&gt;&lt;a href=|http://study.interlinearbible.org/1_samuel/25.htm| title=|Hebrew Study Bible| target=|_top|&gt;Heb Study&lt;/a&gt;</v>
      </c>
      <c r="W261" t="str">
        <f t="shared" si="1040"/>
        <v>&lt;/li&gt;&lt;li&gt;&lt;a href=|http://apostolic.interlinearbible.org/1_samuel/25.htm| title=|Apostolic Bible Polyglot Interlinear| target=|_top|&gt;Polyglot&lt;/a&gt;</v>
      </c>
      <c r="X261" t="str">
        <f t="shared" si="1040"/>
        <v>&lt;/li&gt;&lt;li&gt;&lt;a href=|http://interlinearbible.org/1_samuel/25.htm| title=|Interlinear Bible| target=|_top|&gt;Interlin&lt;/a&gt;</v>
      </c>
      <c r="Y261" t="str">
        <f t="shared" ref="Y261" si="1041">CONCATENATE("&lt;/li&gt;&lt;li&gt;&lt;a href=|http://",Y1191,"/1_samuel/25.htm","| ","title=|",Y1190,"| target=|_top|&gt;",Y1192,"&lt;/a&gt;")</f>
        <v>&lt;/li&gt;&lt;li&gt;&lt;a href=|http://bibleoutline.org/1_samuel/25.htm| title=|Outline with People and Places List| target=|_top|&gt;Outline&lt;/a&gt;</v>
      </c>
      <c r="Z261" t="str">
        <f t="shared" si="1040"/>
        <v>&lt;/li&gt;&lt;li&gt;&lt;a href=|http://kjvs.scripturetext.com/1_samuel/25.htm| title=|King James Bible with Strong's Numbers| target=|_top|&gt;Strong's&lt;/a&gt;</v>
      </c>
      <c r="AA261" t="str">
        <f t="shared" si="1040"/>
        <v>&lt;/li&gt;&lt;li&gt;&lt;a href=|http://childrensbibleonline.com/1_samuel/25.htm| title=|The Children's Bible| target=|_top|&gt;Children's&lt;/a&gt;</v>
      </c>
      <c r="AB261" s="2" t="str">
        <f t="shared" si="1040"/>
        <v>&lt;/li&gt;&lt;li&gt;&lt;a href=|http://tsk.scripturetext.com/1_samuel/25.htm| title=|Treasury of Scripture Knowledge| target=|_top|&gt;TSK&lt;/a&gt;</v>
      </c>
      <c r="AC261" t="str">
        <f>CONCATENATE("&lt;a href=|http://",AC1191,"/1_samuel/25.htm","| ","title=|",AC1190,"| target=|_top|&gt;",AC1192,"&lt;/a&gt;")</f>
        <v>&lt;a href=|http://parallelbible.com/1_samuel/25.htm| title=|Parallel Chapters| target=|_top|&gt;PAR&lt;/a&gt;</v>
      </c>
      <c r="AD261" s="2" t="str">
        <f t="shared" ref="AD261:AK261" si="1042">CONCATENATE("&lt;/li&gt;&lt;li&gt;&lt;a href=|http://",AD1191,"/1_samuel/25.htm","| ","title=|",AD1190,"| target=|_top|&gt;",AD1192,"&lt;/a&gt;")</f>
        <v>&lt;/li&gt;&lt;li&gt;&lt;a href=|http://gsb.biblecommenter.com/1_samuel/25.htm| title=|Geneva Study Bible| target=|_top|&gt;GSB&lt;/a&gt;</v>
      </c>
      <c r="AE261" s="2" t="str">
        <f t="shared" si="1042"/>
        <v>&lt;/li&gt;&lt;li&gt;&lt;a href=|http://jfb.biblecommenter.com/1_samuel/25.htm| title=|Jamieson-Fausset-Brown Bible Commentary| target=|_top|&gt;JFB&lt;/a&gt;</v>
      </c>
      <c r="AF261" s="2" t="str">
        <f t="shared" si="1042"/>
        <v>&lt;/li&gt;&lt;li&gt;&lt;a href=|http://kjt.biblecommenter.com/1_samuel/25.htm| title=|King James Translators' Notes| target=|_top|&gt;KJT&lt;/a&gt;</v>
      </c>
      <c r="AG261" s="2" t="str">
        <f t="shared" si="1042"/>
        <v>&lt;/li&gt;&lt;li&gt;&lt;a href=|http://mhc.biblecommenter.com/1_samuel/25.htm| title=|Matthew Henry's Concise Commentary| target=|_top|&gt;MHC&lt;/a&gt;</v>
      </c>
      <c r="AH261" s="2" t="str">
        <f t="shared" si="1042"/>
        <v>&lt;/li&gt;&lt;li&gt;&lt;a href=|http://sco.biblecommenter.com/1_samuel/25.htm| title=|Scofield Reference Notes| target=|_top|&gt;SCO&lt;/a&gt;</v>
      </c>
      <c r="AI261" s="2" t="str">
        <f t="shared" si="1042"/>
        <v>&lt;/li&gt;&lt;li&gt;&lt;a href=|http://wes.biblecommenter.com/1_samuel/25.htm| title=|Wesley's Notes on the Bible| target=|_top|&gt;WES&lt;/a&gt;</v>
      </c>
      <c r="AJ261" t="str">
        <f t="shared" si="1042"/>
        <v>&lt;/li&gt;&lt;li&gt;&lt;a href=|http://worldebible.com/1_samuel/25.htm| title=|World English Bible| target=|_top|&gt;WEB&lt;/a&gt;</v>
      </c>
      <c r="AK261" t="str">
        <f t="shared" si="1042"/>
        <v>&lt;/li&gt;&lt;li&gt;&lt;a href=|http://yltbible.com/1_samuel/25.htm| title=|Young's Literal Translation| target=|_top|&gt;YLT&lt;/a&gt;</v>
      </c>
      <c r="AL261" t="str">
        <f>CONCATENATE("&lt;a href=|http://",AL1191,"/1_samuel/25.htm","| ","title=|",AL1190,"| target=|_top|&gt;",AL1192,"&lt;/a&gt;")</f>
        <v>&lt;a href=|http://kjv.us/1_samuel/25.htm| title=|American King James Version| target=|_top|&gt;AKJ&lt;/a&gt;</v>
      </c>
      <c r="AM261" t="str">
        <f t="shared" ref="AM261:AN261" si="1043">CONCATENATE("&lt;/li&gt;&lt;li&gt;&lt;a href=|http://",AM1191,"/1_samuel/25.htm","| ","title=|",AM1190,"| target=|_top|&gt;",AM1192,"&lt;/a&gt;")</f>
        <v>&lt;/li&gt;&lt;li&gt;&lt;a href=|http://basicenglishbible.com/1_samuel/25.htm| title=|Bible in Basic English| target=|_top|&gt;BBE&lt;/a&gt;</v>
      </c>
      <c r="AN261" t="str">
        <f t="shared" si="1043"/>
        <v>&lt;/li&gt;&lt;li&gt;&lt;a href=|http://darbybible.com/1_samuel/25.htm| title=|Darby Bible Translation| target=|_top|&gt;DBY&lt;/a&gt;</v>
      </c>
      <c r="AO26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6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6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61" t="str">
        <f>CONCATENATE("&lt;/li&gt;&lt;li&gt;&lt;a href=|http://",AR1191,"/1_samuel/25.htm","| ","title=|",AR1190,"| target=|_top|&gt;",AR1192,"&lt;/a&gt;")</f>
        <v>&lt;/li&gt;&lt;li&gt;&lt;a href=|http://websterbible.com/1_samuel/25.htm| title=|Webster's Bible Translation| target=|_top|&gt;WBS&lt;/a&gt;</v>
      </c>
      <c r="AS26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61" t="str">
        <f>CONCATENATE("&lt;/li&gt;&lt;li&gt;&lt;a href=|http://",AT1191,"/1_samuel/25-1.htm","| ","title=|",AT1190,"| target=|_top|&gt;",AT1192,"&lt;/a&gt;")</f>
        <v>&lt;/li&gt;&lt;li&gt;&lt;a href=|http://biblebrowser.com/1_samuel/25-1.htm| title=|Split View| target=|_top|&gt;Split&lt;/a&gt;</v>
      </c>
      <c r="AU261" s="2" t="s">
        <v>1276</v>
      </c>
      <c r="AV261" t="s">
        <v>64</v>
      </c>
    </row>
    <row r="262" spans="1:48">
      <c r="A262" t="s">
        <v>622</v>
      </c>
      <c r="B262" t="s">
        <v>315</v>
      </c>
      <c r="C262" t="s">
        <v>624</v>
      </c>
      <c r="D262" t="s">
        <v>1268</v>
      </c>
      <c r="E262" t="s">
        <v>1277</v>
      </c>
      <c r="F262" t="s">
        <v>1304</v>
      </c>
      <c r="G262" t="s">
        <v>1266</v>
      </c>
      <c r="H262" t="s">
        <v>1305</v>
      </c>
      <c r="I262" t="s">
        <v>1303</v>
      </c>
      <c r="J262" t="s">
        <v>1267</v>
      </c>
      <c r="K262" t="s">
        <v>1275</v>
      </c>
      <c r="L262" s="2" t="s">
        <v>1274</v>
      </c>
      <c r="M262" t="str">
        <f t="shared" ref="M262:AB262" si="1044">CONCATENATE("&lt;/li&gt;&lt;li&gt;&lt;a href=|http://",M1191,"/1_samuel/26.htm","| ","title=|",M1190,"| target=|_top|&gt;",M1192,"&lt;/a&gt;")</f>
        <v>&lt;/li&gt;&lt;li&gt;&lt;a href=|http://niv.scripturetext.com/1_samuel/26.htm| title=|New International Version| target=|_top|&gt;NIV&lt;/a&gt;</v>
      </c>
      <c r="N262" t="str">
        <f t="shared" si="1044"/>
        <v>&lt;/li&gt;&lt;li&gt;&lt;a href=|http://nlt.scripturetext.com/1_samuel/26.htm| title=|New Living Translation| target=|_top|&gt;NLT&lt;/a&gt;</v>
      </c>
      <c r="O262" t="str">
        <f t="shared" si="1044"/>
        <v>&lt;/li&gt;&lt;li&gt;&lt;a href=|http://nasb.scripturetext.com/1_samuel/26.htm| title=|New American Standard Bible| target=|_top|&gt;NAS&lt;/a&gt;</v>
      </c>
      <c r="P262" t="str">
        <f t="shared" si="1044"/>
        <v>&lt;/li&gt;&lt;li&gt;&lt;a href=|http://gwt.scripturetext.com/1_samuel/26.htm| title=|God's Word Translation| target=|_top|&gt;GWT&lt;/a&gt;</v>
      </c>
      <c r="Q262" t="str">
        <f t="shared" si="1044"/>
        <v>&lt;/li&gt;&lt;li&gt;&lt;a href=|http://kingjbible.com/1_samuel/26.htm| title=|King James Bible| target=|_top|&gt;KJV&lt;/a&gt;</v>
      </c>
      <c r="R262" t="str">
        <f t="shared" si="1044"/>
        <v>&lt;/li&gt;&lt;li&gt;&lt;a href=|http://asvbible.com/1_samuel/26.htm| title=|American Standard Version| target=|_top|&gt;ASV&lt;/a&gt;</v>
      </c>
      <c r="S262" t="str">
        <f t="shared" si="1044"/>
        <v>&lt;/li&gt;&lt;li&gt;&lt;a href=|http://drb.scripturetext.com/1_samuel/26.htm| title=|Douay-Rheims Bible| target=|_top|&gt;DRB&lt;/a&gt;</v>
      </c>
      <c r="T262" t="str">
        <f t="shared" si="1044"/>
        <v>&lt;/li&gt;&lt;li&gt;&lt;a href=|http://erv.scripturetext.com/1_samuel/26.htm| title=|English Revised Version| target=|_top|&gt;ERV&lt;/a&gt;</v>
      </c>
      <c r="V262" t="str">
        <f>CONCATENATE("&lt;/li&gt;&lt;li&gt;&lt;a href=|http://",V1191,"/1_samuel/26.htm","| ","title=|",V1190,"| target=|_top|&gt;",V1192,"&lt;/a&gt;")</f>
        <v>&lt;/li&gt;&lt;li&gt;&lt;a href=|http://study.interlinearbible.org/1_samuel/26.htm| title=|Hebrew Study Bible| target=|_top|&gt;Heb Study&lt;/a&gt;</v>
      </c>
      <c r="W262" t="str">
        <f t="shared" si="1044"/>
        <v>&lt;/li&gt;&lt;li&gt;&lt;a href=|http://apostolic.interlinearbible.org/1_samuel/26.htm| title=|Apostolic Bible Polyglot Interlinear| target=|_top|&gt;Polyglot&lt;/a&gt;</v>
      </c>
      <c r="X262" t="str">
        <f t="shared" si="1044"/>
        <v>&lt;/li&gt;&lt;li&gt;&lt;a href=|http://interlinearbible.org/1_samuel/26.htm| title=|Interlinear Bible| target=|_top|&gt;Interlin&lt;/a&gt;</v>
      </c>
      <c r="Y262" t="str">
        <f t="shared" ref="Y262" si="1045">CONCATENATE("&lt;/li&gt;&lt;li&gt;&lt;a href=|http://",Y1191,"/1_samuel/26.htm","| ","title=|",Y1190,"| target=|_top|&gt;",Y1192,"&lt;/a&gt;")</f>
        <v>&lt;/li&gt;&lt;li&gt;&lt;a href=|http://bibleoutline.org/1_samuel/26.htm| title=|Outline with People and Places List| target=|_top|&gt;Outline&lt;/a&gt;</v>
      </c>
      <c r="Z262" t="str">
        <f t="shared" si="1044"/>
        <v>&lt;/li&gt;&lt;li&gt;&lt;a href=|http://kjvs.scripturetext.com/1_samuel/26.htm| title=|King James Bible with Strong's Numbers| target=|_top|&gt;Strong's&lt;/a&gt;</v>
      </c>
      <c r="AA262" t="str">
        <f t="shared" si="1044"/>
        <v>&lt;/li&gt;&lt;li&gt;&lt;a href=|http://childrensbibleonline.com/1_samuel/26.htm| title=|The Children's Bible| target=|_top|&gt;Children's&lt;/a&gt;</v>
      </c>
      <c r="AB262" s="2" t="str">
        <f t="shared" si="1044"/>
        <v>&lt;/li&gt;&lt;li&gt;&lt;a href=|http://tsk.scripturetext.com/1_samuel/26.htm| title=|Treasury of Scripture Knowledge| target=|_top|&gt;TSK&lt;/a&gt;</v>
      </c>
      <c r="AC262" t="str">
        <f>CONCATENATE("&lt;a href=|http://",AC1191,"/1_samuel/26.htm","| ","title=|",AC1190,"| target=|_top|&gt;",AC1192,"&lt;/a&gt;")</f>
        <v>&lt;a href=|http://parallelbible.com/1_samuel/26.htm| title=|Parallel Chapters| target=|_top|&gt;PAR&lt;/a&gt;</v>
      </c>
      <c r="AD262" s="2" t="str">
        <f t="shared" ref="AD262:AK262" si="1046">CONCATENATE("&lt;/li&gt;&lt;li&gt;&lt;a href=|http://",AD1191,"/1_samuel/26.htm","| ","title=|",AD1190,"| target=|_top|&gt;",AD1192,"&lt;/a&gt;")</f>
        <v>&lt;/li&gt;&lt;li&gt;&lt;a href=|http://gsb.biblecommenter.com/1_samuel/26.htm| title=|Geneva Study Bible| target=|_top|&gt;GSB&lt;/a&gt;</v>
      </c>
      <c r="AE262" s="2" t="str">
        <f t="shared" si="1046"/>
        <v>&lt;/li&gt;&lt;li&gt;&lt;a href=|http://jfb.biblecommenter.com/1_samuel/26.htm| title=|Jamieson-Fausset-Brown Bible Commentary| target=|_top|&gt;JFB&lt;/a&gt;</v>
      </c>
      <c r="AF262" s="2" t="str">
        <f t="shared" si="1046"/>
        <v>&lt;/li&gt;&lt;li&gt;&lt;a href=|http://kjt.biblecommenter.com/1_samuel/26.htm| title=|King James Translators' Notes| target=|_top|&gt;KJT&lt;/a&gt;</v>
      </c>
      <c r="AG262" s="2" t="str">
        <f t="shared" si="1046"/>
        <v>&lt;/li&gt;&lt;li&gt;&lt;a href=|http://mhc.biblecommenter.com/1_samuel/26.htm| title=|Matthew Henry's Concise Commentary| target=|_top|&gt;MHC&lt;/a&gt;</v>
      </c>
      <c r="AH262" s="2" t="str">
        <f t="shared" si="1046"/>
        <v>&lt;/li&gt;&lt;li&gt;&lt;a href=|http://sco.biblecommenter.com/1_samuel/26.htm| title=|Scofield Reference Notes| target=|_top|&gt;SCO&lt;/a&gt;</v>
      </c>
      <c r="AI262" s="2" t="str">
        <f t="shared" si="1046"/>
        <v>&lt;/li&gt;&lt;li&gt;&lt;a href=|http://wes.biblecommenter.com/1_samuel/26.htm| title=|Wesley's Notes on the Bible| target=|_top|&gt;WES&lt;/a&gt;</v>
      </c>
      <c r="AJ262" t="str">
        <f t="shared" si="1046"/>
        <v>&lt;/li&gt;&lt;li&gt;&lt;a href=|http://worldebible.com/1_samuel/26.htm| title=|World English Bible| target=|_top|&gt;WEB&lt;/a&gt;</v>
      </c>
      <c r="AK262" t="str">
        <f t="shared" si="1046"/>
        <v>&lt;/li&gt;&lt;li&gt;&lt;a href=|http://yltbible.com/1_samuel/26.htm| title=|Young's Literal Translation| target=|_top|&gt;YLT&lt;/a&gt;</v>
      </c>
      <c r="AL262" t="str">
        <f>CONCATENATE("&lt;a href=|http://",AL1191,"/1_samuel/26.htm","| ","title=|",AL1190,"| target=|_top|&gt;",AL1192,"&lt;/a&gt;")</f>
        <v>&lt;a href=|http://kjv.us/1_samuel/26.htm| title=|American King James Version| target=|_top|&gt;AKJ&lt;/a&gt;</v>
      </c>
      <c r="AM262" t="str">
        <f t="shared" ref="AM262:AN262" si="1047">CONCATENATE("&lt;/li&gt;&lt;li&gt;&lt;a href=|http://",AM1191,"/1_samuel/26.htm","| ","title=|",AM1190,"| target=|_top|&gt;",AM1192,"&lt;/a&gt;")</f>
        <v>&lt;/li&gt;&lt;li&gt;&lt;a href=|http://basicenglishbible.com/1_samuel/26.htm| title=|Bible in Basic English| target=|_top|&gt;BBE&lt;/a&gt;</v>
      </c>
      <c r="AN262" t="str">
        <f t="shared" si="1047"/>
        <v>&lt;/li&gt;&lt;li&gt;&lt;a href=|http://darbybible.com/1_samuel/26.htm| title=|Darby Bible Translation| target=|_top|&gt;DBY&lt;/a&gt;</v>
      </c>
      <c r="AO26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6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6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62" t="str">
        <f>CONCATENATE("&lt;/li&gt;&lt;li&gt;&lt;a href=|http://",AR1191,"/1_samuel/26.htm","| ","title=|",AR1190,"| target=|_top|&gt;",AR1192,"&lt;/a&gt;")</f>
        <v>&lt;/li&gt;&lt;li&gt;&lt;a href=|http://websterbible.com/1_samuel/26.htm| title=|Webster's Bible Translation| target=|_top|&gt;WBS&lt;/a&gt;</v>
      </c>
      <c r="AS26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62" t="str">
        <f>CONCATENATE("&lt;/li&gt;&lt;li&gt;&lt;a href=|http://",AT1191,"/1_samuel/26-1.htm","| ","title=|",AT1190,"| target=|_top|&gt;",AT1192,"&lt;/a&gt;")</f>
        <v>&lt;/li&gt;&lt;li&gt;&lt;a href=|http://biblebrowser.com/1_samuel/26-1.htm| title=|Split View| target=|_top|&gt;Split&lt;/a&gt;</v>
      </c>
      <c r="AU262" s="2" t="s">
        <v>1276</v>
      </c>
      <c r="AV262" t="s">
        <v>64</v>
      </c>
    </row>
    <row r="263" spans="1:48">
      <c r="A263" t="s">
        <v>622</v>
      </c>
      <c r="B263" t="s">
        <v>316</v>
      </c>
      <c r="C263" t="s">
        <v>624</v>
      </c>
      <c r="D263" t="s">
        <v>1268</v>
      </c>
      <c r="E263" t="s">
        <v>1277</v>
      </c>
      <c r="F263" t="s">
        <v>1304</v>
      </c>
      <c r="G263" t="s">
        <v>1266</v>
      </c>
      <c r="H263" t="s">
        <v>1305</v>
      </c>
      <c r="I263" t="s">
        <v>1303</v>
      </c>
      <c r="J263" t="s">
        <v>1267</v>
      </c>
      <c r="K263" t="s">
        <v>1275</v>
      </c>
      <c r="L263" s="2" t="s">
        <v>1274</v>
      </c>
      <c r="M263" t="str">
        <f t="shared" ref="M263:AB263" si="1048">CONCATENATE("&lt;/li&gt;&lt;li&gt;&lt;a href=|http://",M1191,"/1_samuel/27.htm","| ","title=|",M1190,"| target=|_top|&gt;",M1192,"&lt;/a&gt;")</f>
        <v>&lt;/li&gt;&lt;li&gt;&lt;a href=|http://niv.scripturetext.com/1_samuel/27.htm| title=|New International Version| target=|_top|&gt;NIV&lt;/a&gt;</v>
      </c>
      <c r="N263" t="str">
        <f t="shared" si="1048"/>
        <v>&lt;/li&gt;&lt;li&gt;&lt;a href=|http://nlt.scripturetext.com/1_samuel/27.htm| title=|New Living Translation| target=|_top|&gt;NLT&lt;/a&gt;</v>
      </c>
      <c r="O263" t="str">
        <f t="shared" si="1048"/>
        <v>&lt;/li&gt;&lt;li&gt;&lt;a href=|http://nasb.scripturetext.com/1_samuel/27.htm| title=|New American Standard Bible| target=|_top|&gt;NAS&lt;/a&gt;</v>
      </c>
      <c r="P263" t="str">
        <f t="shared" si="1048"/>
        <v>&lt;/li&gt;&lt;li&gt;&lt;a href=|http://gwt.scripturetext.com/1_samuel/27.htm| title=|God's Word Translation| target=|_top|&gt;GWT&lt;/a&gt;</v>
      </c>
      <c r="Q263" t="str">
        <f t="shared" si="1048"/>
        <v>&lt;/li&gt;&lt;li&gt;&lt;a href=|http://kingjbible.com/1_samuel/27.htm| title=|King James Bible| target=|_top|&gt;KJV&lt;/a&gt;</v>
      </c>
      <c r="R263" t="str">
        <f t="shared" si="1048"/>
        <v>&lt;/li&gt;&lt;li&gt;&lt;a href=|http://asvbible.com/1_samuel/27.htm| title=|American Standard Version| target=|_top|&gt;ASV&lt;/a&gt;</v>
      </c>
      <c r="S263" t="str">
        <f t="shared" si="1048"/>
        <v>&lt;/li&gt;&lt;li&gt;&lt;a href=|http://drb.scripturetext.com/1_samuel/27.htm| title=|Douay-Rheims Bible| target=|_top|&gt;DRB&lt;/a&gt;</v>
      </c>
      <c r="T263" t="str">
        <f t="shared" si="1048"/>
        <v>&lt;/li&gt;&lt;li&gt;&lt;a href=|http://erv.scripturetext.com/1_samuel/27.htm| title=|English Revised Version| target=|_top|&gt;ERV&lt;/a&gt;</v>
      </c>
      <c r="V263" t="str">
        <f>CONCATENATE("&lt;/li&gt;&lt;li&gt;&lt;a href=|http://",V1191,"/1_samuel/27.htm","| ","title=|",V1190,"| target=|_top|&gt;",V1192,"&lt;/a&gt;")</f>
        <v>&lt;/li&gt;&lt;li&gt;&lt;a href=|http://study.interlinearbible.org/1_samuel/27.htm| title=|Hebrew Study Bible| target=|_top|&gt;Heb Study&lt;/a&gt;</v>
      </c>
      <c r="W263" t="str">
        <f t="shared" si="1048"/>
        <v>&lt;/li&gt;&lt;li&gt;&lt;a href=|http://apostolic.interlinearbible.org/1_samuel/27.htm| title=|Apostolic Bible Polyglot Interlinear| target=|_top|&gt;Polyglot&lt;/a&gt;</v>
      </c>
      <c r="X263" t="str">
        <f t="shared" si="1048"/>
        <v>&lt;/li&gt;&lt;li&gt;&lt;a href=|http://interlinearbible.org/1_samuel/27.htm| title=|Interlinear Bible| target=|_top|&gt;Interlin&lt;/a&gt;</v>
      </c>
      <c r="Y263" t="str">
        <f t="shared" ref="Y263" si="1049">CONCATENATE("&lt;/li&gt;&lt;li&gt;&lt;a href=|http://",Y1191,"/1_samuel/27.htm","| ","title=|",Y1190,"| target=|_top|&gt;",Y1192,"&lt;/a&gt;")</f>
        <v>&lt;/li&gt;&lt;li&gt;&lt;a href=|http://bibleoutline.org/1_samuel/27.htm| title=|Outline with People and Places List| target=|_top|&gt;Outline&lt;/a&gt;</v>
      </c>
      <c r="Z263" t="str">
        <f t="shared" si="1048"/>
        <v>&lt;/li&gt;&lt;li&gt;&lt;a href=|http://kjvs.scripturetext.com/1_samuel/27.htm| title=|King James Bible with Strong's Numbers| target=|_top|&gt;Strong's&lt;/a&gt;</v>
      </c>
      <c r="AA263" t="str">
        <f t="shared" si="1048"/>
        <v>&lt;/li&gt;&lt;li&gt;&lt;a href=|http://childrensbibleonline.com/1_samuel/27.htm| title=|The Children's Bible| target=|_top|&gt;Children's&lt;/a&gt;</v>
      </c>
      <c r="AB263" s="2" t="str">
        <f t="shared" si="1048"/>
        <v>&lt;/li&gt;&lt;li&gt;&lt;a href=|http://tsk.scripturetext.com/1_samuel/27.htm| title=|Treasury of Scripture Knowledge| target=|_top|&gt;TSK&lt;/a&gt;</v>
      </c>
      <c r="AC263" t="str">
        <f>CONCATENATE("&lt;a href=|http://",AC1191,"/1_samuel/27.htm","| ","title=|",AC1190,"| target=|_top|&gt;",AC1192,"&lt;/a&gt;")</f>
        <v>&lt;a href=|http://parallelbible.com/1_samuel/27.htm| title=|Parallel Chapters| target=|_top|&gt;PAR&lt;/a&gt;</v>
      </c>
      <c r="AD263" s="2" t="str">
        <f t="shared" ref="AD263:AK263" si="1050">CONCATENATE("&lt;/li&gt;&lt;li&gt;&lt;a href=|http://",AD1191,"/1_samuel/27.htm","| ","title=|",AD1190,"| target=|_top|&gt;",AD1192,"&lt;/a&gt;")</f>
        <v>&lt;/li&gt;&lt;li&gt;&lt;a href=|http://gsb.biblecommenter.com/1_samuel/27.htm| title=|Geneva Study Bible| target=|_top|&gt;GSB&lt;/a&gt;</v>
      </c>
      <c r="AE263" s="2" t="str">
        <f t="shared" si="1050"/>
        <v>&lt;/li&gt;&lt;li&gt;&lt;a href=|http://jfb.biblecommenter.com/1_samuel/27.htm| title=|Jamieson-Fausset-Brown Bible Commentary| target=|_top|&gt;JFB&lt;/a&gt;</v>
      </c>
      <c r="AF263" s="2" t="str">
        <f t="shared" si="1050"/>
        <v>&lt;/li&gt;&lt;li&gt;&lt;a href=|http://kjt.biblecommenter.com/1_samuel/27.htm| title=|King James Translators' Notes| target=|_top|&gt;KJT&lt;/a&gt;</v>
      </c>
      <c r="AG263" s="2" t="str">
        <f t="shared" si="1050"/>
        <v>&lt;/li&gt;&lt;li&gt;&lt;a href=|http://mhc.biblecommenter.com/1_samuel/27.htm| title=|Matthew Henry's Concise Commentary| target=|_top|&gt;MHC&lt;/a&gt;</v>
      </c>
      <c r="AH263" s="2" t="str">
        <f t="shared" si="1050"/>
        <v>&lt;/li&gt;&lt;li&gt;&lt;a href=|http://sco.biblecommenter.com/1_samuel/27.htm| title=|Scofield Reference Notes| target=|_top|&gt;SCO&lt;/a&gt;</v>
      </c>
      <c r="AI263" s="2" t="str">
        <f t="shared" si="1050"/>
        <v>&lt;/li&gt;&lt;li&gt;&lt;a href=|http://wes.biblecommenter.com/1_samuel/27.htm| title=|Wesley's Notes on the Bible| target=|_top|&gt;WES&lt;/a&gt;</v>
      </c>
      <c r="AJ263" t="str">
        <f t="shared" si="1050"/>
        <v>&lt;/li&gt;&lt;li&gt;&lt;a href=|http://worldebible.com/1_samuel/27.htm| title=|World English Bible| target=|_top|&gt;WEB&lt;/a&gt;</v>
      </c>
      <c r="AK263" t="str">
        <f t="shared" si="1050"/>
        <v>&lt;/li&gt;&lt;li&gt;&lt;a href=|http://yltbible.com/1_samuel/27.htm| title=|Young's Literal Translation| target=|_top|&gt;YLT&lt;/a&gt;</v>
      </c>
      <c r="AL263" t="str">
        <f>CONCATENATE("&lt;a href=|http://",AL1191,"/1_samuel/27.htm","| ","title=|",AL1190,"| target=|_top|&gt;",AL1192,"&lt;/a&gt;")</f>
        <v>&lt;a href=|http://kjv.us/1_samuel/27.htm| title=|American King James Version| target=|_top|&gt;AKJ&lt;/a&gt;</v>
      </c>
      <c r="AM263" t="str">
        <f t="shared" ref="AM263:AN263" si="1051">CONCATENATE("&lt;/li&gt;&lt;li&gt;&lt;a href=|http://",AM1191,"/1_samuel/27.htm","| ","title=|",AM1190,"| target=|_top|&gt;",AM1192,"&lt;/a&gt;")</f>
        <v>&lt;/li&gt;&lt;li&gt;&lt;a href=|http://basicenglishbible.com/1_samuel/27.htm| title=|Bible in Basic English| target=|_top|&gt;BBE&lt;/a&gt;</v>
      </c>
      <c r="AN263" t="str">
        <f t="shared" si="1051"/>
        <v>&lt;/li&gt;&lt;li&gt;&lt;a href=|http://darbybible.com/1_samuel/27.htm| title=|Darby Bible Translation| target=|_top|&gt;DBY&lt;/a&gt;</v>
      </c>
      <c r="AO26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6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6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63" t="str">
        <f>CONCATENATE("&lt;/li&gt;&lt;li&gt;&lt;a href=|http://",AR1191,"/1_samuel/27.htm","| ","title=|",AR1190,"| target=|_top|&gt;",AR1192,"&lt;/a&gt;")</f>
        <v>&lt;/li&gt;&lt;li&gt;&lt;a href=|http://websterbible.com/1_samuel/27.htm| title=|Webster's Bible Translation| target=|_top|&gt;WBS&lt;/a&gt;</v>
      </c>
      <c r="AS26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63" t="str">
        <f>CONCATENATE("&lt;/li&gt;&lt;li&gt;&lt;a href=|http://",AT1191,"/1_samuel/27-1.htm","| ","title=|",AT1190,"| target=|_top|&gt;",AT1192,"&lt;/a&gt;")</f>
        <v>&lt;/li&gt;&lt;li&gt;&lt;a href=|http://biblebrowser.com/1_samuel/27-1.htm| title=|Split View| target=|_top|&gt;Split&lt;/a&gt;</v>
      </c>
      <c r="AU263" s="2" t="s">
        <v>1276</v>
      </c>
      <c r="AV263" t="s">
        <v>64</v>
      </c>
    </row>
    <row r="264" spans="1:48">
      <c r="A264" t="s">
        <v>622</v>
      </c>
      <c r="B264" t="s">
        <v>317</v>
      </c>
      <c r="C264" t="s">
        <v>624</v>
      </c>
      <c r="D264" t="s">
        <v>1268</v>
      </c>
      <c r="E264" t="s">
        <v>1277</v>
      </c>
      <c r="F264" t="s">
        <v>1304</v>
      </c>
      <c r="G264" t="s">
        <v>1266</v>
      </c>
      <c r="H264" t="s">
        <v>1305</v>
      </c>
      <c r="I264" t="s">
        <v>1303</v>
      </c>
      <c r="J264" t="s">
        <v>1267</v>
      </c>
      <c r="K264" t="s">
        <v>1275</v>
      </c>
      <c r="L264" s="2" t="s">
        <v>1274</v>
      </c>
      <c r="M264" t="str">
        <f t="shared" ref="M264:AB264" si="1052">CONCATENATE("&lt;/li&gt;&lt;li&gt;&lt;a href=|http://",M1191,"/1_samuel/28.htm","| ","title=|",M1190,"| target=|_top|&gt;",M1192,"&lt;/a&gt;")</f>
        <v>&lt;/li&gt;&lt;li&gt;&lt;a href=|http://niv.scripturetext.com/1_samuel/28.htm| title=|New International Version| target=|_top|&gt;NIV&lt;/a&gt;</v>
      </c>
      <c r="N264" t="str">
        <f t="shared" si="1052"/>
        <v>&lt;/li&gt;&lt;li&gt;&lt;a href=|http://nlt.scripturetext.com/1_samuel/28.htm| title=|New Living Translation| target=|_top|&gt;NLT&lt;/a&gt;</v>
      </c>
      <c r="O264" t="str">
        <f t="shared" si="1052"/>
        <v>&lt;/li&gt;&lt;li&gt;&lt;a href=|http://nasb.scripturetext.com/1_samuel/28.htm| title=|New American Standard Bible| target=|_top|&gt;NAS&lt;/a&gt;</v>
      </c>
      <c r="P264" t="str">
        <f t="shared" si="1052"/>
        <v>&lt;/li&gt;&lt;li&gt;&lt;a href=|http://gwt.scripturetext.com/1_samuel/28.htm| title=|God's Word Translation| target=|_top|&gt;GWT&lt;/a&gt;</v>
      </c>
      <c r="Q264" t="str">
        <f t="shared" si="1052"/>
        <v>&lt;/li&gt;&lt;li&gt;&lt;a href=|http://kingjbible.com/1_samuel/28.htm| title=|King James Bible| target=|_top|&gt;KJV&lt;/a&gt;</v>
      </c>
      <c r="R264" t="str">
        <f t="shared" si="1052"/>
        <v>&lt;/li&gt;&lt;li&gt;&lt;a href=|http://asvbible.com/1_samuel/28.htm| title=|American Standard Version| target=|_top|&gt;ASV&lt;/a&gt;</v>
      </c>
      <c r="S264" t="str">
        <f t="shared" si="1052"/>
        <v>&lt;/li&gt;&lt;li&gt;&lt;a href=|http://drb.scripturetext.com/1_samuel/28.htm| title=|Douay-Rheims Bible| target=|_top|&gt;DRB&lt;/a&gt;</v>
      </c>
      <c r="T264" t="str">
        <f t="shared" si="1052"/>
        <v>&lt;/li&gt;&lt;li&gt;&lt;a href=|http://erv.scripturetext.com/1_samuel/28.htm| title=|English Revised Version| target=|_top|&gt;ERV&lt;/a&gt;</v>
      </c>
      <c r="V264" t="str">
        <f>CONCATENATE("&lt;/li&gt;&lt;li&gt;&lt;a href=|http://",V1191,"/1_samuel/28.htm","| ","title=|",V1190,"| target=|_top|&gt;",V1192,"&lt;/a&gt;")</f>
        <v>&lt;/li&gt;&lt;li&gt;&lt;a href=|http://study.interlinearbible.org/1_samuel/28.htm| title=|Hebrew Study Bible| target=|_top|&gt;Heb Study&lt;/a&gt;</v>
      </c>
      <c r="W264" t="str">
        <f t="shared" si="1052"/>
        <v>&lt;/li&gt;&lt;li&gt;&lt;a href=|http://apostolic.interlinearbible.org/1_samuel/28.htm| title=|Apostolic Bible Polyglot Interlinear| target=|_top|&gt;Polyglot&lt;/a&gt;</v>
      </c>
      <c r="X264" t="str">
        <f t="shared" si="1052"/>
        <v>&lt;/li&gt;&lt;li&gt;&lt;a href=|http://interlinearbible.org/1_samuel/28.htm| title=|Interlinear Bible| target=|_top|&gt;Interlin&lt;/a&gt;</v>
      </c>
      <c r="Y264" t="str">
        <f t="shared" ref="Y264" si="1053">CONCATENATE("&lt;/li&gt;&lt;li&gt;&lt;a href=|http://",Y1191,"/1_samuel/28.htm","| ","title=|",Y1190,"| target=|_top|&gt;",Y1192,"&lt;/a&gt;")</f>
        <v>&lt;/li&gt;&lt;li&gt;&lt;a href=|http://bibleoutline.org/1_samuel/28.htm| title=|Outline with People and Places List| target=|_top|&gt;Outline&lt;/a&gt;</v>
      </c>
      <c r="Z264" t="str">
        <f t="shared" si="1052"/>
        <v>&lt;/li&gt;&lt;li&gt;&lt;a href=|http://kjvs.scripturetext.com/1_samuel/28.htm| title=|King James Bible with Strong's Numbers| target=|_top|&gt;Strong's&lt;/a&gt;</v>
      </c>
      <c r="AA264" t="str">
        <f t="shared" si="1052"/>
        <v>&lt;/li&gt;&lt;li&gt;&lt;a href=|http://childrensbibleonline.com/1_samuel/28.htm| title=|The Children's Bible| target=|_top|&gt;Children's&lt;/a&gt;</v>
      </c>
      <c r="AB264" s="2" t="str">
        <f t="shared" si="1052"/>
        <v>&lt;/li&gt;&lt;li&gt;&lt;a href=|http://tsk.scripturetext.com/1_samuel/28.htm| title=|Treasury of Scripture Knowledge| target=|_top|&gt;TSK&lt;/a&gt;</v>
      </c>
      <c r="AC264" t="str">
        <f>CONCATENATE("&lt;a href=|http://",AC1191,"/1_samuel/28.htm","| ","title=|",AC1190,"| target=|_top|&gt;",AC1192,"&lt;/a&gt;")</f>
        <v>&lt;a href=|http://parallelbible.com/1_samuel/28.htm| title=|Parallel Chapters| target=|_top|&gt;PAR&lt;/a&gt;</v>
      </c>
      <c r="AD264" s="2" t="str">
        <f t="shared" ref="AD264:AK264" si="1054">CONCATENATE("&lt;/li&gt;&lt;li&gt;&lt;a href=|http://",AD1191,"/1_samuel/28.htm","| ","title=|",AD1190,"| target=|_top|&gt;",AD1192,"&lt;/a&gt;")</f>
        <v>&lt;/li&gt;&lt;li&gt;&lt;a href=|http://gsb.biblecommenter.com/1_samuel/28.htm| title=|Geneva Study Bible| target=|_top|&gt;GSB&lt;/a&gt;</v>
      </c>
      <c r="AE264" s="2" t="str">
        <f t="shared" si="1054"/>
        <v>&lt;/li&gt;&lt;li&gt;&lt;a href=|http://jfb.biblecommenter.com/1_samuel/28.htm| title=|Jamieson-Fausset-Brown Bible Commentary| target=|_top|&gt;JFB&lt;/a&gt;</v>
      </c>
      <c r="AF264" s="2" t="str">
        <f t="shared" si="1054"/>
        <v>&lt;/li&gt;&lt;li&gt;&lt;a href=|http://kjt.biblecommenter.com/1_samuel/28.htm| title=|King James Translators' Notes| target=|_top|&gt;KJT&lt;/a&gt;</v>
      </c>
      <c r="AG264" s="2" t="str">
        <f t="shared" si="1054"/>
        <v>&lt;/li&gt;&lt;li&gt;&lt;a href=|http://mhc.biblecommenter.com/1_samuel/28.htm| title=|Matthew Henry's Concise Commentary| target=|_top|&gt;MHC&lt;/a&gt;</v>
      </c>
      <c r="AH264" s="2" t="str">
        <f t="shared" si="1054"/>
        <v>&lt;/li&gt;&lt;li&gt;&lt;a href=|http://sco.biblecommenter.com/1_samuel/28.htm| title=|Scofield Reference Notes| target=|_top|&gt;SCO&lt;/a&gt;</v>
      </c>
      <c r="AI264" s="2" t="str">
        <f t="shared" si="1054"/>
        <v>&lt;/li&gt;&lt;li&gt;&lt;a href=|http://wes.biblecommenter.com/1_samuel/28.htm| title=|Wesley's Notes on the Bible| target=|_top|&gt;WES&lt;/a&gt;</v>
      </c>
      <c r="AJ264" t="str">
        <f t="shared" si="1054"/>
        <v>&lt;/li&gt;&lt;li&gt;&lt;a href=|http://worldebible.com/1_samuel/28.htm| title=|World English Bible| target=|_top|&gt;WEB&lt;/a&gt;</v>
      </c>
      <c r="AK264" t="str">
        <f t="shared" si="1054"/>
        <v>&lt;/li&gt;&lt;li&gt;&lt;a href=|http://yltbible.com/1_samuel/28.htm| title=|Young's Literal Translation| target=|_top|&gt;YLT&lt;/a&gt;</v>
      </c>
      <c r="AL264" t="str">
        <f>CONCATENATE("&lt;a href=|http://",AL1191,"/1_samuel/28.htm","| ","title=|",AL1190,"| target=|_top|&gt;",AL1192,"&lt;/a&gt;")</f>
        <v>&lt;a href=|http://kjv.us/1_samuel/28.htm| title=|American King James Version| target=|_top|&gt;AKJ&lt;/a&gt;</v>
      </c>
      <c r="AM264" t="str">
        <f t="shared" ref="AM264:AN264" si="1055">CONCATENATE("&lt;/li&gt;&lt;li&gt;&lt;a href=|http://",AM1191,"/1_samuel/28.htm","| ","title=|",AM1190,"| target=|_top|&gt;",AM1192,"&lt;/a&gt;")</f>
        <v>&lt;/li&gt;&lt;li&gt;&lt;a href=|http://basicenglishbible.com/1_samuel/28.htm| title=|Bible in Basic English| target=|_top|&gt;BBE&lt;/a&gt;</v>
      </c>
      <c r="AN264" t="str">
        <f t="shared" si="1055"/>
        <v>&lt;/li&gt;&lt;li&gt;&lt;a href=|http://darbybible.com/1_samuel/28.htm| title=|Darby Bible Translation| target=|_top|&gt;DBY&lt;/a&gt;</v>
      </c>
      <c r="AO26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6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6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64" t="str">
        <f>CONCATENATE("&lt;/li&gt;&lt;li&gt;&lt;a href=|http://",AR1191,"/1_samuel/28.htm","| ","title=|",AR1190,"| target=|_top|&gt;",AR1192,"&lt;/a&gt;")</f>
        <v>&lt;/li&gt;&lt;li&gt;&lt;a href=|http://websterbible.com/1_samuel/28.htm| title=|Webster's Bible Translation| target=|_top|&gt;WBS&lt;/a&gt;</v>
      </c>
      <c r="AS26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64" t="str">
        <f>CONCATENATE("&lt;/li&gt;&lt;li&gt;&lt;a href=|http://",AT1191,"/1_samuel/28-1.htm","| ","title=|",AT1190,"| target=|_top|&gt;",AT1192,"&lt;/a&gt;")</f>
        <v>&lt;/li&gt;&lt;li&gt;&lt;a href=|http://biblebrowser.com/1_samuel/28-1.htm| title=|Split View| target=|_top|&gt;Split&lt;/a&gt;</v>
      </c>
      <c r="AU264" s="2" t="s">
        <v>1276</v>
      </c>
      <c r="AV264" t="s">
        <v>64</v>
      </c>
    </row>
    <row r="265" spans="1:48">
      <c r="A265" t="s">
        <v>622</v>
      </c>
      <c r="B265" t="s">
        <v>318</v>
      </c>
      <c r="C265" t="s">
        <v>624</v>
      </c>
      <c r="D265" t="s">
        <v>1268</v>
      </c>
      <c r="E265" t="s">
        <v>1277</v>
      </c>
      <c r="F265" t="s">
        <v>1304</v>
      </c>
      <c r="G265" t="s">
        <v>1266</v>
      </c>
      <c r="H265" t="s">
        <v>1305</v>
      </c>
      <c r="I265" t="s">
        <v>1303</v>
      </c>
      <c r="J265" t="s">
        <v>1267</v>
      </c>
      <c r="K265" t="s">
        <v>1275</v>
      </c>
      <c r="L265" s="2" t="s">
        <v>1274</v>
      </c>
      <c r="M265" t="str">
        <f t="shared" ref="M265:AB265" si="1056">CONCATENATE("&lt;/li&gt;&lt;li&gt;&lt;a href=|http://",M1191,"/1_samuel/29.htm","| ","title=|",M1190,"| target=|_top|&gt;",M1192,"&lt;/a&gt;")</f>
        <v>&lt;/li&gt;&lt;li&gt;&lt;a href=|http://niv.scripturetext.com/1_samuel/29.htm| title=|New International Version| target=|_top|&gt;NIV&lt;/a&gt;</v>
      </c>
      <c r="N265" t="str">
        <f t="shared" si="1056"/>
        <v>&lt;/li&gt;&lt;li&gt;&lt;a href=|http://nlt.scripturetext.com/1_samuel/29.htm| title=|New Living Translation| target=|_top|&gt;NLT&lt;/a&gt;</v>
      </c>
      <c r="O265" t="str">
        <f t="shared" si="1056"/>
        <v>&lt;/li&gt;&lt;li&gt;&lt;a href=|http://nasb.scripturetext.com/1_samuel/29.htm| title=|New American Standard Bible| target=|_top|&gt;NAS&lt;/a&gt;</v>
      </c>
      <c r="P265" t="str">
        <f t="shared" si="1056"/>
        <v>&lt;/li&gt;&lt;li&gt;&lt;a href=|http://gwt.scripturetext.com/1_samuel/29.htm| title=|God's Word Translation| target=|_top|&gt;GWT&lt;/a&gt;</v>
      </c>
      <c r="Q265" t="str">
        <f t="shared" si="1056"/>
        <v>&lt;/li&gt;&lt;li&gt;&lt;a href=|http://kingjbible.com/1_samuel/29.htm| title=|King James Bible| target=|_top|&gt;KJV&lt;/a&gt;</v>
      </c>
      <c r="R265" t="str">
        <f t="shared" si="1056"/>
        <v>&lt;/li&gt;&lt;li&gt;&lt;a href=|http://asvbible.com/1_samuel/29.htm| title=|American Standard Version| target=|_top|&gt;ASV&lt;/a&gt;</v>
      </c>
      <c r="S265" t="str">
        <f t="shared" si="1056"/>
        <v>&lt;/li&gt;&lt;li&gt;&lt;a href=|http://drb.scripturetext.com/1_samuel/29.htm| title=|Douay-Rheims Bible| target=|_top|&gt;DRB&lt;/a&gt;</v>
      </c>
      <c r="T265" t="str">
        <f t="shared" si="1056"/>
        <v>&lt;/li&gt;&lt;li&gt;&lt;a href=|http://erv.scripturetext.com/1_samuel/29.htm| title=|English Revised Version| target=|_top|&gt;ERV&lt;/a&gt;</v>
      </c>
      <c r="V265" t="str">
        <f>CONCATENATE("&lt;/li&gt;&lt;li&gt;&lt;a href=|http://",V1191,"/1_samuel/29.htm","| ","title=|",V1190,"| target=|_top|&gt;",V1192,"&lt;/a&gt;")</f>
        <v>&lt;/li&gt;&lt;li&gt;&lt;a href=|http://study.interlinearbible.org/1_samuel/29.htm| title=|Hebrew Study Bible| target=|_top|&gt;Heb Study&lt;/a&gt;</v>
      </c>
      <c r="W265" t="str">
        <f t="shared" si="1056"/>
        <v>&lt;/li&gt;&lt;li&gt;&lt;a href=|http://apostolic.interlinearbible.org/1_samuel/29.htm| title=|Apostolic Bible Polyglot Interlinear| target=|_top|&gt;Polyglot&lt;/a&gt;</v>
      </c>
      <c r="X265" t="str">
        <f t="shared" si="1056"/>
        <v>&lt;/li&gt;&lt;li&gt;&lt;a href=|http://interlinearbible.org/1_samuel/29.htm| title=|Interlinear Bible| target=|_top|&gt;Interlin&lt;/a&gt;</v>
      </c>
      <c r="Y265" t="str">
        <f t="shared" ref="Y265" si="1057">CONCATENATE("&lt;/li&gt;&lt;li&gt;&lt;a href=|http://",Y1191,"/1_samuel/29.htm","| ","title=|",Y1190,"| target=|_top|&gt;",Y1192,"&lt;/a&gt;")</f>
        <v>&lt;/li&gt;&lt;li&gt;&lt;a href=|http://bibleoutline.org/1_samuel/29.htm| title=|Outline with People and Places List| target=|_top|&gt;Outline&lt;/a&gt;</v>
      </c>
      <c r="Z265" t="str">
        <f t="shared" si="1056"/>
        <v>&lt;/li&gt;&lt;li&gt;&lt;a href=|http://kjvs.scripturetext.com/1_samuel/29.htm| title=|King James Bible with Strong's Numbers| target=|_top|&gt;Strong's&lt;/a&gt;</v>
      </c>
      <c r="AA265" t="str">
        <f t="shared" si="1056"/>
        <v>&lt;/li&gt;&lt;li&gt;&lt;a href=|http://childrensbibleonline.com/1_samuel/29.htm| title=|The Children's Bible| target=|_top|&gt;Children's&lt;/a&gt;</v>
      </c>
      <c r="AB265" s="2" t="str">
        <f t="shared" si="1056"/>
        <v>&lt;/li&gt;&lt;li&gt;&lt;a href=|http://tsk.scripturetext.com/1_samuel/29.htm| title=|Treasury of Scripture Knowledge| target=|_top|&gt;TSK&lt;/a&gt;</v>
      </c>
      <c r="AC265" t="str">
        <f>CONCATENATE("&lt;a href=|http://",AC1191,"/1_samuel/29.htm","| ","title=|",AC1190,"| target=|_top|&gt;",AC1192,"&lt;/a&gt;")</f>
        <v>&lt;a href=|http://parallelbible.com/1_samuel/29.htm| title=|Parallel Chapters| target=|_top|&gt;PAR&lt;/a&gt;</v>
      </c>
      <c r="AD265" s="2" t="str">
        <f t="shared" ref="AD265:AK265" si="1058">CONCATENATE("&lt;/li&gt;&lt;li&gt;&lt;a href=|http://",AD1191,"/1_samuel/29.htm","| ","title=|",AD1190,"| target=|_top|&gt;",AD1192,"&lt;/a&gt;")</f>
        <v>&lt;/li&gt;&lt;li&gt;&lt;a href=|http://gsb.biblecommenter.com/1_samuel/29.htm| title=|Geneva Study Bible| target=|_top|&gt;GSB&lt;/a&gt;</v>
      </c>
      <c r="AE265" s="2" t="str">
        <f t="shared" si="1058"/>
        <v>&lt;/li&gt;&lt;li&gt;&lt;a href=|http://jfb.biblecommenter.com/1_samuel/29.htm| title=|Jamieson-Fausset-Brown Bible Commentary| target=|_top|&gt;JFB&lt;/a&gt;</v>
      </c>
      <c r="AF265" s="2" t="str">
        <f t="shared" si="1058"/>
        <v>&lt;/li&gt;&lt;li&gt;&lt;a href=|http://kjt.biblecommenter.com/1_samuel/29.htm| title=|King James Translators' Notes| target=|_top|&gt;KJT&lt;/a&gt;</v>
      </c>
      <c r="AG265" s="2" t="str">
        <f t="shared" si="1058"/>
        <v>&lt;/li&gt;&lt;li&gt;&lt;a href=|http://mhc.biblecommenter.com/1_samuel/29.htm| title=|Matthew Henry's Concise Commentary| target=|_top|&gt;MHC&lt;/a&gt;</v>
      </c>
      <c r="AH265" s="2" t="str">
        <f t="shared" si="1058"/>
        <v>&lt;/li&gt;&lt;li&gt;&lt;a href=|http://sco.biblecommenter.com/1_samuel/29.htm| title=|Scofield Reference Notes| target=|_top|&gt;SCO&lt;/a&gt;</v>
      </c>
      <c r="AI265" s="2" t="str">
        <f t="shared" si="1058"/>
        <v>&lt;/li&gt;&lt;li&gt;&lt;a href=|http://wes.biblecommenter.com/1_samuel/29.htm| title=|Wesley's Notes on the Bible| target=|_top|&gt;WES&lt;/a&gt;</v>
      </c>
      <c r="AJ265" t="str">
        <f t="shared" si="1058"/>
        <v>&lt;/li&gt;&lt;li&gt;&lt;a href=|http://worldebible.com/1_samuel/29.htm| title=|World English Bible| target=|_top|&gt;WEB&lt;/a&gt;</v>
      </c>
      <c r="AK265" t="str">
        <f t="shared" si="1058"/>
        <v>&lt;/li&gt;&lt;li&gt;&lt;a href=|http://yltbible.com/1_samuel/29.htm| title=|Young's Literal Translation| target=|_top|&gt;YLT&lt;/a&gt;</v>
      </c>
      <c r="AL265" t="str">
        <f>CONCATENATE("&lt;a href=|http://",AL1191,"/1_samuel/29.htm","| ","title=|",AL1190,"| target=|_top|&gt;",AL1192,"&lt;/a&gt;")</f>
        <v>&lt;a href=|http://kjv.us/1_samuel/29.htm| title=|American King James Version| target=|_top|&gt;AKJ&lt;/a&gt;</v>
      </c>
      <c r="AM265" t="str">
        <f t="shared" ref="AM265:AN265" si="1059">CONCATENATE("&lt;/li&gt;&lt;li&gt;&lt;a href=|http://",AM1191,"/1_samuel/29.htm","| ","title=|",AM1190,"| target=|_top|&gt;",AM1192,"&lt;/a&gt;")</f>
        <v>&lt;/li&gt;&lt;li&gt;&lt;a href=|http://basicenglishbible.com/1_samuel/29.htm| title=|Bible in Basic English| target=|_top|&gt;BBE&lt;/a&gt;</v>
      </c>
      <c r="AN265" t="str">
        <f t="shared" si="1059"/>
        <v>&lt;/li&gt;&lt;li&gt;&lt;a href=|http://darbybible.com/1_samuel/29.htm| title=|Darby Bible Translation| target=|_top|&gt;DBY&lt;/a&gt;</v>
      </c>
      <c r="AO26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6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6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65" t="str">
        <f>CONCATENATE("&lt;/li&gt;&lt;li&gt;&lt;a href=|http://",AR1191,"/1_samuel/29.htm","| ","title=|",AR1190,"| target=|_top|&gt;",AR1192,"&lt;/a&gt;")</f>
        <v>&lt;/li&gt;&lt;li&gt;&lt;a href=|http://websterbible.com/1_samuel/29.htm| title=|Webster's Bible Translation| target=|_top|&gt;WBS&lt;/a&gt;</v>
      </c>
      <c r="AS26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65" t="str">
        <f>CONCATENATE("&lt;/li&gt;&lt;li&gt;&lt;a href=|http://",AT1191,"/1_samuel/29-1.htm","| ","title=|",AT1190,"| target=|_top|&gt;",AT1192,"&lt;/a&gt;")</f>
        <v>&lt;/li&gt;&lt;li&gt;&lt;a href=|http://biblebrowser.com/1_samuel/29-1.htm| title=|Split View| target=|_top|&gt;Split&lt;/a&gt;</v>
      </c>
      <c r="AU265" s="2" t="s">
        <v>1276</v>
      </c>
      <c r="AV265" t="s">
        <v>64</v>
      </c>
    </row>
    <row r="266" spans="1:48">
      <c r="A266" t="s">
        <v>622</v>
      </c>
      <c r="B266" t="s">
        <v>319</v>
      </c>
      <c r="C266" t="s">
        <v>624</v>
      </c>
      <c r="D266" t="s">
        <v>1268</v>
      </c>
      <c r="E266" t="s">
        <v>1277</v>
      </c>
      <c r="F266" t="s">
        <v>1304</v>
      </c>
      <c r="G266" t="s">
        <v>1266</v>
      </c>
      <c r="H266" t="s">
        <v>1305</v>
      </c>
      <c r="I266" t="s">
        <v>1303</v>
      </c>
      <c r="J266" t="s">
        <v>1267</v>
      </c>
      <c r="K266" t="s">
        <v>1275</v>
      </c>
      <c r="L266" s="2" t="s">
        <v>1274</v>
      </c>
      <c r="M266" t="str">
        <f t="shared" ref="M266:AB266" si="1060">CONCATENATE("&lt;/li&gt;&lt;li&gt;&lt;a href=|http://",M1191,"/1_samuel/30.htm","| ","title=|",M1190,"| target=|_top|&gt;",M1192,"&lt;/a&gt;")</f>
        <v>&lt;/li&gt;&lt;li&gt;&lt;a href=|http://niv.scripturetext.com/1_samuel/30.htm| title=|New International Version| target=|_top|&gt;NIV&lt;/a&gt;</v>
      </c>
      <c r="N266" t="str">
        <f t="shared" si="1060"/>
        <v>&lt;/li&gt;&lt;li&gt;&lt;a href=|http://nlt.scripturetext.com/1_samuel/30.htm| title=|New Living Translation| target=|_top|&gt;NLT&lt;/a&gt;</v>
      </c>
      <c r="O266" t="str">
        <f t="shared" si="1060"/>
        <v>&lt;/li&gt;&lt;li&gt;&lt;a href=|http://nasb.scripturetext.com/1_samuel/30.htm| title=|New American Standard Bible| target=|_top|&gt;NAS&lt;/a&gt;</v>
      </c>
      <c r="P266" t="str">
        <f t="shared" si="1060"/>
        <v>&lt;/li&gt;&lt;li&gt;&lt;a href=|http://gwt.scripturetext.com/1_samuel/30.htm| title=|God's Word Translation| target=|_top|&gt;GWT&lt;/a&gt;</v>
      </c>
      <c r="Q266" t="str">
        <f t="shared" si="1060"/>
        <v>&lt;/li&gt;&lt;li&gt;&lt;a href=|http://kingjbible.com/1_samuel/30.htm| title=|King James Bible| target=|_top|&gt;KJV&lt;/a&gt;</v>
      </c>
      <c r="R266" t="str">
        <f t="shared" si="1060"/>
        <v>&lt;/li&gt;&lt;li&gt;&lt;a href=|http://asvbible.com/1_samuel/30.htm| title=|American Standard Version| target=|_top|&gt;ASV&lt;/a&gt;</v>
      </c>
      <c r="S266" t="str">
        <f t="shared" si="1060"/>
        <v>&lt;/li&gt;&lt;li&gt;&lt;a href=|http://drb.scripturetext.com/1_samuel/30.htm| title=|Douay-Rheims Bible| target=|_top|&gt;DRB&lt;/a&gt;</v>
      </c>
      <c r="T266" t="str">
        <f t="shared" si="1060"/>
        <v>&lt;/li&gt;&lt;li&gt;&lt;a href=|http://erv.scripturetext.com/1_samuel/30.htm| title=|English Revised Version| target=|_top|&gt;ERV&lt;/a&gt;</v>
      </c>
      <c r="V266" t="str">
        <f>CONCATENATE("&lt;/li&gt;&lt;li&gt;&lt;a href=|http://",V1191,"/1_samuel/30.htm","| ","title=|",V1190,"| target=|_top|&gt;",V1192,"&lt;/a&gt;")</f>
        <v>&lt;/li&gt;&lt;li&gt;&lt;a href=|http://study.interlinearbible.org/1_samuel/30.htm| title=|Hebrew Study Bible| target=|_top|&gt;Heb Study&lt;/a&gt;</v>
      </c>
      <c r="W266" t="str">
        <f t="shared" si="1060"/>
        <v>&lt;/li&gt;&lt;li&gt;&lt;a href=|http://apostolic.interlinearbible.org/1_samuel/30.htm| title=|Apostolic Bible Polyglot Interlinear| target=|_top|&gt;Polyglot&lt;/a&gt;</v>
      </c>
      <c r="X266" t="str">
        <f t="shared" si="1060"/>
        <v>&lt;/li&gt;&lt;li&gt;&lt;a href=|http://interlinearbible.org/1_samuel/30.htm| title=|Interlinear Bible| target=|_top|&gt;Interlin&lt;/a&gt;</v>
      </c>
      <c r="Y266" t="str">
        <f t="shared" ref="Y266" si="1061">CONCATENATE("&lt;/li&gt;&lt;li&gt;&lt;a href=|http://",Y1191,"/1_samuel/30.htm","| ","title=|",Y1190,"| target=|_top|&gt;",Y1192,"&lt;/a&gt;")</f>
        <v>&lt;/li&gt;&lt;li&gt;&lt;a href=|http://bibleoutline.org/1_samuel/30.htm| title=|Outline with People and Places List| target=|_top|&gt;Outline&lt;/a&gt;</v>
      </c>
      <c r="Z266" t="str">
        <f t="shared" si="1060"/>
        <v>&lt;/li&gt;&lt;li&gt;&lt;a href=|http://kjvs.scripturetext.com/1_samuel/30.htm| title=|King James Bible with Strong's Numbers| target=|_top|&gt;Strong's&lt;/a&gt;</v>
      </c>
      <c r="AA266" t="str">
        <f t="shared" si="1060"/>
        <v>&lt;/li&gt;&lt;li&gt;&lt;a href=|http://childrensbibleonline.com/1_samuel/30.htm| title=|The Children's Bible| target=|_top|&gt;Children's&lt;/a&gt;</v>
      </c>
      <c r="AB266" s="2" t="str">
        <f t="shared" si="1060"/>
        <v>&lt;/li&gt;&lt;li&gt;&lt;a href=|http://tsk.scripturetext.com/1_samuel/30.htm| title=|Treasury of Scripture Knowledge| target=|_top|&gt;TSK&lt;/a&gt;</v>
      </c>
      <c r="AC266" t="str">
        <f>CONCATENATE("&lt;a href=|http://",AC1191,"/1_samuel/30.htm","| ","title=|",AC1190,"| target=|_top|&gt;",AC1192,"&lt;/a&gt;")</f>
        <v>&lt;a href=|http://parallelbible.com/1_samuel/30.htm| title=|Parallel Chapters| target=|_top|&gt;PAR&lt;/a&gt;</v>
      </c>
      <c r="AD266" s="2" t="str">
        <f t="shared" ref="AD266:AK266" si="1062">CONCATENATE("&lt;/li&gt;&lt;li&gt;&lt;a href=|http://",AD1191,"/1_samuel/30.htm","| ","title=|",AD1190,"| target=|_top|&gt;",AD1192,"&lt;/a&gt;")</f>
        <v>&lt;/li&gt;&lt;li&gt;&lt;a href=|http://gsb.biblecommenter.com/1_samuel/30.htm| title=|Geneva Study Bible| target=|_top|&gt;GSB&lt;/a&gt;</v>
      </c>
      <c r="AE266" s="2" t="str">
        <f t="shared" si="1062"/>
        <v>&lt;/li&gt;&lt;li&gt;&lt;a href=|http://jfb.biblecommenter.com/1_samuel/30.htm| title=|Jamieson-Fausset-Brown Bible Commentary| target=|_top|&gt;JFB&lt;/a&gt;</v>
      </c>
      <c r="AF266" s="2" t="str">
        <f t="shared" si="1062"/>
        <v>&lt;/li&gt;&lt;li&gt;&lt;a href=|http://kjt.biblecommenter.com/1_samuel/30.htm| title=|King James Translators' Notes| target=|_top|&gt;KJT&lt;/a&gt;</v>
      </c>
      <c r="AG266" s="2" t="str">
        <f t="shared" si="1062"/>
        <v>&lt;/li&gt;&lt;li&gt;&lt;a href=|http://mhc.biblecommenter.com/1_samuel/30.htm| title=|Matthew Henry's Concise Commentary| target=|_top|&gt;MHC&lt;/a&gt;</v>
      </c>
      <c r="AH266" s="2" t="str">
        <f t="shared" si="1062"/>
        <v>&lt;/li&gt;&lt;li&gt;&lt;a href=|http://sco.biblecommenter.com/1_samuel/30.htm| title=|Scofield Reference Notes| target=|_top|&gt;SCO&lt;/a&gt;</v>
      </c>
      <c r="AI266" s="2" t="str">
        <f t="shared" si="1062"/>
        <v>&lt;/li&gt;&lt;li&gt;&lt;a href=|http://wes.biblecommenter.com/1_samuel/30.htm| title=|Wesley's Notes on the Bible| target=|_top|&gt;WES&lt;/a&gt;</v>
      </c>
      <c r="AJ266" t="str">
        <f t="shared" si="1062"/>
        <v>&lt;/li&gt;&lt;li&gt;&lt;a href=|http://worldebible.com/1_samuel/30.htm| title=|World English Bible| target=|_top|&gt;WEB&lt;/a&gt;</v>
      </c>
      <c r="AK266" t="str">
        <f t="shared" si="1062"/>
        <v>&lt;/li&gt;&lt;li&gt;&lt;a href=|http://yltbible.com/1_samuel/30.htm| title=|Young's Literal Translation| target=|_top|&gt;YLT&lt;/a&gt;</v>
      </c>
      <c r="AL266" t="str">
        <f>CONCATENATE("&lt;a href=|http://",AL1191,"/1_samuel/30.htm","| ","title=|",AL1190,"| target=|_top|&gt;",AL1192,"&lt;/a&gt;")</f>
        <v>&lt;a href=|http://kjv.us/1_samuel/30.htm| title=|American King James Version| target=|_top|&gt;AKJ&lt;/a&gt;</v>
      </c>
      <c r="AM266" t="str">
        <f t="shared" ref="AM266:AN266" si="1063">CONCATENATE("&lt;/li&gt;&lt;li&gt;&lt;a href=|http://",AM1191,"/1_samuel/30.htm","| ","title=|",AM1190,"| target=|_top|&gt;",AM1192,"&lt;/a&gt;")</f>
        <v>&lt;/li&gt;&lt;li&gt;&lt;a href=|http://basicenglishbible.com/1_samuel/30.htm| title=|Bible in Basic English| target=|_top|&gt;BBE&lt;/a&gt;</v>
      </c>
      <c r="AN266" t="str">
        <f t="shared" si="1063"/>
        <v>&lt;/li&gt;&lt;li&gt;&lt;a href=|http://darbybible.com/1_samuel/30.htm| title=|Darby Bible Translation| target=|_top|&gt;DBY&lt;/a&gt;</v>
      </c>
      <c r="AO26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6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6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66" t="str">
        <f>CONCATENATE("&lt;/li&gt;&lt;li&gt;&lt;a href=|http://",AR1191,"/1_samuel/30.htm","| ","title=|",AR1190,"| target=|_top|&gt;",AR1192,"&lt;/a&gt;")</f>
        <v>&lt;/li&gt;&lt;li&gt;&lt;a href=|http://websterbible.com/1_samuel/30.htm| title=|Webster's Bible Translation| target=|_top|&gt;WBS&lt;/a&gt;</v>
      </c>
      <c r="AS26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66" t="str">
        <f>CONCATENATE("&lt;/li&gt;&lt;li&gt;&lt;a href=|http://",AT1191,"/1_samuel/30-1.htm","| ","title=|",AT1190,"| target=|_top|&gt;",AT1192,"&lt;/a&gt;")</f>
        <v>&lt;/li&gt;&lt;li&gt;&lt;a href=|http://biblebrowser.com/1_samuel/30-1.htm| title=|Split View| target=|_top|&gt;Split&lt;/a&gt;</v>
      </c>
      <c r="AU266" s="2" t="s">
        <v>1276</v>
      </c>
      <c r="AV266" t="s">
        <v>64</v>
      </c>
    </row>
    <row r="267" spans="1:48">
      <c r="A267" t="s">
        <v>622</v>
      </c>
      <c r="B267" t="s">
        <v>320</v>
      </c>
      <c r="C267" t="s">
        <v>624</v>
      </c>
      <c r="D267" t="s">
        <v>1268</v>
      </c>
      <c r="E267" t="s">
        <v>1277</v>
      </c>
      <c r="F267" t="s">
        <v>1304</v>
      </c>
      <c r="G267" t="s">
        <v>1266</v>
      </c>
      <c r="H267" t="s">
        <v>1305</v>
      </c>
      <c r="I267" t="s">
        <v>1303</v>
      </c>
      <c r="J267" t="s">
        <v>1267</v>
      </c>
      <c r="K267" t="s">
        <v>1275</v>
      </c>
      <c r="L267" s="2" t="s">
        <v>1274</v>
      </c>
      <c r="M267" t="str">
        <f t="shared" ref="M267:AB267" si="1064">CONCATENATE("&lt;/li&gt;&lt;li&gt;&lt;a href=|http://",M1191,"/1_samuel/31.htm","| ","title=|",M1190,"| target=|_top|&gt;",M1192,"&lt;/a&gt;")</f>
        <v>&lt;/li&gt;&lt;li&gt;&lt;a href=|http://niv.scripturetext.com/1_samuel/31.htm| title=|New International Version| target=|_top|&gt;NIV&lt;/a&gt;</v>
      </c>
      <c r="N267" t="str">
        <f t="shared" si="1064"/>
        <v>&lt;/li&gt;&lt;li&gt;&lt;a href=|http://nlt.scripturetext.com/1_samuel/31.htm| title=|New Living Translation| target=|_top|&gt;NLT&lt;/a&gt;</v>
      </c>
      <c r="O267" t="str">
        <f t="shared" si="1064"/>
        <v>&lt;/li&gt;&lt;li&gt;&lt;a href=|http://nasb.scripturetext.com/1_samuel/31.htm| title=|New American Standard Bible| target=|_top|&gt;NAS&lt;/a&gt;</v>
      </c>
      <c r="P267" t="str">
        <f t="shared" si="1064"/>
        <v>&lt;/li&gt;&lt;li&gt;&lt;a href=|http://gwt.scripturetext.com/1_samuel/31.htm| title=|God's Word Translation| target=|_top|&gt;GWT&lt;/a&gt;</v>
      </c>
      <c r="Q267" t="str">
        <f t="shared" si="1064"/>
        <v>&lt;/li&gt;&lt;li&gt;&lt;a href=|http://kingjbible.com/1_samuel/31.htm| title=|King James Bible| target=|_top|&gt;KJV&lt;/a&gt;</v>
      </c>
      <c r="R267" t="str">
        <f t="shared" si="1064"/>
        <v>&lt;/li&gt;&lt;li&gt;&lt;a href=|http://asvbible.com/1_samuel/31.htm| title=|American Standard Version| target=|_top|&gt;ASV&lt;/a&gt;</v>
      </c>
      <c r="S267" t="str">
        <f t="shared" si="1064"/>
        <v>&lt;/li&gt;&lt;li&gt;&lt;a href=|http://drb.scripturetext.com/1_samuel/31.htm| title=|Douay-Rheims Bible| target=|_top|&gt;DRB&lt;/a&gt;</v>
      </c>
      <c r="T267" t="str">
        <f t="shared" si="1064"/>
        <v>&lt;/li&gt;&lt;li&gt;&lt;a href=|http://erv.scripturetext.com/1_samuel/31.htm| title=|English Revised Version| target=|_top|&gt;ERV&lt;/a&gt;</v>
      </c>
      <c r="V267" t="str">
        <f>CONCATENATE("&lt;/li&gt;&lt;li&gt;&lt;a href=|http://",V1191,"/1_samuel/31.htm","| ","title=|",V1190,"| target=|_top|&gt;",V1192,"&lt;/a&gt;")</f>
        <v>&lt;/li&gt;&lt;li&gt;&lt;a href=|http://study.interlinearbible.org/1_samuel/31.htm| title=|Hebrew Study Bible| target=|_top|&gt;Heb Study&lt;/a&gt;</v>
      </c>
      <c r="W267" t="str">
        <f t="shared" si="1064"/>
        <v>&lt;/li&gt;&lt;li&gt;&lt;a href=|http://apostolic.interlinearbible.org/1_samuel/31.htm| title=|Apostolic Bible Polyglot Interlinear| target=|_top|&gt;Polyglot&lt;/a&gt;</v>
      </c>
      <c r="X267" t="str">
        <f t="shared" si="1064"/>
        <v>&lt;/li&gt;&lt;li&gt;&lt;a href=|http://interlinearbible.org/1_samuel/31.htm| title=|Interlinear Bible| target=|_top|&gt;Interlin&lt;/a&gt;</v>
      </c>
      <c r="Y267" t="str">
        <f t="shared" ref="Y267" si="1065">CONCATENATE("&lt;/li&gt;&lt;li&gt;&lt;a href=|http://",Y1191,"/1_samuel/31.htm","| ","title=|",Y1190,"| target=|_top|&gt;",Y1192,"&lt;/a&gt;")</f>
        <v>&lt;/li&gt;&lt;li&gt;&lt;a href=|http://bibleoutline.org/1_samuel/31.htm| title=|Outline with People and Places List| target=|_top|&gt;Outline&lt;/a&gt;</v>
      </c>
      <c r="Z267" t="str">
        <f t="shared" si="1064"/>
        <v>&lt;/li&gt;&lt;li&gt;&lt;a href=|http://kjvs.scripturetext.com/1_samuel/31.htm| title=|King James Bible with Strong's Numbers| target=|_top|&gt;Strong's&lt;/a&gt;</v>
      </c>
      <c r="AA267" t="str">
        <f t="shared" si="1064"/>
        <v>&lt;/li&gt;&lt;li&gt;&lt;a href=|http://childrensbibleonline.com/1_samuel/31.htm| title=|The Children's Bible| target=|_top|&gt;Children's&lt;/a&gt;</v>
      </c>
      <c r="AB267" s="2" t="str">
        <f t="shared" si="1064"/>
        <v>&lt;/li&gt;&lt;li&gt;&lt;a href=|http://tsk.scripturetext.com/1_samuel/31.htm| title=|Treasury of Scripture Knowledge| target=|_top|&gt;TSK&lt;/a&gt;</v>
      </c>
      <c r="AC267" t="str">
        <f>CONCATENATE("&lt;a href=|http://",AC1191,"/1_samuel/31.htm","| ","title=|",AC1190,"| target=|_top|&gt;",AC1192,"&lt;/a&gt;")</f>
        <v>&lt;a href=|http://parallelbible.com/1_samuel/31.htm| title=|Parallel Chapters| target=|_top|&gt;PAR&lt;/a&gt;</v>
      </c>
      <c r="AD267" s="2" t="str">
        <f t="shared" ref="AD267:AK267" si="1066">CONCATENATE("&lt;/li&gt;&lt;li&gt;&lt;a href=|http://",AD1191,"/1_samuel/31.htm","| ","title=|",AD1190,"| target=|_top|&gt;",AD1192,"&lt;/a&gt;")</f>
        <v>&lt;/li&gt;&lt;li&gt;&lt;a href=|http://gsb.biblecommenter.com/1_samuel/31.htm| title=|Geneva Study Bible| target=|_top|&gt;GSB&lt;/a&gt;</v>
      </c>
      <c r="AE267" s="2" t="str">
        <f t="shared" si="1066"/>
        <v>&lt;/li&gt;&lt;li&gt;&lt;a href=|http://jfb.biblecommenter.com/1_samuel/31.htm| title=|Jamieson-Fausset-Brown Bible Commentary| target=|_top|&gt;JFB&lt;/a&gt;</v>
      </c>
      <c r="AF267" s="2" t="str">
        <f t="shared" si="1066"/>
        <v>&lt;/li&gt;&lt;li&gt;&lt;a href=|http://kjt.biblecommenter.com/1_samuel/31.htm| title=|King James Translators' Notes| target=|_top|&gt;KJT&lt;/a&gt;</v>
      </c>
      <c r="AG267" s="2" t="str">
        <f t="shared" si="1066"/>
        <v>&lt;/li&gt;&lt;li&gt;&lt;a href=|http://mhc.biblecommenter.com/1_samuel/31.htm| title=|Matthew Henry's Concise Commentary| target=|_top|&gt;MHC&lt;/a&gt;</v>
      </c>
      <c r="AH267" s="2" t="str">
        <f t="shared" si="1066"/>
        <v>&lt;/li&gt;&lt;li&gt;&lt;a href=|http://sco.biblecommenter.com/1_samuel/31.htm| title=|Scofield Reference Notes| target=|_top|&gt;SCO&lt;/a&gt;</v>
      </c>
      <c r="AI267" s="2" t="str">
        <f t="shared" si="1066"/>
        <v>&lt;/li&gt;&lt;li&gt;&lt;a href=|http://wes.biblecommenter.com/1_samuel/31.htm| title=|Wesley's Notes on the Bible| target=|_top|&gt;WES&lt;/a&gt;</v>
      </c>
      <c r="AJ267" t="str">
        <f t="shared" si="1066"/>
        <v>&lt;/li&gt;&lt;li&gt;&lt;a href=|http://worldebible.com/1_samuel/31.htm| title=|World English Bible| target=|_top|&gt;WEB&lt;/a&gt;</v>
      </c>
      <c r="AK267" t="str">
        <f t="shared" si="1066"/>
        <v>&lt;/li&gt;&lt;li&gt;&lt;a href=|http://yltbible.com/1_samuel/31.htm| title=|Young's Literal Translation| target=|_top|&gt;YLT&lt;/a&gt;</v>
      </c>
      <c r="AL267" t="str">
        <f>CONCATENATE("&lt;a href=|http://",AL1191,"/1_samuel/31.htm","| ","title=|",AL1190,"| target=|_top|&gt;",AL1192,"&lt;/a&gt;")</f>
        <v>&lt;a href=|http://kjv.us/1_samuel/31.htm| title=|American King James Version| target=|_top|&gt;AKJ&lt;/a&gt;</v>
      </c>
      <c r="AM267" t="str">
        <f t="shared" ref="AM267:AN267" si="1067">CONCATENATE("&lt;/li&gt;&lt;li&gt;&lt;a href=|http://",AM1191,"/1_samuel/31.htm","| ","title=|",AM1190,"| target=|_top|&gt;",AM1192,"&lt;/a&gt;")</f>
        <v>&lt;/li&gt;&lt;li&gt;&lt;a href=|http://basicenglishbible.com/1_samuel/31.htm| title=|Bible in Basic English| target=|_top|&gt;BBE&lt;/a&gt;</v>
      </c>
      <c r="AN267" t="str">
        <f t="shared" si="1067"/>
        <v>&lt;/li&gt;&lt;li&gt;&lt;a href=|http://darbybible.com/1_samuel/31.htm| title=|Darby Bible Translation| target=|_top|&gt;DBY&lt;/a&gt;</v>
      </c>
      <c r="AO26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6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6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67" t="str">
        <f>CONCATENATE("&lt;/li&gt;&lt;li&gt;&lt;a href=|http://",AR1191,"/1_samuel/31.htm","| ","title=|",AR1190,"| target=|_top|&gt;",AR1192,"&lt;/a&gt;")</f>
        <v>&lt;/li&gt;&lt;li&gt;&lt;a href=|http://websterbible.com/1_samuel/31.htm| title=|Webster's Bible Translation| target=|_top|&gt;WBS&lt;/a&gt;</v>
      </c>
      <c r="AS26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67" t="str">
        <f>CONCATENATE("&lt;/li&gt;&lt;li&gt;&lt;a href=|http://",AT1191,"/1_samuel/31-1.htm","| ","title=|",AT1190,"| target=|_top|&gt;",AT1192,"&lt;/a&gt;")</f>
        <v>&lt;/li&gt;&lt;li&gt;&lt;a href=|http://biblebrowser.com/1_samuel/31-1.htm| title=|Split View| target=|_top|&gt;Split&lt;/a&gt;</v>
      </c>
      <c r="AU267" s="2" t="s">
        <v>1276</v>
      </c>
      <c r="AV267" t="s">
        <v>64</v>
      </c>
    </row>
    <row r="268" spans="1:48">
      <c r="A268" t="s">
        <v>622</v>
      </c>
      <c r="B268" t="s">
        <v>321</v>
      </c>
      <c r="C268" t="s">
        <v>624</v>
      </c>
      <c r="D268" t="s">
        <v>1268</v>
      </c>
      <c r="E268" t="s">
        <v>1277</v>
      </c>
      <c r="F268" t="s">
        <v>1304</v>
      </c>
      <c r="G268" t="s">
        <v>1266</v>
      </c>
      <c r="H268" t="s">
        <v>1305</v>
      </c>
      <c r="I268" t="s">
        <v>1303</v>
      </c>
      <c r="J268" t="s">
        <v>1267</v>
      </c>
      <c r="K268" t="s">
        <v>1275</v>
      </c>
      <c r="L268" s="2" t="s">
        <v>1274</v>
      </c>
      <c r="M268" t="str">
        <f t="shared" ref="M268:AB268" si="1068">CONCATENATE("&lt;/li&gt;&lt;li&gt;&lt;a href=|http://",M1191,"/2_samuel/1.htm","| ","title=|",M1190,"| target=|_top|&gt;",M1192,"&lt;/a&gt;")</f>
        <v>&lt;/li&gt;&lt;li&gt;&lt;a href=|http://niv.scripturetext.com/2_samuel/1.htm| title=|New International Version| target=|_top|&gt;NIV&lt;/a&gt;</v>
      </c>
      <c r="N268" t="str">
        <f t="shared" si="1068"/>
        <v>&lt;/li&gt;&lt;li&gt;&lt;a href=|http://nlt.scripturetext.com/2_samuel/1.htm| title=|New Living Translation| target=|_top|&gt;NLT&lt;/a&gt;</v>
      </c>
      <c r="O268" t="str">
        <f t="shared" si="1068"/>
        <v>&lt;/li&gt;&lt;li&gt;&lt;a href=|http://nasb.scripturetext.com/2_samuel/1.htm| title=|New American Standard Bible| target=|_top|&gt;NAS&lt;/a&gt;</v>
      </c>
      <c r="P268" t="str">
        <f t="shared" si="1068"/>
        <v>&lt;/li&gt;&lt;li&gt;&lt;a href=|http://gwt.scripturetext.com/2_samuel/1.htm| title=|God's Word Translation| target=|_top|&gt;GWT&lt;/a&gt;</v>
      </c>
      <c r="Q268" t="str">
        <f t="shared" si="1068"/>
        <v>&lt;/li&gt;&lt;li&gt;&lt;a href=|http://kingjbible.com/2_samuel/1.htm| title=|King James Bible| target=|_top|&gt;KJV&lt;/a&gt;</v>
      </c>
      <c r="R268" t="str">
        <f t="shared" si="1068"/>
        <v>&lt;/li&gt;&lt;li&gt;&lt;a href=|http://asvbible.com/2_samuel/1.htm| title=|American Standard Version| target=|_top|&gt;ASV&lt;/a&gt;</v>
      </c>
      <c r="S268" t="str">
        <f t="shared" si="1068"/>
        <v>&lt;/li&gt;&lt;li&gt;&lt;a href=|http://drb.scripturetext.com/2_samuel/1.htm| title=|Douay-Rheims Bible| target=|_top|&gt;DRB&lt;/a&gt;</v>
      </c>
      <c r="T268" t="str">
        <f t="shared" si="1068"/>
        <v>&lt;/li&gt;&lt;li&gt;&lt;a href=|http://erv.scripturetext.com/2_samuel/1.htm| title=|English Revised Version| target=|_top|&gt;ERV&lt;/a&gt;</v>
      </c>
      <c r="V268" t="str">
        <f>CONCATENATE("&lt;/li&gt;&lt;li&gt;&lt;a href=|http://",V1191,"/2_samuel/1.htm","| ","title=|",V1190,"| target=|_top|&gt;",V1192,"&lt;/a&gt;")</f>
        <v>&lt;/li&gt;&lt;li&gt;&lt;a href=|http://study.interlinearbible.org/2_samuel/1.htm| title=|Hebrew Study Bible| target=|_top|&gt;Heb Study&lt;/a&gt;</v>
      </c>
      <c r="W268" t="str">
        <f t="shared" si="1068"/>
        <v>&lt;/li&gt;&lt;li&gt;&lt;a href=|http://apostolic.interlinearbible.org/2_samuel/1.htm| title=|Apostolic Bible Polyglot Interlinear| target=|_top|&gt;Polyglot&lt;/a&gt;</v>
      </c>
      <c r="X268" t="str">
        <f t="shared" si="1068"/>
        <v>&lt;/li&gt;&lt;li&gt;&lt;a href=|http://interlinearbible.org/2_samuel/1.htm| title=|Interlinear Bible| target=|_top|&gt;Interlin&lt;/a&gt;</v>
      </c>
      <c r="Y268" t="str">
        <f t="shared" ref="Y268" si="1069">CONCATENATE("&lt;/li&gt;&lt;li&gt;&lt;a href=|http://",Y1191,"/2_samuel/1.htm","| ","title=|",Y1190,"| target=|_top|&gt;",Y1192,"&lt;/a&gt;")</f>
        <v>&lt;/li&gt;&lt;li&gt;&lt;a href=|http://bibleoutline.org/2_samuel/1.htm| title=|Outline with People and Places List| target=|_top|&gt;Outline&lt;/a&gt;</v>
      </c>
      <c r="Z268" t="str">
        <f t="shared" si="1068"/>
        <v>&lt;/li&gt;&lt;li&gt;&lt;a href=|http://kjvs.scripturetext.com/2_samuel/1.htm| title=|King James Bible with Strong's Numbers| target=|_top|&gt;Strong's&lt;/a&gt;</v>
      </c>
      <c r="AA268" t="str">
        <f t="shared" si="1068"/>
        <v>&lt;/li&gt;&lt;li&gt;&lt;a href=|http://childrensbibleonline.com/2_samuel/1.htm| title=|The Children's Bible| target=|_top|&gt;Children's&lt;/a&gt;</v>
      </c>
      <c r="AB268" s="2" t="str">
        <f t="shared" si="1068"/>
        <v>&lt;/li&gt;&lt;li&gt;&lt;a href=|http://tsk.scripturetext.com/2_samuel/1.htm| title=|Treasury of Scripture Knowledge| target=|_top|&gt;TSK&lt;/a&gt;</v>
      </c>
      <c r="AC268" t="str">
        <f>CONCATENATE("&lt;a href=|http://",AC1191,"/2_samuel/1.htm","| ","title=|",AC1190,"| target=|_top|&gt;",AC1192,"&lt;/a&gt;")</f>
        <v>&lt;a href=|http://parallelbible.com/2_samuel/1.htm| title=|Parallel Chapters| target=|_top|&gt;PAR&lt;/a&gt;</v>
      </c>
      <c r="AD268" s="2" t="str">
        <f t="shared" ref="AD268:AK268" si="1070">CONCATENATE("&lt;/li&gt;&lt;li&gt;&lt;a href=|http://",AD1191,"/2_samuel/1.htm","| ","title=|",AD1190,"| target=|_top|&gt;",AD1192,"&lt;/a&gt;")</f>
        <v>&lt;/li&gt;&lt;li&gt;&lt;a href=|http://gsb.biblecommenter.com/2_samuel/1.htm| title=|Geneva Study Bible| target=|_top|&gt;GSB&lt;/a&gt;</v>
      </c>
      <c r="AE268" s="2" t="str">
        <f t="shared" si="1070"/>
        <v>&lt;/li&gt;&lt;li&gt;&lt;a href=|http://jfb.biblecommenter.com/2_samuel/1.htm| title=|Jamieson-Fausset-Brown Bible Commentary| target=|_top|&gt;JFB&lt;/a&gt;</v>
      </c>
      <c r="AF268" s="2" t="str">
        <f t="shared" si="1070"/>
        <v>&lt;/li&gt;&lt;li&gt;&lt;a href=|http://kjt.biblecommenter.com/2_samuel/1.htm| title=|King James Translators' Notes| target=|_top|&gt;KJT&lt;/a&gt;</v>
      </c>
      <c r="AG268" s="2" t="str">
        <f t="shared" si="1070"/>
        <v>&lt;/li&gt;&lt;li&gt;&lt;a href=|http://mhc.biblecommenter.com/2_samuel/1.htm| title=|Matthew Henry's Concise Commentary| target=|_top|&gt;MHC&lt;/a&gt;</v>
      </c>
      <c r="AH268" s="2" t="str">
        <f t="shared" si="1070"/>
        <v>&lt;/li&gt;&lt;li&gt;&lt;a href=|http://sco.biblecommenter.com/2_samuel/1.htm| title=|Scofield Reference Notes| target=|_top|&gt;SCO&lt;/a&gt;</v>
      </c>
      <c r="AI268" s="2" t="str">
        <f t="shared" si="1070"/>
        <v>&lt;/li&gt;&lt;li&gt;&lt;a href=|http://wes.biblecommenter.com/2_samuel/1.htm| title=|Wesley's Notes on the Bible| target=|_top|&gt;WES&lt;/a&gt;</v>
      </c>
      <c r="AJ268" t="str">
        <f t="shared" si="1070"/>
        <v>&lt;/li&gt;&lt;li&gt;&lt;a href=|http://worldebible.com/2_samuel/1.htm| title=|World English Bible| target=|_top|&gt;WEB&lt;/a&gt;</v>
      </c>
      <c r="AK268" t="str">
        <f t="shared" si="1070"/>
        <v>&lt;/li&gt;&lt;li&gt;&lt;a href=|http://yltbible.com/2_samuel/1.htm| title=|Young's Literal Translation| target=|_top|&gt;YLT&lt;/a&gt;</v>
      </c>
      <c r="AL268" t="str">
        <f>CONCATENATE("&lt;a href=|http://",AL1191,"/2_samuel/1.htm","| ","title=|",AL1190,"| target=|_top|&gt;",AL1192,"&lt;/a&gt;")</f>
        <v>&lt;a href=|http://kjv.us/2_samuel/1.htm| title=|American King James Version| target=|_top|&gt;AKJ&lt;/a&gt;</v>
      </c>
      <c r="AM268" t="str">
        <f t="shared" ref="AM268:AN268" si="1071">CONCATENATE("&lt;/li&gt;&lt;li&gt;&lt;a href=|http://",AM1191,"/2_samuel/1.htm","| ","title=|",AM1190,"| target=|_top|&gt;",AM1192,"&lt;/a&gt;")</f>
        <v>&lt;/li&gt;&lt;li&gt;&lt;a href=|http://basicenglishbible.com/2_samuel/1.htm| title=|Bible in Basic English| target=|_top|&gt;BBE&lt;/a&gt;</v>
      </c>
      <c r="AN268" t="str">
        <f t="shared" si="1071"/>
        <v>&lt;/li&gt;&lt;li&gt;&lt;a href=|http://darbybible.com/2_samuel/1.htm| title=|Darby Bible Translation| target=|_top|&gt;DBY&lt;/a&gt;</v>
      </c>
      <c r="AO26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6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6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68" t="str">
        <f>CONCATENATE("&lt;/li&gt;&lt;li&gt;&lt;a href=|http://",AR1191,"/2_samuel/1.htm","| ","title=|",AR1190,"| target=|_top|&gt;",AR1192,"&lt;/a&gt;")</f>
        <v>&lt;/li&gt;&lt;li&gt;&lt;a href=|http://websterbible.com/2_samuel/1.htm| title=|Webster's Bible Translation| target=|_top|&gt;WBS&lt;/a&gt;</v>
      </c>
      <c r="AS26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68" t="str">
        <f>CONCATENATE("&lt;/li&gt;&lt;li&gt;&lt;a href=|http://",AT1191,"/2_samuel/1-1.htm","| ","title=|",AT1190,"| target=|_top|&gt;",AT1192,"&lt;/a&gt;")</f>
        <v>&lt;/li&gt;&lt;li&gt;&lt;a href=|http://biblebrowser.com/2_samuel/1-1.htm| title=|Split View| target=|_top|&gt;Split&lt;/a&gt;</v>
      </c>
      <c r="AU268" s="2" t="s">
        <v>1276</v>
      </c>
      <c r="AV268" t="s">
        <v>64</v>
      </c>
    </row>
    <row r="269" spans="1:48">
      <c r="A269" t="s">
        <v>622</v>
      </c>
      <c r="B269" t="s">
        <v>322</v>
      </c>
      <c r="C269" t="s">
        <v>624</v>
      </c>
      <c r="D269" t="s">
        <v>1268</v>
      </c>
      <c r="E269" t="s">
        <v>1277</v>
      </c>
      <c r="F269" t="s">
        <v>1304</v>
      </c>
      <c r="G269" t="s">
        <v>1266</v>
      </c>
      <c r="H269" t="s">
        <v>1305</v>
      </c>
      <c r="I269" t="s">
        <v>1303</v>
      </c>
      <c r="J269" t="s">
        <v>1267</v>
      </c>
      <c r="K269" t="s">
        <v>1275</v>
      </c>
      <c r="L269" s="2" t="s">
        <v>1274</v>
      </c>
      <c r="M269" t="str">
        <f t="shared" ref="M269:AB269" si="1072">CONCATENATE("&lt;/li&gt;&lt;li&gt;&lt;a href=|http://",M1191,"/2_samuel/2.htm","| ","title=|",M1190,"| target=|_top|&gt;",M1192,"&lt;/a&gt;")</f>
        <v>&lt;/li&gt;&lt;li&gt;&lt;a href=|http://niv.scripturetext.com/2_samuel/2.htm| title=|New International Version| target=|_top|&gt;NIV&lt;/a&gt;</v>
      </c>
      <c r="N269" t="str">
        <f t="shared" si="1072"/>
        <v>&lt;/li&gt;&lt;li&gt;&lt;a href=|http://nlt.scripturetext.com/2_samuel/2.htm| title=|New Living Translation| target=|_top|&gt;NLT&lt;/a&gt;</v>
      </c>
      <c r="O269" t="str">
        <f t="shared" si="1072"/>
        <v>&lt;/li&gt;&lt;li&gt;&lt;a href=|http://nasb.scripturetext.com/2_samuel/2.htm| title=|New American Standard Bible| target=|_top|&gt;NAS&lt;/a&gt;</v>
      </c>
      <c r="P269" t="str">
        <f t="shared" si="1072"/>
        <v>&lt;/li&gt;&lt;li&gt;&lt;a href=|http://gwt.scripturetext.com/2_samuel/2.htm| title=|God's Word Translation| target=|_top|&gt;GWT&lt;/a&gt;</v>
      </c>
      <c r="Q269" t="str">
        <f t="shared" si="1072"/>
        <v>&lt;/li&gt;&lt;li&gt;&lt;a href=|http://kingjbible.com/2_samuel/2.htm| title=|King James Bible| target=|_top|&gt;KJV&lt;/a&gt;</v>
      </c>
      <c r="R269" t="str">
        <f t="shared" si="1072"/>
        <v>&lt;/li&gt;&lt;li&gt;&lt;a href=|http://asvbible.com/2_samuel/2.htm| title=|American Standard Version| target=|_top|&gt;ASV&lt;/a&gt;</v>
      </c>
      <c r="S269" t="str">
        <f t="shared" si="1072"/>
        <v>&lt;/li&gt;&lt;li&gt;&lt;a href=|http://drb.scripturetext.com/2_samuel/2.htm| title=|Douay-Rheims Bible| target=|_top|&gt;DRB&lt;/a&gt;</v>
      </c>
      <c r="T269" t="str">
        <f t="shared" si="1072"/>
        <v>&lt;/li&gt;&lt;li&gt;&lt;a href=|http://erv.scripturetext.com/2_samuel/2.htm| title=|English Revised Version| target=|_top|&gt;ERV&lt;/a&gt;</v>
      </c>
      <c r="V269" t="str">
        <f>CONCATENATE("&lt;/li&gt;&lt;li&gt;&lt;a href=|http://",V1191,"/2_samuel/2.htm","| ","title=|",V1190,"| target=|_top|&gt;",V1192,"&lt;/a&gt;")</f>
        <v>&lt;/li&gt;&lt;li&gt;&lt;a href=|http://study.interlinearbible.org/2_samuel/2.htm| title=|Hebrew Study Bible| target=|_top|&gt;Heb Study&lt;/a&gt;</v>
      </c>
      <c r="W269" t="str">
        <f t="shared" si="1072"/>
        <v>&lt;/li&gt;&lt;li&gt;&lt;a href=|http://apostolic.interlinearbible.org/2_samuel/2.htm| title=|Apostolic Bible Polyglot Interlinear| target=|_top|&gt;Polyglot&lt;/a&gt;</v>
      </c>
      <c r="X269" t="str">
        <f t="shared" si="1072"/>
        <v>&lt;/li&gt;&lt;li&gt;&lt;a href=|http://interlinearbible.org/2_samuel/2.htm| title=|Interlinear Bible| target=|_top|&gt;Interlin&lt;/a&gt;</v>
      </c>
      <c r="Y269" t="str">
        <f t="shared" ref="Y269" si="1073">CONCATENATE("&lt;/li&gt;&lt;li&gt;&lt;a href=|http://",Y1191,"/2_samuel/2.htm","| ","title=|",Y1190,"| target=|_top|&gt;",Y1192,"&lt;/a&gt;")</f>
        <v>&lt;/li&gt;&lt;li&gt;&lt;a href=|http://bibleoutline.org/2_samuel/2.htm| title=|Outline with People and Places List| target=|_top|&gt;Outline&lt;/a&gt;</v>
      </c>
      <c r="Z269" t="str">
        <f t="shared" si="1072"/>
        <v>&lt;/li&gt;&lt;li&gt;&lt;a href=|http://kjvs.scripturetext.com/2_samuel/2.htm| title=|King James Bible with Strong's Numbers| target=|_top|&gt;Strong's&lt;/a&gt;</v>
      </c>
      <c r="AA269" t="str">
        <f t="shared" si="1072"/>
        <v>&lt;/li&gt;&lt;li&gt;&lt;a href=|http://childrensbibleonline.com/2_samuel/2.htm| title=|The Children's Bible| target=|_top|&gt;Children's&lt;/a&gt;</v>
      </c>
      <c r="AB269" s="2" t="str">
        <f t="shared" si="1072"/>
        <v>&lt;/li&gt;&lt;li&gt;&lt;a href=|http://tsk.scripturetext.com/2_samuel/2.htm| title=|Treasury of Scripture Knowledge| target=|_top|&gt;TSK&lt;/a&gt;</v>
      </c>
      <c r="AC269" t="str">
        <f>CONCATENATE("&lt;a href=|http://",AC1191,"/2_samuel/2.htm","| ","title=|",AC1190,"| target=|_top|&gt;",AC1192,"&lt;/a&gt;")</f>
        <v>&lt;a href=|http://parallelbible.com/2_samuel/2.htm| title=|Parallel Chapters| target=|_top|&gt;PAR&lt;/a&gt;</v>
      </c>
      <c r="AD269" s="2" t="str">
        <f t="shared" ref="AD269:AK269" si="1074">CONCATENATE("&lt;/li&gt;&lt;li&gt;&lt;a href=|http://",AD1191,"/2_samuel/2.htm","| ","title=|",AD1190,"| target=|_top|&gt;",AD1192,"&lt;/a&gt;")</f>
        <v>&lt;/li&gt;&lt;li&gt;&lt;a href=|http://gsb.biblecommenter.com/2_samuel/2.htm| title=|Geneva Study Bible| target=|_top|&gt;GSB&lt;/a&gt;</v>
      </c>
      <c r="AE269" s="2" t="str">
        <f t="shared" si="1074"/>
        <v>&lt;/li&gt;&lt;li&gt;&lt;a href=|http://jfb.biblecommenter.com/2_samuel/2.htm| title=|Jamieson-Fausset-Brown Bible Commentary| target=|_top|&gt;JFB&lt;/a&gt;</v>
      </c>
      <c r="AF269" s="2" t="str">
        <f t="shared" si="1074"/>
        <v>&lt;/li&gt;&lt;li&gt;&lt;a href=|http://kjt.biblecommenter.com/2_samuel/2.htm| title=|King James Translators' Notes| target=|_top|&gt;KJT&lt;/a&gt;</v>
      </c>
      <c r="AG269" s="2" t="str">
        <f t="shared" si="1074"/>
        <v>&lt;/li&gt;&lt;li&gt;&lt;a href=|http://mhc.biblecommenter.com/2_samuel/2.htm| title=|Matthew Henry's Concise Commentary| target=|_top|&gt;MHC&lt;/a&gt;</v>
      </c>
      <c r="AH269" s="2" t="str">
        <f t="shared" si="1074"/>
        <v>&lt;/li&gt;&lt;li&gt;&lt;a href=|http://sco.biblecommenter.com/2_samuel/2.htm| title=|Scofield Reference Notes| target=|_top|&gt;SCO&lt;/a&gt;</v>
      </c>
      <c r="AI269" s="2" t="str">
        <f t="shared" si="1074"/>
        <v>&lt;/li&gt;&lt;li&gt;&lt;a href=|http://wes.biblecommenter.com/2_samuel/2.htm| title=|Wesley's Notes on the Bible| target=|_top|&gt;WES&lt;/a&gt;</v>
      </c>
      <c r="AJ269" t="str">
        <f t="shared" si="1074"/>
        <v>&lt;/li&gt;&lt;li&gt;&lt;a href=|http://worldebible.com/2_samuel/2.htm| title=|World English Bible| target=|_top|&gt;WEB&lt;/a&gt;</v>
      </c>
      <c r="AK269" t="str">
        <f t="shared" si="1074"/>
        <v>&lt;/li&gt;&lt;li&gt;&lt;a href=|http://yltbible.com/2_samuel/2.htm| title=|Young's Literal Translation| target=|_top|&gt;YLT&lt;/a&gt;</v>
      </c>
      <c r="AL269" t="str">
        <f>CONCATENATE("&lt;a href=|http://",AL1191,"/2_samuel/2.htm","| ","title=|",AL1190,"| target=|_top|&gt;",AL1192,"&lt;/a&gt;")</f>
        <v>&lt;a href=|http://kjv.us/2_samuel/2.htm| title=|American King James Version| target=|_top|&gt;AKJ&lt;/a&gt;</v>
      </c>
      <c r="AM269" t="str">
        <f t="shared" ref="AM269:AN269" si="1075">CONCATENATE("&lt;/li&gt;&lt;li&gt;&lt;a href=|http://",AM1191,"/2_samuel/2.htm","| ","title=|",AM1190,"| target=|_top|&gt;",AM1192,"&lt;/a&gt;")</f>
        <v>&lt;/li&gt;&lt;li&gt;&lt;a href=|http://basicenglishbible.com/2_samuel/2.htm| title=|Bible in Basic English| target=|_top|&gt;BBE&lt;/a&gt;</v>
      </c>
      <c r="AN269" t="str">
        <f t="shared" si="1075"/>
        <v>&lt;/li&gt;&lt;li&gt;&lt;a href=|http://darbybible.com/2_samuel/2.htm| title=|Darby Bible Translation| target=|_top|&gt;DBY&lt;/a&gt;</v>
      </c>
      <c r="AO26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6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6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69" t="str">
        <f>CONCATENATE("&lt;/li&gt;&lt;li&gt;&lt;a href=|http://",AR1191,"/2_samuel/2.htm","| ","title=|",AR1190,"| target=|_top|&gt;",AR1192,"&lt;/a&gt;")</f>
        <v>&lt;/li&gt;&lt;li&gt;&lt;a href=|http://websterbible.com/2_samuel/2.htm| title=|Webster's Bible Translation| target=|_top|&gt;WBS&lt;/a&gt;</v>
      </c>
      <c r="AS26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69" t="str">
        <f>CONCATENATE("&lt;/li&gt;&lt;li&gt;&lt;a href=|http://",AT1191,"/2_samuel/2-1.htm","| ","title=|",AT1190,"| target=|_top|&gt;",AT1192,"&lt;/a&gt;")</f>
        <v>&lt;/li&gt;&lt;li&gt;&lt;a href=|http://biblebrowser.com/2_samuel/2-1.htm| title=|Split View| target=|_top|&gt;Split&lt;/a&gt;</v>
      </c>
      <c r="AU269" s="2" t="s">
        <v>1276</v>
      </c>
      <c r="AV269" t="s">
        <v>64</v>
      </c>
    </row>
    <row r="270" spans="1:48">
      <c r="A270" t="s">
        <v>622</v>
      </c>
      <c r="B270" t="s">
        <v>323</v>
      </c>
      <c r="C270" t="s">
        <v>624</v>
      </c>
      <c r="D270" t="s">
        <v>1268</v>
      </c>
      <c r="E270" t="s">
        <v>1277</v>
      </c>
      <c r="F270" t="s">
        <v>1304</v>
      </c>
      <c r="G270" t="s">
        <v>1266</v>
      </c>
      <c r="H270" t="s">
        <v>1305</v>
      </c>
      <c r="I270" t="s">
        <v>1303</v>
      </c>
      <c r="J270" t="s">
        <v>1267</v>
      </c>
      <c r="K270" t="s">
        <v>1275</v>
      </c>
      <c r="L270" s="2" t="s">
        <v>1274</v>
      </c>
      <c r="M270" t="str">
        <f t="shared" ref="M270:AB270" si="1076">CONCATENATE("&lt;/li&gt;&lt;li&gt;&lt;a href=|http://",M1191,"/2_samuel/3.htm","| ","title=|",M1190,"| target=|_top|&gt;",M1192,"&lt;/a&gt;")</f>
        <v>&lt;/li&gt;&lt;li&gt;&lt;a href=|http://niv.scripturetext.com/2_samuel/3.htm| title=|New International Version| target=|_top|&gt;NIV&lt;/a&gt;</v>
      </c>
      <c r="N270" t="str">
        <f t="shared" si="1076"/>
        <v>&lt;/li&gt;&lt;li&gt;&lt;a href=|http://nlt.scripturetext.com/2_samuel/3.htm| title=|New Living Translation| target=|_top|&gt;NLT&lt;/a&gt;</v>
      </c>
      <c r="O270" t="str">
        <f t="shared" si="1076"/>
        <v>&lt;/li&gt;&lt;li&gt;&lt;a href=|http://nasb.scripturetext.com/2_samuel/3.htm| title=|New American Standard Bible| target=|_top|&gt;NAS&lt;/a&gt;</v>
      </c>
      <c r="P270" t="str">
        <f t="shared" si="1076"/>
        <v>&lt;/li&gt;&lt;li&gt;&lt;a href=|http://gwt.scripturetext.com/2_samuel/3.htm| title=|God's Word Translation| target=|_top|&gt;GWT&lt;/a&gt;</v>
      </c>
      <c r="Q270" t="str">
        <f t="shared" si="1076"/>
        <v>&lt;/li&gt;&lt;li&gt;&lt;a href=|http://kingjbible.com/2_samuel/3.htm| title=|King James Bible| target=|_top|&gt;KJV&lt;/a&gt;</v>
      </c>
      <c r="R270" t="str">
        <f t="shared" si="1076"/>
        <v>&lt;/li&gt;&lt;li&gt;&lt;a href=|http://asvbible.com/2_samuel/3.htm| title=|American Standard Version| target=|_top|&gt;ASV&lt;/a&gt;</v>
      </c>
      <c r="S270" t="str">
        <f t="shared" si="1076"/>
        <v>&lt;/li&gt;&lt;li&gt;&lt;a href=|http://drb.scripturetext.com/2_samuel/3.htm| title=|Douay-Rheims Bible| target=|_top|&gt;DRB&lt;/a&gt;</v>
      </c>
      <c r="T270" t="str">
        <f t="shared" si="1076"/>
        <v>&lt;/li&gt;&lt;li&gt;&lt;a href=|http://erv.scripturetext.com/2_samuel/3.htm| title=|English Revised Version| target=|_top|&gt;ERV&lt;/a&gt;</v>
      </c>
      <c r="V270" t="str">
        <f>CONCATENATE("&lt;/li&gt;&lt;li&gt;&lt;a href=|http://",V1191,"/2_samuel/3.htm","| ","title=|",V1190,"| target=|_top|&gt;",V1192,"&lt;/a&gt;")</f>
        <v>&lt;/li&gt;&lt;li&gt;&lt;a href=|http://study.interlinearbible.org/2_samuel/3.htm| title=|Hebrew Study Bible| target=|_top|&gt;Heb Study&lt;/a&gt;</v>
      </c>
      <c r="W270" t="str">
        <f t="shared" si="1076"/>
        <v>&lt;/li&gt;&lt;li&gt;&lt;a href=|http://apostolic.interlinearbible.org/2_samuel/3.htm| title=|Apostolic Bible Polyglot Interlinear| target=|_top|&gt;Polyglot&lt;/a&gt;</v>
      </c>
      <c r="X270" t="str">
        <f t="shared" si="1076"/>
        <v>&lt;/li&gt;&lt;li&gt;&lt;a href=|http://interlinearbible.org/2_samuel/3.htm| title=|Interlinear Bible| target=|_top|&gt;Interlin&lt;/a&gt;</v>
      </c>
      <c r="Y270" t="str">
        <f t="shared" ref="Y270" si="1077">CONCATENATE("&lt;/li&gt;&lt;li&gt;&lt;a href=|http://",Y1191,"/2_samuel/3.htm","| ","title=|",Y1190,"| target=|_top|&gt;",Y1192,"&lt;/a&gt;")</f>
        <v>&lt;/li&gt;&lt;li&gt;&lt;a href=|http://bibleoutline.org/2_samuel/3.htm| title=|Outline with People and Places List| target=|_top|&gt;Outline&lt;/a&gt;</v>
      </c>
      <c r="Z270" t="str">
        <f t="shared" si="1076"/>
        <v>&lt;/li&gt;&lt;li&gt;&lt;a href=|http://kjvs.scripturetext.com/2_samuel/3.htm| title=|King James Bible with Strong's Numbers| target=|_top|&gt;Strong's&lt;/a&gt;</v>
      </c>
      <c r="AA270" t="str">
        <f t="shared" si="1076"/>
        <v>&lt;/li&gt;&lt;li&gt;&lt;a href=|http://childrensbibleonline.com/2_samuel/3.htm| title=|The Children's Bible| target=|_top|&gt;Children's&lt;/a&gt;</v>
      </c>
      <c r="AB270" s="2" t="str">
        <f t="shared" si="1076"/>
        <v>&lt;/li&gt;&lt;li&gt;&lt;a href=|http://tsk.scripturetext.com/2_samuel/3.htm| title=|Treasury of Scripture Knowledge| target=|_top|&gt;TSK&lt;/a&gt;</v>
      </c>
      <c r="AC270" t="str">
        <f>CONCATENATE("&lt;a href=|http://",AC1191,"/2_samuel/3.htm","| ","title=|",AC1190,"| target=|_top|&gt;",AC1192,"&lt;/a&gt;")</f>
        <v>&lt;a href=|http://parallelbible.com/2_samuel/3.htm| title=|Parallel Chapters| target=|_top|&gt;PAR&lt;/a&gt;</v>
      </c>
      <c r="AD270" s="2" t="str">
        <f t="shared" ref="AD270:AK270" si="1078">CONCATENATE("&lt;/li&gt;&lt;li&gt;&lt;a href=|http://",AD1191,"/2_samuel/3.htm","| ","title=|",AD1190,"| target=|_top|&gt;",AD1192,"&lt;/a&gt;")</f>
        <v>&lt;/li&gt;&lt;li&gt;&lt;a href=|http://gsb.biblecommenter.com/2_samuel/3.htm| title=|Geneva Study Bible| target=|_top|&gt;GSB&lt;/a&gt;</v>
      </c>
      <c r="AE270" s="2" t="str">
        <f t="shared" si="1078"/>
        <v>&lt;/li&gt;&lt;li&gt;&lt;a href=|http://jfb.biblecommenter.com/2_samuel/3.htm| title=|Jamieson-Fausset-Brown Bible Commentary| target=|_top|&gt;JFB&lt;/a&gt;</v>
      </c>
      <c r="AF270" s="2" t="str">
        <f t="shared" si="1078"/>
        <v>&lt;/li&gt;&lt;li&gt;&lt;a href=|http://kjt.biblecommenter.com/2_samuel/3.htm| title=|King James Translators' Notes| target=|_top|&gt;KJT&lt;/a&gt;</v>
      </c>
      <c r="AG270" s="2" t="str">
        <f t="shared" si="1078"/>
        <v>&lt;/li&gt;&lt;li&gt;&lt;a href=|http://mhc.biblecommenter.com/2_samuel/3.htm| title=|Matthew Henry's Concise Commentary| target=|_top|&gt;MHC&lt;/a&gt;</v>
      </c>
      <c r="AH270" s="2" t="str">
        <f t="shared" si="1078"/>
        <v>&lt;/li&gt;&lt;li&gt;&lt;a href=|http://sco.biblecommenter.com/2_samuel/3.htm| title=|Scofield Reference Notes| target=|_top|&gt;SCO&lt;/a&gt;</v>
      </c>
      <c r="AI270" s="2" t="str">
        <f t="shared" si="1078"/>
        <v>&lt;/li&gt;&lt;li&gt;&lt;a href=|http://wes.biblecommenter.com/2_samuel/3.htm| title=|Wesley's Notes on the Bible| target=|_top|&gt;WES&lt;/a&gt;</v>
      </c>
      <c r="AJ270" t="str">
        <f t="shared" si="1078"/>
        <v>&lt;/li&gt;&lt;li&gt;&lt;a href=|http://worldebible.com/2_samuel/3.htm| title=|World English Bible| target=|_top|&gt;WEB&lt;/a&gt;</v>
      </c>
      <c r="AK270" t="str">
        <f t="shared" si="1078"/>
        <v>&lt;/li&gt;&lt;li&gt;&lt;a href=|http://yltbible.com/2_samuel/3.htm| title=|Young's Literal Translation| target=|_top|&gt;YLT&lt;/a&gt;</v>
      </c>
      <c r="AL270" t="str">
        <f>CONCATENATE("&lt;a href=|http://",AL1191,"/2_samuel/3.htm","| ","title=|",AL1190,"| target=|_top|&gt;",AL1192,"&lt;/a&gt;")</f>
        <v>&lt;a href=|http://kjv.us/2_samuel/3.htm| title=|American King James Version| target=|_top|&gt;AKJ&lt;/a&gt;</v>
      </c>
      <c r="AM270" t="str">
        <f t="shared" ref="AM270:AN270" si="1079">CONCATENATE("&lt;/li&gt;&lt;li&gt;&lt;a href=|http://",AM1191,"/2_samuel/3.htm","| ","title=|",AM1190,"| target=|_top|&gt;",AM1192,"&lt;/a&gt;")</f>
        <v>&lt;/li&gt;&lt;li&gt;&lt;a href=|http://basicenglishbible.com/2_samuel/3.htm| title=|Bible in Basic English| target=|_top|&gt;BBE&lt;/a&gt;</v>
      </c>
      <c r="AN270" t="str">
        <f t="shared" si="1079"/>
        <v>&lt;/li&gt;&lt;li&gt;&lt;a href=|http://darbybible.com/2_samuel/3.htm| title=|Darby Bible Translation| target=|_top|&gt;DBY&lt;/a&gt;</v>
      </c>
      <c r="AO27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7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7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70" t="str">
        <f>CONCATENATE("&lt;/li&gt;&lt;li&gt;&lt;a href=|http://",AR1191,"/2_samuel/3.htm","| ","title=|",AR1190,"| target=|_top|&gt;",AR1192,"&lt;/a&gt;")</f>
        <v>&lt;/li&gt;&lt;li&gt;&lt;a href=|http://websterbible.com/2_samuel/3.htm| title=|Webster's Bible Translation| target=|_top|&gt;WBS&lt;/a&gt;</v>
      </c>
      <c r="AS27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70" t="str">
        <f>CONCATENATE("&lt;/li&gt;&lt;li&gt;&lt;a href=|http://",AT1191,"/2_samuel/3-1.htm","| ","title=|",AT1190,"| target=|_top|&gt;",AT1192,"&lt;/a&gt;")</f>
        <v>&lt;/li&gt;&lt;li&gt;&lt;a href=|http://biblebrowser.com/2_samuel/3-1.htm| title=|Split View| target=|_top|&gt;Split&lt;/a&gt;</v>
      </c>
      <c r="AU270" s="2" t="s">
        <v>1276</v>
      </c>
      <c r="AV270" t="s">
        <v>64</v>
      </c>
    </row>
    <row r="271" spans="1:48">
      <c r="A271" t="s">
        <v>622</v>
      </c>
      <c r="B271" t="s">
        <v>324</v>
      </c>
      <c r="C271" t="s">
        <v>624</v>
      </c>
      <c r="D271" t="s">
        <v>1268</v>
      </c>
      <c r="E271" t="s">
        <v>1277</v>
      </c>
      <c r="F271" t="s">
        <v>1304</v>
      </c>
      <c r="G271" t="s">
        <v>1266</v>
      </c>
      <c r="H271" t="s">
        <v>1305</v>
      </c>
      <c r="I271" t="s">
        <v>1303</v>
      </c>
      <c r="J271" t="s">
        <v>1267</v>
      </c>
      <c r="K271" t="s">
        <v>1275</v>
      </c>
      <c r="L271" s="2" t="s">
        <v>1274</v>
      </c>
      <c r="M271" t="str">
        <f t="shared" ref="M271:AB271" si="1080">CONCATENATE("&lt;/li&gt;&lt;li&gt;&lt;a href=|http://",M1191,"/2_samuel/4.htm","| ","title=|",M1190,"| target=|_top|&gt;",M1192,"&lt;/a&gt;")</f>
        <v>&lt;/li&gt;&lt;li&gt;&lt;a href=|http://niv.scripturetext.com/2_samuel/4.htm| title=|New International Version| target=|_top|&gt;NIV&lt;/a&gt;</v>
      </c>
      <c r="N271" t="str">
        <f t="shared" si="1080"/>
        <v>&lt;/li&gt;&lt;li&gt;&lt;a href=|http://nlt.scripturetext.com/2_samuel/4.htm| title=|New Living Translation| target=|_top|&gt;NLT&lt;/a&gt;</v>
      </c>
      <c r="O271" t="str">
        <f t="shared" si="1080"/>
        <v>&lt;/li&gt;&lt;li&gt;&lt;a href=|http://nasb.scripturetext.com/2_samuel/4.htm| title=|New American Standard Bible| target=|_top|&gt;NAS&lt;/a&gt;</v>
      </c>
      <c r="P271" t="str">
        <f t="shared" si="1080"/>
        <v>&lt;/li&gt;&lt;li&gt;&lt;a href=|http://gwt.scripturetext.com/2_samuel/4.htm| title=|God's Word Translation| target=|_top|&gt;GWT&lt;/a&gt;</v>
      </c>
      <c r="Q271" t="str">
        <f t="shared" si="1080"/>
        <v>&lt;/li&gt;&lt;li&gt;&lt;a href=|http://kingjbible.com/2_samuel/4.htm| title=|King James Bible| target=|_top|&gt;KJV&lt;/a&gt;</v>
      </c>
      <c r="R271" t="str">
        <f t="shared" si="1080"/>
        <v>&lt;/li&gt;&lt;li&gt;&lt;a href=|http://asvbible.com/2_samuel/4.htm| title=|American Standard Version| target=|_top|&gt;ASV&lt;/a&gt;</v>
      </c>
      <c r="S271" t="str">
        <f t="shared" si="1080"/>
        <v>&lt;/li&gt;&lt;li&gt;&lt;a href=|http://drb.scripturetext.com/2_samuel/4.htm| title=|Douay-Rheims Bible| target=|_top|&gt;DRB&lt;/a&gt;</v>
      </c>
      <c r="T271" t="str">
        <f t="shared" si="1080"/>
        <v>&lt;/li&gt;&lt;li&gt;&lt;a href=|http://erv.scripturetext.com/2_samuel/4.htm| title=|English Revised Version| target=|_top|&gt;ERV&lt;/a&gt;</v>
      </c>
      <c r="V271" t="str">
        <f>CONCATENATE("&lt;/li&gt;&lt;li&gt;&lt;a href=|http://",V1191,"/2_samuel/4.htm","| ","title=|",V1190,"| target=|_top|&gt;",V1192,"&lt;/a&gt;")</f>
        <v>&lt;/li&gt;&lt;li&gt;&lt;a href=|http://study.interlinearbible.org/2_samuel/4.htm| title=|Hebrew Study Bible| target=|_top|&gt;Heb Study&lt;/a&gt;</v>
      </c>
      <c r="W271" t="str">
        <f t="shared" si="1080"/>
        <v>&lt;/li&gt;&lt;li&gt;&lt;a href=|http://apostolic.interlinearbible.org/2_samuel/4.htm| title=|Apostolic Bible Polyglot Interlinear| target=|_top|&gt;Polyglot&lt;/a&gt;</v>
      </c>
      <c r="X271" t="str">
        <f t="shared" si="1080"/>
        <v>&lt;/li&gt;&lt;li&gt;&lt;a href=|http://interlinearbible.org/2_samuel/4.htm| title=|Interlinear Bible| target=|_top|&gt;Interlin&lt;/a&gt;</v>
      </c>
      <c r="Y271" t="str">
        <f t="shared" ref="Y271" si="1081">CONCATENATE("&lt;/li&gt;&lt;li&gt;&lt;a href=|http://",Y1191,"/2_samuel/4.htm","| ","title=|",Y1190,"| target=|_top|&gt;",Y1192,"&lt;/a&gt;")</f>
        <v>&lt;/li&gt;&lt;li&gt;&lt;a href=|http://bibleoutline.org/2_samuel/4.htm| title=|Outline with People and Places List| target=|_top|&gt;Outline&lt;/a&gt;</v>
      </c>
      <c r="Z271" t="str">
        <f t="shared" si="1080"/>
        <v>&lt;/li&gt;&lt;li&gt;&lt;a href=|http://kjvs.scripturetext.com/2_samuel/4.htm| title=|King James Bible with Strong's Numbers| target=|_top|&gt;Strong's&lt;/a&gt;</v>
      </c>
      <c r="AA271" t="str">
        <f t="shared" si="1080"/>
        <v>&lt;/li&gt;&lt;li&gt;&lt;a href=|http://childrensbibleonline.com/2_samuel/4.htm| title=|The Children's Bible| target=|_top|&gt;Children's&lt;/a&gt;</v>
      </c>
      <c r="AB271" s="2" t="str">
        <f t="shared" si="1080"/>
        <v>&lt;/li&gt;&lt;li&gt;&lt;a href=|http://tsk.scripturetext.com/2_samuel/4.htm| title=|Treasury of Scripture Knowledge| target=|_top|&gt;TSK&lt;/a&gt;</v>
      </c>
      <c r="AC271" t="str">
        <f>CONCATENATE("&lt;a href=|http://",AC1191,"/2_samuel/4.htm","| ","title=|",AC1190,"| target=|_top|&gt;",AC1192,"&lt;/a&gt;")</f>
        <v>&lt;a href=|http://parallelbible.com/2_samuel/4.htm| title=|Parallel Chapters| target=|_top|&gt;PAR&lt;/a&gt;</v>
      </c>
      <c r="AD271" s="2" t="str">
        <f t="shared" ref="AD271:AK271" si="1082">CONCATENATE("&lt;/li&gt;&lt;li&gt;&lt;a href=|http://",AD1191,"/2_samuel/4.htm","| ","title=|",AD1190,"| target=|_top|&gt;",AD1192,"&lt;/a&gt;")</f>
        <v>&lt;/li&gt;&lt;li&gt;&lt;a href=|http://gsb.biblecommenter.com/2_samuel/4.htm| title=|Geneva Study Bible| target=|_top|&gt;GSB&lt;/a&gt;</v>
      </c>
      <c r="AE271" s="2" t="str">
        <f t="shared" si="1082"/>
        <v>&lt;/li&gt;&lt;li&gt;&lt;a href=|http://jfb.biblecommenter.com/2_samuel/4.htm| title=|Jamieson-Fausset-Brown Bible Commentary| target=|_top|&gt;JFB&lt;/a&gt;</v>
      </c>
      <c r="AF271" s="2" t="str">
        <f t="shared" si="1082"/>
        <v>&lt;/li&gt;&lt;li&gt;&lt;a href=|http://kjt.biblecommenter.com/2_samuel/4.htm| title=|King James Translators' Notes| target=|_top|&gt;KJT&lt;/a&gt;</v>
      </c>
      <c r="AG271" s="2" t="str">
        <f t="shared" si="1082"/>
        <v>&lt;/li&gt;&lt;li&gt;&lt;a href=|http://mhc.biblecommenter.com/2_samuel/4.htm| title=|Matthew Henry's Concise Commentary| target=|_top|&gt;MHC&lt;/a&gt;</v>
      </c>
      <c r="AH271" s="2" t="str">
        <f t="shared" si="1082"/>
        <v>&lt;/li&gt;&lt;li&gt;&lt;a href=|http://sco.biblecommenter.com/2_samuel/4.htm| title=|Scofield Reference Notes| target=|_top|&gt;SCO&lt;/a&gt;</v>
      </c>
      <c r="AI271" s="2" t="str">
        <f t="shared" si="1082"/>
        <v>&lt;/li&gt;&lt;li&gt;&lt;a href=|http://wes.biblecommenter.com/2_samuel/4.htm| title=|Wesley's Notes on the Bible| target=|_top|&gt;WES&lt;/a&gt;</v>
      </c>
      <c r="AJ271" t="str">
        <f t="shared" si="1082"/>
        <v>&lt;/li&gt;&lt;li&gt;&lt;a href=|http://worldebible.com/2_samuel/4.htm| title=|World English Bible| target=|_top|&gt;WEB&lt;/a&gt;</v>
      </c>
      <c r="AK271" t="str">
        <f t="shared" si="1082"/>
        <v>&lt;/li&gt;&lt;li&gt;&lt;a href=|http://yltbible.com/2_samuel/4.htm| title=|Young's Literal Translation| target=|_top|&gt;YLT&lt;/a&gt;</v>
      </c>
      <c r="AL271" t="str">
        <f>CONCATENATE("&lt;a href=|http://",AL1191,"/2_samuel/4.htm","| ","title=|",AL1190,"| target=|_top|&gt;",AL1192,"&lt;/a&gt;")</f>
        <v>&lt;a href=|http://kjv.us/2_samuel/4.htm| title=|American King James Version| target=|_top|&gt;AKJ&lt;/a&gt;</v>
      </c>
      <c r="AM271" t="str">
        <f t="shared" ref="AM271:AN271" si="1083">CONCATENATE("&lt;/li&gt;&lt;li&gt;&lt;a href=|http://",AM1191,"/2_samuel/4.htm","| ","title=|",AM1190,"| target=|_top|&gt;",AM1192,"&lt;/a&gt;")</f>
        <v>&lt;/li&gt;&lt;li&gt;&lt;a href=|http://basicenglishbible.com/2_samuel/4.htm| title=|Bible in Basic English| target=|_top|&gt;BBE&lt;/a&gt;</v>
      </c>
      <c r="AN271" t="str">
        <f t="shared" si="1083"/>
        <v>&lt;/li&gt;&lt;li&gt;&lt;a href=|http://darbybible.com/2_samuel/4.htm| title=|Darby Bible Translation| target=|_top|&gt;DBY&lt;/a&gt;</v>
      </c>
      <c r="AO27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7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7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71" t="str">
        <f>CONCATENATE("&lt;/li&gt;&lt;li&gt;&lt;a href=|http://",AR1191,"/2_samuel/4.htm","| ","title=|",AR1190,"| target=|_top|&gt;",AR1192,"&lt;/a&gt;")</f>
        <v>&lt;/li&gt;&lt;li&gt;&lt;a href=|http://websterbible.com/2_samuel/4.htm| title=|Webster's Bible Translation| target=|_top|&gt;WBS&lt;/a&gt;</v>
      </c>
      <c r="AS27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71" t="str">
        <f>CONCATENATE("&lt;/li&gt;&lt;li&gt;&lt;a href=|http://",AT1191,"/2_samuel/4-1.htm","| ","title=|",AT1190,"| target=|_top|&gt;",AT1192,"&lt;/a&gt;")</f>
        <v>&lt;/li&gt;&lt;li&gt;&lt;a href=|http://biblebrowser.com/2_samuel/4-1.htm| title=|Split View| target=|_top|&gt;Split&lt;/a&gt;</v>
      </c>
      <c r="AU271" s="2" t="s">
        <v>1276</v>
      </c>
      <c r="AV271" t="s">
        <v>64</v>
      </c>
    </row>
    <row r="272" spans="1:48">
      <c r="A272" t="s">
        <v>622</v>
      </c>
      <c r="B272" t="s">
        <v>325</v>
      </c>
      <c r="C272" t="s">
        <v>624</v>
      </c>
      <c r="D272" t="s">
        <v>1268</v>
      </c>
      <c r="E272" t="s">
        <v>1277</v>
      </c>
      <c r="F272" t="s">
        <v>1304</v>
      </c>
      <c r="G272" t="s">
        <v>1266</v>
      </c>
      <c r="H272" t="s">
        <v>1305</v>
      </c>
      <c r="I272" t="s">
        <v>1303</v>
      </c>
      <c r="J272" t="s">
        <v>1267</v>
      </c>
      <c r="K272" t="s">
        <v>1275</v>
      </c>
      <c r="L272" s="2" t="s">
        <v>1274</v>
      </c>
      <c r="M272" t="str">
        <f t="shared" ref="M272:AB272" si="1084">CONCATENATE("&lt;/li&gt;&lt;li&gt;&lt;a href=|http://",M1191,"/2_samuel/5.htm","| ","title=|",M1190,"| target=|_top|&gt;",M1192,"&lt;/a&gt;")</f>
        <v>&lt;/li&gt;&lt;li&gt;&lt;a href=|http://niv.scripturetext.com/2_samuel/5.htm| title=|New International Version| target=|_top|&gt;NIV&lt;/a&gt;</v>
      </c>
      <c r="N272" t="str">
        <f t="shared" si="1084"/>
        <v>&lt;/li&gt;&lt;li&gt;&lt;a href=|http://nlt.scripturetext.com/2_samuel/5.htm| title=|New Living Translation| target=|_top|&gt;NLT&lt;/a&gt;</v>
      </c>
      <c r="O272" t="str">
        <f t="shared" si="1084"/>
        <v>&lt;/li&gt;&lt;li&gt;&lt;a href=|http://nasb.scripturetext.com/2_samuel/5.htm| title=|New American Standard Bible| target=|_top|&gt;NAS&lt;/a&gt;</v>
      </c>
      <c r="P272" t="str">
        <f t="shared" si="1084"/>
        <v>&lt;/li&gt;&lt;li&gt;&lt;a href=|http://gwt.scripturetext.com/2_samuel/5.htm| title=|God's Word Translation| target=|_top|&gt;GWT&lt;/a&gt;</v>
      </c>
      <c r="Q272" t="str">
        <f t="shared" si="1084"/>
        <v>&lt;/li&gt;&lt;li&gt;&lt;a href=|http://kingjbible.com/2_samuel/5.htm| title=|King James Bible| target=|_top|&gt;KJV&lt;/a&gt;</v>
      </c>
      <c r="R272" t="str">
        <f t="shared" si="1084"/>
        <v>&lt;/li&gt;&lt;li&gt;&lt;a href=|http://asvbible.com/2_samuel/5.htm| title=|American Standard Version| target=|_top|&gt;ASV&lt;/a&gt;</v>
      </c>
      <c r="S272" t="str">
        <f t="shared" si="1084"/>
        <v>&lt;/li&gt;&lt;li&gt;&lt;a href=|http://drb.scripturetext.com/2_samuel/5.htm| title=|Douay-Rheims Bible| target=|_top|&gt;DRB&lt;/a&gt;</v>
      </c>
      <c r="T272" t="str">
        <f t="shared" si="1084"/>
        <v>&lt;/li&gt;&lt;li&gt;&lt;a href=|http://erv.scripturetext.com/2_samuel/5.htm| title=|English Revised Version| target=|_top|&gt;ERV&lt;/a&gt;</v>
      </c>
      <c r="V272" t="str">
        <f>CONCATENATE("&lt;/li&gt;&lt;li&gt;&lt;a href=|http://",V1191,"/2_samuel/5.htm","| ","title=|",V1190,"| target=|_top|&gt;",V1192,"&lt;/a&gt;")</f>
        <v>&lt;/li&gt;&lt;li&gt;&lt;a href=|http://study.interlinearbible.org/2_samuel/5.htm| title=|Hebrew Study Bible| target=|_top|&gt;Heb Study&lt;/a&gt;</v>
      </c>
      <c r="W272" t="str">
        <f t="shared" si="1084"/>
        <v>&lt;/li&gt;&lt;li&gt;&lt;a href=|http://apostolic.interlinearbible.org/2_samuel/5.htm| title=|Apostolic Bible Polyglot Interlinear| target=|_top|&gt;Polyglot&lt;/a&gt;</v>
      </c>
      <c r="X272" t="str">
        <f t="shared" si="1084"/>
        <v>&lt;/li&gt;&lt;li&gt;&lt;a href=|http://interlinearbible.org/2_samuel/5.htm| title=|Interlinear Bible| target=|_top|&gt;Interlin&lt;/a&gt;</v>
      </c>
      <c r="Y272" t="str">
        <f t="shared" ref="Y272" si="1085">CONCATENATE("&lt;/li&gt;&lt;li&gt;&lt;a href=|http://",Y1191,"/2_samuel/5.htm","| ","title=|",Y1190,"| target=|_top|&gt;",Y1192,"&lt;/a&gt;")</f>
        <v>&lt;/li&gt;&lt;li&gt;&lt;a href=|http://bibleoutline.org/2_samuel/5.htm| title=|Outline with People and Places List| target=|_top|&gt;Outline&lt;/a&gt;</v>
      </c>
      <c r="Z272" t="str">
        <f t="shared" si="1084"/>
        <v>&lt;/li&gt;&lt;li&gt;&lt;a href=|http://kjvs.scripturetext.com/2_samuel/5.htm| title=|King James Bible with Strong's Numbers| target=|_top|&gt;Strong's&lt;/a&gt;</v>
      </c>
      <c r="AA272" t="str">
        <f t="shared" si="1084"/>
        <v>&lt;/li&gt;&lt;li&gt;&lt;a href=|http://childrensbibleonline.com/2_samuel/5.htm| title=|The Children's Bible| target=|_top|&gt;Children's&lt;/a&gt;</v>
      </c>
      <c r="AB272" s="2" t="str">
        <f t="shared" si="1084"/>
        <v>&lt;/li&gt;&lt;li&gt;&lt;a href=|http://tsk.scripturetext.com/2_samuel/5.htm| title=|Treasury of Scripture Knowledge| target=|_top|&gt;TSK&lt;/a&gt;</v>
      </c>
      <c r="AC272" t="str">
        <f>CONCATENATE("&lt;a href=|http://",AC1191,"/2_samuel/5.htm","| ","title=|",AC1190,"| target=|_top|&gt;",AC1192,"&lt;/a&gt;")</f>
        <v>&lt;a href=|http://parallelbible.com/2_samuel/5.htm| title=|Parallel Chapters| target=|_top|&gt;PAR&lt;/a&gt;</v>
      </c>
      <c r="AD272" s="2" t="str">
        <f t="shared" ref="AD272:AK272" si="1086">CONCATENATE("&lt;/li&gt;&lt;li&gt;&lt;a href=|http://",AD1191,"/2_samuel/5.htm","| ","title=|",AD1190,"| target=|_top|&gt;",AD1192,"&lt;/a&gt;")</f>
        <v>&lt;/li&gt;&lt;li&gt;&lt;a href=|http://gsb.biblecommenter.com/2_samuel/5.htm| title=|Geneva Study Bible| target=|_top|&gt;GSB&lt;/a&gt;</v>
      </c>
      <c r="AE272" s="2" t="str">
        <f t="shared" si="1086"/>
        <v>&lt;/li&gt;&lt;li&gt;&lt;a href=|http://jfb.biblecommenter.com/2_samuel/5.htm| title=|Jamieson-Fausset-Brown Bible Commentary| target=|_top|&gt;JFB&lt;/a&gt;</v>
      </c>
      <c r="AF272" s="2" t="str">
        <f t="shared" si="1086"/>
        <v>&lt;/li&gt;&lt;li&gt;&lt;a href=|http://kjt.biblecommenter.com/2_samuel/5.htm| title=|King James Translators' Notes| target=|_top|&gt;KJT&lt;/a&gt;</v>
      </c>
      <c r="AG272" s="2" t="str">
        <f t="shared" si="1086"/>
        <v>&lt;/li&gt;&lt;li&gt;&lt;a href=|http://mhc.biblecommenter.com/2_samuel/5.htm| title=|Matthew Henry's Concise Commentary| target=|_top|&gt;MHC&lt;/a&gt;</v>
      </c>
      <c r="AH272" s="2" t="str">
        <f t="shared" si="1086"/>
        <v>&lt;/li&gt;&lt;li&gt;&lt;a href=|http://sco.biblecommenter.com/2_samuel/5.htm| title=|Scofield Reference Notes| target=|_top|&gt;SCO&lt;/a&gt;</v>
      </c>
      <c r="AI272" s="2" t="str">
        <f t="shared" si="1086"/>
        <v>&lt;/li&gt;&lt;li&gt;&lt;a href=|http://wes.biblecommenter.com/2_samuel/5.htm| title=|Wesley's Notes on the Bible| target=|_top|&gt;WES&lt;/a&gt;</v>
      </c>
      <c r="AJ272" t="str">
        <f t="shared" si="1086"/>
        <v>&lt;/li&gt;&lt;li&gt;&lt;a href=|http://worldebible.com/2_samuel/5.htm| title=|World English Bible| target=|_top|&gt;WEB&lt;/a&gt;</v>
      </c>
      <c r="AK272" t="str">
        <f t="shared" si="1086"/>
        <v>&lt;/li&gt;&lt;li&gt;&lt;a href=|http://yltbible.com/2_samuel/5.htm| title=|Young's Literal Translation| target=|_top|&gt;YLT&lt;/a&gt;</v>
      </c>
      <c r="AL272" t="str">
        <f>CONCATENATE("&lt;a href=|http://",AL1191,"/2_samuel/5.htm","| ","title=|",AL1190,"| target=|_top|&gt;",AL1192,"&lt;/a&gt;")</f>
        <v>&lt;a href=|http://kjv.us/2_samuel/5.htm| title=|American King James Version| target=|_top|&gt;AKJ&lt;/a&gt;</v>
      </c>
      <c r="AM272" t="str">
        <f t="shared" ref="AM272:AN272" si="1087">CONCATENATE("&lt;/li&gt;&lt;li&gt;&lt;a href=|http://",AM1191,"/2_samuel/5.htm","| ","title=|",AM1190,"| target=|_top|&gt;",AM1192,"&lt;/a&gt;")</f>
        <v>&lt;/li&gt;&lt;li&gt;&lt;a href=|http://basicenglishbible.com/2_samuel/5.htm| title=|Bible in Basic English| target=|_top|&gt;BBE&lt;/a&gt;</v>
      </c>
      <c r="AN272" t="str">
        <f t="shared" si="1087"/>
        <v>&lt;/li&gt;&lt;li&gt;&lt;a href=|http://darbybible.com/2_samuel/5.htm| title=|Darby Bible Translation| target=|_top|&gt;DBY&lt;/a&gt;</v>
      </c>
      <c r="AO27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7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7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72" t="str">
        <f>CONCATENATE("&lt;/li&gt;&lt;li&gt;&lt;a href=|http://",AR1191,"/2_samuel/5.htm","| ","title=|",AR1190,"| target=|_top|&gt;",AR1192,"&lt;/a&gt;")</f>
        <v>&lt;/li&gt;&lt;li&gt;&lt;a href=|http://websterbible.com/2_samuel/5.htm| title=|Webster's Bible Translation| target=|_top|&gt;WBS&lt;/a&gt;</v>
      </c>
      <c r="AS27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72" t="str">
        <f>CONCATENATE("&lt;/li&gt;&lt;li&gt;&lt;a href=|http://",AT1191,"/2_samuel/5-1.htm","| ","title=|",AT1190,"| target=|_top|&gt;",AT1192,"&lt;/a&gt;")</f>
        <v>&lt;/li&gt;&lt;li&gt;&lt;a href=|http://biblebrowser.com/2_samuel/5-1.htm| title=|Split View| target=|_top|&gt;Split&lt;/a&gt;</v>
      </c>
      <c r="AU272" s="2" t="s">
        <v>1276</v>
      </c>
      <c r="AV272" t="s">
        <v>64</v>
      </c>
    </row>
    <row r="273" spans="1:48">
      <c r="A273" t="s">
        <v>622</v>
      </c>
      <c r="B273" t="s">
        <v>326</v>
      </c>
      <c r="C273" t="s">
        <v>624</v>
      </c>
      <c r="D273" t="s">
        <v>1268</v>
      </c>
      <c r="E273" t="s">
        <v>1277</v>
      </c>
      <c r="F273" t="s">
        <v>1304</v>
      </c>
      <c r="G273" t="s">
        <v>1266</v>
      </c>
      <c r="H273" t="s">
        <v>1305</v>
      </c>
      <c r="I273" t="s">
        <v>1303</v>
      </c>
      <c r="J273" t="s">
        <v>1267</v>
      </c>
      <c r="K273" t="s">
        <v>1275</v>
      </c>
      <c r="L273" s="2" t="s">
        <v>1274</v>
      </c>
      <c r="M273" t="str">
        <f t="shared" ref="M273:AB273" si="1088">CONCATENATE("&lt;/li&gt;&lt;li&gt;&lt;a href=|http://",M1191,"/2_samuel/6.htm","| ","title=|",M1190,"| target=|_top|&gt;",M1192,"&lt;/a&gt;")</f>
        <v>&lt;/li&gt;&lt;li&gt;&lt;a href=|http://niv.scripturetext.com/2_samuel/6.htm| title=|New International Version| target=|_top|&gt;NIV&lt;/a&gt;</v>
      </c>
      <c r="N273" t="str">
        <f t="shared" si="1088"/>
        <v>&lt;/li&gt;&lt;li&gt;&lt;a href=|http://nlt.scripturetext.com/2_samuel/6.htm| title=|New Living Translation| target=|_top|&gt;NLT&lt;/a&gt;</v>
      </c>
      <c r="O273" t="str">
        <f t="shared" si="1088"/>
        <v>&lt;/li&gt;&lt;li&gt;&lt;a href=|http://nasb.scripturetext.com/2_samuel/6.htm| title=|New American Standard Bible| target=|_top|&gt;NAS&lt;/a&gt;</v>
      </c>
      <c r="P273" t="str">
        <f t="shared" si="1088"/>
        <v>&lt;/li&gt;&lt;li&gt;&lt;a href=|http://gwt.scripturetext.com/2_samuel/6.htm| title=|God's Word Translation| target=|_top|&gt;GWT&lt;/a&gt;</v>
      </c>
      <c r="Q273" t="str">
        <f t="shared" si="1088"/>
        <v>&lt;/li&gt;&lt;li&gt;&lt;a href=|http://kingjbible.com/2_samuel/6.htm| title=|King James Bible| target=|_top|&gt;KJV&lt;/a&gt;</v>
      </c>
      <c r="R273" t="str">
        <f t="shared" si="1088"/>
        <v>&lt;/li&gt;&lt;li&gt;&lt;a href=|http://asvbible.com/2_samuel/6.htm| title=|American Standard Version| target=|_top|&gt;ASV&lt;/a&gt;</v>
      </c>
      <c r="S273" t="str">
        <f t="shared" si="1088"/>
        <v>&lt;/li&gt;&lt;li&gt;&lt;a href=|http://drb.scripturetext.com/2_samuel/6.htm| title=|Douay-Rheims Bible| target=|_top|&gt;DRB&lt;/a&gt;</v>
      </c>
      <c r="T273" t="str">
        <f t="shared" si="1088"/>
        <v>&lt;/li&gt;&lt;li&gt;&lt;a href=|http://erv.scripturetext.com/2_samuel/6.htm| title=|English Revised Version| target=|_top|&gt;ERV&lt;/a&gt;</v>
      </c>
      <c r="V273" t="str">
        <f>CONCATENATE("&lt;/li&gt;&lt;li&gt;&lt;a href=|http://",V1191,"/2_samuel/6.htm","| ","title=|",V1190,"| target=|_top|&gt;",V1192,"&lt;/a&gt;")</f>
        <v>&lt;/li&gt;&lt;li&gt;&lt;a href=|http://study.interlinearbible.org/2_samuel/6.htm| title=|Hebrew Study Bible| target=|_top|&gt;Heb Study&lt;/a&gt;</v>
      </c>
      <c r="W273" t="str">
        <f t="shared" si="1088"/>
        <v>&lt;/li&gt;&lt;li&gt;&lt;a href=|http://apostolic.interlinearbible.org/2_samuel/6.htm| title=|Apostolic Bible Polyglot Interlinear| target=|_top|&gt;Polyglot&lt;/a&gt;</v>
      </c>
      <c r="X273" t="str">
        <f t="shared" si="1088"/>
        <v>&lt;/li&gt;&lt;li&gt;&lt;a href=|http://interlinearbible.org/2_samuel/6.htm| title=|Interlinear Bible| target=|_top|&gt;Interlin&lt;/a&gt;</v>
      </c>
      <c r="Y273" t="str">
        <f t="shared" ref="Y273" si="1089">CONCATENATE("&lt;/li&gt;&lt;li&gt;&lt;a href=|http://",Y1191,"/2_samuel/6.htm","| ","title=|",Y1190,"| target=|_top|&gt;",Y1192,"&lt;/a&gt;")</f>
        <v>&lt;/li&gt;&lt;li&gt;&lt;a href=|http://bibleoutline.org/2_samuel/6.htm| title=|Outline with People and Places List| target=|_top|&gt;Outline&lt;/a&gt;</v>
      </c>
      <c r="Z273" t="str">
        <f t="shared" si="1088"/>
        <v>&lt;/li&gt;&lt;li&gt;&lt;a href=|http://kjvs.scripturetext.com/2_samuel/6.htm| title=|King James Bible with Strong's Numbers| target=|_top|&gt;Strong's&lt;/a&gt;</v>
      </c>
      <c r="AA273" t="str">
        <f t="shared" si="1088"/>
        <v>&lt;/li&gt;&lt;li&gt;&lt;a href=|http://childrensbibleonline.com/2_samuel/6.htm| title=|The Children's Bible| target=|_top|&gt;Children's&lt;/a&gt;</v>
      </c>
      <c r="AB273" s="2" t="str">
        <f t="shared" si="1088"/>
        <v>&lt;/li&gt;&lt;li&gt;&lt;a href=|http://tsk.scripturetext.com/2_samuel/6.htm| title=|Treasury of Scripture Knowledge| target=|_top|&gt;TSK&lt;/a&gt;</v>
      </c>
      <c r="AC273" t="str">
        <f>CONCATENATE("&lt;a href=|http://",AC1191,"/2_samuel/6.htm","| ","title=|",AC1190,"| target=|_top|&gt;",AC1192,"&lt;/a&gt;")</f>
        <v>&lt;a href=|http://parallelbible.com/2_samuel/6.htm| title=|Parallel Chapters| target=|_top|&gt;PAR&lt;/a&gt;</v>
      </c>
      <c r="AD273" s="2" t="str">
        <f t="shared" ref="AD273:AK273" si="1090">CONCATENATE("&lt;/li&gt;&lt;li&gt;&lt;a href=|http://",AD1191,"/2_samuel/6.htm","| ","title=|",AD1190,"| target=|_top|&gt;",AD1192,"&lt;/a&gt;")</f>
        <v>&lt;/li&gt;&lt;li&gt;&lt;a href=|http://gsb.biblecommenter.com/2_samuel/6.htm| title=|Geneva Study Bible| target=|_top|&gt;GSB&lt;/a&gt;</v>
      </c>
      <c r="AE273" s="2" t="str">
        <f t="shared" si="1090"/>
        <v>&lt;/li&gt;&lt;li&gt;&lt;a href=|http://jfb.biblecommenter.com/2_samuel/6.htm| title=|Jamieson-Fausset-Brown Bible Commentary| target=|_top|&gt;JFB&lt;/a&gt;</v>
      </c>
      <c r="AF273" s="2" t="str">
        <f t="shared" si="1090"/>
        <v>&lt;/li&gt;&lt;li&gt;&lt;a href=|http://kjt.biblecommenter.com/2_samuel/6.htm| title=|King James Translators' Notes| target=|_top|&gt;KJT&lt;/a&gt;</v>
      </c>
      <c r="AG273" s="2" t="str">
        <f t="shared" si="1090"/>
        <v>&lt;/li&gt;&lt;li&gt;&lt;a href=|http://mhc.biblecommenter.com/2_samuel/6.htm| title=|Matthew Henry's Concise Commentary| target=|_top|&gt;MHC&lt;/a&gt;</v>
      </c>
      <c r="AH273" s="2" t="str">
        <f t="shared" si="1090"/>
        <v>&lt;/li&gt;&lt;li&gt;&lt;a href=|http://sco.biblecommenter.com/2_samuel/6.htm| title=|Scofield Reference Notes| target=|_top|&gt;SCO&lt;/a&gt;</v>
      </c>
      <c r="AI273" s="2" t="str">
        <f t="shared" si="1090"/>
        <v>&lt;/li&gt;&lt;li&gt;&lt;a href=|http://wes.biblecommenter.com/2_samuel/6.htm| title=|Wesley's Notes on the Bible| target=|_top|&gt;WES&lt;/a&gt;</v>
      </c>
      <c r="AJ273" t="str">
        <f t="shared" si="1090"/>
        <v>&lt;/li&gt;&lt;li&gt;&lt;a href=|http://worldebible.com/2_samuel/6.htm| title=|World English Bible| target=|_top|&gt;WEB&lt;/a&gt;</v>
      </c>
      <c r="AK273" t="str">
        <f t="shared" si="1090"/>
        <v>&lt;/li&gt;&lt;li&gt;&lt;a href=|http://yltbible.com/2_samuel/6.htm| title=|Young's Literal Translation| target=|_top|&gt;YLT&lt;/a&gt;</v>
      </c>
      <c r="AL273" t="str">
        <f>CONCATENATE("&lt;a href=|http://",AL1191,"/2_samuel/6.htm","| ","title=|",AL1190,"| target=|_top|&gt;",AL1192,"&lt;/a&gt;")</f>
        <v>&lt;a href=|http://kjv.us/2_samuel/6.htm| title=|American King James Version| target=|_top|&gt;AKJ&lt;/a&gt;</v>
      </c>
      <c r="AM273" t="str">
        <f t="shared" ref="AM273:AN273" si="1091">CONCATENATE("&lt;/li&gt;&lt;li&gt;&lt;a href=|http://",AM1191,"/2_samuel/6.htm","| ","title=|",AM1190,"| target=|_top|&gt;",AM1192,"&lt;/a&gt;")</f>
        <v>&lt;/li&gt;&lt;li&gt;&lt;a href=|http://basicenglishbible.com/2_samuel/6.htm| title=|Bible in Basic English| target=|_top|&gt;BBE&lt;/a&gt;</v>
      </c>
      <c r="AN273" t="str">
        <f t="shared" si="1091"/>
        <v>&lt;/li&gt;&lt;li&gt;&lt;a href=|http://darbybible.com/2_samuel/6.htm| title=|Darby Bible Translation| target=|_top|&gt;DBY&lt;/a&gt;</v>
      </c>
      <c r="AO27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7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7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73" t="str">
        <f>CONCATENATE("&lt;/li&gt;&lt;li&gt;&lt;a href=|http://",AR1191,"/2_samuel/6.htm","| ","title=|",AR1190,"| target=|_top|&gt;",AR1192,"&lt;/a&gt;")</f>
        <v>&lt;/li&gt;&lt;li&gt;&lt;a href=|http://websterbible.com/2_samuel/6.htm| title=|Webster's Bible Translation| target=|_top|&gt;WBS&lt;/a&gt;</v>
      </c>
      <c r="AS27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73" t="str">
        <f>CONCATENATE("&lt;/li&gt;&lt;li&gt;&lt;a href=|http://",AT1191,"/2_samuel/6-1.htm","| ","title=|",AT1190,"| target=|_top|&gt;",AT1192,"&lt;/a&gt;")</f>
        <v>&lt;/li&gt;&lt;li&gt;&lt;a href=|http://biblebrowser.com/2_samuel/6-1.htm| title=|Split View| target=|_top|&gt;Split&lt;/a&gt;</v>
      </c>
      <c r="AU273" s="2" t="s">
        <v>1276</v>
      </c>
      <c r="AV273" t="s">
        <v>64</v>
      </c>
    </row>
    <row r="274" spans="1:48">
      <c r="A274" t="s">
        <v>622</v>
      </c>
      <c r="B274" t="s">
        <v>327</v>
      </c>
      <c r="C274" t="s">
        <v>624</v>
      </c>
      <c r="D274" t="s">
        <v>1268</v>
      </c>
      <c r="E274" t="s">
        <v>1277</v>
      </c>
      <c r="F274" t="s">
        <v>1304</v>
      </c>
      <c r="G274" t="s">
        <v>1266</v>
      </c>
      <c r="H274" t="s">
        <v>1305</v>
      </c>
      <c r="I274" t="s">
        <v>1303</v>
      </c>
      <c r="J274" t="s">
        <v>1267</v>
      </c>
      <c r="K274" t="s">
        <v>1275</v>
      </c>
      <c r="L274" s="2" t="s">
        <v>1274</v>
      </c>
      <c r="M274" t="str">
        <f t="shared" ref="M274:AB274" si="1092">CONCATENATE("&lt;/li&gt;&lt;li&gt;&lt;a href=|http://",M1191,"/2_samuel/7.htm","| ","title=|",M1190,"| target=|_top|&gt;",M1192,"&lt;/a&gt;")</f>
        <v>&lt;/li&gt;&lt;li&gt;&lt;a href=|http://niv.scripturetext.com/2_samuel/7.htm| title=|New International Version| target=|_top|&gt;NIV&lt;/a&gt;</v>
      </c>
      <c r="N274" t="str">
        <f t="shared" si="1092"/>
        <v>&lt;/li&gt;&lt;li&gt;&lt;a href=|http://nlt.scripturetext.com/2_samuel/7.htm| title=|New Living Translation| target=|_top|&gt;NLT&lt;/a&gt;</v>
      </c>
      <c r="O274" t="str">
        <f t="shared" si="1092"/>
        <v>&lt;/li&gt;&lt;li&gt;&lt;a href=|http://nasb.scripturetext.com/2_samuel/7.htm| title=|New American Standard Bible| target=|_top|&gt;NAS&lt;/a&gt;</v>
      </c>
      <c r="P274" t="str">
        <f t="shared" si="1092"/>
        <v>&lt;/li&gt;&lt;li&gt;&lt;a href=|http://gwt.scripturetext.com/2_samuel/7.htm| title=|God's Word Translation| target=|_top|&gt;GWT&lt;/a&gt;</v>
      </c>
      <c r="Q274" t="str">
        <f t="shared" si="1092"/>
        <v>&lt;/li&gt;&lt;li&gt;&lt;a href=|http://kingjbible.com/2_samuel/7.htm| title=|King James Bible| target=|_top|&gt;KJV&lt;/a&gt;</v>
      </c>
      <c r="R274" t="str">
        <f t="shared" si="1092"/>
        <v>&lt;/li&gt;&lt;li&gt;&lt;a href=|http://asvbible.com/2_samuel/7.htm| title=|American Standard Version| target=|_top|&gt;ASV&lt;/a&gt;</v>
      </c>
      <c r="S274" t="str">
        <f t="shared" si="1092"/>
        <v>&lt;/li&gt;&lt;li&gt;&lt;a href=|http://drb.scripturetext.com/2_samuel/7.htm| title=|Douay-Rheims Bible| target=|_top|&gt;DRB&lt;/a&gt;</v>
      </c>
      <c r="T274" t="str">
        <f t="shared" si="1092"/>
        <v>&lt;/li&gt;&lt;li&gt;&lt;a href=|http://erv.scripturetext.com/2_samuel/7.htm| title=|English Revised Version| target=|_top|&gt;ERV&lt;/a&gt;</v>
      </c>
      <c r="V274" t="str">
        <f>CONCATENATE("&lt;/li&gt;&lt;li&gt;&lt;a href=|http://",V1191,"/2_samuel/7.htm","| ","title=|",V1190,"| target=|_top|&gt;",V1192,"&lt;/a&gt;")</f>
        <v>&lt;/li&gt;&lt;li&gt;&lt;a href=|http://study.interlinearbible.org/2_samuel/7.htm| title=|Hebrew Study Bible| target=|_top|&gt;Heb Study&lt;/a&gt;</v>
      </c>
      <c r="W274" t="str">
        <f t="shared" si="1092"/>
        <v>&lt;/li&gt;&lt;li&gt;&lt;a href=|http://apostolic.interlinearbible.org/2_samuel/7.htm| title=|Apostolic Bible Polyglot Interlinear| target=|_top|&gt;Polyglot&lt;/a&gt;</v>
      </c>
      <c r="X274" t="str">
        <f t="shared" si="1092"/>
        <v>&lt;/li&gt;&lt;li&gt;&lt;a href=|http://interlinearbible.org/2_samuel/7.htm| title=|Interlinear Bible| target=|_top|&gt;Interlin&lt;/a&gt;</v>
      </c>
      <c r="Y274" t="str">
        <f t="shared" ref="Y274" si="1093">CONCATENATE("&lt;/li&gt;&lt;li&gt;&lt;a href=|http://",Y1191,"/2_samuel/7.htm","| ","title=|",Y1190,"| target=|_top|&gt;",Y1192,"&lt;/a&gt;")</f>
        <v>&lt;/li&gt;&lt;li&gt;&lt;a href=|http://bibleoutline.org/2_samuel/7.htm| title=|Outline with People and Places List| target=|_top|&gt;Outline&lt;/a&gt;</v>
      </c>
      <c r="Z274" t="str">
        <f t="shared" si="1092"/>
        <v>&lt;/li&gt;&lt;li&gt;&lt;a href=|http://kjvs.scripturetext.com/2_samuel/7.htm| title=|King James Bible with Strong's Numbers| target=|_top|&gt;Strong's&lt;/a&gt;</v>
      </c>
      <c r="AA274" t="str">
        <f t="shared" si="1092"/>
        <v>&lt;/li&gt;&lt;li&gt;&lt;a href=|http://childrensbibleonline.com/2_samuel/7.htm| title=|The Children's Bible| target=|_top|&gt;Children's&lt;/a&gt;</v>
      </c>
      <c r="AB274" s="2" t="str">
        <f t="shared" si="1092"/>
        <v>&lt;/li&gt;&lt;li&gt;&lt;a href=|http://tsk.scripturetext.com/2_samuel/7.htm| title=|Treasury of Scripture Knowledge| target=|_top|&gt;TSK&lt;/a&gt;</v>
      </c>
      <c r="AC274" t="str">
        <f>CONCATENATE("&lt;a href=|http://",AC1191,"/2_samuel/7.htm","| ","title=|",AC1190,"| target=|_top|&gt;",AC1192,"&lt;/a&gt;")</f>
        <v>&lt;a href=|http://parallelbible.com/2_samuel/7.htm| title=|Parallel Chapters| target=|_top|&gt;PAR&lt;/a&gt;</v>
      </c>
      <c r="AD274" s="2" t="str">
        <f t="shared" ref="AD274:AK274" si="1094">CONCATENATE("&lt;/li&gt;&lt;li&gt;&lt;a href=|http://",AD1191,"/2_samuel/7.htm","| ","title=|",AD1190,"| target=|_top|&gt;",AD1192,"&lt;/a&gt;")</f>
        <v>&lt;/li&gt;&lt;li&gt;&lt;a href=|http://gsb.biblecommenter.com/2_samuel/7.htm| title=|Geneva Study Bible| target=|_top|&gt;GSB&lt;/a&gt;</v>
      </c>
      <c r="AE274" s="2" t="str">
        <f t="shared" si="1094"/>
        <v>&lt;/li&gt;&lt;li&gt;&lt;a href=|http://jfb.biblecommenter.com/2_samuel/7.htm| title=|Jamieson-Fausset-Brown Bible Commentary| target=|_top|&gt;JFB&lt;/a&gt;</v>
      </c>
      <c r="AF274" s="2" t="str">
        <f t="shared" si="1094"/>
        <v>&lt;/li&gt;&lt;li&gt;&lt;a href=|http://kjt.biblecommenter.com/2_samuel/7.htm| title=|King James Translators' Notes| target=|_top|&gt;KJT&lt;/a&gt;</v>
      </c>
      <c r="AG274" s="2" t="str">
        <f t="shared" si="1094"/>
        <v>&lt;/li&gt;&lt;li&gt;&lt;a href=|http://mhc.biblecommenter.com/2_samuel/7.htm| title=|Matthew Henry's Concise Commentary| target=|_top|&gt;MHC&lt;/a&gt;</v>
      </c>
      <c r="AH274" s="2" t="str">
        <f t="shared" si="1094"/>
        <v>&lt;/li&gt;&lt;li&gt;&lt;a href=|http://sco.biblecommenter.com/2_samuel/7.htm| title=|Scofield Reference Notes| target=|_top|&gt;SCO&lt;/a&gt;</v>
      </c>
      <c r="AI274" s="2" t="str">
        <f t="shared" si="1094"/>
        <v>&lt;/li&gt;&lt;li&gt;&lt;a href=|http://wes.biblecommenter.com/2_samuel/7.htm| title=|Wesley's Notes on the Bible| target=|_top|&gt;WES&lt;/a&gt;</v>
      </c>
      <c r="AJ274" t="str">
        <f t="shared" si="1094"/>
        <v>&lt;/li&gt;&lt;li&gt;&lt;a href=|http://worldebible.com/2_samuel/7.htm| title=|World English Bible| target=|_top|&gt;WEB&lt;/a&gt;</v>
      </c>
      <c r="AK274" t="str">
        <f t="shared" si="1094"/>
        <v>&lt;/li&gt;&lt;li&gt;&lt;a href=|http://yltbible.com/2_samuel/7.htm| title=|Young's Literal Translation| target=|_top|&gt;YLT&lt;/a&gt;</v>
      </c>
      <c r="AL274" t="str">
        <f>CONCATENATE("&lt;a href=|http://",AL1191,"/2_samuel/7.htm","| ","title=|",AL1190,"| target=|_top|&gt;",AL1192,"&lt;/a&gt;")</f>
        <v>&lt;a href=|http://kjv.us/2_samuel/7.htm| title=|American King James Version| target=|_top|&gt;AKJ&lt;/a&gt;</v>
      </c>
      <c r="AM274" t="str">
        <f t="shared" ref="AM274:AN274" si="1095">CONCATENATE("&lt;/li&gt;&lt;li&gt;&lt;a href=|http://",AM1191,"/2_samuel/7.htm","| ","title=|",AM1190,"| target=|_top|&gt;",AM1192,"&lt;/a&gt;")</f>
        <v>&lt;/li&gt;&lt;li&gt;&lt;a href=|http://basicenglishbible.com/2_samuel/7.htm| title=|Bible in Basic English| target=|_top|&gt;BBE&lt;/a&gt;</v>
      </c>
      <c r="AN274" t="str">
        <f t="shared" si="1095"/>
        <v>&lt;/li&gt;&lt;li&gt;&lt;a href=|http://darbybible.com/2_samuel/7.htm| title=|Darby Bible Translation| target=|_top|&gt;DBY&lt;/a&gt;</v>
      </c>
      <c r="AO27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7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7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74" t="str">
        <f>CONCATENATE("&lt;/li&gt;&lt;li&gt;&lt;a href=|http://",AR1191,"/2_samuel/7.htm","| ","title=|",AR1190,"| target=|_top|&gt;",AR1192,"&lt;/a&gt;")</f>
        <v>&lt;/li&gt;&lt;li&gt;&lt;a href=|http://websterbible.com/2_samuel/7.htm| title=|Webster's Bible Translation| target=|_top|&gt;WBS&lt;/a&gt;</v>
      </c>
      <c r="AS27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74" t="str">
        <f>CONCATENATE("&lt;/li&gt;&lt;li&gt;&lt;a href=|http://",AT1191,"/2_samuel/7-1.htm","| ","title=|",AT1190,"| target=|_top|&gt;",AT1192,"&lt;/a&gt;")</f>
        <v>&lt;/li&gt;&lt;li&gt;&lt;a href=|http://biblebrowser.com/2_samuel/7-1.htm| title=|Split View| target=|_top|&gt;Split&lt;/a&gt;</v>
      </c>
      <c r="AU274" s="2" t="s">
        <v>1276</v>
      </c>
      <c r="AV274" t="s">
        <v>64</v>
      </c>
    </row>
    <row r="275" spans="1:48">
      <c r="A275" t="s">
        <v>622</v>
      </c>
      <c r="B275" t="s">
        <v>328</v>
      </c>
      <c r="C275" t="s">
        <v>624</v>
      </c>
      <c r="D275" t="s">
        <v>1268</v>
      </c>
      <c r="E275" t="s">
        <v>1277</v>
      </c>
      <c r="F275" t="s">
        <v>1304</v>
      </c>
      <c r="G275" t="s">
        <v>1266</v>
      </c>
      <c r="H275" t="s">
        <v>1305</v>
      </c>
      <c r="I275" t="s">
        <v>1303</v>
      </c>
      <c r="J275" t="s">
        <v>1267</v>
      </c>
      <c r="K275" t="s">
        <v>1275</v>
      </c>
      <c r="L275" s="2" t="s">
        <v>1274</v>
      </c>
      <c r="M275" t="str">
        <f t="shared" ref="M275:AB275" si="1096">CONCATENATE("&lt;/li&gt;&lt;li&gt;&lt;a href=|http://",M1191,"/2_samuel/8.htm","| ","title=|",M1190,"| target=|_top|&gt;",M1192,"&lt;/a&gt;")</f>
        <v>&lt;/li&gt;&lt;li&gt;&lt;a href=|http://niv.scripturetext.com/2_samuel/8.htm| title=|New International Version| target=|_top|&gt;NIV&lt;/a&gt;</v>
      </c>
      <c r="N275" t="str">
        <f t="shared" si="1096"/>
        <v>&lt;/li&gt;&lt;li&gt;&lt;a href=|http://nlt.scripturetext.com/2_samuel/8.htm| title=|New Living Translation| target=|_top|&gt;NLT&lt;/a&gt;</v>
      </c>
      <c r="O275" t="str">
        <f t="shared" si="1096"/>
        <v>&lt;/li&gt;&lt;li&gt;&lt;a href=|http://nasb.scripturetext.com/2_samuel/8.htm| title=|New American Standard Bible| target=|_top|&gt;NAS&lt;/a&gt;</v>
      </c>
      <c r="P275" t="str">
        <f t="shared" si="1096"/>
        <v>&lt;/li&gt;&lt;li&gt;&lt;a href=|http://gwt.scripturetext.com/2_samuel/8.htm| title=|God's Word Translation| target=|_top|&gt;GWT&lt;/a&gt;</v>
      </c>
      <c r="Q275" t="str">
        <f t="shared" si="1096"/>
        <v>&lt;/li&gt;&lt;li&gt;&lt;a href=|http://kingjbible.com/2_samuel/8.htm| title=|King James Bible| target=|_top|&gt;KJV&lt;/a&gt;</v>
      </c>
      <c r="R275" t="str">
        <f t="shared" si="1096"/>
        <v>&lt;/li&gt;&lt;li&gt;&lt;a href=|http://asvbible.com/2_samuel/8.htm| title=|American Standard Version| target=|_top|&gt;ASV&lt;/a&gt;</v>
      </c>
      <c r="S275" t="str">
        <f t="shared" si="1096"/>
        <v>&lt;/li&gt;&lt;li&gt;&lt;a href=|http://drb.scripturetext.com/2_samuel/8.htm| title=|Douay-Rheims Bible| target=|_top|&gt;DRB&lt;/a&gt;</v>
      </c>
      <c r="T275" t="str">
        <f t="shared" si="1096"/>
        <v>&lt;/li&gt;&lt;li&gt;&lt;a href=|http://erv.scripturetext.com/2_samuel/8.htm| title=|English Revised Version| target=|_top|&gt;ERV&lt;/a&gt;</v>
      </c>
      <c r="V275" t="str">
        <f>CONCATENATE("&lt;/li&gt;&lt;li&gt;&lt;a href=|http://",V1191,"/2_samuel/8.htm","| ","title=|",V1190,"| target=|_top|&gt;",V1192,"&lt;/a&gt;")</f>
        <v>&lt;/li&gt;&lt;li&gt;&lt;a href=|http://study.interlinearbible.org/2_samuel/8.htm| title=|Hebrew Study Bible| target=|_top|&gt;Heb Study&lt;/a&gt;</v>
      </c>
      <c r="W275" t="str">
        <f t="shared" si="1096"/>
        <v>&lt;/li&gt;&lt;li&gt;&lt;a href=|http://apostolic.interlinearbible.org/2_samuel/8.htm| title=|Apostolic Bible Polyglot Interlinear| target=|_top|&gt;Polyglot&lt;/a&gt;</v>
      </c>
      <c r="X275" t="str">
        <f t="shared" si="1096"/>
        <v>&lt;/li&gt;&lt;li&gt;&lt;a href=|http://interlinearbible.org/2_samuel/8.htm| title=|Interlinear Bible| target=|_top|&gt;Interlin&lt;/a&gt;</v>
      </c>
      <c r="Y275" t="str">
        <f t="shared" ref="Y275" si="1097">CONCATENATE("&lt;/li&gt;&lt;li&gt;&lt;a href=|http://",Y1191,"/2_samuel/8.htm","| ","title=|",Y1190,"| target=|_top|&gt;",Y1192,"&lt;/a&gt;")</f>
        <v>&lt;/li&gt;&lt;li&gt;&lt;a href=|http://bibleoutline.org/2_samuel/8.htm| title=|Outline with People and Places List| target=|_top|&gt;Outline&lt;/a&gt;</v>
      </c>
      <c r="Z275" t="str">
        <f t="shared" si="1096"/>
        <v>&lt;/li&gt;&lt;li&gt;&lt;a href=|http://kjvs.scripturetext.com/2_samuel/8.htm| title=|King James Bible with Strong's Numbers| target=|_top|&gt;Strong's&lt;/a&gt;</v>
      </c>
      <c r="AA275" t="str">
        <f t="shared" si="1096"/>
        <v>&lt;/li&gt;&lt;li&gt;&lt;a href=|http://childrensbibleonline.com/2_samuel/8.htm| title=|The Children's Bible| target=|_top|&gt;Children's&lt;/a&gt;</v>
      </c>
      <c r="AB275" s="2" t="str">
        <f t="shared" si="1096"/>
        <v>&lt;/li&gt;&lt;li&gt;&lt;a href=|http://tsk.scripturetext.com/2_samuel/8.htm| title=|Treasury of Scripture Knowledge| target=|_top|&gt;TSK&lt;/a&gt;</v>
      </c>
      <c r="AC275" t="str">
        <f>CONCATENATE("&lt;a href=|http://",AC1191,"/2_samuel/8.htm","| ","title=|",AC1190,"| target=|_top|&gt;",AC1192,"&lt;/a&gt;")</f>
        <v>&lt;a href=|http://parallelbible.com/2_samuel/8.htm| title=|Parallel Chapters| target=|_top|&gt;PAR&lt;/a&gt;</v>
      </c>
      <c r="AD275" s="2" t="str">
        <f t="shared" ref="AD275:AK275" si="1098">CONCATENATE("&lt;/li&gt;&lt;li&gt;&lt;a href=|http://",AD1191,"/2_samuel/8.htm","| ","title=|",AD1190,"| target=|_top|&gt;",AD1192,"&lt;/a&gt;")</f>
        <v>&lt;/li&gt;&lt;li&gt;&lt;a href=|http://gsb.biblecommenter.com/2_samuel/8.htm| title=|Geneva Study Bible| target=|_top|&gt;GSB&lt;/a&gt;</v>
      </c>
      <c r="AE275" s="2" t="str">
        <f t="shared" si="1098"/>
        <v>&lt;/li&gt;&lt;li&gt;&lt;a href=|http://jfb.biblecommenter.com/2_samuel/8.htm| title=|Jamieson-Fausset-Brown Bible Commentary| target=|_top|&gt;JFB&lt;/a&gt;</v>
      </c>
      <c r="AF275" s="2" t="str">
        <f t="shared" si="1098"/>
        <v>&lt;/li&gt;&lt;li&gt;&lt;a href=|http://kjt.biblecommenter.com/2_samuel/8.htm| title=|King James Translators' Notes| target=|_top|&gt;KJT&lt;/a&gt;</v>
      </c>
      <c r="AG275" s="2" t="str">
        <f t="shared" si="1098"/>
        <v>&lt;/li&gt;&lt;li&gt;&lt;a href=|http://mhc.biblecommenter.com/2_samuel/8.htm| title=|Matthew Henry's Concise Commentary| target=|_top|&gt;MHC&lt;/a&gt;</v>
      </c>
      <c r="AH275" s="2" t="str">
        <f t="shared" si="1098"/>
        <v>&lt;/li&gt;&lt;li&gt;&lt;a href=|http://sco.biblecommenter.com/2_samuel/8.htm| title=|Scofield Reference Notes| target=|_top|&gt;SCO&lt;/a&gt;</v>
      </c>
      <c r="AI275" s="2" t="str">
        <f t="shared" si="1098"/>
        <v>&lt;/li&gt;&lt;li&gt;&lt;a href=|http://wes.biblecommenter.com/2_samuel/8.htm| title=|Wesley's Notes on the Bible| target=|_top|&gt;WES&lt;/a&gt;</v>
      </c>
      <c r="AJ275" t="str">
        <f t="shared" si="1098"/>
        <v>&lt;/li&gt;&lt;li&gt;&lt;a href=|http://worldebible.com/2_samuel/8.htm| title=|World English Bible| target=|_top|&gt;WEB&lt;/a&gt;</v>
      </c>
      <c r="AK275" t="str">
        <f t="shared" si="1098"/>
        <v>&lt;/li&gt;&lt;li&gt;&lt;a href=|http://yltbible.com/2_samuel/8.htm| title=|Young's Literal Translation| target=|_top|&gt;YLT&lt;/a&gt;</v>
      </c>
      <c r="AL275" t="str">
        <f>CONCATENATE("&lt;a href=|http://",AL1191,"/2_samuel/8.htm","| ","title=|",AL1190,"| target=|_top|&gt;",AL1192,"&lt;/a&gt;")</f>
        <v>&lt;a href=|http://kjv.us/2_samuel/8.htm| title=|American King James Version| target=|_top|&gt;AKJ&lt;/a&gt;</v>
      </c>
      <c r="AM275" t="str">
        <f t="shared" ref="AM275:AN275" si="1099">CONCATENATE("&lt;/li&gt;&lt;li&gt;&lt;a href=|http://",AM1191,"/2_samuel/8.htm","| ","title=|",AM1190,"| target=|_top|&gt;",AM1192,"&lt;/a&gt;")</f>
        <v>&lt;/li&gt;&lt;li&gt;&lt;a href=|http://basicenglishbible.com/2_samuel/8.htm| title=|Bible in Basic English| target=|_top|&gt;BBE&lt;/a&gt;</v>
      </c>
      <c r="AN275" t="str">
        <f t="shared" si="1099"/>
        <v>&lt;/li&gt;&lt;li&gt;&lt;a href=|http://darbybible.com/2_samuel/8.htm| title=|Darby Bible Translation| target=|_top|&gt;DBY&lt;/a&gt;</v>
      </c>
      <c r="AO27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7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7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75" t="str">
        <f>CONCATENATE("&lt;/li&gt;&lt;li&gt;&lt;a href=|http://",AR1191,"/2_samuel/8.htm","| ","title=|",AR1190,"| target=|_top|&gt;",AR1192,"&lt;/a&gt;")</f>
        <v>&lt;/li&gt;&lt;li&gt;&lt;a href=|http://websterbible.com/2_samuel/8.htm| title=|Webster's Bible Translation| target=|_top|&gt;WBS&lt;/a&gt;</v>
      </c>
      <c r="AS27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75" t="str">
        <f>CONCATENATE("&lt;/li&gt;&lt;li&gt;&lt;a href=|http://",AT1191,"/2_samuel/8-1.htm","| ","title=|",AT1190,"| target=|_top|&gt;",AT1192,"&lt;/a&gt;")</f>
        <v>&lt;/li&gt;&lt;li&gt;&lt;a href=|http://biblebrowser.com/2_samuel/8-1.htm| title=|Split View| target=|_top|&gt;Split&lt;/a&gt;</v>
      </c>
      <c r="AU275" s="2" t="s">
        <v>1276</v>
      </c>
      <c r="AV275" t="s">
        <v>64</v>
      </c>
    </row>
    <row r="276" spans="1:48">
      <c r="A276" t="s">
        <v>622</v>
      </c>
      <c r="B276" t="s">
        <v>329</v>
      </c>
      <c r="C276" t="s">
        <v>624</v>
      </c>
      <c r="D276" t="s">
        <v>1268</v>
      </c>
      <c r="E276" t="s">
        <v>1277</v>
      </c>
      <c r="F276" t="s">
        <v>1304</v>
      </c>
      <c r="G276" t="s">
        <v>1266</v>
      </c>
      <c r="H276" t="s">
        <v>1305</v>
      </c>
      <c r="I276" t="s">
        <v>1303</v>
      </c>
      <c r="J276" t="s">
        <v>1267</v>
      </c>
      <c r="K276" t="s">
        <v>1275</v>
      </c>
      <c r="L276" s="2" t="s">
        <v>1274</v>
      </c>
      <c r="M276" t="str">
        <f t="shared" ref="M276:AB276" si="1100">CONCATENATE("&lt;/li&gt;&lt;li&gt;&lt;a href=|http://",M1191,"/2_samuel/9.htm","| ","title=|",M1190,"| target=|_top|&gt;",M1192,"&lt;/a&gt;")</f>
        <v>&lt;/li&gt;&lt;li&gt;&lt;a href=|http://niv.scripturetext.com/2_samuel/9.htm| title=|New International Version| target=|_top|&gt;NIV&lt;/a&gt;</v>
      </c>
      <c r="N276" t="str">
        <f t="shared" si="1100"/>
        <v>&lt;/li&gt;&lt;li&gt;&lt;a href=|http://nlt.scripturetext.com/2_samuel/9.htm| title=|New Living Translation| target=|_top|&gt;NLT&lt;/a&gt;</v>
      </c>
      <c r="O276" t="str">
        <f t="shared" si="1100"/>
        <v>&lt;/li&gt;&lt;li&gt;&lt;a href=|http://nasb.scripturetext.com/2_samuel/9.htm| title=|New American Standard Bible| target=|_top|&gt;NAS&lt;/a&gt;</v>
      </c>
      <c r="P276" t="str">
        <f t="shared" si="1100"/>
        <v>&lt;/li&gt;&lt;li&gt;&lt;a href=|http://gwt.scripturetext.com/2_samuel/9.htm| title=|God's Word Translation| target=|_top|&gt;GWT&lt;/a&gt;</v>
      </c>
      <c r="Q276" t="str">
        <f t="shared" si="1100"/>
        <v>&lt;/li&gt;&lt;li&gt;&lt;a href=|http://kingjbible.com/2_samuel/9.htm| title=|King James Bible| target=|_top|&gt;KJV&lt;/a&gt;</v>
      </c>
      <c r="R276" t="str">
        <f t="shared" si="1100"/>
        <v>&lt;/li&gt;&lt;li&gt;&lt;a href=|http://asvbible.com/2_samuel/9.htm| title=|American Standard Version| target=|_top|&gt;ASV&lt;/a&gt;</v>
      </c>
      <c r="S276" t="str">
        <f t="shared" si="1100"/>
        <v>&lt;/li&gt;&lt;li&gt;&lt;a href=|http://drb.scripturetext.com/2_samuel/9.htm| title=|Douay-Rheims Bible| target=|_top|&gt;DRB&lt;/a&gt;</v>
      </c>
      <c r="T276" t="str">
        <f t="shared" si="1100"/>
        <v>&lt;/li&gt;&lt;li&gt;&lt;a href=|http://erv.scripturetext.com/2_samuel/9.htm| title=|English Revised Version| target=|_top|&gt;ERV&lt;/a&gt;</v>
      </c>
      <c r="V276" t="str">
        <f>CONCATENATE("&lt;/li&gt;&lt;li&gt;&lt;a href=|http://",V1191,"/2_samuel/9.htm","| ","title=|",V1190,"| target=|_top|&gt;",V1192,"&lt;/a&gt;")</f>
        <v>&lt;/li&gt;&lt;li&gt;&lt;a href=|http://study.interlinearbible.org/2_samuel/9.htm| title=|Hebrew Study Bible| target=|_top|&gt;Heb Study&lt;/a&gt;</v>
      </c>
      <c r="W276" t="str">
        <f t="shared" si="1100"/>
        <v>&lt;/li&gt;&lt;li&gt;&lt;a href=|http://apostolic.interlinearbible.org/2_samuel/9.htm| title=|Apostolic Bible Polyglot Interlinear| target=|_top|&gt;Polyglot&lt;/a&gt;</v>
      </c>
      <c r="X276" t="str">
        <f t="shared" si="1100"/>
        <v>&lt;/li&gt;&lt;li&gt;&lt;a href=|http://interlinearbible.org/2_samuel/9.htm| title=|Interlinear Bible| target=|_top|&gt;Interlin&lt;/a&gt;</v>
      </c>
      <c r="Y276" t="str">
        <f t="shared" ref="Y276" si="1101">CONCATENATE("&lt;/li&gt;&lt;li&gt;&lt;a href=|http://",Y1191,"/2_samuel/9.htm","| ","title=|",Y1190,"| target=|_top|&gt;",Y1192,"&lt;/a&gt;")</f>
        <v>&lt;/li&gt;&lt;li&gt;&lt;a href=|http://bibleoutline.org/2_samuel/9.htm| title=|Outline with People and Places List| target=|_top|&gt;Outline&lt;/a&gt;</v>
      </c>
      <c r="Z276" t="str">
        <f t="shared" si="1100"/>
        <v>&lt;/li&gt;&lt;li&gt;&lt;a href=|http://kjvs.scripturetext.com/2_samuel/9.htm| title=|King James Bible with Strong's Numbers| target=|_top|&gt;Strong's&lt;/a&gt;</v>
      </c>
      <c r="AA276" t="str">
        <f t="shared" si="1100"/>
        <v>&lt;/li&gt;&lt;li&gt;&lt;a href=|http://childrensbibleonline.com/2_samuel/9.htm| title=|The Children's Bible| target=|_top|&gt;Children's&lt;/a&gt;</v>
      </c>
      <c r="AB276" s="2" t="str">
        <f t="shared" si="1100"/>
        <v>&lt;/li&gt;&lt;li&gt;&lt;a href=|http://tsk.scripturetext.com/2_samuel/9.htm| title=|Treasury of Scripture Knowledge| target=|_top|&gt;TSK&lt;/a&gt;</v>
      </c>
      <c r="AC276" t="str">
        <f>CONCATENATE("&lt;a href=|http://",AC1191,"/2_samuel/9.htm","| ","title=|",AC1190,"| target=|_top|&gt;",AC1192,"&lt;/a&gt;")</f>
        <v>&lt;a href=|http://parallelbible.com/2_samuel/9.htm| title=|Parallel Chapters| target=|_top|&gt;PAR&lt;/a&gt;</v>
      </c>
      <c r="AD276" s="2" t="str">
        <f t="shared" ref="AD276:AK276" si="1102">CONCATENATE("&lt;/li&gt;&lt;li&gt;&lt;a href=|http://",AD1191,"/2_samuel/9.htm","| ","title=|",AD1190,"| target=|_top|&gt;",AD1192,"&lt;/a&gt;")</f>
        <v>&lt;/li&gt;&lt;li&gt;&lt;a href=|http://gsb.biblecommenter.com/2_samuel/9.htm| title=|Geneva Study Bible| target=|_top|&gt;GSB&lt;/a&gt;</v>
      </c>
      <c r="AE276" s="2" t="str">
        <f t="shared" si="1102"/>
        <v>&lt;/li&gt;&lt;li&gt;&lt;a href=|http://jfb.biblecommenter.com/2_samuel/9.htm| title=|Jamieson-Fausset-Brown Bible Commentary| target=|_top|&gt;JFB&lt;/a&gt;</v>
      </c>
      <c r="AF276" s="2" t="str">
        <f t="shared" si="1102"/>
        <v>&lt;/li&gt;&lt;li&gt;&lt;a href=|http://kjt.biblecommenter.com/2_samuel/9.htm| title=|King James Translators' Notes| target=|_top|&gt;KJT&lt;/a&gt;</v>
      </c>
      <c r="AG276" s="2" t="str">
        <f t="shared" si="1102"/>
        <v>&lt;/li&gt;&lt;li&gt;&lt;a href=|http://mhc.biblecommenter.com/2_samuel/9.htm| title=|Matthew Henry's Concise Commentary| target=|_top|&gt;MHC&lt;/a&gt;</v>
      </c>
      <c r="AH276" s="2" t="str">
        <f t="shared" si="1102"/>
        <v>&lt;/li&gt;&lt;li&gt;&lt;a href=|http://sco.biblecommenter.com/2_samuel/9.htm| title=|Scofield Reference Notes| target=|_top|&gt;SCO&lt;/a&gt;</v>
      </c>
      <c r="AI276" s="2" t="str">
        <f t="shared" si="1102"/>
        <v>&lt;/li&gt;&lt;li&gt;&lt;a href=|http://wes.biblecommenter.com/2_samuel/9.htm| title=|Wesley's Notes on the Bible| target=|_top|&gt;WES&lt;/a&gt;</v>
      </c>
      <c r="AJ276" t="str">
        <f t="shared" si="1102"/>
        <v>&lt;/li&gt;&lt;li&gt;&lt;a href=|http://worldebible.com/2_samuel/9.htm| title=|World English Bible| target=|_top|&gt;WEB&lt;/a&gt;</v>
      </c>
      <c r="AK276" t="str">
        <f t="shared" si="1102"/>
        <v>&lt;/li&gt;&lt;li&gt;&lt;a href=|http://yltbible.com/2_samuel/9.htm| title=|Young's Literal Translation| target=|_top|&gt;YLT&lt;/a&gt;</v>
      </c>
      <c r="AL276" t="str">
        <f>CONCATENATE("&lt;a href=|http://",AL1191,"/2_samuel/9.htm","| ","title=|",AL1190,"| target=|_top|&gt;",AL1192,"&lt;/a&gt;")</f>
        <v>&lt;a href=|http://kjv.us/2_samuel/9.htm| title=|American King James Version| target=|_top|&gt;AKJ&lt;/a&gt;</v>
      </c>
      <c r="AM276" t="str">
        <f t="shared" ref="AM276:AN276" si="1103">CONCATENATE("&lt;/li&gt;&lt;li&gt;&lt;a href=|http://",AM1191,"/2_samuel/9.htm","| ","title=|",AM1190,"| target=|_top|&gt;",AM1192,"&lt;/a&gt;")</f>
        <v>&lt;/li&gt;&lt;li&gt;&lt;a href=|http://basicenglishbible.com/2_samuel/9.htm| title=|Bible in Basic English| target=|_top|&gt;BBE&lt;/a&gt;</v>
      </c>
      <c r="AN276" t="str">
        <f t="shared" si="1103"/>
        <v>&lt;/li&gt;&lt;li&gt;&lt;a href=|http://darbybible.com/2_samuel/9.htm| title=|Darby Bible Translation| target=|_top|&gt;DBY&lt;/a&gt;</v>
      </c>
      <c r="AO27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7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7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76" t="str">
        <f>CONCATENATE("&lt;/li&gt;&lt;li&gt;&lt;a href=|http://",AR1191,"/2_samuel/9.htm","| ","title=|",AR1190,"| target=|_top|&gt;",AR1192,"&lt;/a&gt;")</f>
        <v>&lt;/li&gt;&lt;li&gt;&lt;a href=|http://websterbible.com/2_samuel/9.htm| title=|Webster's Bible Translation| target=|_top|&gt;WBS&lt;/a&gt;</v>
      </c>
      <c r="AS27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76" t="str">
        <f>CONCATENATE("&lt;/li&gt;&lt;li&gt;&lt;a href=|http://",AT1191,"/2_samuel/9-1.htm","| ","title=|",AT1190,"| target=|_top|&gt;",AT1192,"&lt;/a&gt;")</f>
        <v>&lt;/li&gt;&lt;li&gt;&lt;a href=|http://biblebrowser.com/2_samuel/9-1.htm| title=|Split View| target=|_top|&gt;Split&lt;/a&gt;</v>
      </c>
      <c r="AU276" s="2" t="s">
        <v>1276</v>
      </c>
      <c r="AV276" t="s">
        <v>64</v>
      </c>
    </row>
    <row r="277" spans="1:48">
      <c r="A277" t="s">
        <v>622</v>
      </c>
      <c r="B277" t="s">
        <v>330</v>
      </c>
      <c r="C277" t="s">
        <v>624</v>
      </c>
      <c r="D277" t="s">
        <v>1268</v>
      </c>
      <c r="E277" t="s">
        <v>1277</v>
      </c>
      <c r="F277" t="s">
        <v>1304</v>
      </c>
      <c r="G277" t="s">
        <v>1266</v>
      </c>
      <c r="H277" t="s">
        <v>1305</v>
      </c>
      <c r="I277" t="s">
        <v>1303</v>
      </c>
      <c r="J277" t="s">
        <v>1267</v>
      </c>
      <c r="K277" t="s">
        <v>1275</v>
      </c>
      <c r="L277" s="2" t="s">
        <v>1274</v>
      </c>
      <c r="M277" t="str">
        <f t="shared" ref="M277:AB277" si="1104">CONCATENATE("&lt;/li&gt;&lt;li&gt;&lt;a href=|http://",M1191,"/2_samuel/10.htm","| ","title=|",M1190,"| target=|_top|&gt;",M1192,"&lt;/a&gt;")</f>
        <v>&lt;/li&gt;&lt;li&gt;&lt;a href=|http://niv.scripturetext.com/2_samuel/10.htm| title=|New International Version| target=|_top|&gt;NIV&lt;/a&gt;</v>
      </c>
      <c r="N277" t="str">
        <f t="shared" si="1104"/>
        <v>&lt;/li&gt;&lt;li&gt;&lt;a href=|http://nlt.scripturetext.com/2_samuel/10.htm| title=|New Living Translation| target=|_top|&gt;NLT&lt;/a&gt;</v>
      </c>
      <c r="O277" t="str">
        <f t="shared" si="1104"/>
        <v>&lt;/li&gt;&lt;li&gt;&lt;a href=|http://nasb.scripturetext.com/2_samuel/10.htm| title=|New American Standard Bible| target=|_top|&gt;NAS&lt;/a&gt;</v>
      </c>
      <c r="P277" t="str">
        <f t="shared" si="1104"/>
        <v>&lt;/li&gt;&lt;li&gt;&lt;a href=|http://gwt.scripturetext.com/2_samuel/10.htm| title=|God's Word Translation| target=|_top|&gt;GWT&lt;/a&gt;</v>
      </c>
      <c r="Q277" t="str">
        <f t="shared" si="1104"/>
        <v>&lt;/li&gt;&lt;li&gt;&lt;a href=|http://kingjbible.com/2_samuel/10.htm| title=|King James Bible| target=|_top|&gt;KJV&lt;/a&gt;</v>
      </c>
      <c r="R277" t="str">
        <f t="shared" si="1104"/>
        <v>&lt;/li&gt;&lt;li&gt;&lt;a href=|http://asvbible.com/2_samuel/10.htm| title=|American Standard Version| target=|_top|&gt;ASV&lt;/a&gt;</v>
      </c>
      <c r="S277" t="str">
        <f t="shared" si="1104"/>
        <v>&lt;/li&gt;&lt;li&gt;&lt;a href=|http://drb.scripturetext.com/2_samuel/10.htm| title=|Douay-Rheims Bible| target=|_top|&gt;DRB&lt;/a&gt;</v>
      </c>
      <c r="T277" t="str">
        <f t="shared" si="1104"/>
        <v>&lt;/li&gt;&lt;li&gt;&lt;a href=|http://erv.scripturetext.com/2_samuel/10.htm| title=|English Revised Version| target=|_top|&gt;ERV&lt;/a&gt;</v>
      </c>
      <c r="V277" t="str">
        <f>CONCATENATE("&lt;/li&gt;&lt;li&gt;&lt;a href=|http://",V1191,"/2_samuel/10.htm","| ","title=|",V1190,"| target=|_top|&gt;",V1192,"&lt;/a&gt;")</f>
        <v>&lt;/li&gt;&lt;li&gt;&lt;a href=|http://study.interlinearbible.org/2_samuel/10.htm| title=|Hebrew Study Bible| target=|_top|&gt;Heb Study&lt;/a&gt;</v>
      </c>
      <c r="W277" t="str">
        <f t="shared" si="1104"/>
        <v>&lt;/li&gt;&lt;li&gt;&lt;a href=|http://apostolic.interlinearbible.org/2_samuel/10.htm| title=|Apostolic Bible Polyglot Interlinear| target=|_top|&gt;Polyglot&lt;/a&gt;</v>
      </c>
      <c r="X277" t="str">
        <f t="shared" si="1104"/>
        <v>&lt;/li&gt;&lt;li&gt;&lt;a href=|http://interlinearbible.org/2_samuel/10.htm| title=|Interlinear Bible| target=|_top|&gt;Interlin&lt;/a&gt;</v>
      </c>
      <c r="Y277" t="str">
        <f t="shared" ref="Y277" si="1105">CONCATENATE("&lt;/li&gt;&lt;li&gt;&lt;a href=|http://",Y1191,"/2_samuel/10.htm","| ","title=|",Y1190,"| target=|_top|&gt;",Y1192,"&lt;/a&gt;")</f>
        <v>&lt;/li&gt;&lt;li&gt;&lt;a href=|http://bibleoutline.org/2_samuel/10.htm| title=|Outline with People and Places List| target=|_top|&gt;Outline&lt;/a&gt;</v>
      </c>
      <c r="Z277" t="str">
        <f t="shared" si="1104"/>
        <v>&lt;/li&gt;&lt;li&gt;&lt;a href=|http://kjvs.scripturetext.com/2_samuel/10.htm| title=|King James Bible with Strong's Numbers| target=|_top|&gt;Strong's&lt;/a&gt;</v>
      </c>
      <c r="AA277" t="str">
        <f t="shared" si="1104"/>
        <v>&lt;/li&gt;&lt;li&gt;&lt;a href=|http://childrensbibleonline.com/2_samuel/10.htm| title=|The Children's Bible| target=|_top|&gt;Children's&lt;/a&gt;</v>
      </c>
      <c r="AB277" s="2" t="str">
        <f t="shared" si="1104"/>
        <v>&lt;/li&gt;&lt;li&gt;&lt;a href=|http://tsk.scripturetext.com/2_samuel/10.htm| title=|Treasury of Scripture Knowledge| target=|_top|&gt;TSK&lt;/a&gt;</v>
      </c>
      <c r="AC277" t="str">
        <f>CONCATENATE("&lt;a href=|http://",AC1191,"/2_samuel/10.htm","| ","title=|",AC1190,"| target=|_top|&gt;",AC1192,"&lt;/a&gt;")</f>
        <v>&lt;a href=|http://parallelbible.com/2_samuel/10.htm| title=|Parallel Chapters| target=|_top|&gt;PAR&lt;/a&gt;</v>
      </c>
      <c r="AD277" s="2" t="str">
        <f t="shared" ref="AD277:AK277" si="1106">CONCATENATE("&lt;/li&gt;&lt;li&gt;&lt;a href=|http://",AD1191,"/2_samuel/10.htm","| ","title=|",AD1190,"| target=|_top|&gt;",AD1192,"&lt;/a&gt;")</f>
        <v>&lt;/li&gt;&lt;li&gt;&lt;a href=|http://gsb.biblecommenter.com/2_samuel/10.htm| title=|Geneva Study Bible| target=|_top|&gt;GSB&lt;/a&gt;</v>
      </c>
      <c r="AE277" s="2" t="str">
        <f t="shared" si="1106"/>
        <v>&lt;/li&gt;&lt;li&gt;&lt;a href=|http://jfb.biblecommenter.com/2_samuel/10.htm| title=|Jamieson-Fausset-Brown Bible Commentary| target=|_top|&gt;JFB&lt;/a&gt;</v>
      </c>
      <c r="AF277" s="2" t="str">
        <f t="shared" si="1106"/>
        <v>&lt;/li&gt;&lt;li&gt;&lt;a href=|http://kjt.biblecommenter.com/2_samuel/10.htm| title=|King James Translators' Notes| target=|_top|&gt;KJT&lt;/a&gt;</v>
      </c>
      <c r="AG277" s="2" t="str">
        <f t="shared" si="1106"/>
        <v>&lt;/li&gt;&lt;li&gt;&lt;a href=|http://mhc.biblecommenter.com/2_samuel/10.htm| title=|Matthew Henry's Concise Commentary| target=|_top|&gt;MHC&lt;/a&gt;</v>
      </c>
      <c r="AH277" s="2" t="str">
        <f t="shared" si="1106"/>
        <v>&lt;/li&gt;&lt;li&gt;&lt;a href=|http://sco.biblecommenter.com/2_samuel/10.htm| title=|Scofield Reference Notes| target=|_top|&gt;SCO&lt;/a&gt;</v>
      </c>
      <c r="AI277" s="2" t="str">
        <f t="shared" si="1106"/>
        <v>&lt;/li&gt;&lt;li&gt;&lt;a href=|http://wes.biblecommenter.com/2_samuel/10.htm| title=|Wesley's Notes on the Bible| target=|_top|&gt;WES&lt;/a&gt;</v>
      </c>
      <c r="AJ277" t="str">
        <f t="shared" si="1106"/>
        <v>&lt;/li&gt;&lt;li&gt;&lt;a href=|http://worldebible.com/2_samuel/10.htm| title=|World English Bible| target=|_top|&gt;WEB&lt;/a&gt;</v>
      </c>
      <c r="AK277" t="str">
        <f t="shared" si="1106"/>
        <v>&lt;/li&gt;&lt;li&gt;&lt;a href=|http://yltbible.com/2_samuel/10.htm| title=|Young's Literal Translation| target=|_top|&gt;YLT&lt;/a&gt;</v>
      </c>
      <c r="AL277" t="str">
        <f>CONCATENATE("&lt;a href=|http://",AL1191,"/2_samuel/10.htm","| ","title=|",AL1190,"| target=|_top|&gt;",AL1192,"&lt;/a&gt;")</f>
        <v>&lt;a href=|http://kjv.us/2_samuel/10.htm| title=|American King James Version| target=|_top|&gt;AKJ&lt;/a&gt;</v>
      </c>
      <c r="AM277" t="str">
        <f t="shared" ref="AM277:AN277" si="1107">CONCATENATE("&lt;/li&gt;&lt;li&gt;&lt;a href=|http://",AM1191,"/2_samuel/10.htm","| ","title=|",AM1190,"| target=|_top|&gt;",AM1192,"&lt;/a&gt;")</f>
        <v>&lt;/li&gt;&lt;li&gt;&lt;a href=|http://basicenglishbible.com/2_samuel/10.htm| title=|Bible in Basic English| target=|_top|&gt;BBE&lt;/a&gt;</v>
      </c>
      <c r="AN277" t="str">
        <f t="shared" si="1107"/>
        <v>&lt;/li&gt;&lt;li&gt;&lt;a href=|http://darbybible.com/2_samuel/10.htm| title=|Darby Bible Translation| target=|_top|&gt;DBY&lt;/a&gt;</v>
      </c>
      <c r="AO27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7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7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77" t="str">
        <f>CONCATENATE("&lt;/li&gt;&lt;li&gt;&lt;a href=|http://",AR1191,"/2_samuel/10.htm","| ","title=|",AR1190,"| target=|_top|&gt;",AR1192,"&lt;/a&gt;")</f>
        <v>&lt;/li&gt;&lt;li&gt;&lt;a href=|http://websterbible.com/2_samuel/10.htm| title=|Webster's Bible Translation| target=|_top|&gt;WBS&lt;/a&gt;</v>
      </c>
      <c r="AS27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77" t="str">
        <f>CONCATENATE("&lt;/li&gt;&lt;li&gt;&lt;a href=|http://",AT1191,"/2_samuel/10-1.htm","| ","title=|",AT1190,"| target=|_top|&gt;",AT1192,"&lt;/a&gt;")</f>
        <v>&lt;/li&gt;&lt;li&gt;&lt;a href=|http://biblebrowser.com/2_samuel/10-1.htm| title=|Split View| target=|_top|&gt;Split&lt;/a&gt;</v>
      </c>
      <c r="AU277" s="2" t="s">
        <v>1276</v>
      </c>
      <c r="AV277" t="s">
        <v>64</v>
      </c>
    </row>
    <row r="278" spans="1:48">
      <c r="A278" t="s">
        <v>622</v>
      </c>
      <c r="B278" t="s">
        <v>331</v>
      </c>
      <c r="C278" t="s">
        <v>624</v>
      </c>
      <c r="D278" t="s">
        <v>1268</v>
      </c>
      <c r="E278" t="s">
        <v>1277</v>
      </c>
      <c r="F278" t="s">
        <v>1304</v>
      </c>
      <c r="G278" t="s">
        <v>1266</v>
      </c>
      <c r="H278" t="s">
        <v>1305</v>
      </c>
      <c r="I278" t="s">
        <v>1303</v>
      </c>
      <c r="J278" t="s">
        <v>1267</v>
      </c>
      <c r="K278" t="s">
        <v>1275</v>
      </c>
      <c r="L278" s="2" t="s">
        <v>1274</v>
      </c>
      <c r="M278" t="str">
        <f t="shared" ref="M278:AB278" si="1108">CONCATENATE("&lt;/li&gt;&lt;li&gt;&lt;a href=|http://",M1191,"/2_samuel/11.htm","| ","title=|",M1190,"| target=|_top|&gt;",M1192,"&lt;/a&gt;")</f>
        <v>&lt;/li&gt;&lt;li&gt;&lt;a href=|http://niv.scripturetext.com/2_samuel/11.htm| title=|New International Version| target=|_top|&gt;NIV&lt;/a&gt;</v>
      </c>
      <c r="N278" t="str">
        <f t="shared" si="1108"/>
        <v>&lt;/li&gt;&lt;li&gt;&lt;a href=|http://nlt.scripturetext.com/2_samuel/11.htm| title=|New Living Translation| target=|_top|&gt;NLT&lt;/a&gt;</v>
      </c>
      <c r="O278" t="str">
        <f t="shared" si="1108"/>
        <v>&lt;/li&gt;&lt;li&gt;&lt;a href=|http://nasb.scripturetext.com/2_samuel/11.htm| title=|New American Standard Bible| target=|_top|&gt;NAS&lt;/a&gt;</v>
      </c>
      <c r="P278" t="str">
        <f t="shared" si="1108"/>
        <v>&lt;/li&gt;&lt;li&gt;&lt;a href=|http://gwt.scripturetext.com/2_samuel/11.htm| title=|God's Word Translation| target=|_top|&gt;GWT&lt;/a&gt;</v>
      </c>
      <c r="Q278" t="str">
        <f t="shared" si="1108"/>
        <v>&lt;/li&gt;&lt;li&gt;&lt;a href=|http://kingjbible.com/2_samuel/11.htm| title=|King James Bible| target=|_top|&gt;KJV&lt;/a&gt;</v>
      </c>
      <c r="R278" t="str">
        <f t="shared" si="1108"/>
        <v>&lt;/li&gt;&lt;li&gt;&lt;a href=|http://asvbible.com/2_samuel/11.htm| title=|American Standard Version| target=|_top|&gt;ASV&lt;/a&gt;</v>
      </c>
      <c r="S278" t="str">
        <f t="shared" si="1108"/>
        <v>&lt;/li&gt;&lt;li&gt;&lt;a href=|http://drb.scripturetext.com/2_samuel/11.htm| title=|Douay-Rheims Bible| target=|_top|&gt;DRB&lt;/a&gt;</v>
      </c>
      <c r="T278" t="str">
        <f t="shared" si="1108"/>
        <v>&lt;/li&gt;&lt;li&gt;&lt;a href=|http://erv.scripturetext.com/2_samuel/11.htm| title=|English Revised Version| target=|_top|&gt;ERV&lt;/a&gt;</v>
      </c>
      <c r="V278" t="str">
        <f>CONCATENATE("&lt;/li&gt;&lt;li&gt;&lt;a href=|http://",V1191,"/2_samuel/11.htm","| ","title=|",V1190,"| target=|_top|&gt;",V1192,"&lt;/a&gt;")</f>
        <v>&lt;/li&gt;&lt;li&gt;&lt;a href=|http://study.interlinearbible.org/2_samuel/11.htm| title=|Hebrew Study Bible| target=|_top|&gt;Heb Study&lt;/a&gt;</v>
      </c>
      <c r="W278" t="str">
        <f t="shared" si="1108"/>
        <v>&lt;/li&gt;&lt;li&gt;&lt;a href=|http://apostolic.interlinearbible.org/2_samuel/11.htm| title=|Apostolic Bible Polyglot Interlinear| target=|_top|&gt;Polyglot&lt;/a&gt;</v>
      </c>
      <c r="X278" t="str">
        <f t="shared" si="1108"/>
        <v>&lt;/li&gt;&lt;li&gt;&lt;a href=|http://interlinearbible.org/2_samuel/11.htm| title=|Interlinear Bible| target=|_top|&gt;Interlin&lt;/a&gt;</v>
      </c>
      <c r="Y278" t="str">
        <f t="shared" ref="Y278" si="1109">CONCATENATE("&lt;/li&gt;&lt;li&gt;&lt;a href=|http://",Y1191,"/2_samuel/11.htm","| ","title=|",Y1190,"| target=|_top|&gt;",Y1192,"&lt;/a&gt;")</f>
        <v>&lt;/li&gt;&lt;li&gt;&lt;a href=|http://bibleoutline.org/2_samuel/11.htm| title=|Outline with People and Places List| target=|_top|&gt;Outline&lt;/a&gt;</v>
      </c>
      <c r="Z278" t="str">
        <f t="shared" si="1108"/>
        <v>&lt;/li&gt;&lt;li&gt;&lt;a href=|http://kjvs.scripturetext.com/2_samuel/11.htm| title=|King James Bible with Strong's Numbers| target=|_top|&gt;Strong's&lt;/a&gt;</v>
      </c>
      <c r="AA278" t="str">
        <f t="shared" si="1108"/>
        <v>&lt;/li&gt;&lt;li&gt;&lt;a href=|http://childrensbibleonline.com/2_samuel/11.htm| title=|The Children's Bible| target=|_top|&gt;Children's&lt;/a&gt;</v>
      </c>
      <c r="AB278" s="2" t="str">
        <f t="shared" si="1108"/>
        <v>&lt;/li&gt;&lt;li&gt;&lt;a href=|http://tsk.scripturetext.com/2_samuel/11.htm| title=|Treasury of Scripture Knowledge| target=|_top|&gt;TSK&lt;/a&gt;</v>
      </c>
      <c r="AC278" t="str">
        <f>CONCATENATE("&lt;a href=|http://",AC1191,"/2_samuel/11.htm","| ","title=|",AC1190,"| target=|_top|&gt;",AC1192,"&lt;/a&gt;")</f>
        <v>&lt;a href=|http://parallelbible.com/2_samuel/11.htm| title=|Parallel Chapters| target=|_top|&gt;PAR&lt;/a&gt;</v>
      </c>
      <c r="AD278" s="2" t="str">
        <f t="shared" ref="AD278:AK278" si="1110">CONCATENATE("&lt;/li&gt;&lt;li&gt;&lt;a href=|http://",AD1191,"/2_samuel/11.htm","| ","title=|",AD1190,"| target=|_top|&gt;",AD1192,"&lt;/a&gt;")</f>
        <v>&lt;/li&gt;&lt;li&gt;&lt;a href=|http://gsb.biblecommenter.com/2_samuel/11.htm| title=|Geneva Study Bible| target=|_top|&gt;GSB&lt;/a&gt;</v>
      </c>
      <c r="AE278" s="2" t="str">
        <f t="shared" si="1110"/>
        <v>&lt;/li&gt;&lt;li&gt;&lt;a href=|http://jfb.biblecommenter.com/2_samuel/11.htm| title=|Jamieson-Fausset-Brown Bible Commentary| target=|_top|&gt;JFB&lt;/a&gt;</v>
      </c>
      <c r="AF278" s="2" t="str">
        <f t="shared" si="1110"/>
        <v>&lt;/li&gt;&lt;li&gt;&lt;a href=|http://kjt.biblecommenter.com/2_samuel/11.htm| title=|King James Translators' Notes| target=|_top|&gt;KJT&lt;/a&gt;</v>
      </c>
      <c r="AG278" s="2" t="str">
        <f t="shared" si="1110"/>
        <v>&lt;/li&gt;&lt;li&gt;&lt;a href=|http://mhc.biblecommenter.com/2_samuel/11.htm| title=|Matthew Henry's Concise Commentary| target=|_top|&gt;MHC&lt;/a&gt;</v>
      </c>
      <c r="AH278" s="2" t="str">
        <f t="shared" si="1110"/>
        <v>&lt;/li&gt;&lt;li&gt;&lt;a href=|http://sco.biblecommenter.com/2_samuel/11.htm| title=|Scofield Reference Notes| target=|_top|&gt;SCO&lt;/a&gt;</v>
      </c>
      <c r="AI278" s="2" t="str">
        <f t="shared" si="1110"/>
        <v>&lt;/li&gt;&lt;li&gt;&lt;a href=|http://wes.biblecommenter.com/2_samuel/11.htm| title=|Wesley's Notes on the Bible| target=|_top|&gt;WES&lt;/a&gt;</v>
      </c>
      <c r="AJ278" t="str">
        <f t="shared" si="1110"/>
        <v>&lt;/li&gt;&lt;li&gt;&lt;a href=|http://worldebible.com/2_samuel/11.htm| title=|World English Bible| target=|_top|&gt;WEB&lt;/a&gt;</v>
      </c>
      <c r="AK278" t="str">
        <f t="shared" si="1110"/>
        <v>&lt;/li&gt;&lt;li&gt;&lt;a href=|http://yltbible.com/2_samuel/11.htm| title=|Young's Literal Translation| target=|_top|&gt;YLT&lt;/a&gt;</v>
      </c>
      <c r="AL278" t="str">
        <f>CONCATENATE("&lt;a href=|http://",AL1191,"/2_samuel/11.htm","| ","title=|",AL1190,"| target=|_top|&gt;",AL1192,"&lt;/a&gt;")</f>
        <v>&lt;a href=|http://kjv.us/2_samuel/11.htm| title=|American King James Version| target=|_top|&gt;AKJ&lt;/a&gt;</v>
      </c>
      <c r="AM278" t="str">
        <f t="shared" ref="AM278:AN278" si="1111">CONCATENATE("&lt;/li&gt;&lt;li&gt;&lt;a href=|http://",AM1191,"/2_samuel/11.htm","| ","title=|",AM1190,"| target=|_top|&gt;",AM1192,"&lt;/a&gt;")</f>
        <v>&lt;/li&gt;&lt;li&gt;&lt;a href=|http://basicenglishbible.com/2_samuel/11.htm| title=|Bible in Basic English| target=|_top|&gt;BBE&lt;/a&gt;</v>
      </c>
      <c r="AN278" t="str">
        <f t="shared" si="1111"/>
        <v>&lt;/li&gt;&lt;li&gt;&lt;a href=|http://darbybible.com/2_samuel/11.htm| title=|Darby Bible Translation| target=|_top|&gt;DBY&lt;/a&gt;</v>
      </c>
      <c r="AO27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7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7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78" t="str">
        <f>CONCATENATE("&lt;/li&gt;&lt;li&gt;&lt;a href=|http://",AR1191,"/2_samuel/11.htm","| ","title=|",AR1190,"| target=|_top|&gt;",AR1192,"&lt;/a&gt;")</f>
        <v>&lt;/li&gt;&lt;li&gt;&lt;a href=|http://websterbible.com/2_samuel/11.htm| title=|Webster's Bible Translation| target=|_top|&gt;WBS&lt;/a&gt;</v>
      </c>
      <c r="AS27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78" t="str">
        <f>CONCATENATE("&lt;/li&gt;&lt;li&gt;&lt;a href=|http://",AT1191,"/2_samuel/11-1.htm","| ","title=|",AT1190,"| target=|_top|&gt;",AT1192,"&lt;/a&gt;")</f>
        <v>&lt;/li&gt;&lt;li&gt;&lt;a href=|http://biblebrowser.com/2_samuel/11-1.htm| title=|Split View| target=|_top|&gt;Split&lt;/a&gt;</v>
      </c>
      <c r="AU278" s="2" t="s">
        <v>1276</v>
      </c>
      <c r="AV278" t="s">
        <v>64</v>
      </c>
    </row>
    <row r="279" spans="1:48">
      <c r="A279" t="s">
        <v>622</v>
      </c>
      <c r="B279" t="s">
        <v>332</v>
      </c>
      <c r="C279" t="s">
        <v>624</v>
      </c>
      <c r="D279" t="s">
        <v>1268</v>
      </c>
      <c r="E279" t="s">
        <v>1277</v>
      </c>
      <c r="F279" t="s">
        <v>1304</v>
      </c>
      <c r="G279" t="s">
        <v>1266</v>
      </c>
      <c r="H279" t="s">
        <v>1305</v>
      </c>
      <c r="I279" t="s">
        <v>1303</v>
      </c>
      <c r="J279" t="s">
        <v>1267</v>
      </c>
      <c r="K279" t="s">
        <v>1275</v>
      </c>
      <c r="L279" s="2" t="s">
        <v>1274</v>
      </c>
      <c r="M279" t="str">
        <f t="shared" ref="M279:AB279" si="1112">CONCATENATE("&lt;/li&gt;&lt;li&gt;&lt;a href=|http://",M1191,"/2_samuel/12.htm","| ","title=|",M1190,"| target=|_top|&gt;",M1192,"&lt;/a&gt;")</f>
        <v>&lt;/li&gt;&lt;li&gt;&lt;a href=|http://niv.scripturetext.com/2_samuel/12.htm| title=|New International Version| target=|_top|&gt;NIV&lt;/a&gt;</v>
      </c>
      <c r="N279" t="str">
        <f t="shared" si="1112"/>
        <v>&lt;/li&gt;&lt;li&gt;&lt;a href=|http://nlt.scripturetext.com/2_samuel/12.htm| title=|New Living Translation| target=|_top|&gt;NLT&lt;/a&gt;</v>
      </c>
      <c r="O279" t="str">
        <f t="shared" si="1112"/>
        <v>&lt;/li&gt;&lt;li&gt;&lt;a href=|http://nasb.scripturetext.com/2_samuel/12.htm| title=|New American Standard Bible| target=|_top|&gt;NAS&lt;/a&gt;</v>
      </c>
      <c r="P279" t="str">
        <f t="shared" si="1112"/>
        <v>&lt;/li&gt;&lt;li&gt;&lt;a href=|http://gwt.scripturetext.com/2_samuel/12.htm| title=|God's Word Translation| target=|_top|&gt;GWT&lt;/a&gt;</v>
      </c>
      <c r="Q279" t="str">
        <f t="shared" si="1112"/>
        <v>&lt;/li&gt;&lt;li&gt;&lt;a href=|http://kingjbible.com/2_samuel/12.htm| title=|King James Bible| target=|_top|&gt;KJV&lt;/a&gt;</v>
      </c>
      <c r="R279" t="str">
        <f t="shared" si="1112"/>
        <v>&lt;/li&gt;&lt;li&gt;&lt;a href=|http://asvbible.com/2_samuel/12.htm| title=|American Standard Version| target=|_top|&gt;ASV&lt;/a&gt;</v>
      </c>
      <c r="S279" t="str">
        <f t="shared" si="1112"/>
        <v>&lt;/li&gt;&lt;li&gt;&lt;a href=|http://drb.scripturetext.com/2_samuel/12.htm| title=|Douay-Rheims Bible| target=|_top|&gt;DRB&lt;/a&gt;</v>
      </c>
      <c r="T279" t="str">
        <f t="shared" si="1112"/>
        <v>&lt;/li&gt;&lt;li&gt;&lt;a href=|http://erv.scripturetext.com/2_samuel/12.htm| title=|English Revised Version| target=|_top|&gt;ERV&lt;/a&gt;</v>
      </c>
      <c r="V279" t="str">
        <f>CONCATENATE("&lt;/li&gt;&lt;li&gt;&lt;a href=|http://",V1191,"/2_samuel/12.htm","| ","title=|",V1190,"| target=|_top|&gt;",V1192,"&lt;/a&gt;")</f>
        <v>&lt;/li&gt;&lt;li&gt;&lt;a href=|http://study.interlinearbible.org/2_samuel/12.htm| title=|Hebrew Study Bible| target=|_top|&gt;Heb Study&lt;/a&gt;</v>
      </c>
      <c r="W279" t="str">
        <f t="shared" si="1112"/>
        <v>&lt;/li&gt;&lt;li&gt;&lt;a href=|http://apostolic.interlinearbible.org/2_samuel/12.htm| title=|Apostolic Bible Polyglot Interlinear| target=|_top|&gt;Polyglot&lt;/a&gt;</v>
      </c>
      <c r="X279" t="str">
        <f t="shared" si="1112"/>
        <v>&lt;/li&gt;&lt;li&gt;&lt;a href=|http://interlinearbible.org/2_samuel/12.htm| title=|Interlinear Bible| target=|_top|&gt;Interlin&lt;/a&gt;</v>
      </c>
      <c r="Y279" t="str">
        <f t="shared" ref="Y279" si="1113">CONCATENATE("&lt;/li&gt;&lt;li&gt;&lt;a href=|http://",Y1191,"/2_samuel/12.htm","| ","title=|",Y1190,"| target=|_top|&gt;",Y1192,"&lt;/a&gt;")</f>
        <v>&lt;/li&gt;&lt;li&gt;&lt;a href=|http://bibleoutline.org/2_samuel/12.htm| title=|Outline with People and Places List| target=|_top|&gt;Outline&lt;/a&gt;</v>
      </c>
      <c r="Z279" t="str">
        <f t="shared" si="1112"/>
        <v>&lt;/li&gt;&lt;li&gt;&lt;a href=|http://kjvs.scripturetext.com/2_samuel/12.htm| title=|King James Bible with Strong's Numbers| target=|_top|&gt;Strong's&lt;/a&gt;</v>
      </c>
      <c r="AA279" t="str">
        <f t="shared" si="1112"/>
        <v>&lt;/li&gt;&lt;li&gt;&lt;a href=|http://childrensbibleonline.com/2_samuel/12.htm| title=|The Children's Bible| target=|_top|&gt;Children's&lt;/a&gt;</v>
      </c>
      <c r="AB279" s="2" t="str">
        <f t="shared" si="1112"/>
        <v>&lt;/li&gt;&lt;li&gt;&lt;a href=|http://tsk.scripturetext.com/2_samuel/12.htm| title=|Treasury of Scripture Knowledge| target=|_top|&gt;TSK&lt;/a&gt;</v>
      </c>
      <c r="AC279" t="str">
        <f>CONCATENATE("&lt;a href=|http://",AC1191,"/2_samuel/12.htm","| ","title=|",AC1190,"| target=|_top|&gt;",AC1192,"&lt;/a&gt;")</f>
        <v>&lt;a href=|http://parallelbible.com/2_samuel/12.htm| title=|Parallel Chapters| target=|_top|&gt;PAR&lt;/a&gt;</v>
      </c>
      <c r="AD279" s="2" t="str">
        <f t="shared" ref="AD279:AK279" si="1114">CONCATENATE("&lt;/li&gt;&lt;li&gt;&lt;a href=|http://",AD1191,"/2_samuel/12.htm","| ","title=|",AD1190,"| target=|_top|&gt;",AD1192,"&lt;/a&gt;")</f>
        <v>&lt;/li&gt;&lt;li&gt;&lt;a href=|http://gsb.biblecommenter.com/2_samuel/12.htm| title=|Geneva Study Bible| target=|_top|&gt;GSB&lt;/a&gt;</v>
      </c>
      <c r="AE279" s="2" t="str">
        <f t="shared" si="1114"/>
        <v>&lt;/li&gt;&lt;li&gt;&lt;a href=|http://jfb.biblecommenter.com/2_samuel/12.htm| title=|Jamieson-Fausset-Brown Bible Commentary| target=|_top|&gt;JFB&lt;/a&gt;</v>
      </c>
      <c r="AF279" s="2" t="str">
        <f t="shared" si="1114"/>
        <v>&lt;/li&gt;&lt;li&gt;&lt;a href=|http://kjt.biblecommenter.com/2_samuel/12.htm| title=|King James Translators' Notes| target=|_top|&gt;KJT&lt;/a&gt;</v>
      </c>
      <c r="AG279" s="2" t="str">
        <f t="shared" si="1114"/>
        <v>&lt;/li&gt;&lt;li&gt;&lt;a href=|http://mhc.biblecommenter.com/2_samuel/12.htm| title=|Matthew Henry's Concise Commentary| target=|_top|&gt;MHC&lt;/a&gt;</v>
      </c>
      <c r="AH279" s="2" t="str">
        <f t="shared" si="1114"/>
        <v>&lt;/li&gt;&lt;li&gt;&lt;a href=|http://sco.biblecommenter.com/2_samuel/12.htm| title=|Scofield Reference Notes| target=|_top|&gt;SCO&lt;/a&gt;</v>
      </c>
      <c r="AI279" s="2" t="str">
        <f t="shared" si="1114"/>
        <v>&lt;/li&gt;&lt;li&gt;&lt;a href=|http://wes.biblecommenter.com/2_samuel/12.htm| title=|Wesley's Notes on the Bible| target=|_top|&gt;WES&lt;/a&gt;</v>
      </c>
      <c r="AJ279" t="str">
        <f t="shared" si="1114"/>
        <v>&lt;/li&gt;&lt;li&gt;&lt;a href=|http://worldebible.com/2_samuel/12.htm| title=|World English Bible| target=|_top|&gt;WEB&lt;/a&gt;</v>
      </c>
      <c r="AK279" t="str">
        <f t="shared" si="1114"/>
        <v>&lt;/li&gt;&lt;li&gt;&lt;a href=|http://yltbible.com/2_samuel/12.htm| title=|Young's Literal Translation| target=|_top|&gt;YLT&lt;/a&gt;</v>
      </c>
      <c r="AL279" t="str">
        <f>CONCATENATE("&lt;a href=|http://",AL1191,"/2_samuel/12.htm","| ","title=|",AL1190,"| target=|_top|&gt;",AL1192,"&lt;/a&gt;")</f>
        <v>&lt;a href=|http://kjv.us/2_samuel/12.htm| title=|American King James Version| target=|_top|&gt;AKJ&lt;/a&gt;</v>
      </c>
      <c r="AM279" t="str">
        <f t="shared" ref="AM279:AN279" si="1115">CONCATENATE("&lt;/li&gt;&lt;li&gt;&lt;a href=|http://",AM1191,"/2_samuel/12.htm","| ","title=|",AM1190,"| target=|_top|&gt;",AM1192,"&lt;/a&gt;")</f>
        <v>&lt;/li&gt;&lt;li&gt;&lt;a href=|http://basicenglishbible.com/2_samuel/12.htm| title=|Bible in Basic English| target=|_top|&gt;BBE&lt;/a&gt;</v>
      </c>
      <c r="AN279" t="str">
        <f t="shared" si="1115"/>
        <v>&lt;/li&gt;&lt;li&gt;&lt;a href=|http://darbybible.com/2_samuel/12.htm| title=|Darby Bible Translation| target=|_top|&gt;DBY&lt;/a&gt;</v>
      </c>
      <c r="AO27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7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7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79" t="str">
        <f>CONCATENATE("&lt;/li&gt;&lt;li&gt;&lt;a href=|http://",AR1191,"/2_samuel/12.htm","| ","title=|",AR1190,"| target=|_top|&gt;",AR1192,"&lt;/a&gt;")</f>
        <v>&lt;/li&gt;&lt;li&gt;&lt;a href=|http://websterbible.com/2_samuel/12.htm| title=|Webster's Bible Translation| target=|_top|&gt;WBS&lt;/a&gt;</v>
      </c>
      <c r="AS27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79" t="str">
        <f>CONCATENATE("&lt;/li&gt;&lt;li&gt;&lt;a href=|http://",AT1191,"/2_samuel/12-1.htm","| ","title=|",AT1190,"| target=|_top|&gt;",AT1192,"&lt;/a&gt;")</f>
        <v>&lt;/li&gt;&lt;li&gt;&lt;a href=|http://biblebrowser.com/2_samuel/12-1.htm| title=|Split View| target=|_top|&gt;Split&lt;/a&gt;</v>
      </c>
      <c r="AU279" s="2" t="s">
        <v>1276</v>
      </c>
      <c r="AV279" t="s">
        <v>64</v>
      </c>
    </row>
    <row r="280" spans="1:48">
      <c r="A280" t="s">
        <v>622</v>
      </c>
      <c r="B280" t="s">
        <v>333</v>
      </c>
      <c r="C280" t="s">
        <v>624</v>
      </c>
      <c r="D280" t="s">
        <v>1268</v>
      </c>
      <c r="E280" t="s">
        <v>1277</v>
      </c>
      <c r="F280" t="s">
        <v>1304</v>
      </c>
      <c r="G280" t="s">
        <v>1266</v>
      </c>
      <c r="H280" t="s">
        <v>1305</v>
      </c>
      <c r="I280" t="s">
        <v>1303</v>
      </c>
      <c r="J280" t="s">
        <v>1267</v>
      </c>
      <c r="K280" t="s">
        <v>1275</v>
      </c>
      <c r="L280" s="2" t="s">
        <v>1274</v>
      </c>
      <c r="M280" t="str">
        <f t="shared" ref="M280:AB280" si="1116">CONCATENATE("&lt;/li&gt;&lt;li&gt;&lt;a href=|http://",M1191,"/2_samuel/13.htm","| ","title=|",M1190,"| target=|_top|&gt;",M1192,"&lt;/a&gt;")</f>
        <v>&lt;/li&gt;&lt;li&gt;&lt;a href=|http://niv.scripturetext.com/2_samuel/13.htm| title=|New International Version| target=|_top|&gt;NIV&lt;/a&gt;</v>
      </c>
      <c r="N280" t="str">
        <f t="shared" si="1116"/>
        <v>&lt;/li&gt;&lt;li&gt;&lt;a href=|http://nlt.scripturetext.com/2_samuel/13.htm| title=|New Living Translation| target=|_top|&gt;NLT&lt;/a&gt;</v>
      </c>
      <c r="O280" t="str">
        <f t="shared" si="1116"/>
        <v>&lt;/li&gt;&lt;li&gt;&lt;a href=|http://nasb.scripturetext.com/2_samuel/13.htm| title=|New American Standard Bible| target=|_top|&gt;NAS&lt;/a&gt;</v>
      </c>
      <c r="P280" t="str">
        <f t="shared" si="1116"/>
        <v>&lt;/li&gt;&lt;li&gt;&lt;a href=|http://gwt.scripturetext.com/2_samuel/13.htm| title=|God's Word Translation| target=|_top|&gt;GWT&lt;/a&gt;</v>
      </c>
      <c r="Q280" t="str">
        <f t="shared" si="1116"/>
        <v>&lt;/li&gt;&lt;li&gt;&lt;a href=|http://kingjbible.com/2_samuel/13.htm| title=|King James Bible| target=|_top|&gt;KJV&lt;/a&gt;</v>
      </c>
      <c r="R280" t="str">
        <f t="shared" si="1116"/>
        <v>&lt;/li&gt;&lt;li&gt;&lt;a href=|http://asvbible.com/2_samuel/13.htm| title=|American Standard Version| target=|_top|&gt;ASV&lt;/a&gt;</v>
      </c>
      <c r="S280" t="str">
        <f t="shared" si="1116"/>
        <v>&lt;/li&gt;&lt;li&gt;&lt;a href=|http://drb.scripturetext.com/2_samuel/13.htm| title=|Douay-Rheims Bible| target=|_top|&gt;DRB&lt;/a&gt;</v>
      </c>
      <c r="T280" t="str">
        <f t="shared" si="1116"/>
        <v>&lt;/li&gt;&lt;li&gt;&lt;a href=|http://erv.scripturetext.com/2_samuel/13.htm| title=|English Revised Version| target=|_top|&gt;ERV&lt;/a&gt;</v>
      </c>
      <c r="V280" t="str">
        <f>CONCATENATE("&lt;/li&gt;&lt;li&gt;&lt;a href=|http://",V1191,"/2_samuel/13.htm","| ","title=|",V1190,"| target=|_top|&gt;",V1192,"&lt;/a&gt;")</f>
        <v>&lt;/li&gt;&lt;li&gt;&lt;a href=|http://study.interlinearbible.org/2_samuel/13.htm| title=|Hebrew Study Bible| target=|_top|&gt;Heb Study&lt;/a&gt;</v>
      </c>
      <c r="W280" t="str">
        <f t="shared" si="1116"/>
        <v>&lt;/li&gt;&lt;li&gt;&lt;a href=|http://apostolic.interlinearbible.org/2_samuel/13.htm| title=|Apostolic Bible Polyglot Interlinear| target=|_top|&gt;Polyglot&lt;/a&gt;</v>
      </c>
      <c r="X280" t="str">
        <f t="shared" si="1116"/>
        <v>&lt;/li&gt;&lt;li&gt;&lt;a href=|http://interlinearbible.org/2_samuel/13.htm| title=|Interlinear Bible| target=|_top|&gt;Interlin&lt;/a&gt;</v>
      </c>
      <c r="Y280" t="str">
        <f t="shared" ref="Y280" si="1117">CONCATENATE("&lt;/li&gt;&lt;li&gt;&lt;a href=|http://",Y1191,"/2_samuel/13.htm","| ","title=|",Y1190,"| target=|_top|&gt;",Y1192,"&lt;/a&gt;")</f>
        <v>&lt;/li&gt;&lt;li&gt;&lt;a href=|http://bibleoutline.org/2_samuel/13.htm| title=|Outline with People and Places List| target=|_top|&gt;Outline&lt;/a&gt;</v>
      </c>
      <c r="Z280" t="str">
        <f t="shared" si="1116"/>
        <v>&lt;/li&gt;&lt;li&gt;&lt;a href=|http://kjvs.scripturetext.com/2_samuel/13.htm| title=|King James Bible with Strong's Numbers| target=|_top|&gt;Strong's&lt;/a&gt;</v>
      </c>
      <c r="AA280" t="str">
        <f t="shared" si="1116"/>
        <v>&lt;/li&gt;&lt;li&gt;&lt;a href=|http://childrensbibleonline.com/2_samuel/13.htm| title=|The Children's Bible| target=|_top|&gt;Children's&lt;/a&gt;</v>
      </c>
      <c r="AB280" s="2" t="str">
        <f t="shared" si="1116"/>
        <v>&lt;/li&gt;&lt;li&gt;&lt;a href=|http://tsk.scripturetext.com/2_samuel/13.htm| title=|Treasury of Scripture Knowledge| target=|_top|&gt;TSK&lt;/a&gt;</v>
      </c>
      <c r="AC280" t="str">
        <f>CONCATENATE("&lt;a href=|http://",AC1191,"/2_samuel/13.htm","| ","title=|",AC1190,"| target=|_top|&gt;",AC1192,"&lt;/a&gt;")</f>
        <v>&lt;a href=|http://parallelbible.com/2_samuel/13.htm| title=|Parallel Chapters| target=|_top|&gt;PAR&lt;/a&gt;</v>
      </c>
      <c r="AD280" s="2" t="str">
        <f t="shared" ref="AD280:AK280" si="1118">CONCATENATE("&lt;/li&gt;&lt;li&gt;&lt;a href=|http://",AD1191,"/2_samuel/13.htm","| ","title=|",AD1190,"| target=|_top|&gt;",AD1192,"&lt;/a&gt;")</f>
        <v>&lt;/li&gt;&lt;li&gt;&lt;a href=|http://gsb.biblecommenter.com/2_samuel/13.htm| title=|Geneva Study Bible| target=|_top|&gt;GSB&lt;/a&gt;</v>
      </c>
      <c r="AE280" s="2" t="str">
        <f t="shared" si="1118"/>
        <v>&lt;/li&gt;&lt;li&gt;&lt;a href=|http://jfb.biblecommenter.com/2_samuel/13.htm| title=|Jamieson-Fausset-Brown Bible Commentary| target=|_top|&gt;JFB&lt;/a&gt;</v>
      </c>
      <c r="AF280" s="2" t="str">
        <f t="shared" si="1118"/>
        <v>&lt;/li&gt;&lt;li&gt;&lt;a href=|http://kjt.biblecommenter.com/2_samuel/13.htm| title=|King James Translators' Notes| target=|_top|&gt;KJT&lt;/a&gt;</v>
      </c>
      <c r="AG280" s="2" t="str">
        <f t="shared" si="1118"/>
        <v>&lt;/li&gt;&lt;li&gt;&lt;a href=|http://mhc.biblecommenter.com/2_samuel/13.htm| title=|Matthew Henry's Concise Commentary| target=|_top|&gt;MHC&lt;/a&gt;</v>
      </c>
      <c r="AH280" s="2" t="str">
        <f t="shared" si="1118"/>
        <v>&lt;/li&gt;&lt;li&gt;&lt;a href=|http://sco.biblecommenter.com/2_samuel/13.htm| title=|Scofield Reference Notes| target=|_top|&gt;SCO&lt;/a&gt;</v>
      </c>
      <c r="AI280" s="2" t="str">
        <f t="shared" si="1118"/>
        <v>&lt;/li&gt;&lt;li&gt;&lt;a href=|http://wes.biblecommenter.com/2_samuel/13.htm| title=|Wesley's Notes on the Bible| target=|_top|&gt;WES&lt;/a&gt;</v>
      </c>
      <c r="AJ280" t="str">
        <f t="shared" si="1118"/>
        <v>&lt;/li&gt;&lt;li&gt;&lt;a href=|http://worldebible.com/2_samuel/13.htm| title=|World English Bible| target=|_top|&gt;WEB&lt;/a&gt;</v>
      </c>
      <c r="AK280" t="str">
        <f t="shared" si="1118"/>
        <v>&lt;/li&gt;&lt;li&gt;&lt;a href=|http://yltbible.com/2_samuel/13.htm| title=|Young's Literal Translation| target=|_top|&gt;YLT&lt;/a&gt;</v>
      </c>
      <c r="AL280" t="str">
        <f>CONCATENATE("&lt;a href=|http://",AL1191,"/2_samuel/13.htm","| ","title=|",AL1190,"| target=|_top|&gt;",AL1192,"&lt;/a&gt;")</f>
        <v>&lt;a href=|http://kjv.us/2_samuel/13.htm| title=|American King James Version| target=|_top|&gt;AKJ&lt;/a&gt;</v>
      </c>
      <c r="AM280" t="str">
        <f t="shared" ref="AM280:AN280" si="1119">CONCATENATE("&lt;/li&gt;&lt;li&gt;&lt;a href=|http://",AM1191,"/2_samuel/13.htm","| ","title=|",AM1190,"| target=|_top|&gt;",AM1192,"&lt;/a&gt;")</f>
        <v>&lt;/li&gt;&lt;li&gt;&lt;a href=|http://basicenglishbible.com/2_samuel/13.htm| title=|Bible in Basic English| target=|_top|&gt;BBE&lt;/a&gt;</v>
      </c>
      <c r="AN280" t="str">
        <f t="shared" si="1119"/>
        <v>&lt;/li&gt;&lt;li&gt;&lt;a href=|http://darbybible.com/2_samuel/13.htm| title=|Darby Bible Translation| target=|_top|&gt;DBY&lt;/a&gt;</v>
      </c>
      <c r="AO28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8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8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80" t="str">
        <f>CONCATENATE("&lt;/li&gt;&lt;li&gt;&lt;a href=|http://",AR1191,"/2_samuel/13.htm","| ","title=|",AR1190,"| target=|_top|&gt;",AR1192,"&lt;/a&gt;")</f>
        <v>&lt;/li&gt;&lt;li&gt;&lt;a href=|http://websterbible.com/2_samuel/13.htm| title=|Webster's Bible Translation| target=|_top|&gt;WBS&lt;/a&gt;</v>
      </c>
      <c r="AS28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80" t="str">
        <f>CONCATENATE("&lt;/li&gt;&lt;li&gt;&lt;a href=|http://",AT1191,"/2_samuel/13-1.htm","| ","title=|",AT1190,"| target=|_top|&gt;",AT1192,"&lt;/a&gt;")</f>
        <v>&lt;/li&gt;&lt;li&gt;&lt;a href=|http://biblebrowser.com/2_samuel/13-1.htm| title=|Split View| target=|_top|&gt;Split&lt;/a&gt;</v>
      </c>
      <c r="AU280" s="2" t="s">
        <v>1276</v>
      </c>
      <c r="AV280" t="s">
        <v>64</v>
      </c>
    </row>
    <row r="281" spans="1:48">
      <c r="A281" t="s">
        <v>622</v>
      </c>
      <c r="B281" t="s">
        <v>334</v>
      </c>
      <c r="C281" t="s">
        <v>624</v>
      </c>
      <c r="D281" t="s">
        <v>1268</v>
      </c>
      <c r="E281" t="s">
        <v>1277</v>
      </c>
      <c r="F281" t="s">
        <v>1304</v>
      </c>
      <c r="G281" t="s">
        <v>1266</v>
      </c>
      <c r="H281" t="s">
        <v>1305</v>
      </c>
      <c r="I281" t="s">
        <v>1303</v>
      </c>
      <c r="J281" t="s">
        <v>1267</v>
      </c>
      <c r="K281" t="s">
        <v>1275</v>
      </c>
      <c r="L281" s="2" t="s">
        <v>1274</v>
      </c>
      <c r="M281" t="str">
        <f t="shared" ref="M281:AB281" si="1120">CONCATENATE("&lt;/li&gt;&lt;li&gt;&lt;a href=|http://",M1191,"/2_samuel/14.htm","| ","title=|",M1190,"| target=|_top|&gt;",M1192,"&lt;/a&gt;")</f>
        <v>&lt;/li&gt;&lt;li&gt;&lt;a href=|http://niv.scripturetext.com/2_samuel/14.htm| title=|New International Version| target=|_top|&gt;NIV&lt;/a&gt;</v>
      </c>
      <c r="N281" t="str">
        <f t="shared" si="1120"/>
        <v>&lt;/li&gt;&lt;li&gt;&lt;a href=|http://nlt.scripturetext.com/2_samuel/14.htm| title=|New Living Translation| target=|_top|&gt;NLT&lt;/a&gt;</v>
      </c>
      <c r="O281" t="str">
        <f t="shared" si="1120"/>
        <v>&lt;/li&gt;&lt;li&gt;&lt;a href=|http://nasb.scripturetext.com/2_samuel/14.htm| title=|New American Standard Bible| target=|_top|&gt;NAS&lt;/a&gt;</v>
      </c>
      <c r="P281" t="str">
        <f t="shared" si="1120"/>
        <v>&lt;/li&gt;&lt;li&gt;&lt;a href=|http://gwt.scripturetext.com/2_samuel/14.htm| title=|God's Word Translation| target=|_top|&gt;GWT&lt;/a&gt;</v>
      </c>
      <c r="Q281" t="str">
        <f t="shared" si="1120"/>
        <v>&lt;/li&gt;&lt;li&gt;&lt;a href=|http://kingjbible.com/2_samuel/14.htm| title=|King James Bible| target=|_top|&gt;KJV&lt;/a&gt;</v>
      </c>
      <c r="R281" t="str">
        <f t="shared" si="1120"/>
        <v>&lt;/li&gt;&lt;li&gt;&lt;a href=|http://asvbible.com/2_samuel/14.htm| title=|American Standard Version| target=|_top|&gt;ASV&lt;/a&gt;</v>
      </c>
      <c r="S281" t="str">
        <f t="shared" si="1120"/>
        <v>&lt;/li&gt;&lt;li&gt;&lt;a href=|http://drb.scripturetext.com/2_samuel/14.htm| title=|Douay-Rheims Bible| target=|_top|&gt;DRB&lt;/a&gt;</v>
      </c>
      <c r="T281" t="str">
        <f t="shared" si="1120"/>
        <v>&lt;/li&gt;&lt;li&gt;&lt;a href=|http://erv.scripturetext.com/2_samuel/14.htm| title=|English Revised Version| target=|_top|&gt;ERV&lt;/a&gt;</v>
      </c>
      <c r="V281" t="str">
        <f>CONCATENATE("&lt;/li&gt;&lt;li&gt;&lt;a href=|http://",V1191,"/2_samuel/14.htm","| ","title=|",V1190,"| target=|_top|&gt;",V1192,"&lt;/a&gt;")</f>
        <v>&lt;/li&gt;&lt;li&gt;&lt;a href=|http://study.interlinearbible.org/2_samuel/14.htm| title=|Hebrew Study Bible| target=|_top|&gt;Heb Study&lt;/a&gt;</v>
      </c>
      <c r="W281" t="str">
        <f t="shared" si="1120"/>
        <v>&lt;/li&gt;&lt;li&gt;&lt;a href=|http://apostolic.interlinearbible.org/2_samuel/14.htm| title=|Apostolic Bible Polyglot Interlinear| target=|_top|&gt;Polyglot&lt;/a&gt;</v>
      </c>
      <c r="X281" t="str">
        <f t="shared" si="1120"/>
        <v>&lt;/li&gt;&lt;li&gt;&lt;a href=|http://interlinearbible.org/2_samuel/14.htm| title=|Interlinear Bible| target=|_top|&gt;Interlin&lt;/a&gt;</v>
      </c>
      <c r="Y281" t="str">
        <f t="shared" ref="Y281" si="1121">CONCATENATE("&lt;/li&gt;&lt;li&gt;&lt;a href=|http://",Y1191,"/2_samuel/14.htm","| ","title=|",Y1190,"| target=|_top|&gt;",Y1192,"&lt;/a&gt;")</f>
        <v>&lt;/li&gt;&lt;li&gt;&lt;a href=|http://bibleoutline.org/2_samuel/14.htm| title=|Outline with People and Places List| target=|_top|&gt;Outline&lt;/a&gt;</v>
      </c>
      <c r="Z281" t="str">
        <f t="shared" si="1120"/>
        <v>&lt;/li&gt;&lt;li&gt;&lt;a href=|http://kjvs.scripturetext.com/2_samuel/14.htm| title=|King James Bible with Strong's Numbers| target=|_top|&gt;Strong's&lt;/a&gt;</v>
      </c>
      <c r="AA281" t="str">
        <f t="shared" si="1120"/>
        <v>&lt;/li&gt;&lt;li&gt;&lt;a href=|http://childrensbibleonline.com/2_samuel/14.htm| title=|The Children's Bible| target=|_top|&gt;Children's&lt;/a&gt;</v>
      </c>
      <c r="AB281" s="2" t="str">
        <f t="shared" si="1120"/>
        <v>&lt;/li&gt;&lt;li&gt;&lt;a href=|http://tsk.scripturetext.com/2_samuel/14.htm| title=|Treasury of Scripture Knowledge| target=|_top|&gt;TSK&lt;/a&gt;</v>
      </c>
      <c r="AC281" t="str">
        <f>CONCATENATE("&lt;a href=|http://",AC1191,"/2_samuel/14.htm","| ","title=|",AC1190,"| target=|_top|&gt;",AC1192,"&lt;/a&gt;")</f>
        <v>&lt;a href=|http://parallelbible.com/2_samuel/14.htm| title=|Parallel Chapters| target=|_top|&gt;PAR&lt;/a&gt;</v>
      </c>
      <c r="AD281" s="2" t="str">
        <f t="shared" ref="AD281:AK281" si="1122">CONCATENATE("&lt;/li&gt;&lt;li&gt;&lt;a href=|http://",AD1191,"/2_samuel/14.htm","| ","title=|",AD1190,"| target=|_top|&gt;",AD1192,"&lt;/a&gt;")</f>
        <v>&lt;/li&gt;&lt;li&gt;&lt;a href=|http://gsb.biblecommenter.com/2_samuel/14.htm| title=|Geneva Study Bible| target=|_top|&gt;GSB&lt;/a&gt;</v>
      </c>
      <c r="AE281" s="2" t="str">
        <f t="shared" si="1122"/>
        <v>&lt;/li&gt;&lt;li&gt;&lt;a href=|http://jfb.biblecommenter.com/2_samuel/14.htm| title=|Jamieson-Fausset-Brown Bible Commentary| target=|_top|&gt;JFB&lt;/a&gt;</v>
      </c>
      <c r="AF281" s="2" t="str">
        <f t="shared" si="1122"/>
        <v>&lt;/li&gt;&lt;li&gt;&lt;a href=|http://kjt.biblecommenter.com/2_samuel/14.htm| title=|King James Translators' Notes| target=|_top|&gt;KJT&lt;/a&gt;</v>
      </c>
      <c r="AG281" s="2" t="str">
        <f t="shared" si="1122"/>
        <v>&lt;/li&gt;&lt;li&gt;&lt;a href=|http://mhc.biblecommenter.com/2_samuel/14.htm| title=|Matthew Henry's Concise Commentary| target=|_top|&gt;MHC&lt;/a&gt;</v>
      </c>
      <c r="AH281" s="2" t="str">
        <f t="shared" si="1122"/>
        <v>&lt;/li&gt;&lt;li&gt;&lt;a href=|http://sco.biblecommenter.com/2_samuel/14.htm| title=|Scofield Reference Notes| target=|_top|&gt;SCO&lt;/a&gt;</v>
      </c>
      <c r="AI281" s="2" t="str">
        <f t="shared" si="1122"/>
        <v>&lt;/li&gt;&lt;li&gt;&lt;a href=|http://wes.biblecommenter.com/2_samuel/14.htm| title=|Wesley's Notes on the Bible| target=|_top|&gt;WES&lt;/a&gt;</v>
      </c>
      <c r="AJ281" t="str">
        <f t="shared" si="1122"/>
        <v>&lt;/li&gt;&lt;li&gt;&lt;a href=|http://worldebible.com/2_samuel/14.htm| title=|World English Bible| target=|_top|&gt;WEB&lt;/a&gt;</v>
      </c>
      <c r="AK281" t="str">
        <f t="shared" si="1122"/>
        <v>&lt;/li&gt;&lt;li&gt;&lt;a href=|http://yltbible.com/2_samuel/14.htm| title=|Young's Literal Translation| target=|_top|&gt;YLT&lt;/a&gt;</v>
      </c>
      <c r="AL281" t="str">
        <f>CONCATENATE("&lt;a href=|http://",AL1191,"/2_samuel/14.htm","| ","title=|",AL1190,"| target=|_top|&gt;",AL1192,"&lt;/a&gt;")</f>
        <v>&lt;a href=|http://kjv.us/2_samuel/14.htm| title=|American King James Version| target=|_top|&gt;AKJ&lt;/a&gt;</v>
      </c>
      <c r="AM281" t="str">
        <f t="shared" ref="AM281:AN281" si="1123">CONCATENATE("&lt;/li&gt;&lt;li&gt;&lt;a href=|http://",AM1191,"/2_samuel/14.htm","| ","title=|",AM1190,"| target=|_top|&gt;",AM1192,"&lt;/a&gt;")</f>
        <v>&lt;/li&gt;&lt;li&gt;&lt;a href=|http://basicenglishbible.com/2_samuel/14.htm| title=|Bible in Basic English| target=|_top|&gt;BBE&lt;/a&gt;</v>
      </c>
      <c r="AN281" t="str">
        <f t="shared" si="1123"/>
        <v>&lt;/li&gt;&lt;li&gt;&lt;a href=|http://darbybible.com/2_samuel/14.htm| title=|Darby Bible Translation| target=|_top|&gt;DBY&lt;/a&gt;</v>
      </c>
      <c r="AO28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8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8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81" t="str">
        <f>CONCATENATE("&lt;/li&gt;&lt;li&gt;&lt;a href=|http://",AR1191,"/2_samuel/14.htm","| ","title=|",AR1190,"| target=|_top|&gt;",AR1192,"&lt;/a&gt;")</f>
        <v>&lt;/li&gt;&lt;li&gt;&lt;a href=|http://websterbible.com/2_samuel/14.htm| title=|Webster's Bible Translation| target=|_top|&gt;WBS&lt;/a&gt;</v>
      </c>
      <c r="AS28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81" t="str">
        <f>CONCATENATE("&lt;/li&gt;&lt;li&gt;&lt;a href=|http://",AT1191,"/2_samuel/14-1.htm","| ","title=|",AT1190,"| target=|_top|&gt;",AT1192,"&lt;/a&gt;")</f>
        <v>&lt;/li&gt;&lt;li&gt;&lt;a href=|http://biblebrowser.com/2_samuel/14-1.htm| title=|Split View| target=|_top|&gt;Split&lt;/a&gt;</v>
      </c>
      <c r="AU281" s="2" t="s">
        <v>1276</v>
      </c>
      <c r="AV281" t="s">
        <v>64</v>
      </c>
    </row>
    <row r="282" spans="1:48">
      <c r="A282" t="s">
        <v>622</v>
      </c>
      <c r="B282" t="s">
        <v>335</v>
      </c>
      <c r="C282" t="s">
        <v>624</v>
      </c>
      <c r="D282" t="s">
        <v>1268</v>
      </c>
      <c r="E282" t="s">
        <v>1277</v>
      </c>
      <c r="F282" t="s">
        <v>1304</v>
      </c>
      <c r="G282" t="s">
        <v>1266</v>
      </c>
      <c r="H282" t="s">
        <v>1305</v>
      </c>
      <c r="I282" t="s">
        <v>1303</v>
      </c>
      <c r="J282" t="s">
        <v>1267</v>
      </c>
      <c r="K282" t="s">
        <v>1275</v>
      </c>
      <c r="L282" s="2" t="s">
        <v>1274</v>
      </c>
      <c r="M282" t="str">
        <f t="shared" ref="M282:AB282" si="1124">CONCATENATE("&lt;/li&gt;&lt;li&gt;&lt;a href=|http://",M1191,"/2_samuel/15.htm","| ","title=|",M1190,"| target=|_top|&gt;",M1192,"&lt;/a&gt;")</f>
        <v>&lt;/li&gt;&lt;li&gt;&lt;a href=|http://niv.scripturetext.com/2_samuel/15.htm| title=|New International Version| target=|_top|&gt;NIV&lt;/a&gt;</v>
      </c>
      <c r="N282" t="str">
        <f t="shared" si="1124"/>
        <v>&lt;/li&gt;&lt;li&gt;&lt;a href=|http://nlt.scripturetext.com/2_samuel/15.htm| title=|New Living Translation| target=|_top|&gt;NLT&lt;/a&gt;</v>
      </c>
      <c r="O282" t="str">
        <f t="shared" si="1124"/>
        <v>&lt;/li&gt;&lt;li&gt;&lt;a href=|http://nasb.scripturetext.com/2_samuel/15.htm| title=|New American Standard Bible| target=|_top|&gt;NAS&lt;/a&gt;</v>
      </c>
      <c r="P282" t="str">
        <f t="shared" si="1124"/>
        <v>&lt;/li&gt;&lt;li&gt;&lt;a href=|http://gwt.scripturetext.com/2_samuel/15.htm| title=|God's Word Translation| target=|_top|&gt;GWT&lt;/a&gt;</v>
      </c>
      <c r="Q282" t="str">
        <f t="shared" si="1124"/>
        <v>&lt;/li&gt;&lt;li&gt;&lt;a href=|http://kingjbible.com/2_samuel/15.htm| title=|King James Bible| target=|_top|&gt;KJV&lt;/a&gt;</v>
      </c>
      <c r="R282" t="str">
        <f t="shared" si="1124"/>
        <v>&lt;/li&gt;&lt;li&gt;&lt;a href=|http://asvbible.com/2_samuel/15.htm| title=|American Standard Version| target=|_top|&gt;ASV&lt;/a&gt;</v>
      </c>
      <c r="S282" t="str">
        <f t="shared" si="1124"/>
        <v>&lt;/li&gt;&lt;li&gt;&lt;a href=|http://drb.scripturetext.com/2_samuel/15.htm| title=|Douay-Rheims Bible| target=|_top|&gt;DRB&lt;/a&gt;</v>
      </c>
      <c r="T282" t="str">
        <f t="shared" si="1124"/>
        <v>&lt;/li&gt;&lt;li&gt;&lt;a href=|http://erv.scripturetext.com/2_samuel/15.htm| title=|English Revised Version| target=|_top|&gt;ERV&lt;/a&gt;</v>
      </c>
      <c r="V282" t="str">
        <f>CONCATENATE("&lt;/li&gt;&lt;li&gt;&lt;a href=|http://",V1191,"/2_samuel/15.htm","| ","title=|",V1190,"| target=|_top|&gt;",V1192,"&lt;/a&gt;")</f>
        <v>&lt;/li&gt;&lt;li&gt;&lt;a href=|http://study.interlinearbible.org/2_samuel/15.htm| title=|Hebrew Study Bible| target=|_top|&gt;Heb Study&lt;/a&gt;</v>
      </c>
      <c r="W282" t="str">
        <f t="shared" si="1124"/>
        <v>&lt;/li&gt;&lt;li&gt;&lt;a href=|http://apostolic.interlinearbible.org/2_samuel/15.htm| title=|Apostolic Bible Polyglot Interlinear| target=|_top|&gt;Polyglot&lt;/a&gt;</v>
      </c>
      <c r="X282" t="str">
        <f t="shared" si="1124"/>
        <v>&lt;/li&gt;&lt;li&gt;&lt;a href=|http://interlinearbible.org/2_samuel/15.htm| title=|Interlinear Bible| target=|_top|&gt;Interlin&lt;/a&gt;</v>
      </c>
      <c r="Y282" t="str">
        <f t="shared" ref="Y282" si="1125">CONCATENATE("&lt;/li&gt;&lt;li&gt;&lt;a href=|http://",Y1191,"/2_samuel/15.htm","| ","title=|",Y1190,"| target=|_top|&gt;",Y1192,"&lt;/a&gt;")</f>
        <v>&lt;/li&gt;&lt;li&gt;&lt;a href=|http://bibleoutline.org/2_samuel/15.htm| title=|Outline with People and Places List| target=|_top|&gt;Outline&lt;/a&gt;</v>
      </c>
      <c r="Z282" t="str">
        <f t="shared" si="1124"/>
        <v>&lt;/li&gt;&lt;li&gt;&lt;a href=|http://kjvs.scripturetext.com/2_samuel/15.htm| title=|King James Bible with Strong's Numbers| target=|_top|&gt;Strong's&lt;/a&gt;</v>
      </c>
      <c r="AA282" t="str">
        <f t="shared" si="1124"/>
        <v>&lt;/li&gt;&lt;li&gt;&lt;a href=|http://childrensbibleonline.com/2_samuel/15.htm| title=|The Children's Bible| target=|_top|&gt;Children's&lt;/a&gt;</v>
      </c>
      <c r="AB282" s="2" t="str">
        <f t="shared" si="1124"/>
        <v>&lt;/li&gt;&lt;li&gt;&lt;a href=|http://tsk.scripturetext.com/2_samuel/15.htm| title=|Treasury of Scripture Knowledge| target=|_top|&gt;TSK&lt;/a&gt;</v>
      </c>
      <c r="AC282" t="str">
        <f>CONCATENATE("&lt;a href=|http://",AC1191,"/2_samuel/15.htm","| ","title=|",AC1190,"| target=|_top|&gt;",AC1192,"&lt;/a&gt;")</f>
        <v>&lt;a href=|http://parallelbible.com/2_samuel/15.htm| title=|Parallel Chapters| target=|_top|&gt;PAR&lt;/a&gt;</v>
      </c>
      <c r="AD282" s="2" t="str">
        <f t="shared" ref="AD282:AK282" si="1126">CONCATENATE("&lt;/li&gt;&lt;li&gt;&lt;a href=|http://",AD1191,"/2_samuel/15.htm","| ","title=|",AD1190,"| target=|_top|&gt;",AD1192,"&lt;/a&gt;")</f>
        <v>&lt;/li&gt;&lt;li&gt;&lt;a href=|http://gsb.biblecommenter.com/2_samuel/15.htm| title=|Geneva Study Bible| target=|_top|&gt;GSB&lt;/a&gt;</v>
      </c>
      <c r="AE282" s="2" t="str">
        <f t="shared" si="1126"/>
        <v>&lt;/li&gt;&lt;li&gt;&lt;a href=|http://jfb.biblecommenter.com/2_samuel/15.htm| title=|Jamieson-Fausset-Brown Bible Commentary| target=|_top|&gt;JFB&lt;/a&gt;</v>
      </c>
      <c r="AF282" s="2" t="str">
        <f t="shared" si="1126"/>
        <v>&lt;/li&gt;&lt;li&gt;&lt;a href=|http://kjt.biblecommenter.com/2_samuel/15.htm| title=|King James Translators' Notes| target=|_top|&gt;KJT&lt;/a&gt;</v>
      </c>
      <c r="AG282" s="2" t="str">
        <f t="shared" si="1126"/>
        <v>&lt;/li&gt;&lt;li&gt;&lt;a href=|http://mhc.biblecommenter.com/2_samuel/15.htm| title=|Matthew Henry's Concise Commentary| target=|_top|&gt;MHC&lt;/a&gt;</v>
      </c>
      <c r="AH282" s="2" t="str">
        <f t="shared" si="1126"/>
        <v>&lt;/li&gt;&lt;li&gt;&lt;a href=|http://sco.biblecommenter.com/2_samuel/15.htm| title=|Scofield Reference Notes| target=|_top|&gt;SCO&lt;/a&gt;</v>
      </c>
      <c r="AI282" s="2" t="str">
        <f t="shared" si="1126"/>
        <v>&lt;/li&gt;&lt;li&gt;&lt;a href=|http://wes.biblecommenter.com/2_samuel/15.htm| title=|Wesley's Notes on the Bible| target=|_top|&gt;WES&lt;/a&gt;</v>
      </c>
      <c r="AJ282" t="str">
        <f t="shared" si="1126"/>
        <v>&lt;/li&gt;&lt;li&gt;&lt;a href=|http://worldebible.com/2_samuel/15.htm| title=|World English Bible| target=|_top|&gt;WEB&lt;/a&gt;</v>
      </c>
      <c r="AK282" t="str">
        <f t="shared" si="1126"/>
        <v>&lt;/li&gt;&lt;li&gt;&lt;a href=|http://yltbible.com/2_samuel/15.htm| title=|Young's Literal Translation| target=|_top|&gt;YLT&lt;/a&gt;</v>
      </c>
      <c r="AL282" t="str">
        <f>CONCATENATE("&lt;a href=|http://",AL1191,"/2_samuel/15.htm","| ","title=|",AL1190,"| target=|_top|&gt;",AL1192,"&lt;/a&gt;")</f>
        <v>&lt;a href=|http://kjv.us/2_samuel/15.htm| title=|American King James Version| target=|_top|&gt;AKJ&lt;/a&gt;</v>
      </c>
      <c r="AM282" t="str">
        <f t="shared" ref="AM282:AN282" si="1127">CONCATENATE("&lt;/li&gt;&lt;li&gt;&lt;a href=|http://",AM1191,"/2_samuel/15.htm","| ","title=|",AM1190,"| target=|_top|&gt;",AM1192,"&lt;/a&gt;")</f>
        <v>&lt;/li&gt;&lt;li&gt;&lt;a href=|http://basicenglishbible.com/2_samuel/15.htm| title=|Bible in Basic English| target=|_top|&gt;BBE&lt;/a&gt;</v>
      </c>
      <c r="AN282" t="str">
        <f t="shared" si="1127"/>
        <v>&lt;/li&gt;&lt;li&gt;&lt;a href=|http://darbybible.com/2_samuel/15.htm| title=|Darby Bible Translation| target=|_top|&gt;DBY&lt;/a&gt;</v>
      </c>
      <c r="AO28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8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8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82" t="str">
        <f>CONCATENATE("&lt;/li&gt;&lt;li&gt;&lt;a href=|http://",AR1191,"/2_samuel/15.htm","| ","title=|",AR1190,"| target=|_top|&gt;",AR1192,"&lt;/a&gt;")</f>
        <v>&lt;/li&gt;&lt;li&gt;&lt;a href=|http://websterbible.com/2_samuel/15.htm| title=|Webster's Bible Translation| target=|_top|&gt;WBS&lt;/a&gt;</v>
      </c>
      <c r="AS28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82" t="str">
        <f>CONCATENATE("&lt;/li&gt;&lt;li&gt;&lt;a href=|http://",AT1191,"/2_samuel/15-1.htm","| ","title=|",AT1190,"| target=|_top|&gt;",AT1192,"&lt;/a&gt;")</f>
        <v>&lt;/li&gt;&lt;li&gt;&lt;a href=|http://biblebrowser.com/2_samuel/15-1.htm| title=|Split View| target=|_top|&gt;Split&lt;/a&gt;</v>
      </c>
      <c r="AU282" s="2" t="s">
        <v>1276</v>
      </c>
      <c r="AV282" t="s">
        <v>64</v>
      </c>
    </row>
    <row r="283" spans="1:48">
      <c r="A283" t="s">
        <v>622</v>
      </c>
      <c r="B283" t="s">
        <v>336</v>
      </c>
      <c r="C283" t="s">
        <v>624</v>
      </c>
      <c r="D283" t="s">
        <v>1268</v>
      </c>
      <c r="E283" t="s">
        <v>1277</v>
      </c>
      <c r="F283" t="s">
        <v>1304</v>
      </c>
      <c r="G283" t="s">
        <v>1266</v>
      </c>
      <c r="H283" t="s">
        <v>1305</v>
      </c>
      <c r="I283" t="s">
        <v>1303</v>
      </c>
      <c r="J283" t="s">
        <v>1267</v>
      </c>
      <c r="K283" t="s">
        <v>1275</v>
      </c>
      <c r="L283" s="2" t="s">
        <v>1274</v>
      </c>
      <c r="M283" t="str">
        <f t="shared" ref="M283:AB283" si="1128">CONCATENATE("&lt;/li&gt;&lt;li&gt;&lt;a href=|http://",M1191,"/2_samuel/16.htm","| ","title=|",M1190,"| target=|_top|&gt;",M1192,"&lt;/a&gt;")</f>
        <v>&lt;/li&gt;&lt;li&gt;&lt;a href=|http://niv.scripturetext.com/2_samuel/16.htm| title=|New International Version| target=|_top|&gt;NIV&lt;/a&gt;</v>
      </c>
      <c r="N283" t="str">
        <f t="shared" si="1128"/>
        <v>&lt;/li&gt;&lt;li&gt;&lt;a href=|http://nlt.scripturetext.com/2_samuel/16.htm| title=|New Living Translation| target=|_top|&gt;NLT&lt;/a&gt;</v>
      </c>
      <c r="O283" t="str">
        <f t="shared" si="1128"/>
        <v>&lt;/li&gt;&lt;li&gt;&lt;a href=|http://nasb.scripturetext.com/2_samuel/16.htm| title=|New American Standard Bible| target=|_top|&gt;NAS&lt;/a&gt;</v>
      </c>
      <c r="P283" t="str">
        <f t="shared" si="1128"/>
        <v>&lt;/li&gt;&lt;li&gt;&lt;a href=|http://gwt.scripturetext.com/2_samuel/16.htm| title=|God's Word Translation| target=|_top|&gt;GWT&lt;/a&gt;</v>
      </c>
      <c r="Q283" t="str">
        <f t="shared" si="1128"/>
        <v>&lt;/li&gt;&lt;li&gt;&lt;a href=|http://kingjbible.com/2_samuel/16.htm| title=|King James Bible| target=|_top|&gt;KJV&lt;/a&gt;</v>
      </c>
      <c r="R283" t="str">
        <f t="shared" si="1128"/>
        <v>&lt;/li&gt;&lt;li&gt;&lt;a href=|http://asvbible.com/2_samuel/16.htm| title=|American Standard Version| target=|_top|&gt;ASV&lt;/a&gt;</v>
      </c>
      <c r="S283" t="str">
        <f t="shared" si="1128"/>
        <v>&lt;/li&gt;&lt;li&gt;&lt;a href=|http://drb.scripturetext.com/2_samuel/16.htm| title=|Douay-Rheims Bible| target=|_top|&gt;DRB&lt;/a&gt;</v>
      </c>
      <c r="T283" t="str">
        <f t="shared" si="1128"/>
        <v>&lt;/li&gt;&lt;li&gt;&lt;a href=|http://erv.scripturetext.com/2_samuel/16.htm| title=|English Revised Version| target=|_top|&gt;ERV&lt;/a&gt;</v>
      </c>
      <c r="V283" t="str">
        <f>CONCATENATE("&lt;/li&gt;&lt;li&gt;&lt;a href=|http://",V1191,"/2_samuel/16.htm","| ","title=|",V1190,"| target=|_top|&gt;",V1192,"&lt;/a&gt;")</f>
        <v>&lt;/li&gt;&lt;li&gt;&lt;a href=|http://study.interlinearbible.org/2_samuel/16.htm| title=|Hebrew Study Bible| target=|_top|&gt;Heb Study&lt;/a&gt;</v>
      </c>
      <c r="W283" t="str">
        <f t="shared" si="1128"/>
        <v>&lt;/li&gt;&lt;li&gt;&lt;a href=|http://apostolic.interlinearbible.org/2_samuel/16.htm| title=|Apostolic Bible Polyglot Interlinear| target=|_top|&gt;Polyglot&lt;/a&gt;</v>
      </c>
      <c r="X283" t="str">
        <f t="shared" si="1128"/>
        <v>&lt;/li&gt;&lt;li&gt;&lt;a href=|http://interlinearbible.org/2_samuel/16.htm| title=|Interlinear Bible| target=|_top|&gt;Interlin&lt;/a&gt;</v>
      </c>
      <c r="Y283" t="str">
        <f t="shared" ref="Y283" si="1129">CONCATENATE("&lt;/li&gt;&lt;li&gt;&lt;a href=|http://",Y1191,"/2_samuel/16.htm","| ","title=|",Y1190,"| target=|_top|&gt;",Y1192,"&lt;/a&gt;")</f>
        <v>&lt;/li&gt;&lt;li&gt;&lt;a href=|http://bibleoutline.org/2_samuel/16.htm| title=|Outline with People and Places List| target=|_top|&gt;Outline&lt;/a&gt;</v>
      </c>
      <c r="Z283" t="str">
        <f t="shared" si="1128"/>
        <v>&lt;/li&gt;&lt;li&gt;&lt;a href=|http://kjvs.scripturetext.com/2_samuel/16.htm| title=|King James Bible with Strong's Numbers| target=|_top|&gt;Strong's&lt;/a&gt;</v>
      </c>
      <c r="AA283" t="str">
        <f t="shared" si="1128"/>
        <v>&lt;/li&gt;&lt;li&gt;&lt;a href=|http://childrensbibleonline.com/2_samuel/16.htm| title=|The Children's Bible| target=|_top|&gt;Children's&lt;/a&gt;</v>
      </c>
      <c r="AB283" s="2" t="str">
        <f t="shared" si="1128"/>
        <v>&lt;/li&gt;&lt;li&gt;&lt;a href=|http://tsk.scripturetext.com/2_samuel/16.htm| title=|Treasury of Scripture Knowledge| target=|_top|&gt;TSK&lt;/a&gt;</v>
      </c>
      <c r="AC283" t="str">
        <f>CONCATENATE("&lt;a href=|http://",AC1191,"/2_samuel/16.htm","| ","title=|",AC1190,"| target=|_top|&gt;",AC1192,"&lt;/a&gt;")</f>
        <v>&lt;a href=|http://parallelbible.com/2_samuel/16.htm| title=|Parallel Chapters| target=|_top|&gt;PAR&lt;/a&gt;</v>
      </c>
      <c r="AD283" s="2" t="str">
        <f t="shared" ref="AD283:AK283" si="1130">CONCATENATE("&lt;/li&gt;&lt;li&gt;&lt;a href=|http://",AD1191,"/2_samuel/16.htm","| ","title=|",AD1190,"| target=|_top|&gt;",AD1192,"&lt;/a&gt;")</f>
        <v>&lt;/li&gt;&lt;li&gt;&lt;a href=|http://gsb.biblecommenter.com/2_samuel/16.htm| title=|Geneva Study Bible| target=|_top|&gt;GSB&lt;/a&gt;</v>
      </c>
      <c r="AE283" s="2" t="str">
        <f t="shared" si="1130"/>
        <v>&lt;/li&gt;&lt;li&gt;&lt;a href=|http://jfb.biblecommenter.com/2_samuel/16.htm| title=|Jamieson-Fausset-Brown Bible Commentary| target=|_top|&gt;JFB&lt;/a&gt;</v>
      </c>
      <c r="AF283" s="2" t="str">
        <f t="shared" si="1130"/>
        <v>&lt;/li&gt;&lt;li&gt;&lt;a href=|http://kjt.biblecommenter.com/2_samuel/16.htm| title=|King James Translators' Notes| target=|_top|&gt;KJT&lt;/a&gt;</v>
      </c>
      <c r="AG283" s="2" t="str">
        <f t="shared" si="1130"/>
        <v>&lt;/li&gt;&lt;li&gt;&lt;a href=|http://mhc.biblecommenter.com/2_samuel/16.htm| title=|Matthew Henry's Concise Commentary| target=|_top|&gt;MHC&lt;/a&gt;</v>
      </c>
      <c r="AH283" s="2" t="str">
        <f t="shared" si="1130"/>
        <v>&lt;/li&gt;&lt;li&gt;&lt;a href=|http://sco.biblecommenter.com/2_samuel/16.htm| title=|Scofield Reference Notes| target=|_top|&gt;SCO&lt;/a&gt;</v>
      </c>
      <c r="AI283" s="2" t="str">
        <f t="shared" si="1130"/>
        <v>&lt;/li&gt;&lt;li&gt;&lt;a href=|http://wes.biblecommenter.com/2_samuel/16.htm| title=|Wesley's Notes on the Bible| target=|_top|&gt;WES&lt;/a&gt;</v>
      </c>
      <c r="AJ283" t="str">
        <f t="shared" si="1130"/>
        <v>&lt;/li&gt;&lt;li&gt;&lt;a href=|http://worldebible.com/2_samuel/16.htm| title=|World English Bible| target=|_top|&gt;WEB&lt;/a&gt;</v>
      </c>
      <c r="AK283" t="str">
        <f t="shared" si="1130"/>
        <v>&lt;/li&gt;&lt;li&gt;&lt;a href=|http://yltbible.com/2_samuel/16.htm| title=|Young's Literal Translation| target=|_top|&gt;YLT&lt;/a&gt;</v>
      </c>
      <c r="AL283" t="str">
        <f>CONCATENATE("&lt;a href=|http://",AL1191,"/2_samuel/16.htm","| ","title=|",AL1190,"| target=|_top|&gt;",AL1192,"&lt;/a&gt;")</f>
        <v>&lt;a href=|http://kjv.us/2_samuel/16.htm| title=|American King James Version| target=|_top|&gt;AKJ&lt;/a&gt;</v>
      </c>
      <c r="AM283" t="str">
        <f t="shared" ref="AM283:AN283" si="1131">CONCATENATE("&lt;/li&gt;&lt;li&gt;&lt;a href=|http://",AM1191,"/2_samuel/16.htm","| ","title=|",AM1190,"| target=|_top|&gt;",AM1192,"&lt;/a&gt;")</f>
        <v>&lt;/li&gt;&lt;li&gt;&lt;a href=|http://basicenglishbible.com/2_samuel/16.htm| title=|Bible in Basic English| target=|_top|&gt;BBE&lt;/a&gt;</v>
      </c>
      <c r="AN283" t="str">
        <f t="shared" si="1131"/>
        <v>&lt;/li&gt;&lt;li&gt;&lt;a href=|http://darbybible.com/2_samuel/16.htm| title=|Darby Bible Translation| target=|_top|&gt;DBY&lt;/a&gt;</v>
      </c>
      <c r="AO28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8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8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83" t="str">
        <f>CONCATENATE("&lt;/li&gt;&lt;li&gt;&lt;a href=|http://",AR1191,"/2_samuel/16.htm","| ","title=|",AR1190,"| target=|_top|&gt;",AR1192,"&lt;/a&gt;")</f>
        <v>&lt;/li&gt;&lt;li&gt;&lt;a href=|http://websterbible.com/2_samuel/16.htm| title=|Webster's Bible Translation| target=|_top|&gt;WBS&lt;/a&gt;</v>
      </c>
      <c r="AS28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83" t="str">
        <f>CONCATENATE("&lt;/li&gt;&lt;li&gt;&lt;a href=|http://",AT1191,"/2_samuel/16-1.htm","| ","title=|",AT1190,"| target=|_top|&gt;",AT1192,"&lt;/a&gt;")</f>
        <v>&lt;/li&gt;&lt;li&gt;&lt;a href=|http://biblebrowser.com/2_samuel/16-1.htm| title=|Split View| target=|_top|&gt;Split&lt;/a&gt;</v>
      </c>
      <c r="AU283" s="2" t="s">
        <v>1276</v>
      </c>
      <c r="AV283" t="s">
        <v>64</v>
      </c>
    </row>
    <row r="284" spans="1:48">
      <c r="A284" t="s">
        <v>622</v>
      </c>
      <c r="B284" t="s">
        <v>337</v>
      </c>
      <c r="C284" t="s">
        <v>624</v>
      </c>
      <c r="D284" t="s">
        <v>1268</v>
      </c>
      <c r="E284" t="s">
        <v>1277</v>
      </c>
      <c r="F284" t="s">
        <v>1304</v>
      </c>
      <c r="G284" t="s">
        <v>1266</v>
      </c>
      <c r="H284" t="s">
        <v>1305</v>
      </c>
      <c r="I284" t="s">
        <v>1303</v>
      </c>
      <c r="J284" t="s">
        <v>1267</v>
      </c>
      <c r="K284" t="s">
        <v>1275</v>
      </c>
      <c r="L284" s="2" t="s">
        <v>1274</v>
      </c>
      <c r="M284" t="str">
        <f t="shared" ref="M284:AB284" si="1132">CONCATENATE("&lt;/li&gt;&lt;li&gt;&lt;a href=|http://",M1191,"/2_samuel/17.htm","| ","title=|",M1190,"| target=|_top|&gt;",M1192,"&lt;/a&gt;")</f>
        <v>&lt;/li&gt;&lt;li&gt;&lt;a href=|http://niv.scripturetext.com/2_samuel/17.htm| title=|New International Version| target=|_top|&gt;NIV&lt;/a&gt;</v>
      </c>
      <c r="N284" t="str">
        <f t="shared" si="1132"/>
        <v>&lt;/li&gt;&lt;li&gt;&lt;a href=|http://nlt.scripturetext.com/2_samuel/17.htm| title=|New Living Translation| target=|_top|&gt;NLT&lt;/a&gt;</v>
      </c>
      <c r="O284" t="str">
        <f t="shared" si="1132"/>
        <v>&lt;/li&gt;&lt;li&gt;&lt;a href=|http://nasb.scripturetext.com/2_samuel/17.htm| title=|New American Standard Bible| target=|_top|&gt;NAS&lt;/a&gt;</v>
      </c>
      <c r="P284" t="str">
        <f t="shared" si="1132"/>
        <v>&lt;/li&gt;&lt;li&gt;&lt;a href=|http://gwt.scripturetext.com/2_samuel/17.htm| title=|God's Word Translation| target=|_top|&gt;GWT&lt;/a&gt;</v>
      </c>
      <c r="Q284" t="str">
        <f t="shared" si="1132"/>
        <v>&lt;/li&gt;&lt;li&gt;&lt;a href=|http://kingjbible.com/2_samuel/17.htm| title=|King James Bible| target=|_top|&gt;KJV&lt;/a&gt;</v>
      </c>
      <c r="R284" t="str">
        <f t="shared" si="1132"/>
        <v>&lt;/li&gt;&lt;li&gt;&lt;a href=|http://asvbible.com/2_samuel/17.htm| title=|American Standard Version| target=|_top|&gt;ASV&lt;/a&gt;</v>
      </c>
      <c r="S284" t="str">
        <f t="shared" si="1132"/>
        <v>&lt;/li&gt;&lt;li&gt;&lt;a href=|http://drb.scripturetext.com/2_samuel/17.htm| title=|Douay-Rheims Bible| target=|_top|&gt;DRB&lt;/a&gt;</v>
      </c>
      <c r="T284" t="str">
        <f t="shared" si="1132"/>
        <v>&lt;/li&gt;&lt;li&gt;&lt;a href=|http://erv.scripturetext.com/2_samuel/17.htm| title=|English Revised Version| target=|_top|&gt;ERV&lt;/a&gt;</v>
      </c>
      <c r="V284" t="str">
        <f>CONCATENATE("&lt;/li&gt;&lt;li&gt;&lt;a href=|http://",V1191,"/2_samuel/17.htm","| ","title=|",V1190,"| target=|_top|&gt;",V1192,"&lt;/a&gt;")</f>
        <v>&lt;/li&gt;&lt;li&gt;&lt;a href=|http://study.interlinearbible.org/2_samuel/17.htm| title=|Hebrew Study Bible| target=|_top|&gt;Heb Study&lt;/a&gt;</v>
      </c>
      <c r="W284" t="str">
        <f t="shared" si="1132"/>
        <v>&lt;/li&gt;&lt;li&gt;&lt;a href=|http://apostolic.interlinearbible.org/2_samuel/17.htm| title=|Apostolic Bible Polyglot Interlinear| target=|_top|&gt;Polyglot&lt;/a&gt;</v>
      </c>
      <c r="X284" t="str">
        <f t="shared" si="1132"/>
        <v>&lt;/li&gt;&lt;li&gt;&lt;a href=|http://interlinearbible.org/2_samuel/17.htm| title=|Interlinear Bible| target=|_top|&gt;Interlin&lt;/a&gt;</v>
      </c>
      <c r="Y284" t="str">
        <f t="shared" ref="Y284" si="1133">CONCATENATE("&lt;/li&gt;&lt;li&gt;&lt;a href=|http://",Y1191,"/2_samuel/17.htm","| ","title=|",Y1190,"| target=|_top|&gt;",Y1192,"&lt;/a&gt;")</f>
        <v>&lt;/li&gt;&lt;li&gt;&lt;a href=|http://bibleoutline.org/2_samuel/17.htm| title=|Outline with People and Places List| target=|_top|&gt;Outline&lt;/a&gt;</v>
      </c>
      <c r="Z284" t="str">
        <f t="shared" si="1132"/>
        <v>&lt;/li&gt;&lt;li&gt;&lt;a href=|http://kjvs.scripturetext.com/2_samuel/17.htm| title=|King James Bible with Strong's Numbers| target=|_top|&gt;Strong's&lt;/a&gt;</v>
      </c>
      <c r="AA284" t="str">
        <f t="shared" si="1132"/>
        <v>&lt;/li&gt;&lt;li&gt;&lt;a href=|http://childrensbibleonline.com/2_samuel/17.htm| title=|The Children's Bible| target=|_top|&gt;Children's&lt;/a&gt;</v>
      </c>
      <c r="AB284" s="2" t="str">
        <f t="shared" si="1132"/>
        <v>&lt;/li&gt;&lt;li&gt;&lt;a href=|http://tsk.scripturetext.com/2_samuel/17.htm| title=|Treasury of Scripture Knowledge| target=|_top|&gt;TSK&lt;/a&gt;</v>
      </c>
      <c r="AC284" t="str">
        <f>CONCATENATE("&lt;a href=|http://",AC1191,"/2_samuel/17.htm","| ","title=|",AC1190,"| target=|_top|&gt;",AC1192,"&lt;/a&gt;")</f>
        <v>&lt;a href=|http://parallelbible.com/2_samuel/17.htm| title=|Parallel Chapters| target=|_top|&gt;PAR&lt;/a&gt;</v>
      </c>
      <c r="AD284" s="2" t="str">
        <f t="shared" ref="AD284:AK284" si="1134">CONCATENATE("&lt;/li&gt;&lt;li&gt;&lt;a href=|http://",AD1191,"/2_samuel/17.htm","| ","title=|",AD1190,"| target=|_top|&gt;",AD1192,"&lt;/a&gt;")</f>
        <v>&lt;/li&gt;&lt;li&gt;&lt;a href=|http://gsb.biblecommenter.com/2_samuel/17.htm| title=|Geneva Study Bible| target=|_top|&gt;GSB&lt;/a&gt;</v>
      </c>
      <c r="AE284" s="2" t="str">
        <f t="shared" si="1134"/>
        <v>&lt;/li&gt;&lt;li&gt;&lt;a href=|http://jfb.biblecommenter.com/2_samuel/17.htm| title=|Jamieson-Fausset-Brown Bible Commentary| target=|_top|&gt;JFB&lt;/a&gt;</v>
      </c>
      <c r="AF284" s="2" t="str">
        <f t="shared" si="1134"/>
        <v>&lt;/li&gt;&lt;li&gt;&lt;a href=|http://kjt.biblecommenter.com/2_samuel/17.htm| title=|King James Translators' Notes| target=|_top|&gt;KJT&lt;/a&gt;</v>
      </c>
      <c r="AG284" s="2" t="str">
        <f t="shared" si="1134"/>
        <v>&lt;/li&gt;&lt;li&gt;&lt;a href=|http://mhc.biblecommenter.com/2_samuel/17.htm| title=|Matthew Henry's Concise Commentary| target=|_top|&gt;MHC&lt;/a&gt;</v>
      </c>
      <c r="AH284" s="2" t="str">
        <f t="shared" si="1134"/>
        <v>&lt;/li&gt;&lt;li&gt;&lt;a href=|http://sco.biblecommenter.com/2_samuel/17.htm| title=|Scofield Reference Notes| target=|_top|&gt;SCO&lt;/a&gt;</v>
      </c>
      <c r="AI284" s="2" t="str">
        <f t="shared" si="1134"/>
        <v>&lt;/li&gt;&lt;li&gt;&lt;a href=|http://wes.biblecommenter.com/2_samuel/17.htm| title=|Wesley's Notes on the Bible| target=|_top|&gt;WES&lt;/a&gt;</v>
      </c>
      <c r="AJ284" t="str">
        <f t="shared" si="1134"/>
        <v>&lt;/li&gt;&lt;li&gt;&lt;a href=|http://worldebible.com/2_samuel/17.htm| title=|World English Bible| target=|_top|&gt;WEB&lt;/a&gt;</v>
      </c>
      <c r="AK284" t="str">
        <f t="shared" si="1134"/>
        <v>&lt;/li&gt;&lt;li&gt;&lt;a href=|http://yltbible.com/2_samuel/17.htm| title=|Young's Literal Translation| target=|_top|&gt;YLT&lt;/a&gt;</v>
      </c>
      <c r="AL284" t="str">
        <f>CONCATENATE("&lt;a href=|http://",AL1191,"/2_samuel/17.htm","| ","title=|",AL1190,"| target=|_top|&gt;",AL1192,"&lt;/a&gt;")</f>
        <v>&lt;a href=|http://kjv.us/2_samuel/17.htm| title=|American King James Version| target=|_top|&gt;AKJ&lt;/a&gt;</v>
      </c>
      <c r="AM284" t="str">
        <f t="shared" ref="AM284:AN284" si="1135">CONCATENATE("&lt;/li&gt;&lt;li&gt;&lt;a href=|http://",AM1191,"/2_samuel/17.htm","| ","title=|",AM1190,"| target=|_top|&gt;",AM1192,"&lt;/a&gt;")</f>
        <v>&lt;/li&gt;&lt;li&gt;&lt;a href=|http://basicenglishbible.com/2_samuel/17.htm| title=|Bible in Basic English| target=|_top|&gt;BBE&lt;/a&gt;</v>
      </c>
      <c r="AN284" t="str">
        <f t="shared" si="1135"/>
        <v>&lt;/li&gt;&lt;li&gt;&lt;a href=|http://darbybible.com/2_samuel/17.htm| title=|Darby Bible Translation| target=|_top|&gt;DBY&lt;/a&gt;</v>
      </c>
      <c r="AO28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8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8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84" t="str">
        <f>CONCATENATE("&lt;/li&gt;&lt;li&gt;&lt;a href=|http://",AR1191,"/2_samuel/17.htm","| ","title=|",AR1190,"| target=|_top|&gt;",AR1192,"&lt;/a&gt;")</f>
        <v>&lt;/li&gt;&lt;li&gt;&lt;a href=|http://websterbible.com/2_samuel/17.htm| title=|Webster's Bible Translation| target=|_top|&gt;WBS&lt;/a&gt;</v>
      </c>
      <c r="AS28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84" t="str">
        <f>CONCATENATE("&lt;/li&gt;&lt;li&gt;&lt;a href=|http://",AT1191,"/2_samuel/17-1.htm","| ","title=|",AT1190,"| target=|_top|&gt;",AT1192,"&lt;/a&gt;")</f>
        <v>&lt;/li&gt;&lt;li&gt;&lt;a href=|http://biblebrowser.com/2_samuel/17-1.htm| title=|Split View| target=|_top|&gt;Split&lt;/a&gt;</v>
      </c>
      <c r="AU284" s="2" t="s">
        <v>1276</v>
      </c>
      <c r="AV284" t="s">
        <v>64</v>
      </c>
    </row>
    <row r="285" spans="1:48">
      <c r="A285" t="s">
        <v>622</v>
      </c>
      <c r="B285" t="s">
        <v>338</v>
      </c>
      <c r="C285" t="s">
        <v>624</v>
      </c>
      <c r="D285" t="s">
        <v>1268</v>
      </c>
      <c r="E285" t="s">
        <v>1277</v>
      </c>
      <c r="F285" t="s">
        <v>1304</v>
      </c>
      <c r="G285" t="s">
        <v>1266</v>
      </c>
      <c r="H285" t="s">
        <v>1305</v>
      </c>
      <c r="I285" t="s">
        <v>1303</v>
      </c>
      <c r="J285" t="s">
        <v>1267</v>
      </c>
      <c r="K285" t="s">
        <v>1275</v>
      </c>
      <c r="L285" s="2" t="s">
        <v>1274</v>
      </c>
      <c r="M285" t="str">
        <f t="shared" ref="M285:AB285" si="1136">CONCATENATE("&lt;/li&gt;&lt;li&gt;&lt;a href=|http://",M1191,"/2_samuel/18.htm","| ","title=|",M1190,"| target=|_top|&gt;",M1192,"&lt;/a&gt;")</f>
        <v>&lt;/li&gt;&lt;li&gt;&lt;a href=|http://niv.scripturetext.com/2_samuel/18.htm| title=|New International Version| target=|_top|&gt;NIV&lt;/a&gt;</v>
      </c>
      <c r="N285" t="str">
        <f t="shared" si="1136"/>
        <v>&lt;/li&gt;&lt;li&gt;&lt;a href=|http://nlt.scripturetext.com/2_samuel/18.htm| title=|New Living Translation| target=|_top|&gt;NLT&lt;/a&gt;</v>
      </c>
      <c r="O285" t="str">
        <f t="shared" si="1136"/>
        <v>&lt;/li&gt;&lt;li&gt;&lt;a href=|http://nasb.scripturetext.com/2_samuel/18.htm| title=|New American Standard Bible| target=|_top|&gt;NAS&lt;/a&gt;</v>
      </c>
      <c r="P285" t="str">
        <f t="shared" si="1136"/>
        <v>&lt;/li&gt;&lt;li&gt;&lt;a href=|http://gwt.scripturetext.com/2_samuel/18.htm| title=|God's Word Translation| target=|_top|&gt;GWT&lt;/a&gt;</v>
      </c>
      <c r="Q285" t="str">
        <f t="shared" si="1136"/>
        <v>&lt;/li&gt;&lt;li&gt;&lt;a href=|http://kingjbible.com/2_samuel/18.htm| title=|King James Bible| target=|_top|&gt;KJV&lt;/a&gt;</v>
      </c>
      <c r="R285" t="str">
        <f t="shared" si="1136"/>
        <v>&lt;/li&gt;&lt;li&gt;&lt;a href=|http://asvbible.com/2_samuel/18.htm| title=|American Standard Version| target=|_top|&gt;ASV&lt;/a&gt;</v>
      </c>
      <c r="S285" t="str">
        <f t="shared" si="1136"/>
        <v>&lt;/li&gt;&lt;li&gt;&lt;a href=|http://drb.scripturetext.com/2_samuel/18.htm| title=|Douay-Rheims Bible| target=|_top|&gt;DRB&lt;/a&gt;</v>
      </c>
      <c r="T285" t="str">
        <f t="shared" si="1136"/>
        <v>&lt;/li&gt;&lt;li&gt;&lt;a href=|http://erv.scripturetext.com/2_samuel/18.htm| title=|English Revised Version| target=|_top|&gt;ERV&lt;/a&gt;</v>
      </c>
      <c r="V285" t="str">
        <f>CONCATENATE("&lt;/li&gt;&lt;li&gt;&lt;a href=|http://",V1191,"/2_samuel/18.htm","| ","title=|",V1190,"| target=|_top|&gt;",V1192,"&lt;/a&gt;")</f>
        <v>&lt;/li&gt;&lt;li&gt;&lt;a href=|http://study.interlinearbible.org/2_samuel/18.htm| title=|Hebrew Study Bible| target=|_top|&gt;Heb Study&lt;/a&gt;</v>
      </c>
      <c r="W285" t="str">
        <f t="shared" si="1136"/>
        <v>&lt;/li&gt;&lt;li&gt;&lt;a href=|http://apostolic.interlinearbible.org/2_samuel/18.htm| title=|Apostolic Bible Polyglot Interlinear| target=|_top|&gt;Polyglot&lt;/a&gt;</v>
      </c>
      <c r="X285" t="str">
        <f t="shared" si="1136"/>
        <v>&lt;/li&gt;&lt;li&gt;&lt;a href=|http://interlinearbible.org/2_samuel/18.htm| title=|Interlinear Bible| target=|_top|&gt;Interlin&lt;/a&gt;</v>
      </c>
      <c r="Y285" t="str">
        <f t="shared" ref="Y285" si="1137">CONCATENATE("&lt;/li&gt;&lt;li&gt;&lt;a href=|http://",Y1191,"/2_samuel/18.htm","| ","title=|",Y1190,"| target=|_top|&gt;",Y1192,"&lt;/a&gt;")</f>
        <v>&lt;/li&gt;&lt;li&gt;&lt;a href=|http://bibleoutline.org/2_samuel/18.htm| title=|Outline with People and Places List| target=|_top|&gt;Outline&lt;/a&gt;</v>
      </c>
      <c r="Z285" t="str">
        <f t="shared" si="1136"/>
        <v>&lt;/li&gt;&lt;li&gt;&lt;a href=|http://kjvs.scripturetext.com/2_samuel/18.htm| title=|King James Bible with Strong's Numbers| target=|_top|&gt;Strong's&lt;/a&gt;</v>
      </c>
      <c r="AA285" t="str">
        <f t="shared" si="1136"/>
        <v>&lt;/li&gt;&lt;li&gt;&lt;a href=|http://childrensbibleonline.com/2_samuel/18.htm| title=|The Children's Bible| target=|_top|&gt;Children's&lt;/a&gt;</v>
      </c>
      <c r="AB285" s="2" t="str">
        <f t="shared" si="1136"/>
        <v>&lt;/li&gt;&lt;li&gt;&lt;a href=|http://tsk.scripturetext.com/2_samuel/18.htm| title=|Treasury of Scripture Knowledge| target=|_top|&gt;TSK&lt;/a&gt;</v>
      </c>
      <c r="AC285" t="str">
        <f>CONCATENATE("&lt;a href=|http://",AC1191,"/2_samuel/18.htm","| ","title=|",AC1190,"| target=|_top|&gt;",AC1192,"&lt;/a&gt;")</f>
        <v>&lt;a href=|http://parallelbible.com/2_samuel/18.htm| title=|Parallel Chapters| target=|_top|&gt;PAR&lt;/a&gt;</v>
      </c>
      <c r="AD285" s="2" t="str">
        <f t="shared" ref="AD285:AK285" si="1138">CONCATENATE("&lt;/li&gt;&lt;li&gt;&lt;a href=|http://",AD1191,"/2_samuel/18.htm","| ","title=|",AD1190,"| target=|_top|&gt;",AD1192,"&lt;/a&gt;")</f>
        <v>&lt;/li&gt;&lt;li&gt;&lt;a href=|http://gsb.biblecommenter.com/2_samuel/18.htm| title=|Geneva Study Bible| target=|_top|&gt;GSB&lt;/a&gt;</v>
      </c>
      <c r="AE285" s="2" t="str">
        <f t="shared" si="1138"/>
        <v>&lt;/li&gt;&lt;li&gt;&lt;a href=|http://jfb.biblecommenter.com/2_samuel/18.htm| title=|Jamieson-Fausset-Brown Bible Commentary| target=|_top|&gt;JFB&lt;/a&gt;</v>
      </c>
      <c r="AF285" s="2" t="str">
        <f t="shared" si="1138"/>
        <v>&lt;/li&gt;&lt;li&gt;&lt;a href=|http://kjt.biblecommenter.com/2_samuel/18.htm| title=|King James Translators' Notes| target=|_top|&gt;KJT&lt;/a&gt;</v>
      </c>
      <c r="AG285" s="2" t="str">
        <f t="shared" si="1138"/>
        <v>&lt;/li&gt;&lt;li&gt;&lt;a href=|http://mhc.biblecommenter.com/2_samuel/18.htm| title=|Matthew Henry's Concise Commentary| target=|_top|&gt;MHC&lt;/a&gt;</v>
      </c>
      <c r="AH285" s="2" t="str">
        <f t="shared" si="1138"/>
        <v>&lt;/li&gt;&lt;li&gt;&lt;a href=|http://sco.biblecommenter.com/2_samuel/18.htm| title=|Scofield Reference Notes| target=|_top|&gt;SCO&lt;/a&gt;</v>
      </c>
      <c r="AI285" s="2" t="str">
        <f t="shared" si="1138"/>
        <v>&lt;/li&gt;&lt;li&gt;&lt;a href=|http://wes.biblecommenter.com/2_samuel/18.htm| title=|Wesley's Notes on the Bible| target=|_top|&gt;WES&lt;/a&gt;</v>
      </c>
      <c r="AJ285" t="str">
        <f t="shared" si="1138"/>
        <v>&lt;/li&gt;&lt;li&gt;&lt;a href=|http://worldebible.com/2_samuel/18.htm| title=|World English Bible| target=|_top|&gt;WEB&lt;/a&gt;</v>
      </c>
      <c r="AK285" t="str">
        <f t="shared" si="1138"/>
        <v>&lt;/li&gt;&lt;li&gt;&lt;a href=|http://yltbible.com/2_samuel/18.htm| title=|Young's Literal Translation| target=|_top|&gt;YLT&lt;/a&gt;</v>
      </c>
      <c r="AL285" t="str">
        <f>CONCATENATE("&lt;a href=|http://",AL1191,"/2_samuel/18.htm","| ","title=|",AL1190,"| target=|_top|&gt;",AL1192,"&lt;/a&gt;")</f>
        <v>&lt;a href=|http://kjv.us/2_samuel/18.htm| title=|American King James Version| target=|_top|&gt;AKJ&lt;/a&gt;</v>
      </c>
      <c r="AM285" t="str">
        <f t="shared" ref="AM285:AN285" si="1139">CONCATENATE("&lt;/li&gt;&lt;li&gt;&lt;a href=|http://",AM1191,"/2_samuel/18.htm","| ","title=|",AM1190,"| target=|_top|&gt;",AM1192,"&lt;/a&gt;")</f>
        <v>&lt;/li&gt;&lt;li&gt;&lt;a href=|http://basicenglishbible.com/2_samuel/18.htm| title=|Bible in Basic English| target=|_top|&gt;BBE&lt;/a&gt;</v>
      </c>
      <c r="AN285" t="str">
        <f t="shared" si="1139"/>
        <v>&lt;/li&gt;&lt;li&gt;&lt;a href=|http://darbybible.com/2_samuel/18.htm| title=|Darby Bible Translation| target=|_top|&gt;DBY&lt;/a&gt;</v>
      </c>
      <c r="AO28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8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8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85" t="str">
        <f>CONCATENATE("&lt;/li&gt;&lt;li&gt;&lt;a href=|http://",AR1191,"/2_samuel/18.htm","| ","title=|",AR1190,"| target=|_top|&gt;",AR1192,"&lt;/a&gt;")</f>
        <v>&lt;/li&gt;&lt;li&gt;&lt;a href=|http://websterbible.com/2_samuel/18.htm| title=|Webster's Bible Translation| target=|_top|&gt;WBS&lt;/a&gt;</v>
      </c>
      <c r="AS28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85" t="str">
        <f>CONCATENATE("&lt;/li&gt;&lt;li&gt;&lt;a href=|http://",AT1191,"/2_samuel/18-1.htm","| ","title=|",AT1190,"| target=|_top|&gt;",AT1192,"&lt;/a&gt;")</f>
        <v>&lt;/li&gt;&lt;li&gt;&lt;a href=|http://biblebrowser.com/2_samuel/18-1.htm| title=|Split View| target=|_top|&gt;Split&lt;/a&gt;</v>
      </c>
      <c r="AU285" s="2" t="s">
        <v>1276</v>
      </c>
      <c r="AV285" t="s">
        <v>64</v>
      </c>
    </row>
    <row r="286" spans="1:48">
      <c r="A286" t="s">
        <v>622</v>
      </c>
      <c r="B286" t="s">
        <v>339</v>
      </c>
      <c r="C286" t="s">
        <v>624</v>
      </c>
      <c r="D286" t="s">
        <v>1268</v>
      </c>
      <c r="E286" t="s">
        <v>1277</v>
      </c>
      <c r="F286" t="s">
        <v>1304</v>
      </c>
      <c r="G286" t="s">
        <v>1266</v>
      </c>
      <c r="H286" t="s">
        <v>1305</v>
      </c>
      <c r="I286" t="s">
        <v>1303</v>
      </c>
      <c r="J286" t="s">
        <v>1267</v>
      </c>
      <c r="K286" t="s">
        <v>1275</v>
      </c>
      <c r="L286" s="2" t="s">
        <v>1274</v>
      </c>
      <c r="M286" t="str">
        <f t="shared" ref="M286:AB286" si="1140">CONCATENATE("&lt;/li&gt;&lt;li&gt;&lt;a href=|http://",M1191,"/2_samuel/19.htm","| ","title=|",M1190,"| target=|_top|&gt;",M1192,"&lt;/a&gt;")</f>
        <v>&lt;/li&gt;&lt;li&gt;&lt;a href=|http://niv.scripturetext.com/2_samuel/19.htm| title=|New International Version| target=|_top|&gt;NIV&lt;/a&gt;</v>
      </c>
      <c r="N286" t="str">
        <f t="shared" si="1140"/>
        <v>&lt;/li&gt;&lt;li&gt;&lt;a href=|http://nlt.scripturetext.com/2_samuel/19.htm| title=|New Living Translation| target=|_top|&gt;NLT&lt;/a&gt;</v>
      </c>
      <c r="O286" t="str">
        <f t="shared" si="1140"/>
        <v>&lt;/li&gt;&lt;li&gt;&lt;a href=|http://nasb.scripturetext.com/2_samuel/19.htm| title=|New American Standard Bible| target=|_top|&gt;NAS&lt;/a&gt;</v>
      </c>
      <c r="P286" t="str">
        <f t="shared" si="1140"/>
        <v>&lt;/li&gt;&lt;li&gt;&lt;a href=|http://gwt.scripturetext.com/2_samuel/19.htm| title=|God's Word Translation| target=|_top|&gt;GWT&lt;/a&gt;</v>
      </c>
      <c r="Q286" t="str">
        <f t="shared" si="1140"/>
        <v>&lt;/li&gt;&lt;li&gt;&lt;a href=|http://kingjbible.com/2_samuel/19.htm| title=|King James Bible| target=|_top|&gt;KJV&lt;/a&gt;</v>
      </c>
      <c r="R286" t="str">
        <f t="shared" si="1140"/>
        <v>&lt;/li&gt;&lt;li&gt;&lt;a href=|http://asvbible.com/2_samuel/19.htm| title=|American Standard Version| target=|_top|&gt;ASV&lt;/a&gt;</v>
      </c>
      <c r="S286" t="str">
        <f t="shared" si="1140"/>
        <v>&lt;/li&gt;&lt;li&gt;&lt;a href=|http://drb.scripturetext.com/2_samuel/19.htm| title=|Douay-Rheims Bible| target=|_top|&gt;DRB&lt;/a&gt;</v>
      </c>
      <c r="T286" t="str">
        <f t="shared" si="1140"/>
        <v>&lt;/li&gt;&lt;li&gt;&lt;a href=|http://erv.scripturetext.com/2_samuel/19.htm| title=|English Revised Version| target=|_top|&gt;ERV&lt;/a&gt;</v>
      </c>
      <c r="V286" t="str">
        <f>CONCATENATE("&lt;/li&gt;&lt;li&gt;&lt;a href=|http://",V1191,"/2_samuel/19.htm","| ","title=|",V1190,"| target=|_top|&gt;",V1192,"&lt;/a&gt;")</f>
        <v>&lt;/li&gt;&lt;li&gt;&lt;a href=|http://study.interlinearbible.org/2_samuel/19.htm| title=|Hebrew Study Bible| target=|_top|&gt;Heb Study&lt;/a&gt;</v>
      </c>
      <c r="W286" t="str">
        <f t="shared" si="1140"/>
        <v>&lt;/li&gt;&lt;li&gt;&lt;a href=|http://apostolic.interlinearbible.org/2_samuel/19.htm| title=|Apostolic Bible Polyglot Interlinear| target=|_top|&gt;Polyglot&lt;/a&gt;</v>
      </c>
      <c r="X286" t="str">
        <f t="shared" si="1140"/>
        <v>&lt;/li&gt;&lt;li&gt;&lt;a href=|http://interlinearbible.org/2_samuel/19.htm| title=|Interlinear Bible| target=|_top|&gt;Interlin&lt;/a&gt;</v>
      </c>
      <c r="Y286" t="str">
        <f t="shared" ref="Y286" si="1141">CONCATENATE("&lt;/li&gt;&lt;li&gt;&lt;a href=|http://",Y1191,"/2_samuel/19.htm","| ","title=|",Y1190,"| target=|_top|&gt;",Y1192,"&lt;/a&gt;")</f>
        <v>&lt;/li&gt;&lt;li&gt;&lt;a href=|http://bibleoutline.org/2_samuel/19.htm| title=|Outline with People and Places List| target=|_top|&gt;Outline&lt;/a&gt;</v>
      </c>
      <c r="Z286" t="str">
        <f t="shared" si="1140"/>
        <v>&lt;/li&gt;&lt;li&gt;&lt;a href=|http://kjvs.scripturetext.com/2_samuel/19.htm| title=|King James Bible with Strong's Numbers| target=|_top|&gt;Strong's&lt;/a&gt;</v>
      </c>
      <c r="AA286" t="str">
        <f t="shared" si="1140"/>
        <v>&lt;/li&gt;&lt;li&gt;&lt;a href=|http://childrensbibleonline.com/2_samuel/19.htm| title=|The Children's Bible| target=|_top|&gt;Children's&lt;/a&gt;</v>
      </c>
      <c r="AB286" s="2" t="str">
        <f t="shared" si="1140"/>
        <v>&lt;/li&gt;&lt;li&gt;&lt;a href=|http://tsk.scripturetext.com/2_samuel/19.htm| title=|Treasury of Scripture Knowledge| target=|_top|&gt;TSK&lt;/a&gt;</v>
      </c>
      <c r="AC286" t="str">
        <f>CONCATENATE("&lt;a href=|http://",AC1191,"/2_samuel/19.htm","| ","title=|",AC1190,"| target=|_top|&gt;",AC1192,"&lt;/a&gt;")</f>
        <v>&lt;a href=|http://parallelbible.com/2_samuel/19.htm| title=|Parallel Chapters| target=|_top|&gt;PAR&lt;/a&gt;</v>
      </c>
      <c r="AD286" s="2" t="str">
        <f t="shared" ref="AD286:AK286" si="1142">CONCATENATE("&lt;/li&gt;&lt;li&gt;&lt;a href=|http://",AD1191,"/2_samuel/19.htm","| ","title=|",AD1190,"| target=|_top|&gt;",AD1192,"&lt;/a&gt;")</f>
        <v>&lt;/li&gt;&lt;li&gt;&lt;a href=|http://gsb.biblecommenter.com/2_samuel/19.htm| title=|Geneva Study Bible| target=|_top|&gt;GSB&lt;/a&gt;</v>
      </c>
      <c r="AE286" s="2" t="str">
        <f t="shared" si="1142"/>
        <v>&lt;/li&gt;&lt;li&gt;&lt;a href=|http://jfb.biblecommenter.com/2_samuel/19.htm| title=|Jamieson-Fausset-Brown Bible Commentary| target=|_top|&gt;JFB&lt;/a&gt;</v>
      </c>
      <c r="AF286" s="2" t="str">
        <f t="shared" si="1142"/>
        <v>&lt;/li&gt;&lt;li&gt;&lt;a href=|http://kjt.biblecommenter.com/2_samuel/19.htm| title=|King James Translators' Notes| target=|_top|&gt;KJT&lt;/a&gt;</v>
      </c>
      <c r="AG286" s="2" t="str">
        <f t="shared" si="1142"/>
        <v>&lt;/li&gt;&lt;li&gt;&lt;a href=|http://mhc.biblecommenter.com/2_samuel/19.htm| title=|Matthew Henry's Concise Commentary| target=|_top|&gt;MHC&lt;/a&gt;</v>
      </c>
      <c r="AH286" s="2" t="str">
        <f t="shared" si="1142"/>
        <v>&lt;/li&gt;&lt;li&gt;&lt;a href=|http://sco.biblecommenter.com/2_samuel/19.htm| title=|Scofield Reference Notes| target=|_top|&gt;SCO&lt;/a&gt;</v>
      </c>
      <c r="AI286" s="2" t="str">
        <f t="shared" si="1142"/>
        <v>&lt;/li&gt;&lt;li&gt;&lt;a href=|http://wes.biblecommenter.com/2_samuel/19.htm| title=|Wesley's Notes on the Bible| target=|_top|&gt;WES&lt;/a&gt;</v>
      </c>
      <c r="AJ286" t="str">
        <f t="shared" si="1142"/>
        <v>&lt;/li&gt;&lt;li&gt;&lt;a href=|http://worldebible.com/2_samuel/19.htm| title=|World English Bible| target=|_top|&gt;WEB&lt;/a&gt;</v>
      </c>
      <c r="AK286" t="str">
        <f t="shared" si="1142"/>
        <v>&lt;/li&gt;&lt;li&gt;&lt;a href=|http://yltbible.com/2_samuel/19.htm| title=|Young's Literal Translation| target=|_top|&gt;YLT&lt;/a&gt;</v>
      </c>
      <c r="AL286" t="str">
        <f>CONCATENATE("&lt;a href=|http://",AL1191,"/2_samuel/19.htm","| ","title=|",AL1190,"| target=|_top|&gt;",AL1192,"&lt;/a&gt;")</f>
        <v>&lt;a href=|http://kjv.us/2_samuel/19.htm| title=|American King James Version| target=|_top|&gt;AKJ&lt;/a&gt;</v>
      </c>
      <c r="AM286" t="str">
        <f t="shared" ref="AM286:AN286" si="1143">CONCATENATE("&lt;/li&gt;&lt;li&gt;&lt;a href=|http://",AM1191,"/2_samuel/19.htm","| ","title=|",AM1190,"| target=|_top|&gt;",AM1192,"&lt;/a&gt;")</f>
        <v>&lt;/li&gt;&lt;li&gt;&lt;a href=|http://basicenglishbible.com/2_samuel/19.htm| title=|Bible in Basic English| target=|_top|&gt;BBE&lt;/a&gt;</v>
      </c>
      <c r="AN286" t="str">
        <f t="shared" si="1143"/>
        <v>&lt;/li&gt;&lt;li&gt;&lt;a href=|http://darbybible.com/2_samuel/19.htm| title=|Darby Bible Translation| target=|_top|&gt;DBY&lt;/a&gt;</v>
      </c>
      <c r="AO28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8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8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86" t="str">
        <f>CONCATENATE("&lt;/li&gt;&lt;li&gt;&lt;a href=|http://",AR1191,"/2_samuel/19.htm","| ","title=|",AR1190,"| target=|_top|&gt;",AR1192,"&lt;/a&gt;")</f>
        <v>&lt;/li&gt;&lt;li&gt;&lt;a href=|http://websterbible.com/2_samuel/19.htm| title=|Webster's Bible Translation| target=|_top|&gt;WBS&lt;/a&gt;</v>
      </c>
      <c r="AS28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86" t="str">
        <f>CONCATENATE("&lt;/li&gt;&lt;li&gt;&lt;a href=|http://",AT1191,"/2_samuel/19-1.htm","| ","title=|",AT1190,"| target=|_top|&gt;",AT1192,"&lt;/a&gt;")</f>
        <v>&lt;/li&gt;&lt;li&gt;&lt;a href=|http://biblebrowser.com/2_samuel/19-1.htm| title=|Split View| target=|_top|&gt;Split&lt;/a&gt;</v>
      </c>
      <c r="AU286" s="2" t="s">
        <v>1276</v>
      </c>
      <c r="AV286" t="s">
        <v>64</v>
      </c>
    </row>
    <row r="287" spans="1:48">
      <c r="A287" t="s">
        <v>622</v>
      </c>
      <c r="B287" t="s">
        <v>340</v>
      </c>
      <c r="C287" t="s">
        <v>624</v>
      </c>
      <c r="D287" t="s">
        <v>1268</v>
      </c>
      <c r="E287" t="s">
        <v>1277</v>
      </c>
      <c r="F287" t="s">
        <v>1304</v>
      </c>
      <c r="G287" t="s">
        <v>1266</v>
      </c>
      <c r="H287" t="s">
        <v>1305</v>
      </c>
      <c r="I287" t="s">
        <v>1303</v>
      </c>
      <c r="J287" t="s">
        <v>1267</v>
      </c>
      <c r="K287" t="s">
        <v>1275</v>
      </c>
      <c r="L287" s="2" t="s">
        <v>1274</v>
      </c>
      <c r="M287" t="str">
        <f t="shared" ref="M287:AB287" si="1144">CONCATENATE("&lt;/li&gt;&lt;li&gt;&lt;a href=|http://",M1191,"/2_samuel/20.htm","| ","title=|",M1190,"| target=|_top|&gt;",M1192,"&lt;/a&gt;")</f>
        <v>&lt;/li&gt;&lt;li&gt;&lt;a href=|http://niv.scripturetext.com/2_samuel/20.htm| title=|New International Version| target=|_top|&gt;NIV&lt;/a&gt;</v>
      </c>
      <c r="N287" t="str">
        <f t="shared" si="1144"/>
        <v>&lt;/li&gt;&lt;li&gt;&lt;a href=|http://nlt.scripturetext.com/2_samuel/20.htm| title=|New Living Translation| target=|_top|&gt;NLT&lt;/a&gt;</v>
      </c>
      <c r="O287" t="str">
        <f t="shared" si="1144"/>
        <v>&lt;/li&gt;&lt;li&gt;&lt;a href=|http://nasb.scripturetext.com/2_samuel/20.htm| title=|New American Standard Bible| target=|_top|&gt;NAS&lt;/a&gt;</v>
      </c>
      <c r="P287" t="str">
        <f t="shared" si="1144"/>
        <v>&lt;/li&gt;&lt;li&gt;&lt;a href=|http://gwt.scripturetext.com/2_samuel/20.htm| title=|God's Word Translation| target=|_top|&gt;GWT&lt;/a&gt;</v>
      </c>
      <c r="Q287" t="str">
        <f t="shared" si="1144"/>
        <v>&lt;/li&gt;&lt;li&gt;&lt;a href=|http://kingjbible.com/2_samuel/20.htm| title=|King James Bible| target=|_top|&gt;KJV&lt;/a&gt;</v>
      </c>
      <c r="R287" t="str">
        <f t="shared" si="1144"/>
        <v>&lt;/li&gt;&lt;li&gt;&lt;a href=|http://asvbible.com/2_samuel/20.htm| title=|American Standard Version| target=|_top|&gt;ASV&lt;/a&gt;</v>
      </c>
      <c r="S287" t="str">
        <f t="shared" si="1144"/>
        <v>&lt;/li&gt;&lt;li&gt;&lt;a href=|http://drb.scripturetext.com/2_samuel/20.htm| title=|Douay-Rheims Bible| target=|_top|&gt;DRB&lt;/a&gt;</v>
      </c>
      <c r="T287" t="str">
        <f t="shared" si="1144"/>
        <v>&lt;/li&gt;&lt;li&gt;&lt;a href=|http://erv.scripturetext.com/2_samuel/20.htm| title=|English Revised Version| target=|_top|&gt;ERV&lt;/a&gt;</v>
      </c>
      <c r="V287" t="str">
        <f>CONCATENATE("&lt;/li&gt;&lt;li&gt;&lt;a href=|http://",V1191,"/2_samuel/20.htm","| ","title=|",V1190,"| target=|_top|&gt;",V1192,"&lt;/a&gt;")</f>
        <v>&lt;/li&gt;&lt;li&gt;&lt;a href=|http://study.interlinearbible.org/2_samuel/20.htm| title=|Hebrew Study Bible| target=|_top|&gt;Heb Study&lt;/a&gt;</v>
      </c>
      <c r="W287" t="str">
        <f t="shared" si="1144"/>
        <v>&lt;/li&gt;&lt;li&gt;&lt;a href=|http://apostolic.interlinearbible.org/2_samuel/20.htm| title=|Apostolic Bible Polyglot Interlinear| target=|_top|&gt;Polyglot&lt;/a&gt;</v>
      </c>
      <c r="X287" t="str">
        <f t="shared" si="1144"/>
        <v>&lt;/li&gt;&lt;li&gt;&lt;a href=|http://interlinearbible.org/2_samuel/20.htm| title=|Interlinear Bible| target=|_top|&gt;Interlin&lt;/a&gt;</v>
      </c>
      <c r="Y287" t="str">
        <f t="shared" ref="Y287" si="1145">CONCATENATE("&lt;/li&gt;&lt;li&gt;&lt;a href=|http://",Y1191,"/2_samuel/20.htm","| ","title=|",Y1190,"| target=|_top|&gt;",Y1192,"&lt;/a&gt;")</f>
        <v>&lt;/li&gt;&lt;li&gt;&lt;a href=|http://bibleoutline.org/2_samuel/20.htm| title=|Outline with People and Places List| target=|_top|&gt;Outline&lt;/a&gt;</v>
      </c>
      <c r="Z287" t="str">
        <f t="shared" si="1144"/>
        <v>&lt;/li&gt;&lt;li&gt;&lt;a href=|http://kjvs.scripturetext.com/2_samuel/20.htm| title=|King James Bible with Strong's Numbers| target=|_top|&gt;Strong's&lt;/a&gt;</v>
      </c>
      <c r="AA287" t="str">
        <f t="shared" si="1144"/>
        <v>&lt;/li&gt;&lt;li&gt;&lt;a href=|http://childrensbibleonline.com/2_samuel/20.htm| title=|The Children's Bible| target=|_top|&gt;Children's&lt;/a&gt;</v>
      </c>
      <c r="AB287" s="2" t="str">
        <f t="shared" si="1144"/>
        <v>&lt;/li&gt;&lt;li&gt;&lt;a href=|http://tsk.scripturetext.com/2_samuel/20.htm| title=|Treasury of Scripture Knowledge| target=|_top|&gt;TSK&lt;/a&gt;</v>
      </c>
      <c r="AC287" t="str">
        <f>CONCATENATE("&lt;a href=|http://",AC1191,"/2_samuel/20.htm","| ","title=|",AC1190,"| target=|_top|&gt;",AC1192,"&lt;/a&gt;")</f>
        <v>&lt;a href=|http://parallelbible.com/2_samuel/20.htm| title=|Parallel Chapters| target=|_top|&gt;PAR&lt;/a&gt;</v>
      </c>
      <c r="AD287" s="2" t="str">
        <f t="shared" ref="AD287:AK287" si="1146">CONCATENATE("&lt;/li&gt;&lt;li&gt;&lt;a href=|http://",AD1191,"/2_samuel/20.htm","| ","title=|",AD1190,"| target=|_top|&gt;",AD1192,"&lt;/a&gt;")</f>
        <v>&lt;/li&gt;&lt;li&gt;&lt;a href=|http://gsb.biblecommenter.com/2_samuel/20.htm| title=|Geneva Study Bible| target=|_top|&gt;GSB&lt;/a&gt;</v>
      </c>
      <c r="AE287" s="2" t="str">
        <f t="shared" si="1146"/>
        <v>&lt;/li&gt;&lt;li&gt;&lt;a href=|http://jfb.biblecommenter.com/2_samuel/20.htm| title=|Jamieson-Fausset-Brown Bible Commentary| target=|_top|&gt;JFB&lt;/a&gt;</v>
      </c>
      <c r="AF287" s="2" t="str">
        <f t="shared" si="1146"/>
        <v>&lt;/li&gt;&lt;li&gt;&lt;a href=|http://kjt.biblecommenter.com/2_samuel/20.htm| title=|King James Translators' Notes| target=|_top|&gt;KJT&lt;/a&gt;</v>
      </c>
      <c r="AG287" s="2" t="str">
        <f t="shared" si="1146"/>
        <v>&lt;/li&gt;&lt;li&gt;&lt;a href=|http://mhc.biblecommenter.com/2_samuel/20.htm| title=|Matthew Henry's Concise Commentary| target=|_top|&gt;MHC&lt;/a&gt;</v>
      </c>
      <c r="AH287" s="2" t="str">
        <f t="shared" si="1146"/>
        <v>&lt;/li&gt;&lt;li&gt;&lt;a href=|http://sco.biblecommenter.com/2_samuel/20.htm| title=|Scofield Reference Notes| target=|_top|&gt;SCO&lt;/a&gt;</v>
      </c>
      <c r="AI287" s="2" t="str">
        <f t="shared" si="1146"/>
        <v>&lt;/li&gt;&lt;li&gt;&lt;a href=|http://wes.biblecommenter.com/2_samuel/20.htm| title=|Wesley's Notes on the Bible| target=|_top|&gt;WES&lt;/a&gt;</v>
      </c>
      <c r="AJ287" t="str">
        <f t="shared" si="1146"/>
        <v>&lt;/li&gt;&lt;li&gt;&lt;a href=|http://worldebible.com/2_samuel/20.htm| title=|World English Bible| target=|_top|&gt;WEB&lt;/a&gt;</v>
      </c>
      <c r="AK287" t="str">
        <f t="shared" si="1146"/>
        <v>&lt;/li&gt;&lt;li&gt;&lt;a href=|http://yltbible.com/2_samuel/20.htm| title=|Young's Literal Translation| target=|_top|&gt;YLT&lt;/a&gt;</v>
      </c>
      <c r="AL287" t="str">
        <f>CONCATENATE("&lt;a href=|http://",AL1191,"/2_samuel/20.htm","| ","title=|",AL1190,"| target=|_top|&gt;",AL1192,"&lt;/a&gt;")</f>
        <v>&lt;a href=|http://kjv.us/2_samuel/20.htm| title=|American King James Version| target=|_top|&gt;AKJ&lt;/a&gt;</v>
      </c>
      <c r="AM287" t="str">
        <f t="shared" ref="AM287:AN287" si="1147">CONCATENATE("&lt;/li&gt;&lt;li&gt;&lt;a href=|http://",AM1191,"/2_samuel/20.htm","| ","title=|",AM1190,"| target=|_top|&gt;",AM1192,"&lt;/a&gt;")</f>
        <v>&lt;/li&gt;&lt;li&gt;&lt;a href=|http://basicenglishbible.com/2_samuel/20.htm| title=|Bible in Basic English| target=|_top|&gt;BBE&lt;/a&gt;</v>
      </c>
      <c r="AN287" t="str">
        <f t="shared" si="1147"/>
        <v>&lt;/li&gt;&lt;li&gt;&lt;a href=|http://darbybible.com/2_samuel/20.htm| title=|Darby Bible Translation| target=|_top|&gt;DBY&lt;/a&gt;</v>
      </c>
      <c r="AO28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8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8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87" t="str">
        <f>CONCATENATE("&lt;/li&gt;&lt;li&gt;&lt;a href=|http://",AR1191,"/2_samuel/20.htm","| ","title=|",AR1190,"| target=|_top|&gt;",AR1192,"&lt;/a&gt;")</f>
        <v>&lt;/li&gt;&lt;li&gt;&lt;a href=|http://websterbible.com/2_samuel/20.htm| title=|Webster's Bible Translation| target=|_top|&gt;WBS&lt;/a&gt;</v>
      </c>
      <c r="AS28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87" t="str">
        <f>CONCATENATE("&lt;/li&gt;&lt;li&gt;&lt;a href=|http://",AT1191,"/2_samuel/20-1.htm","| ","title=|",AT1190,"| target=|_top|&gt;",AT1192,"&lt;/a&gt;")</f>
        <v>&lt;/li&gt;&lt;li&gt;&lt;a href=|http://biblebrowser.com/2_samuel/20-1.htm| title=|Split View| target=|_top|&gt;Split&lt;/a&gt;</v>
      </c>
      <c r="AU287" s="2" t="s">
        <v>1276</v>
      </c>
      <c r="AV287" t="s">
        <v>64</v>
      </c>
    </row>
    <row r="288" spans="1:48">
      <c r="A288" t="s">
        <v>622</v>
      </c>
      <c r="B288" t="s">
        <v>341</v>
      </c>
      <c r="C288" t="s">
        <v>624</v>
      </c>
      <c r="D288" t="s">
        <v>1268</v>
      </c>
      <c r="E288" t="s">
        <v>1277</v>
      </c>
      <c r="F288" t="s">
        <v>1304</v>
      </c>
      <c r="G288" t="s">
        <v>1266</v>
      </c>
      <c r="H288" t="s">
        <v>1305</v>
      </c>
      <c r="I288" t="s">
        <v>1303</v>
      </c>
      <c r="J288" t="s">
        <v>1267</v>
      </c>
      <c r="K288" t="s">
        <v>1275</v>
      </c>
      <c r="L288" s="2" t="s">
        <v>1274</v>
      </c>
      <c r="M288" t="str">
        <f t="shared" ref="M288:AB288" si="1148">CONCATENATE("&lt;/li&gt;&lt;li&gt;&lt;a href=|http://",M1191,"/2_samuel/21.htm","| ","title=|",M1190,"| target=|_top|&gt;",M1192,"&lt;/a&gt;")</f>
        <v>&lt;/li&gt;&lt;li&gt;&lt;a href=|http://niv.scripturetext.com/2_samuel/21.htm| title=|New International Version| target=|_top|&gt;NIV&lt;/a&gt;</v>
      </c>
      <c r="N288" t="str">
        <f t="shared" si="1148"/>
        <v>&lt;/li&gt;&lt;li&gt;&lt;a href=|http://nlt.scripturetext.com/2_samuel/21.htm| title=|New Living Translation| target=|_top|&gt;NLT&lt;/a&gt;</v>
      </c>
      <c r="O288" t="str">
        <f t="shared" si="1148"/>
        <v>&lt;/li&gt;&lt;li&gt;&lt;a href=|http://nasb.scripturetext.com/2_samuel/21.htm| title=|New American Standard Bible| target=|_top|&gt;NAS&lt;/a&gt;</v>
      </c>
      <c r="P288" t="str">
        <f t="shared" si="1148"/>
        <v>&lt;/li&gt;&lt;li&gt;&lt;a href=|http://gwt.scripturetext.com/2_samuel/21.htm| title=|God's Word Translation| target=|_top|&gt;GWT&lt;/a&gt;</v>
      </c>
      <c r="Q288" t="str">
        <f t="shared" si="1148"/>
        <v>&lt;/li&gt;&lt;li&gt;&lt;a href=|http://kingjbible.com/2_samuel/21.htm| title=|King James Bible| target=|_top|&gt;KJV&lt;/a&gt;</v>
      </c>
      <c r="R288" t="str">
        <f t="shared" si="1148"/>
        <v>&lt;/li&gt;&lt;li&gt;&lt;a href=|http://asvbible.com/2_samuel/21.htm| title=|American Standard Version| target=|_top|&gt;ASV&lt;/a&gt;</v>
      </c>
      <c r="S288" t="str">
        <f t="shared" si="1148"/>
        <v>&lt;/li&gt;&lt;li&gt;&lt;a href=|http://drb.scripturetext.com/2_samuel/21.htm| title=|Douay-Rheims Bible| target=|_top|&gt;DRB&lt;/a&gt;</v>
      </c>
      <c r="T288" t="str">
        <f t="shared" si="1148"/>
        <v>&lt;/li&gt;&lt;li&gt;&lt;a href=|http://erv.scripturetext.com/2_samuel/21.htm| title=|English Revised Version| target=|_top|&gt;ERV&lt;/a&gt;</v>
      </c>
      <c r="V288" t="str">
        <f>CONCATENATE("&lt;/li&gt;&lt;li&gt;&lt;a href=|http://",V1191,"/2_samuel/21.htm","| ","title=|",V1190,"| target=|_top|&gt;",V1192,"&lt;/a&gt;")</f>
        <v>&lt;/li&gt;&lt;li&gt;&lt;a href=|http://study.interlinearbible.org/2_samuel/21.htm| title=|Hebrew Study Bible| target=|_top|&gt;Heb Study&lt;/a&gt;</v>
      </c>
      <c r="W288" t="str">
        <f t="shared" si="1148"/>
        <v>&lt;/li&gt;&lt;li&gt;&lt;a href=|http://apostolic.interlinearbible.org/2_samuel/21.htm| title=|Apostolic Bible Polyglot Interlinear| target=|_top|&gt;Polyglot&lt;/a&gt;</v>
      </c>
      <c r="X288" t="str">
        <f t="shared" si="1148"/>
        <v>&lt;/li&gt;&lt;li&gt;&lt;a href=|http://interlinearbible.org/2_samuel/21.htm| title=|Interlinear Bible| target=|_top|&gt;Interlin&lt;/a&gt;</v>
      </c>
      <c r="Y288" t="str">
        <f t="shared" ref="Y288" si="1149">CONCATENATE("&lt;/li&gt;&lt;li&gt;&lt;a href=|http://",Y1191,"/2_samuel/21.htm","| ","title=|",Y1190,"| target=|_top|&gt;",Y1192,"&lt;/a&gt;")</f>
        <v>&lt;/li&gt;&lt;li&gt;&lt;a href=|http://bibleoutline.org/2_samuel/21.htm| title=|Outline with People and Places List| target=|_top|&gt;Outline&lt;/a&gt;</v>
      </c>
      <c r="Z288" t="str">
        <f t="shared" si="1148"/>
        <v>&lt;/li&gt;&lt;li&gt;&lt;a href=|http://kjvs.scripturetext.com/2_samuel/21.htm| title=|King James Bible with Strong's Numbers| target=|_top|&gt;Strong's&lt;/a&gt;</v>
      </c>
      <c r="AA288" t="str">
        <f t="shared" si="1148"/>
        <v>&lt;/li&gt;&lt;li&gt;&lt;a href=|http://childrensbibleonline.com/2_samuel/21.htm| title=|The Children's Bible| target=|_top|&gt;Children's&lt;/a&gt;</v>
      </c>
      <c r="AB288" s="2" t="str">
        <f t="shared" si="1148"/>
        <v>&lt;/li&gt;&lt;li&gt;&lt;a href=|http://tsk.scripturetext.com/2_samuel/21.htm| title=|Treasury of Scripture Knowledge| target=|_top|&gt;TSK&lt;/a&gt;</v>
      </c>
      <c r="AC288" t="str">
        <f>CONCATENATE("&lt;a href=|http://",AC1191,"/2_samuel/21.htm","| ","title=|",AC1190,"| target=|_top|&gt;",AC1192,"&lt;/a&gt;")</f>
        <v>&lt;a href=|http://parallelbible.com/2_samuel/21.htm| title=|Parallel Chapters| target=|_top|&gt;PAR&lt;/a&gt;</v>
      </c>
      <c r="AD288" s="2" t="str">
        <f t="shared" ref="AD288:AK288" si="1150">CONCATENATE("&lt;/li&gt;&lt;li&gt;&lt;a href=|http://",AD1191,"/2_samuel/21.htm","| ","title=|",AD1190,"| target=|_top|&gt;",AD1192,"&lt;/a&gt;")</f>
        <v>&lt;/li&gt;&lt;li&gt;&lt;a href=|http://gsb.biblecommenter.com/2_samuel/21.htm| title=|Geneva Study Bible| target=|_top|&gt;GSB&lt;/a&gt;</v>
      </c>
      <c r="AE288" s="2" t="str">
        <f t="shared" si="1150"/>
        <v>&lt;/li&gt;&lt;li&gt;&lt;a href=|http://jfb.biblecommenter.com/2_samuel/21.htm| title=|Jamieson-Fausset-Brown Bible Commentary| target=|_top|&gt;JFB&lt;/a&gt;</v>
      </c>
      <c r="AF288" s="2" t="str">
        <f t="shared" si="1150"/>
        <v>&lt;/li&gt;&lt;li&gt;&lt;a href=|http://kjt.biblecommenter.com/2_samuel/21.htm| title=|King James Translators' Notes| target=|_top|&gt;KJT&lt;/a&gt;</v>
      </c>
      <c r="AG288" s="2" t="str">
        <f t="shared" si="1150"/>
        <v>&lt;/li&gt;&lt;li&gt;&lt;a href=|http://mhc.biblecommenter.com/2_samuel/21.htm| title=|Matthew Henry's Concise Commentary| target=|_top|&gt;MHC&lt;/a&gt;</v>
      </c>
      <c r="AH288" s="2" t="str">
        <f t="shared" si="1150"/>
        <v>&lt;/li&gt;&lt;li&gt;&lt;a href=|http://sco.biblecommenter.com/2_samuel/21.htm| title=|Scofield Reference Notes| target=|_top|&gt;SCO&lt;/a&gt;</v>
      </c>
      <c r="AI288" s="2" t="str">
        <f t="shared" si="1150"/>
        <v>&lt;/li&gt;&lt;li&gt;&lt;a href=|http://wes.biblecommenter.com/2_samuel/21.htm| title=|Wesley's Notes on the Bible| target=|_top|&gt;WES&lt;/a&gt;</v>
      </c>
      <c r="AJ288" t="str">
        <f t="shared" si="1150"/>
        <v>&lt;/li&gt;&lt;li&gt;&lt;a href=|http://worldebible.com/2_samuel/21.htm| title=|World English Bible| target=|_top|&gt;WEB&lt;/a&gt;</v>
      </c>
      <c r="AK288" t="str">
        <f t="shared" si="1150"/>
        <v>&lt;/li&gt;&lt;li&gt;&lt;a href=|http://yltbible.com/2_samuel/21.htm| title=|Young's Literal Translation| target=|_top|&gt;YLT&lt;/a&gt;</v>
      </c>
      <c r="AL288" t="str">
        <f>CONCATENATE("&lt;a href=|http://",AL1191,"/2_samuel/21.htm","| ","title=|",AL1190,"| target=|_top|&gt;",AL1192,"&lt;/a&gt;")</f>
        <v>&lt;a href=|http://kjv.us/2_samuel/21.htm| title=|American King James Version| target=|_top|&gt;AKJ&lt;/a&gt;</v>
      </c>
      <c r="AM288" t="str">
        <f t="shared" ref="AM288:AN288" si="1151">CONCATENATE("&lt;/li&gt;&lt;li&gt;&lt;a href=|http://",AM1191,"/2_samuel/21.htm","| ","title=|",AM1190,"| target=|_top|&gt;",AM1192,"&lt;/a&gt;")</f>
        <v>&lt;/li&gt;&lt;li&gt;&lt;a href=|http://basicenglishbible.com/2_samuel/21.htm| title=|Bible in Basic English| target=|_top|&gt;BBE&lt;/a&gt;</v>
      </c>
      <c r="AN288" t="str">
        <f t="shared" si="1151"/>
        <v>&lt;/li&gt;&lt;li&gt;&lt;a href=|http://darbybible.com/2_samuel/21.htm| title=|Darby Bible Translation| target=|_top|&gt;DBY&lt;/a&gt;</v>
      </c>
      <c r="AO28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8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8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88" t="str">
        <f>CONCATENATE("&lt;/li&gt;&lt;li&gt;&lt;a href=|http://",AR1191,"/2_samuel/21.htm","| ","title=|",AR1190,"| target=|_top|&gt;",AR1192,"&lt;/a&gt;")</f>
        <v>&lt;/li&gt;&lt;li&gt;&lt;a href=|http://websterbible.com/2_samuel/21.htm| title=|Webster's Bible Translation| target=|_top|&gt;WBS&lt;/a&gt;</v>
      </c>
      <c r="AS28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88" t="str">
        <f>CONCATENATE("&lt;/li&gt;&lt;li&gt;&lt;a href=|http://",AT1191,"/2_samuel/21-1.htm","| ","title=|",AT1190,"| target=|_top|&gt;",AT1192,"&lt;/a&gt;")</f>
        <v>&lt;/li&gt;&lt;li&gt;&lt;a href=|http://biblebrowser.com/2_samuel/21-1.htm| title=|Split View| target=|_top|&gt;Split&lt;/a&gt;</v>
      </c>
      <c r="AU288" s="2" t="s">
        <v>1276</v>
      </c>
      <c r="AV288" t="s">
        <v>64</v>
      </c>
    </row>
    <row r="289" spans="1:48">
      <c r="A289" t="s">
        <v>622</v>
      </c>
      <c r="B289" t="s">
        <v>342</v>
      </c>
      <c r="C289" t="s">
        <v>624</v>
      </c>
      <c r="D289" t="s">
        <v>1268</v>
      </c>
      <c r="E289" t="s">
        <v>1277</v>
      </c>
      <c r="F289" t="s">
        <v>1304</v>
      </c>
      <c r="G289" t="s">
        <v>1266</v>
      </c>
      <c r="H289" t="s">
        <v>1305</v>
      </c>
      <c r="I289" t="s">
        <v>1303</v>
      </c>
      <c r="J289" t="s">
        <v>1267</v>
      </c>
      <c r="K289" t="s">
        <v>1275</v>
      </c>
      <c r="L289" s="2" t="s">
        <v>1274</v>
      </c>
      <c r="M289" t="str">
        <f t="shared" ref="M289:AB289" si="1152">CONCATENATE("&lt;/li&gt;&lt;li&gt;&lt;a href=|http://",M1191,"/2_samuel/22.htm","| ","title=|",M1190,"| target=|_top|&gt;",M1192,"&lt;/a&gt;")</f>
        <v>&lt;/li&gt;&lt;li&gt;&lt;a href=|http://niv.scripturetext.com/2_samuel/22.htm| title=|New International Version| target=|_top|&gt;NIV&lt;/a&gt;</v>
      </c>
      <c r="N289" t="str">
        <f t="shared" si="1152"/>
        <v>&lt;/li&gt;&lt;li&gt;&lt;a href=|http://nlt.scripturetext.com/2_samuel/22.htm| title=|New Living Translation| target=|_top|&gt;NLT&lt;/a&gt;</v>
      </c>
      <c r="O289" t="str">
        <f t="shared" si="1152"/>
        <v>&lt;/li&gt;&lt;li&gt;&lt;a href=|http://nasb.scripturetext.com/2_samuel/22.htm| title=|New American Standard Bible| target=|_top|&gt;NAS&lt;/a&gt;</v>
      </c>
      <c r="P289" t="str">
        <f t="shared" si="1152"/>
        <v>&lt;/li&gt;&lt;li&gt;&lt;a href=|http://gwt.scripturetext.com/2_samuel/22.htm| title=|God's Word Translation| target=|_top|&gt;GWT&lt;/a&gt;</v>
      </c>
      <c r="Q289" t="str">
        <f t="shared" si="1152"/>
        <v>&lt;/li&gt;&lt;li&gt;&lt;a href=|http://kingjbible.com/2_samuel/22.htm| title=|King James Bible| target=|_top|&gt;KJV&lt;/a&gt;</v>
      </c>
      <c r="R289" t="str">
        <f t="shared" si="1152"/>
        <v>&lt;/li&gt;&lt;li&gt;&lt;a href=|http://asvbible.com/2_samuel/22.htm| title=|American Standard Version| target=|_top|&gt;ASV&lt;/a&gt;</v>
      </c>
      <c r="S289" t="str">
        <f t="shared" si="1152"/>
        <v>&lt;/li&gt;&lt;li&gt;&lt;a href=|http://drb.scripturetext.com/2_samuel/22.htm| title=|Douay-Rheims Bible| target=|_top|&gt;DRB&lt;/a&gt;</v>
      </c>
      <c r="T289" t="str">
        <f t="shared" si="1152"/>
        <v>&lt;/li&gt;&lt;li&gt;&lt;a href=|http://erv.scripturetext.com/2_samuel/22.htm| title=|English Revised Version| target=|_top|&gt;ERV&lt;/a&gt;</v>
      </c>
      <c r="V289" t="str">
        <f>CONCATENATE("&lt;/li&gt;&lt;li&gt;&lt;a href=|http://",V1191,"/2_samuel/22.htm","| ","title=|",V1190,"| target=|_top|&gt;",V1192,"&lt;/a&gt;")</f>
        <v>&lt;/li&gt;&lt;li&gt;&lt;a href=|http://study.interlinearbible.org/2_samuel/22.htm| title=|Hebrew Study Bible| target=|_top|&gt;Heb Study&lt;/a&gt;</v>
      </c>
      <c r="W289" t="str">
        <f t="shared" si="1152"/>
        <v>&lt;/li&gt;&lt;li&gt;&lt;a href=|http://apostolic.interlinearbible.org/2_samuel/22.htm| title=|Apostolic Bible Polyglot Interlinear| target=|_top|&gt;Polyglot&lt;/a&gt;</v>
      </c>
      <c r="X289" t="str">
        <f t="shared" si="1152"/>
        <v>&lt;/li&gt;&lt;li&gt;&lt;a href=|http://interlinearbible.org/2_samuel/22.htm| title=|Interlinear Bible| target=|_top|&gt;Interlin&lt;/a&gt;</v>
      </c>
      <c r="Y289" t="str">
        <f t="shared" ref="Y289" si="1153">CONCATENATE("&lt;/li&gt;&lt;li&gt;&lt;a href=|http://",Y1191,"/2_samuel/22.htm","| ","title=|",Y1190,"| target=|_top|&gt;",Y1192,"&lt;/a&gt;")</f>
        <v>&lt;/li&gt;&lt;li&gt;&lt;a href=|http://bibleoutline.org/2_samuel/22.htm| title=|Outline with People and Places List| target=|_top|&gt;Outline&lt;/a&gt;</v>
      </c>
      <c r="Z289" t="str">
        <f t="shared" si="1152"/>
        <v>&lt;/li&gt;&lt;li&gt;&lt;a href=|http://kjvs.scripturetext.com/2_samuel/22.htm| title=|King James Bible with Strong's Numbers| target=|_top|&gt;Strong's&lt;/a&gt;</v>
      </c>
      <c r="AA289" t="str">
        <f t="shared" si="1152"/>
        <v>&lt;/li&gt;&lt;li&gt;&lt;a href=|http://childrensbibleonline.com/2_samuel/22.htm| title=|The Children's Bible| target=|_top|&gt;Children's&lt;/a&gt;</v>
      </c>
      <c r="AB289" s="2" t="str">
        <f t="shared" si="1152"/>
        <v>&lt;/li&gt;&lt;li&gt;&lt;a href=|http://tsk.scripturetext.com/2_samuel/22.htm| title=|Treasury of Scripture Knowledge| target=|_top|&gt;TSK&lt;/a&gt;</v>
      </c>
      <c r="AC289" t="str">
        <f>CONCATENATE("&lt;a href=|http://",AC1191,"/2_samuel/22.htm","| ","title=|",AC1190,"| target=|_top|&gt;",AC1192,"&lt;/a&gt;")</f>
        <v>&lt;a href=|http://parallelbible.com/2_samuel/22.htm| title=|Parallel Chapters| target=|_top|&gt;PAR&lt;/a&gt;</v>
      </c>
      <c r="AD289" s="2" t="str">
        <f t="shared" ref="AD289:AK289" si="1154">CONCATENATE("&lt;/li&gt;&lt;li&gt;&lt;a href=|http://",AD1191,"/2_samuel/22.htm","| ","title=|",AD1190,"| target=|_top|&gt;",AD1192,"&lt;/a&gt;")</f>
        <v>&lt;/li&gt;&lt;li&gt;&lt;a href=|http://gsb.biblecommenter.com/2_samuel/22.htm| title=|Geneva Study Bible| target=|_top|&gt;GSB&lt;/a&gt;</v>
      </c>
      <c r="AE289" s="2" t="str">
        <f t="shared" si="1154"/>
        <v>&lt;/li&gt;&lt;li&gt;&lt;a href=|http://jfb.biblecommenter.com/2_samuel/22.htm| title=|Jamieson-Fausset-Brown Bible Commentary| target=|_top|&gt;JFB&lt;/a&gt;</v>
      </c>
      <c r="AF289" s="2" t="str">
        <f t="shared" si="1154"/>
        <v>&lt;/li&gt;&lt;li&gt;&lt;a href=|http://kjt.biblecommenter.com/2_samuel/22.htm| title=|King James Translators' Notes| target=|_top|&gt;KJT&lt;/a&gt;</v>
      </c>
      <c r="AG289" s="2" t="str">
        <f t="shared" si="1154"/>
        <v>&lt;/li&gt;&lt;li&gt;&lt;a href=|http://mhc.biblecommenter.com/2_samuel/22.htm| title=|Matthew Henry's Concise Commentary| target=|_top|&gt;MHC&lt;/a&gt;</v>
      </c>
      <c r="AH289" s="2" t="str">
        <f t="shared" si="1154"/>
        <v>&lt;/li&gt;&lt;li&gt;&lt;a href=|http://sco.biblecommenter.com/2_samuel/22.htm| title=|Scofield Reference Notes| target=|_top|&gt;SCO&lt;/a&gt;</v>
      </c>
      <c r="AI289" s="2" t="str">
        <f t="shared" si="1154"/>
        <v>&lt;/li&gt;&lt;li&gt;&lt;a href=|http://wes.biblecommenter.com/2_samuel/22.htm| title=|Wesley's Notes on the Bible| target=|_top|&gt;WES&lt;/a&gt;</v>
      </c>
      <c r="AJ289" t="str">
        <f t="shared" si="1154"/>
        <v>&lt;/li&gt;&lt;li&gt;&lt;a href=|http://worldebible.com/2_samuel/22.htm| title=|World English Bible| target=|_top|&gt;WEB&lt;/a&gt;</v>
      </c>
      <c r="AK289" t="str">
        <f t="shared" si="1154"/>
        <v>&lt;/li&gt;&lt;li&gt;&lt;a href=|http://yltbible.com/2_samuel/22.htm| title=|Young's Literal Translation| target=|_top|&gt;YLT&lt;/a&gt;</v>
      </c>
      <c r="AL289" t="str">
        <f>CONCATENATE("&lt;a href=|http://",AL1191,"/2_samuel/22.htm","| ","title=|",AL1190,"| target=|_top|&gt;",AL1192,"&lt;/a&gt;")</f>
        <v>&lt;a href=|http://kjv.us/2_samuel/22.htm| title=|American King James Version| target=|_top|&gt;AKJ&lt;/a&gt;</v>
      </c>
      <c r="AM289" t="str">
        <f t="shared" ref="AM289:AN289" si="1155">CONCATENATE("&lt;/li&gt;&lt;li&gt;&lt;a href=|http://",AM1191,"/2_samuel/22.htm","| ","title=|",AM1190,"| target=|_top|&gt;",AM1192,"&lt;/a&gt;")</f>
        <v>&lt;/li&gt;&lt;li&gt;&lt;a href=|http://basicenglishbible.com/2_samuel/22.htm| title=|Bible in Basic English| target=|_top|&gt;BBE&lt;/a&gt;</v>
      </c>
      <c r="AN289" t="str">
        <f t="shared" si="1155"/>
        <v>&lt;/li&gt;&lt;li&gt;&lt;a href=|http://darbybible.com/2_samuel/22.htm| title=|Darby Bible Translation| target=|_top|&gt;DBY&lt;/a&gt;</v>
      </c>
      <c r="AO28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8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8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89" t="str">
        <f>CONCATENATE("&lt;/li&gt;&lt;li&gt;&lt;a href=|http://",AR1191,"/2_samuel/22.htm","| ","title=|",AR1190,"| target=|_top|&gt;",AR1192,"&lt;/a&gt;")</f>
        <v>&lt;/li&gt;&lt;li&gt;&lt;a href=|http://websterbible.com/2_samuel/22.htm| title=|Webster's Bible Translation| target=|_top|&gt;WBS&lt;/a&gt;</v>
      </c>
      <c r="AS28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89" t="str">
        <f>CONCATENATE("&lt;/li&gt;&lt;li&gt;&lt;a href=|http://",AT1191,"/2_samuel/22-1.htm","| ","title=|",AT1190,"| target=|_top|&gt;",AT1192,"&lt;/a&gt;")</f>
        <v>&lt;/li&gt;&lt;li&gt;&lt;a href=|http://biblebrowser.com/2_samuel/22-1.htm| title=|Split View| target=|_top|&gt;Split&lt;/a&gt;</v>
      </c>
      <c r="AU289" s="2" t="s">
        <v>1276</v>
      </c>
      <c r="AV289" t="s">
        <v>64</v>
      </c>
    </row>
    <row r="290" spans="1:48">
      <c r="A290" t="s">
        <v>622</v>
      </c>
      <c r="B290" t="s">
        <v>343</v>
      </c>
      <c r="C290" t="s">
        <v>624</v>
      </c>
      <c r="D290" t="s">
        <v>1268</v>
      </c>
      <c r="E290" t="s">
        <v>1277</v>
      </c>
      <c r="F290" t="s">
        <v>1304</v>
      </c>
      <c r="G290" t="s">
        <v>1266</v>
      </c>
      <c r="H290" t="s">
        <v>1305</v>
      </c>
      <c r="I290" t="s">
        <v>1303</v>
      </c>
      <c r="J290" t="s">
        <v>1267</v>
      </c>
      <c r="K290" t="s">
        <v>1275</v>
      </c>
      <c r="L290" s="2" t="s">
        <v>1274</v>
      </c>
      <c r="M290" t="str">
        <f t="shared" ref="M290:AB290" si="1156">CONCATENATE("&lt;/li&gt;&lt;li&gt;&lt;a href=|http://",M1191,"/2_samuel/23.htm","| ","title=|",M1190,"| target=|_top|&gt;",M1192,"&lt;/a&gt;")</f>
        <v>&lt;/li&gt;&lt;li&gt;&lt;a href=|http://niv.scripturetext.com/2_samuel/23.htm| title=|New International Version| target=|_top|&gt;NIV&lt;/a&gt;</v>
      </c>
      <c r="N290" t="str">
        <f t="shared" si="1156"/>
        <v>&lt;/li&gt;&lt;li&gt;&lt;a href=|http://nlt.scripturetext.com/2_samuel/23.htm| title=|New Living Translation| target=|_top|&gt;NLT&lt;/a&gt;</v>
      </c>
      <c r="O290" t="str">
        <f t="shared" si="1156"/>
        <v>&lt;/li&gt;&lt;li&gt;&lt;a href=|http://nasb.scripturetext.com/2_samuel/23.htm| title=|New American Standard Bible| target=|_top|&gt;NAS&lt;/a&gt;</v>
      </c>
      <c r="P290" t="str">
        <f t="shared" si="1156"/>
        <v>&lt;/li&gt;&lt;li&gt;&lt;a href=|http://gwt.scripturetext.com/2_samuel/23.htm| title=|God's Word Translation| target=|_top|&gt;GWT&lt;/a&gt;</v>
      </c>
      <c r="Q290" t="str">
        <f t="shared" si="1156"/>
        <v>&lt;/li&gt;&lt;li&gt;&lt;a href=|http://kingjbible.com/2_samuel/23.htm| title=|King James Bible| target=|_top|&gt;KJV&lt;/a&gt;</v>
      </c>
      <c r="R290" t="str">
        <f t="shared" si="1156"/>
        <v>&lt;/li&gt;&lt;li&gt;&lt;a href=|http://asvbible.com/2_samuel/23.htm| title=|American Standard Version| target=|_top|&gt;ASV&lt;/a&gt;</v>
      </c>
      <c r="S290" t="str">
        <f t="shared" si="1156"/>
        <v>&lt;/li&gt;&lt;li&gt;&lt;a href=|http://drb.scripturetext.com/2_samuel/23.htm| title=|Douay-Rheims Bible| target=|_top|&gt;DRB&lt;/a&gt;</v>
      </c>
      <c r="T290" t="str">
        <f t="shared" si="1156"/>
        <v>&lt;/li&gt;&lt;li&gt;&lt;a href=|http://erv.scripturetext.com/2_samuel/23.htm| title=|English Revised Version| target=|_top|&gt;ERV&lt;/a&gt;</v>
      </c>
      <c r="V290" t="str">
        <f>CONCATENATE("&lt;/li&gt;&lt;li&gt;&lt;a href=|http://",V1191,"/2_samuel/23.htm","| ","title=|",V1190,"| target=|_top|&gt;",V1192,"&lt;/a&gt;")</f>
        <v>&lt;/li&gt;&lt;li&gt;&lt;a href=|http://study.interlinearbible.org/2_samuel/23.htm| title=|Hebrew Study Bible| target=|_top|&gt;Heb Study&lt;/a&gt;</v>
      </c>
      <c r="W290" t="str">
        <f t="shared" si="1156"/>
        <v>&lt;/li&gt;&lt;li&gt;&lt;a href=|http://apostolic.interlinearbible.org/2_samuel/23.htm| title=|Apostolic Bible Polyglot Interlinear| target=|_top|&gt;Polyglot&lt;/a&gt;</v>
      </c>
      <c r="X290" t="str">
        <f t="shared" si="1156"/>
        <v>&lt;/li&gt;&lt;li&gt;&lt;a href=|http://interlinearbible.org/2_samuel/23.htm| title=|Interlinear Bible| target=|_top|&gt;Interlin&lt;/a&gt;</v>
      </c>
      <c r="Y290" t="str">
        <f t="shared" ref="Y290" si="1157">CONCATENATE("&lt;/li&gt;&lt;li&gt;&lt;a href=|http://",Y1191,"/2_samuel/23.htm","| ","title=|",Y1190,"| target=|_top|&gt;",Y1192,"&lt;/a&gt;")</f>
        <v>&lt;/li&gt;&lt;li&gt;&lt;a href=|http://bibleoutline.org/2_samuel/23.htm| title=|Outline with People and Places List| target=|_top|&gt;Outline&lt;/a&gt;</v>
      </c>
      <c r="Z290" t="str">
        <f t="shared" si="1156"/>
        <v>&lt;/li&gt;&lt;li&gt;&lt;a href=|http://kjvs.scripturetext.com/2_samuel/23.htm| title=|King James Bible with Strong's Numbers| target=|_top|&gt;Strong's&lt;/a&gt;</v>
      </c>
      <c r="AA290" t="str">
        <f t="shared" si="1156"/>
        <v>&lt;/li&gt;&lt;li&gt;&lt;a href=|http://childrensbibleonline.com/2_samuel/23.htm| title=|The Children's Bible| target=|_top|&gt;Children's&lt;/a&gt;</v>
      </c>
      <c r="AB290" s="2" t="str">
        <f t="shared" si="1156"/>
        <v>&lt;/li&gt;&lt;li&gt;&lt;a href=|http://tsk.scripturetext.com/2_samuel/23.htm| title=|Treasury of Scripture Knowledge| target=|_top|&gt;TSK&lt;/a&gt;</v>
      </c>
      <c r="AC290" t="str">
        <f>CONCATENATE("&lt;a href=|http://",AC1191,"/2_samuel/23.htm","| ","title=|",AC1190,"| target=|_top|&gt;",AC1192,"&lt;/a&gt;")</f>
        <v>&lt;a href=|http://parallelbible.com/2_samuel/23.htm| title=|Parallel Chapters| target=|_top|&gt;PAR&lt;/a&gt;</v>
      </c>
      <c r="AD290" s="2" t="str">
        <f t="shared" ref="AD290:AK290" si="1158">CONCATENATE("&lt;/li&gt;&lt;li&gt;&lt;a href=|http://",AD1191,"/2_samuel/23.htm","| ","title=|",AD1190,"| target=|_top|&gt;",AD1192,"&lt;/a&gt;")</f>
        <v>&lt;/li&gt;&lt;li&gt;&lt;a href=|http://gsb.biblecommenter.com/2_samuel/23.htm| title=|Geneva Study Bible| target=|_top|&gt;GSB&lt;/a&gt;</v>
      </c>
      <c r="AE290" s="2" t="str">
        <f t="shared" si="1158"/>
        <v>&lt;/li&gt;&lt;li&gt;&lt;a href=|http://jfb.biblecommenter.com/2_samuel/23.htm| title=|Jamieson-Fausset-Brown Bible Commentary| target=|_top|&gt;JFB&lt;/a&gt;</v>
      </c>
      <c r="AF290" s="2" t="str">
        <f t="shared" si="1158"/>
        <v>&lt;/li&gt;&lt;li&gt;&lt;a href=|http://kjt.biblecommenter.com/2_samuel/23.htm| title=|King James Translators' Notes| target=|_top|&gt;KJT&lt;/a&gt;</v>
      </c>
      <c r="AG290" s="2" t="str">
        <f t="shared" si="1158"/>
        <v>&lt;/li&gt;&lt;li&gt;&lt;a href=|http://mhc.biblecommenter.com/2_samuel/23.htm| title=|Matthew Henry's Concise Commentary| target=|_top|&gt;MHC&lt;/a&gt;</v>
      </c>
      <c r="AH290" s="2" t="str">
        <f t="shared" si="1158"/>
        <v>&lt;/li&gt;&lt;li&gt;&lt;a href=|http://sco.biblecommenter.com/2_samuel/23.htm| title=|Scofield Reference Notes| target=|_top|&gt;SCO&lt;/a&gt;</v>
      </c>
      <c r="AI290" s="2" t="str">
        <f t="shared" si="1158"/>
        <v>&lt;/li&gt;&lt;li&gt;&lt;a href=|http://wes.biblecommenter.com/2_samuel/23.htm| title=|Wesley's Notes on the Bible| target=|_top|&gt;WES&lt;/a&gt;</v>
      </c>
      <c r="AJ290" t="str">
        <f t="shared" si="1158"/>
        <v>&lt;/li&gt;&lt;li&gt;&lt;a href=|http://worldebible.com/2_samuel/23.htm| title=|World English Bible| target=|_top|&gt;WEB&lt;/a&gt;</v>
      </c>
      <c r="AK290" t="str">
        <f t="shared" si="1158"/>
        <v>&lt;/li&gt;&lt;li&gt;&lt;a href=|http://yltbible.com/2_samuel/23.htm| title=|Young's Literal Translation| target=|_top|&gt;YLT&lt;/a&gt;</v>
      </c>
      <c r="AL290" t="str">
        <f>CONCATENATE("&lt;a href=|http://",AL1191,"/2_samuel/23.htm","| ","title=|",AL1190,"| target=|_top|&gt;",AL1192,"&lt;/a&gt;")</f>
        <v>&lt;a href=|http://kjv.us/2_samuel/23.htm| title=|American King James Version| target=|_top|&gt;AKJ&lt;/a&gt;</v>
      </c>
      <c r="AM290" t="str">
        <f t="shared" ref="AM290:AN290" si="1159">CONCATENATE("&lt;/li&gt;&lt;li&gt;&lt;a href=|http://",AM1191,"/2_samuel/23.htm","| ","title=|",AM1190,"| target=|_top|&gt;",AM1192,"&lt;/a&gt;")</f>
        <v>&lt;/li&gt;&lt;li&gt;&lt;a href=|http://basicenglishbible.com/2_samuel/23.htm| title=|Bible in Basic English| target=|_top|&gt;BBE&lt;/a&gt;</v>
      </c>
      <c r="AN290" t="str">
        <f t="shared" si="1159"/>
        <v>&lt;/li&gt;&lt;li&gt;&lt;a href=|http://darbybible.com/2_samuel/23.htm| title=|Darby Bible Translation| target=|_top|&gt;DBY&lt;/a&gt;</v>
      </c>
      <c r="AO29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9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9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90" t="str">
        <f>CONCATENATE("&lt;/li&gt;&lt;li&gt;&lt;a href=|http://",AR1191,"/2_samuel/23.htm","| ","title=|",AR1190,"| target=|_top|&gt;",AR1192,"&lt;/a&gt;")</f>
        <v>&lt;/li&gt;&lt;li&gt;&lt;a href=|http://websterbible.com/2_samuel/23.htm| title=|Webster's Bible Translation| target=|_top|&gt;WBS&lt;/a&gt;</v>
      </c>
      <c r="AS29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90" t="str">
        <f>CONCATENATE("&lt;/li&gt;&lt;li&gt;&lt;a href=|http://",AT1191,"/2_samuel/23-1.htm","| ","title=|",AT1190,"| target=|_top|&gt;",AT1192,"&lt;/a&gt;")</f>
        <v>&lt;/li&gt;&lt;li&gt;&lt;a href=|http://biblebrowser.com/2_samuel/23-1.htm| title=|Split View| target=|_top|&gt;Split&lt;/a&gt;</v>
      </c>
      <c r="AU290" s="2" t="s">
        <v>1276</v>
      </c>
      <c r="AV290" t="s">
        <v>64</v>
      </c>
    </row>
    <row r="291" spans="1:48">
      <c r="A291" t="s">
        <v>622</v>
      </c>
      <c r="B291" t="s">
        <v>344</v>
      </c>
      <c r="C291" t="s">
        <v>624</v>
      </c>
      <c r="D291" t="s">
        <v>1268</v>
      </c>
      <c r="E291" t="s">
        <v>1277</v>
      </c>
      <c r="F291" t="s">
        <v>1304</v>
      </c>
      <c r="G291" t="s">
        <v>1266</v>
      </c>
      <c r="H291" t="s">
        <v>1305</v>
      </c>
      <c r="I291" t="s">
        <v>1303</v>
      </c>
      <c r="J291" t="s">
        <v>1267</v>
      </c>
      <c r="K291" t="s">
        <v>1275</v>
      </c>
      <c r="L291" s="2" t="s">
        <v>1274</v>
      </c>
      <c r="M291" t="str">
        <f t="shared" ref="M291:AB291" si="1160">CONCATENATE("&lt;/li&gt;&lt;li&gt;&lt;a href=|http://",M1191,"/2_samuel/24.htm","| ","title=|",M1190,"| target=|_top|&gt;",M1192,"&lt;/a&gt;")</f>
        <v>&lt;/li&gt;&lt;li&gt;&lt;a href=|http://niv.scripturetext.com/2_samuel/24.htm| title=|New International Version| target=|_top|&gt;NIV&lt;/a&gt;</v>
      </c>
      <c r="N291" t="str">
        <f t="shared" si="1160"/>
        <v>&lt;/li&gt;&lt;li&gt;&lt;a href=|http://nlt.scripturetext.com/2_samuel/24.htm| title=|New Living Translation| target=|_top|&gt;NLT&lt;/a&gt;</v>
      </c>
      <c r="O291" t="str">
        <f t="shared" si="1160"/>
        <v>&lt;/li&gt;&lt;li&gt;&lt;a href=|http://nasb.scripturetext.com/2_samuel/24.htm| title=|New American Standard Bible| target=|_top|&gt;NAS&lt;/a&gt;</v>
      </c>
      <c r="P291" t="str">
        <f t="shared" si="1160"/>
        <v>&lt;/li&gt;&lt;li&gt;&lt;a href=|http://gwt.scripturetext.com/2_samuel/24.htm| title=|God's Word Translation| target=|_top|&gt;GWT&lt;/a&gt;</v>
      </c>
      <c r="Q291" t="str">
        <f t="shared" si="1160"/>
        <v>&lt;/li&gt;&lt;li&gt;&lt;a href=|http://kingjbible.com/2_samuel/24.htm| title=|King James Bible| target=|_top|&gt;KJV&lt;/a&gt;</v>
      </c>
      <c r="R291" t="str">
        <f t="shared" si="1160"/>
        <v>&lt;/li&gt;&lt;li&gt;&lt;a href=|http://asvbible.com/2_samuel/24.htm| title=|American Standard Version| target=|_top|&gt;ASV&lt;/a&gt;</v>
      </c>
      <c r="S291" t="str">
        <f t="shared" si="1160"/>
        <v>&lt;/li&gt;&lt;li&gt;&lt;a href=|http://drb.scripturetext.com/2_samuel/24.htm| title=|Douay-Rheims Bible| target=|_top|&gt;DRB&lt;/a&gt;</v>
      </c>
      <c r="T291" t="str">
        <f t="shared" si="1160"/>
        <v>&lt;/li&gt;&lt;li&gt;&lt;a href=|http://erv.scripturetext.com/2_samuel/24.htm| title=|English Revised Version| target=|_top|&gt;ERV&lt;/a&gt;</v>
      </c>
      <c r="V291" t="str">
        <f>CONCATENATE("&lt;/li&gt;&lt;li&gt;&lt;a href=|http://",V1191,"/2_samuel/24.htm","| ","title=|",V1190,"| target=|_top|&gt;",V1192,"&lt;/a&gt;")</f>
        <v>&lt;/li&gt;&lt;li&gt;&lt;a href=|http://study.interlinearbible.org/2_samuel/24.htm| title=|Hebrew Study Bible| target=|_top|&gt;Heb Study&lt;/a&gt;</v>
      </c>
      <c r="W291" t="str">
        <f t="shared" si="1160"/>
        <v>&lt;/li&gt;&lt;li&gt;&lt;a href=|http://apostolic.interlinearbible.org/2_samuel/24.htm| title=|Apostolic Bible Polyglot Interlinear| target=|_top|&gt;Polyglot&lt;/a&gt;</v>
      </c>
      <c r="X291" t="str">
        <f t="shared" si="1160"/>
        <v>&lt;/li&gt;&lt;li&gt;&lt;a href=|http://interlinearbible.org/2_samuel/24.htm| title=|Interlinear Bible| target=|_top|&gt;Interlin&lt;/a&gt;</v>
      </c>
      <c r="Y291" t="str">
        <f t="shared" ref="Y291" si="1161">CONCATENATE("&lt;/li&gt;&lt;li&gt;&lt;a href=|http://",Y1191,"/2_samuel/24.htm","| ","title=|",Y1190,"| target=|_top|&gt;",Y1192,"&lt;/a&gt;")</f>
        <v>&lt;/li&gt;&lt;li&gt;&lt;a href=|http://bibleoutline.org/2_samuel/24.htm| title=|Outline with People and Places List| target=|_top|&gt;Outline&lt;/a&gt;</v>
      </c>
      <c r="Z291" t="str">
        <f t="shared" si="1160"/>
        <v>&lt;/li&gt;&lt;li&gt;&lt;a href=|http://kjvs.scripturetext.com/2_samuel/24.htm| title=|King James Bible with Strong's Numbers| target=|_top|&gt;Strong's&lt;/a&gt;</v>
      </c>
      <c r="AA291" t="str">
        <f t="shared" si="1160"/>
        <v>&lt;/li&gt;&lt;li&gt;&lt;a href=|http://childrensbibleonline.com/2_samuel/24.htm| title=|The Children's Bible| target=|_top|&gt;Children's&lt;/a&gt;</v>
      </c>
      <c r="AB291" s="2" t="str">
        <f t="shared" si="1160"/>
        <v>&lt;/li&gt;&lt;li&gt;&lt;a href=|http://tsk.scripturetext.com/2_samuel/24.htm| title=|Treasury of Scripture Knowledge| target=|_top|&gt;TSK&lt;/a&gt;</v>
      </c>
      <c r="AC291" t="str">
        <f>CONCATENATE("&lt;a href=|http://",AC1191,"/2_samuel/24.htm","| ","title=|",AC1190,"| target=|_top|&gt;",AC1192,"&lt;/a&gt;")</f>
        <v>&lt;a href=|http://parallelbible.com/2_samuel/24.htm| title=|Parallel Chapters| target=|_top|&gt;PAR&lt;/a&gt;</v>
      </c>
      <c r="AD291" s="2" t="str">
        <f t="shared" ref="AD291:AK291" si="1162">CONCATENATE("&lt;/li&gt;&lt;li&gt;&lt;a href=|http://",AD1191,"/2_samuel/24.htm","| ","title=|",AD1190,"| target=|_top|&gt;",AD1192,"&lt;/a&gt;")</f>
        <v>&lt;/li&gt;&lt;li&gt;&lt;a href=|http://gsb.biblecommenter.com/2_samuel/24.htm| title=|Geneva Study Bible| target=|_top|&gt;GSB&lt;/a&gt;</v>
      </c>
      <c r="AE291" s="2" t="str">
        <f t="shared" si="1162"/>
        <v>&lt;/li&gt;&lt;li&gt;&lt;a href=|http://jfb.biblecommenter.com/2_samuel/24.htm| title=|Jamieson-Fausset-Brown Bible Commentary| target=|_top|&gt;JFB&lt;/a&gt;</v>
      </c>
      <c r="AF291" s="2" t="str">
        <f t="shared" si="1162"/>
        <v>&lt;/li&gt;&lt;li&gt;&lt;a href=|http://kjt.biblecommenter.com/2_samuel/24.htm| title=|King James Translators' Notes| target=|_top|&gt;KJT&lt;/a&gt;</v>
      </c>
      <c r="AG291" s="2" t="str">
        <f t="shared" si="1162"/>
        <v>&lt;/li&gt;&lt;li&gt;&lt;a href=|http://mhc.biblecommenter.com/2_samuel/24.htm| title=|Matthew Henry's Concise Commentary| target=|_top|&gt;MHC&lt;/a&gt;</v>
      </c>
      <c r="AH291" s="2" t="str">
        <f t="shared" si="1162"/>
        <v>&lt;/li&gt;&lt;li&gt;&lt;a href=|http://sco.biblecommenter.com/2_samuel/24.htm| title=|Scofield Reference Notes| target=|_top|&gt;SCO&lt;/a&gt;</v>
      </c>
      <c r="AI291" s="2" t="str">
        <f t="shared" si="1162"/>
        <v>&lt;/li&gt;&lt;li&gt;&lt;a href=|http://wes.biblecommenter.com/2_samuel/24.htm| title=|Wesley's Notes on the Bible| target=|_top|&gt;WES&lt;/a&gt;</v>
      </c>
      <c r="AJ291" t="str">
        <f t="shared" si="1162"/>
        <v>&lt;/li&gt;&lt;li&gt;&lt;a href=|http://worldebible.com/2_samuel/24.htm| title=|World English Bible| target=|_top|&gt;WEB&lt;/a&gt;</v>
      </c>
      <c r="AK291" t="str">
        <f t="shared" si="1162"/>
        <v>&lt;/li&gt;&lt;li&gt;&lt;a href=|http://yltbible.com/2_samuel/24.htm| title=|Young's Literal Translation| target=|_top|&gt;YLT&lt;/a&gt;</v>
      </c>
      <c r="AL291" t="str">
        <f>CONCATENATE("&lt;a href=|http://",AL1191,"/2_samuel/24.htm","| ","title=|",AL1190,"| target=|_top|&gt;",AL1192,"&lt;/a&gt;")</f>
        <v>&lt;a href=|http://kjv.us/2_samuel/24.htm| title=|American King James Version| target=|_top|&gt;AKJ&lt;/a&gt;</v>
      </c>
      <c r="AM291" t="str">
        <f t="shared" ref="AM291:AN291" si="1163">CONCATENATE("&lt;/li&gt;&lt;li&gt;&lt;a href=|http://",AM1191,"/2_samuel/24.htm","| ","title=|",AM1190,"| target=|_top|&gt;",AM1192,"&lt;/a&gt;")</f>
        <v>&lt;/li&gt;&lt;li&gt;&lt;a href=|http://basicenglishbible.com/2_samuel/24.htm| title=|Bible in Basic English| target=|_top|&gt;BBE&lt;/a&gt;</v>
      </c>
      <c r="AN291" t="str">
        <f t="shared" si="1163"/>
        <v>&lt;/li&gt;&lt;li&gt;&lt;a href=|http://darbybible.com/2_samuel/24.htm| title=|Darby Bible Translation| target=|_top|&gt;DBY&lt;/a&gt;</v>
      </c>
      <c r="AO29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9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9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91" t="str">
        <f>CONCATENATE("&lt;/li&gt;&lt;li&gt;&lt;a href=|http://",AR1191,"/2_samuel/24.htm","| ","title=|",AR1190,"| target=|_top|&gt;",AR1192,"&lt;/a&gt;")</f>
        <v>&lt;/li&gt;&lt;li&gt;&lt;a href=|http://websterbible.com/2_samuel/24.htm| title=|Webster's Bible Translation| target=|_top|&gt;WBS&lt;/a&gt;</v>
      </c>
      <c r="AS29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91" t="str">
        <f>CONCATENATE("&lt;/li&gt;&lt;li&gt;&lt;a href=|http://",AT1191,"/2_samuel/24-1.htm","| ","title=|",AT1190,"| target=|_top|&gt;",AT1192,"&lt;/a&gt;")</f>
        <v>&lt;/li&gt;&lt;li&gt;&lt;a href=|http://biblebrowser.com/2_samuel/24-1.htm| title=|Split View| target=|_top|&gt;Split&lt;/a&gt;</v>
      </c>
      <c r="AU291" s="2" t="s">
        <v>1276</v>
      </c>
      <c r="AV291" t="s">
        <v>64</v>
      </c>
    </row>
    <row r="292" spans="1:48">
      <c r="A292" t="s">
        <v>622</v>
      </c>
      <c r="B292" t="s">
        <v>345</v>
      </c>
      <c r="C292" t="s">
        <v>624</v>
      </c>
      <c r="D292" t="s">
        <v>1268</v>
      </c>
      <c r="E292" t="s">
        <v>1277</v>
      </c>
      <c r="F292" t="s">
        <v>1304</v>
      </c>
      <c r="G292" t="s">
        <v>1266</v>
      </c>
      <c r="H292" t="s">
        <v>1305</v>
      </c>
      <c r="I292" t="s">
        <v>1303</v>
      </c>
      <c r="J292" t="s">
        <v>1267</v>
      </c>
      <c r="K292" t="s">
        <v>1275</v>
      </c>
      <c r="L292" s="2" t="s">
        <v>1274</v>
      </c>
      <c r="M292" t="str">
        <f t="shared" ref="M292:AB292" si="1164">CONCATENATE("&lt;/li&gt;&lt;li&gt;&lt;a href=|http://",M1191,"/1_kings/1.htm","| ","title=|",M1190,"| target=|_top|&gt;",M1192,"&lt;/a&gt;")</f>
        <v>&lt;/li&gt;&lt;li&gt;&lt;a href=|http://niv.scripturetext.com/1_kings/1.htm| title=|New International Version| target=|_top|&gt;NIV&lt;/a&gt;</v>
      </c>
      <c r="N292" t="str">
        <f t="shared" si="1164"/>
        <v>&lt;/li&gt;&lt;li&gt;&lt;a href=|http://nlt.scripturetext.com/1_kings/1.htm| title=|New Living Translation| target=|_top|&gt;NLT&lt;/a&gt;</v>
      </c>
      <c r="O292" t="str">
        <f t="shared" si="1164"/>
        <v>&lt;/li&gt;&lt;li&gt;&lt;a href=|http://nasb.scripturetext.com/1_kings/1.htm| title=|New American Standard Bible| target=|_top|&gt;NAS&lt;/a&gt;</v>
      </c>
      <c r="P292" t="str">
        <f t="shared" si="1164"/>
        <v>&lt;/li&gt;&lt;li&gt;&lt;a href=|http://gwt.scripturetext.com/1_kings/1.htm| title=|God's Word Translation| target=|_top|&gt;GWT&lt;/a&gt;</v>
      </c>
      <c r="Q292" t="str">
        <f t="shared" si="1164"/>
        <v>&lt;/li&gt;&lt;li&gt;&lt;a href=|http://kingjbible.com/1_kings/1.htm| title=|King James Bible| target=|_top|&gt;KJV&lt;/a&gt;</v>
      </c>
      <c r="R292" t="str">
        <f t="shared" si="1164"/>
        <v>&lt;/li&gt;&lt;li&gt;&lt;a href=|http://asvbible.com/1_kings/1.htm| title=|American Standard Version| target=|_top|&gt;ASV&lt;/a&gt;</v>
      </c>
      <c r="S292" t="str">
        <f t="shared" si="1164"/>
        <v>&lt;/li&gt;&lt;li&gt;&lt;a href=|http://drb.scripturetext.com/1_kings/1.htm| title=|Douay-Rheims Bible| target=|_top|&gt;DRB&lt;/a&gt;</v>
      </c>
      <c r="T292" t="str">
        <f t="shared" si="1164"/>
        <v>&lt;/li&gt;&lt;li&gt;&lt;a href=|http://erv.scripturetext.com/1_kings/1.htm| title=|English Revised Version| target=|_top|&gt;ERV&lt;/a&gt;</v>
      </c>
      <c r="V292" t="str">
        <f>CONCATENATE("&lt;/li&gt;&lt;li&gt;&lt;a href=|http://",V1191,"/1_kings/1.htm","| ","title=|",V1190,"| target=|_top|&gt;",V1192,"&lt;/a&gt;")</f>
        <v>&lt;/li&gt;&lt;li&gt;&lt;a href=|http://study.interlinearbible.org/1_kings/1.htm| title=|Hebrew Study Bible| target=|_top|&gt;Heb Study&lt;/a&gt;</v>
      </c>
      <c r="W292" t="str">
        <f t="shared" si="1164"/>
        <v>&lt;/li&gt;&lt;li&gt;&lt;a href=|http://apostolic.interlinearbible.org/1_kings/1.htm| title=|Apostolic Bible Polyglot Interlinear| target=|_top|&gt;Polyglot&lt;/a&gt;</v>
      </c>
      <c r="X292" t="str">
        <f t="shared" si="1164"/>
        <v>&lt;/li&gt;&lt;li&gt;&lt;a href=|http://interlinearbible.org/1_kings/1.htm| title=|Interlinear Bible| target=|_top|&gt;Interlin&lt;/a&gt;</v>
      </c>
      <c r="Y292" t="str">
        <f t="shared" ref="Y292" si="1165">CONCATENATE("&lt;/li&gt;&lt;li&gt;&lt;a href=|http://",Y1191,"/1_kings/1.htm","| ","title=|",Y1190,"| target=|_top|&gt;",Y1192,"&lt;/a&gt;")</f>
        <v>&lt;/li&gt;&lt;li&gt;&lt;a href=|http://bibleoutline.org/1_kings/1.htm| title=|Outline with People and Places List| target=|_top|&gt;Outline&lt;/a&gt;</v>
      </c>
      <c r="Z292" t="str">
        <f t="shared" si="1164"/>
        <v>&lt;/li&gt;&lt;li&gt;&lt;a href=|http://kjvs.scripturetext.com/1_kings/1.htm| title=|King James Bible with Strong's Numbers| target=|_top|&gt;Strong's&lt;/a&gt;</v>
      </c>
      <c r="AA292" t="str">
        <f t="shared" si="1164"/>
        <v>&lt;/li&gt;&lt;li&gt;&lt;a href=|http://childrensbibleonline.com/1_kings/1.htm| title=|The Children's Bible| target=|_top|&gt;Children's&lt;/a&gt;</v>
      </c>
      <c r="AB292" s="2" t="str">
        <f t="shared" si="1164"/>
        <v>&lt;/li&gt;&lt;li&gt;&lt;a href=|http://tsk.scripturetext.com/1_kings/1.htm| title=|Treasury of Scripture Knowledge| target=|_top|&gt;TSK&lt;/a&gt;</v>
      </c>
      <c r="AC292" t="str">
        <f>CONCATENATE("&lt;a href=|http://",AC1191,"/1_kings/1.htm","| ","title=|",AC1190,"| target=|_top|&gt;",AC1192,"&lt;/a&gt;")</f>
        <v>&lt;a href=|http://parallelbible.com/1_kings/1.htm| title=|Parallel Chapters| target=|_top|&gt;PAR&lt;/a&gt;</v>
      </c>
      <c r="AD292" s="2" t="str">
        <f t="shared" ref="AD292:AK292" si="1166">CONCATENATE("&lt;/li&gt;&lt;li&gt;&lt;a href=|http://",AD1191,"/1_kings/1.htm","| ","title=|",AD1190,"| target=|_top|&gt;",AD1192,"&lt;/a&gt;")</f>
        <v>&lt;/li&gt;&lt;li&gt;&lt;a href=|http://gsb.biblecommenter.com/1_kings/1.htm| title=|Geneva Study Bible| target=|_top|&gt;GSB&lt;/a&gt;</v>
      </c>
      <c r="AE292" s="2" t="str">
        <f t="shared" si="1166"/>
        <v>&lt;/li&gt;&lt;li&gt;&lt;a href=|http://jfb.biblecommenter.com/1_kings/1.htm| title=|Jamieson-Fausset-Brown Bible Commentary| target=|_top|&gt;JFB&lt;/a&gt;</v>
      </c>
      <c r="AF292" s="2" t="str">
        <f t="shared" si="1166"/>
        <v>&lt;/li&gt;&lt;li&gt;&lt;a href=|http://kjt.biblecommenter.com/1_kings/1.htm| title=|King James Translators' Notes| target=|_top|&gt;KJT&lt;/a&gt;</v>
      </c>
      <c r="AG292" s="2" t="str">
        <f t="shared" si="1166"/>
        <v>&lt;/li&gt;&lt;li&gt;&lt;a href=|http://mhc.biblecommenter.com/1_kings/1.htm| title=|Matthew Henry's Concise Commentary| target=|_top|&gt;MHC&lt;/a&gt;</v>
      </c>
      <c r="AH292" s="2" t="str">
        <f t="shared" si="1166"/>
        <v>&lt;/li&gt;&lt;li&gt;&lt;a href=|http://sco.biblecommenter.com/1_kings/1.htm| title=|Scofield Reference Notes| target=|_top|&gt;SCO&lt;/a&gt;</v>
      </c>
      <c r="AI292" s="2" t="str">
        <f t="shared" si="1166"/>
        <v>&lt;/li&gt;&lt;li&gt;&lt;a href=|http://wes.biblecommenter.com/1_kings/1.htm| title=|Wesley's Notes on the Bible| target=|_top|&gt;WES&lt;/a&gt;</v>
      </c>
      <c r="AJ292" t="str">
        <f t="shared" si="1166"/>
        <v>&lt;/li&gt;&lt;li&gt;&lt;a href=|http://worldebible.com/1_kings/1.htm| title=|World English Bible| target=|_top|&gt;WEB&lt;/a&gt;</v>
      </c>
      <c r="AK292" t="str">
        <f t="shared" si="1166"/>
        <v>&lt;/li&gt;&lt;li&gt;&lt;a href=|http://yltbible.com/1_kings/1.htm| title=|Young's Literal Translation| target=|_top|&gt;YLT&lt;/a&gt;</v>
      </c>
      <c r="AL292" t="str">
        <f>CONCATENATE("&lt;a href=|http://",AL1191,"/1_kings/1.htm","| ","title=|",AL1190,"| target=|_top|&gt;",AL1192,"&lt;/a&gt;")</f>
        <v>&lt;a href=|http://kjv.us/1_kings/1.htm| title=|American King James Version| target=|_top|&gt;AKJ&lt;/a&gt;</v>
      </c>
      <c r="AM292" t="str">
        <f t="shared" ref="AM292:AN292" si="1167">CONCATENATE("&lt;/li&gt;&lt;li&gt;&lt;a href=|http://",AM1191,"/1_kings/1.htm","| ","title=|",AM1190,"| target=|_top|&gt;",AM1192,"&lt;/a&gt;")</f>
        <v>&lt;/li&gt;&lt;li&gt;&lt;a href=|http://basicenglishbible.com/1_kings/1.htm| title=|Bible in Basic English| target=|_top|&gt;BBE&lt;/a&gt;</v>
      </c>
      <c r="AN292" t="str">
        <f t="shared" si="1167"/>
        <v>&lt;/li&gt;&lt;li&gt;&lt;a href=|http://darbybible.com/1_kings/1.htm| title=|Darby Bible Translation| target=|_top|&gt;DBY&lt;/a&gt;</v>
      </c>
      <c r="AO29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9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9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92" t="str">
        <f>CONCATENATE("&lt;/li&gt;&lt;li&gt;&lt;a href=|http://",AR1191,"/1_kings/1.htm","| ","title=|",AR1190,"| target=|_top|&gt;",AR1192,"&lt;/a&gt;")</f>
        <v>&lt;/li&gt;&lt;li&gt;&lt;a href=|http://websterbible.com/1_kings/1.htm| title=|Webster's Bible Translation| target=|_top|&gt;WBS&lt;/a&gt;</v>
      </c>
      <c r="AS29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92" t="str">
        <f>CONCATENATE("&lt;/li&gt;&lt;li&gt;&lt;a href=|http://",AT1191,"/1_kings/1-1.htm","| ","title=|",AT1190,"| target=|_top|&gt;",AT1192,"&lt;/a&gt;")</f>
        <v>&lt;/li&gt;&lt;li&gt;&lt;a href=|http://biblebrowser.com/1_kings/1-1.htm| title=|Split View| target=|_top|&gt;Split&lt;/a&gt;</v>
      </c>
      <c r="AU292" s="2" t="s">
        <v>1276</v>
      </c>
      <c r="AV292" t="s">
        <v>64</v>
      </c>
    </row>
    <row r="293" spans="1:48">
      <c r="A293" t="s">
        <v>622</v>
      </c>
      <c r="B293" t="s">
        <v>346</v>
      </c>
      <c r="C293" t="s">
        <v>624</v>
      </c>
      <c r="D293" t="s">
        <v>1268</v>
      </c>
      <c r="E293" t="s">
        <v>1277</v>
      </c>
      <c r="F293" t="s">
        <v>1304</v>
      </c>
      <c r="G293" t="s">
        <v>1266</v>
      </c>
      <c r="H293" t="s">
        <v>1305</v>
      </c>
      <c r="I293" t="s">
        <v>1303</v>
      </c>
      <c r="J293" t="s">
        <v>1267</v>
      </c>
      <c r="K293" t="s">
        <v>1275</v>
      </c>
      <c r="L293" s="2" t="s">
        <v>1274</v>
      </c>
      <c r="M293" t="str">
        <f t="shared" ref="M293:AB293" si="1168">CONCATENATE("&lt;/li&gt;&lt;li&gt;&lt;a href=|http://",M1191,"/1_kings/2.htm","| ","title=|",M1190,"| target=|_top|&gt;",M1192,"&lt;/a&gt;")</f>
        <v>&lt;/li&gt;&lt;li&gt;&lt;a href=|http://niv.scripturetext.com/1_kings/2.htm| title=|New International Version| target=|_top|&gt;NIV&lt;/a&gt;</v>
      </c>
      <c r="N293" t="str">
        <f t="shared" si="1168"/>
        <v>&lt;/li&gt;&lt;li&gt;&lt;a href=|http://nlt.scripturetext.com/1_kings/2.htm| title=|New Living Translation| target=|_top|&gt;NLT&lt;/a&gt;</v>
      </c>
      <c r="O293" t="str">
        <f t="shared" si="1168"/>
        <v>&lt;/li&gt;&lt;li&gt;&lt;a href=|http://nasb.scripturetext.com/1_kings/2.htm| title=|New American Standard Bible| target=|_top|&gt;NAS&lt;/a&gt;</v>
      </c>
      <c r="P293" t="str">
        <f t="shared" si="1168"/>
        <v>&lt;/li&gt;&lt;li&gt;&lt;a href=|http://gwt.scripturetext.com/1_kings/2.htm| title=|God's Word Translation| target=|_top|&gt;GWT&lt;/a&gt;</v>
      </c>
      <c r="Q293" t="str">
        <f t="shared" si="1168"/>
        <v>&lt;/li&gt;&lt;li&gt;&lt;a href=|http://kingjbible.com/1_kings/2.htm| title=|King James Bible| target=|_top|&gt;KJV&lt;/a&gt;</v>
      </c>
      <c r="R293" t="str">
        <f t="shared" si="1168"/>
        <v>&lt;/li&gt;&lt;li&gt;&lt;a href=|http://asvbible.com/1_kings/2.htm| title=|American Standard Version| target=|_top|&gt;ASV&lt;/a&gt;</v>
      </c>
      <c r="S293" t="str">
        <f t="shared" si="1168"/>
        <v>&lt;/li&gt;&lt;li&gt;&lt;a href=|http://drb.scripturetext.com/1_kings/2.htm| title=|Douay-Rheims Bible| target=|_top|&gt;DRB&lt;/a&gt;</v>
      </c>
      <c r="T293" t="str">
        <f t="shared" si="1168"/>
        <v>&lt;/li&gt;&lt;li&gt;&lt;a href=|http://erv.scripturetext.com/1_kings/2.htm| title=|English Revised Version| target=|_top|&gt;ERV&lt;/a&gt;</v>
      </c>
      <c r="V293" t="str">
        <f>CONCATENATE("&lt;/li&gt;&lt;li&gt;&lt;a href=|http://",V1191,"/1_kings/2.htm","| ","title=|",V1190,"| target=|_top|&gt;",V1192,"&lt;/a&gt;")</f>
        <v>&lt;/li&gt;&lt;li&gt;&lt;a href=|http://study.interlinearbible.org/1_kings/2.htm| title=|Hebrew Study Bible| target=|_top|&gt;Heb Study&lt;/a&gt;</v>
      </c>
      <c r="W293" t="str">
        <f t="shared" si="1168"/>
        <v>&lt;/li&gt;&lt;li&gt;&lt;a href=|http://apostolic.interlinearbible.org/1_kings/2.htm| title=|Apostolic Bible Polyglot Interlinear| target=|_top|&gt;Polyglot&lt;/a&gt;</v>
      </c>
      <c r="X293" t="str">
        <f t="shared" si="1168"/>
        <v>&lt;/li&gt;&lt;li&gt;&lt;a href=|http://interlinearbible.org/1_kings/2.htm| title=|Interlinear Bible| target=|_top|&gt;Interlin&lt;/a&gt;</v>
      </c>
      <c r="Y293" t="str">
        <f t="shared" ref="Y293" si="1169">CONCATENATE("&lt;/li&gt;&lt;li&gt;&lt;a href=|http://",Y1191,"/1_kings/2.htm","| ","title=|",Y1190,"| target=|_top|&gt;",Y1192,"&lt;/a&gt;")</f>
        <v>&lt;/li&gt;&lt;li&gt;&lt;a href=|http://bibleoutline.org/1_kings/2.htm| title=|Outline with People and Places List| target=|_top|&gt;Outline&lt;/a&gt;</v>
      </c>
      <c r="Z293" t="str">
        <f t="shared" si="1168"/>
        <v>&lt;/li&gt;&lt;li&gt;&lt;a href=|http://kjvs.scripturetext.com/1_kings/2.htm| title=|King James Bible with Strong's Numbers| target=|_top|&gt;Strong's&lt;/a&gt;</v>
      </c>
      <c r="AA293" t="str">
        <f t="shared" si="1168"/>
        <v>&lt;/li&gt;&lt;li&gt;&lt;a href=|http://childrensbibleonline.com/1_kings/2.htm| title=|The Children's Bible| target=|_top|&gt;Children's&lt;/a&gt;</v>
      </c>
      <c r="AB293" s="2" t="str">
        <f t="shared" si="1168"/>
        <v>&lt;/li&gt;&lt;li&gt;&lt;a href=|http://tsk.scripturetext.com/1_kings/2.htm| title=|Treasury of Scripture Knowledge| target=|_top|&gt;TSK&lt;/a&gt;</v>
      </c>
      <c r="AC293" t="str">
        <f>CONCATENATE("&lt;a href=|http://",AC1191,"/1_kings/2.htm","| ","title=|",AC1190,"| target=|_top|&gt;",AC1192,"&lt;/a&gt;")</f>
        <v>&lt;a href=|http://parallelbible.com/1_kings/2.htm| title=|Parallel Chapters| target=|_top|&gt;PAR&lt;/a&gt;</v>
      </c>
      <c r="AD293" s="2" t="str">
        <f t="shared" ref="AD293:AK293" si="1170">CONCATENATE("&lt;/li&gt;&lt;li&gt;&lt;a href=|http://",AD1191,"/1_kings/2.htm","| ","title=|",AD1190,"| target=|_top|&gt;",AD1192,"&lt;/a&gt;")</f>
        <v>&lt;/li&gt;&lt;li&gt;&lt;a href=|http://gsb.biblecommenter.com/1_kings/2.htm| title=|Geneva Study Bible| target=|_top|&gt;GSB&lt;/a&gt;</v>
      </c>
      <c r="AE293" s="2" t="str">
        <f t="shared" si="1170"/>
        <v>&lt;/li&gt;&lt;li&gt;&lt;a href=|http://jfb.biblecommenter.com/1_kings/2.htm| title=|Jamieson-Fausset-Brown Bible Commentary| target=|_top|&gt;JFB&lt;/a&gt;</v>
      </c>
      <c r="AF293" s="2" t="str">
        <f t="shared" si="1170"/>
        <v>&lt;/li&gt;&lt;li&gt;&lt;a href=|http://kjt.biblecommenter.com/1_kings/2.htm| title=|King James Translators' Notes| target=|_top|&gt;KJT&lt;/a&gt;</v>
      </c>
      <c r="AG293" s="2" t="str">
        <f t="shared" si="1170"/>
        <v>&lt;/li&gt;&lt;li&gt;&lt;a href=|http://mhc.biblecommenter.com/1_kings/2.htm| title=|Matthew Henry's Concise Commentary| target=|_top|&gt;MHC&lt;/a&gt;</v>
      </c>
      <c r="AH293" s="2" t="str">
        <f t="shared" si="1170"/>
        <v>&lt;/li&gt;&lt;li&gt;&lt;a href=|http://sco.biblecommenter.com/1_kings/2.htm| title=|Scofield Reference Notes| target=|_top|&gt;SCO&lt;/a&gt;</v>
      </c>
      <c r="AI293" s="2" t="str">
        <f t="shared" si="1170"/>
        <v>&lt;/li&gt;&lt;li&gt;&lt;a href=|http://wes.biblecommenter.com/1_kings/2.htm| title=|Wesley's Notes on the Bible| target=|_top|&gt;WES&lt;/a&gt;</v>
      </c>
      <c r="AJ293" t="str">
        <f t="shared" si="1170"/>
        <v>&lt;/li&gt;&lt;li&gt;&lt;a href=|http://worldebible.com/1_kings/2.htm| title=|World English Bible| target=|_top|&gt;WEB&lt;/a&gt;</v>
      </c>
      <c r="AK293" t="str">
        <f t="shared" si="1170"/>
        <v>&lt;/li&gt;&lt;li&gt;&lt;a href=|http://yltbible.com/1_kings/2.htm| title=|Young's Literal Translation| target=|_top|&gt;YLT&lt;/a&gt;</v>
      </c>
      <c r="AL293" t="str">
        <f>CONCATENATE("&lt;a href=|http://",AL1191,"/1_kings/2.htm","| ","title=|",AL1190,"| target=|_top|&gt;",AL1192,"&lt;/a&gt;")</f>
        <v>&lt;a href=|http://kjv.us/1_kings/2.htm| title=|American King James Version| target=|_top|&gt;AKJ&lt;/a&gt;</v>
      </c>
      <c r="AM293" t="str">
        <f t="shared" ref="AM293:AN293" si="1171">CONCATENATE("&lt;/li&gt;&lt;li&gt;&lt;a href=|http://",AM1191,"/1_kings/2.htm","| ","title=|",AM1190,"| target=|_top|&gt;",AM1192,"&lt;/a&gt;")</f>
        <v>&lt;/li&gt;&lt;li&gt;&lt;a href=|http://basicenglishbible.com/1_kings/2.htm| title=|Bible in Basic English| target=|_top|&gt;BBE&lt;/a&gt;</v>
      </c>
      <c r="AN293" t="str">
        <f t="shared" si="1171"/>
        <v>&lt;/li&gt;&lt;li&gt;&lt;a href=|http://darbybible.com/1_kings/2.htm| title=|Darby Bible Translation| target=|_top|&gt;DBY&lt;/a&gt;</v>
      </c>
      <c r="AO29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9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9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93" t="str">
        <f>CONCATENATE("&lt;/li&gt;&lt;li&gt;&lt;a href=|http://",AR1191,"/1_kings/2.htm","| ","title=|",AR1190,"| target=|_top|&gt;",AR1192,"&lt;/a&gt;")</f>
        <v>&lt;/li&gt;&lt;li&gt;&lt;a href=|http://websterbible.com/1_kings/2.htm| title=|Webster's Bible Translation| target=|_top|&gt;WBS&lt;/a&gt;</v>
      </c>
      <c r="AS29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93" t="str">
        <f>CONCATENATE("&lt;/li&gt;&lt;li&gt;&lt;a href=|http://",AT1191,"/1_kings/2-1.htm","| ","title=|",AT1190,"| target=|_top|&gt;",AT1192,"&lt;/a&gt;")</f>
        <v>&lt;/li&gt;&lt;li&gt;&lt;a href=|http://biblebrowser.com/1_kings/2-1.htm| title=|Split View| target=|_top|&gt;Split&lt;/a&gt;</v>
      </c>
      <c r="AU293" s="2" t="s">
        <v>1276</v>
      </c>
      <c r="AV293" t="s">
        <v>64</v>
      </c>
    </row>
    <row r="294" spans="1:48">
      <c r="A294" t="s">
        <v>622</v>
      </c>
      <c r="B294" t="s">
        <v>347</v>
      </c>
      <c r="C294" t="s">
        <v>624</v>
      </c>
      <c r="D294" t="s">
        <v>1268</v>
      </c>
      <c r="E294" t="s">
        <v>1277</v>
      </c>
      <c r="F294" t="s">
        <v>1304</v>
      </c>
      <c r="G294" t="s">
        <v>1266</v>
      </c>
      <c r="H294" t="s">
        <v>1305</v>
      </c>
      <c r="I294" t="s">
        <v>1303</v>
      </c>
      <c r="J294" t="s">
        <v>1267</v>
      </c>
      <c r="K294" t="s">
        <v>1275</v>
      </c>
      <c r="L294" s="2" t="s">
        <v>1274</v>
      </c>
      <c r="M294" t="str">
        <f t="shared" ref="M294:AB294" si="1172">CONCATENATE("&lt;/li&gt;&lt;li&gt;&lt;a href=|http://",M1191,"/1_kings/3.htm","| ","title=|",M1190,"| target=|_top|&gt;",M1192,"&lt;/a&gt;")</f>
        <v>&lt;/li&gt;&lt;li&gt;&lt;a href=|http://niv.scripturetext.com/1_kings/3.htm| title=|New International Version| target=|_top|&gt;NIV&lt;/a&gt;</v>
      </c>
      <c r="N294" t="str">
        <f t="shared" si="1172"/>
        <v>&lt;/li&gt;&lt;li&gt;&lt;a href=|http://nlt.scripturetext.com/1_kings/3.htm| title=|New Living Translation| target=|_top|&gt;NLT&lt;/a&gt;</v>
      </c>
      <c r="O294" t="str">
        <f t="shared" si="1172"/>
        <v>&lt;/li&gt;&lt;li&gt;&lt;a href=|http://nasb.scripturetext.com/1_kings/3.htm| title=|New American Standard Bible| target=|_top|&gt;NAS&lt;/a&gt;</v>
      </c>
      <c r="P294" t="str">
        <f t="shared" si="1172"/>
        <v>&lt;/li&gt;&lt;li&gt;&lt;a href=|http://gwt.scripturetext.com/1_kings/3.htm| title=|God's Word Translation| target=|_top|&gt;GWT&lt;/a&gt;</v>
      </c>
      <c r="Q294" t="str">
        <f t="shared" si="1172"/>
        <v>&lt;/li&gt;&lt;li&gt;&lt;a href=|http://kingjbible.com/1_kings/3.htm| title=|King James Bible| target=|_top|&gt;KJV&lt;/a&gt;</v>
      </c>
      <c r="R294" t="str">
        <f t="shared" si="1172"/>
        <v>&lt;/li&gt;&lt;li&gt;&lt;a href=|http://asvbible.com/1_kings/3.htm| title=|American Standard Version| target=|_top|&gt;ASV&lt;/a&gt;</v>
      </c>
      <c r="S294" t="str">
        <f t="shared" si="1172"/>
        <v>&lt;/li&gt;&lt;li&gt;&lt;a href=|http://drb.scripturetext.com/1_kings/3.htm| title=|Douay-Rheims Bible| target=|_top|&gt;DRB&lt;/a&gt;</v>
      </c>
      <c r="T294" t="str">
        <f t="shared" si="1172"/>
        <v>&lt;/li&gt;&lt;li&gt;&lt;a href=|http://erv.scripturetext.com/1_kings/3.htm| title=|English Revised Version| target=|_top|&gt;ERV&lt;/a&gt;</v>
      </c>
      <c r="V294" t="str">
        <f>CONCATENATE("&lt;/li&gt;&lt;li&gt;&lt;a href=|http://",V1191,"/1_kings/3.htm","| ","title=|",V1190,"| target=|_top|&gt;",V1192,"&lt;/a&gt;")</f>
        <v>&lt;/li&gt;&lt;li&gt;&lt;a href=|http://study.interlinearbible.org/1_kings/3.htm| title=|Hebrew Study Bible| target=|_top|&gt;Heb Study&lt;/a&gt;</v>
      </c>
      <c r="W294" t="str">
        <f t="shared" si="1172"/>
        <v>&lt;/li&gt;&lt;li&gt;&lt;a href=|http://apostolic.interlinearbible.org/1_kings/3.htm| title=|Apostolic Bible Polyglot Interlinear| target=|_top|&gt;Polyglot&lt;/a&gt;</v>
      </c>
      <c r="X294" t="str">
        <f t="shared" si="1172"/>
        <v>&lt;/li&gt;&lt;li&gt;&lt;a href=|http://interlinearbible.org/1_kings/3.htm| title=|Interlinear Bible| target=|_top|&gt;Interlin&lt;/a&gt;</v>
      </c>
      <c r="Y294" t="str">
        <f t="shared" ref="Y294" si="1173">CONCATENATE("&lt;/li&gt;&lt;li&gt;&lt;a href=|http://",Y1191,"/1_kings/3.htm","| ","title=|",Y1190,"| target=|_top|&gt;",Y1192,"&lt;/a&gt;")</f>
        <v>&lt;/li&gt;&lt;li&gt;&lt;a href=|http://bibleoutline.org/1_kings/3.htm| title=|Outline with People and Places List| target=|_top|&gt;Outline&lt;/a&gt;</v>
      </c>
      <c r="Z294" t="str">
        <f t="shared" si="1172"/>
        <v>&lt;/li&gt;&lt;li&gt;&lt;a href=|http://kjvs.scripturetext.com/1_kings/3.htm| title=|King James Bible with Strong's Numbers| target=|_top|&gt;Strong's&lt;/a&gt;</v>
      </c>
      <c r="AA294" t="str">
        <f t="shared" si="1172"/>
        <v>&lt;/li&gt;&lt;li&gt;&lt;a href=|http://childrensbibleonline.com/1_kings/3.htm| title=|The Children's Bible| target=|_top|&gt;Children's&lt;/a&gt;</v>
      </c>
      <c r="AB294" s="2" t="str">
        <f t="shared" si="1172"/>
        <v>&lt;/li&gt;&lt;li&gt;&lt;a href=|http://tsk.scripturetext.com/1_kings/3.htm| title=|Treasury of Scripture Knowledge| target=|_top|&gt;TSK&lt;/a&gt;</v>
      </c>
      <c r="AC294" t="str">
        <f>CONCATENATE("&lt;a href=|http://",AC1191,"/1_kings/3.htm","| ","title=|",AC1190,"| target=|_top|&gt;",AC1192,"&lt;/a&gt;")</f>
        <v>&lt;a href=|http://parallelbible.com/1_kings/3.htm| title=|Parallel Chapters| target=|_top|&gt;PAR&lt;/a&gt;</v>
      </c>
      <c r="AD294" s="2" t="str">
        <f t="shared" ref="AD294:AK294" si="1174">CONCATENATE("&lt;/li&gt;&lt;li&gt;&lt;a href=|http://",AD1191,"/1_kings/3.htm","| ","title=|",AD1190,"| target=|_top|&gt;",AD1192,"&lt;/a&gt;")</f>
        <v>&lt;/li&gt;&lt;li&gt;&lt;a href=|http://gsb.biblecommenter.com/1_kings/3.htm| title=|Geneva Study Bible| target=|_top|&gt;GSB&lt;/a&gt;</v>
      </c>
      <c r="AE294" s="2" t="str">
        <f t="shared" si="1174"/>
        <v>&lt;/li&gt;&lt;li&gt;&lt;a href=|http://jfb.biblecommenter.com/1_kings/3.htm| title=|Jamieson-Fausset-Brown Bible Commentary| target=|_top|&gt;JFB&lt;/a&gt;</v>
      </c>
      <c r="AF294" s="2" t="str">
        <f t="shared" si="1174"/>
        <v>&lt;/li&gt;&lt;li&gt;&lt;a href=|http://kjt.biblecommenter.com/1_kings/3.htm| title=|King James Translators' Notes| target=|_top|&gt;KJT&lt;/a&gt;</v>
      </c>
      <c r="AG294" s="2" t="str">
        <f t="shared" si="1174"/>
        <v>&lt;/li&gt;&lt;li&gt;&lt;a href=|http://mhc.biblecommenter.com/1_kings/3.htm| title=|Matthew Henry's Concise Commentary| target=|_top|&gt;MHC&lt;/a&gt;</v>
      </c>
      <c r="AH294" s="2" t="str">
        <f t="shared" si="1174"/>
        <v>&lt;/li&gt;&lt;li&gt;&lt;a href=|http://sco.biblecommenter.com/1_kings/3.htm| title=|Scofield Reference Notes| target=|_top|&gt;SCO&lt;/a&gt;</v>
      </c>
      <c r="AI294" s="2" t="str">
        <f t="shared" si="1174"/>
        <v>&lt;/li&gt;&lt;li&gt;&lt;a href=|http://wes.biblecommenter.com/1_kings/3.htm| title=|Wesley's Notes on the Bible| target=|_top|&gt;WES&lt;/a&gt;</v>
      </c>
      <c r="AJ294" t="str">
        <f t="shared" si="1174"/>
        <v>&lt;/li&gt;&lt;li&gt;&lt;a href=|http://worldebible.com/1_kings/3.htm| title=|World English Bible| target=|_top|&gt;WEB&lt;/a&gt;</v>
      </c>
      <c r="AK294" t="str">
        <f t="shared" si="1174"/>
        <v>&lt;/li&gt;&lt;li&gt;&lt;a href=|http://yltbible.com/1_kings/3.htm| title=|Young's Literal Translation| target=|_top|&gt;YLT&lt;/a&gt;</v>
      </c>
      <c r="AL294" t="str">
        <f>CONCATENATE("&lt;a href=|http://",AL1191,"/1_kings/3.htm","| ","title=|",AL1190,"| target=|_top|&gt;",AL1192,"&lt;/a&gt;")</f>
        <v>&lt;a href=|http://kjv.us/1_kings/3.htm| title=|American King James Version| target=|_top|&gt;AKJ&lt;/a&gt;</v>
      </c>
      <c r="AM294" t="str">
        <f t="shared" ref="AM294:AN294" si="1175">CONCATENATE("&lt;/li&gt;&lt;li&gt;&lt;a href=|http://",AM1191,"/1_kings/3.htm","| ","title=|",AM1190,"| target=|_top|&gt;",AM1192,"&lt;/a&gt;")</f>
        <v>&lt;/li&gt;&lt;li&gt;&lt;a href=|http://basicenglishbible.com/1_kings/3.htm| title=|Bible in Basic English| target=|_top|&gt;BBE&lt;/a&gt;</v>
      </c>
      <c r="AN294" t="str">
        <f t="shared" si="1175"/>
        <v>&lt;/li&gt;&lt;li&gt;&lt;a href=|http://darbybible.com/1_kings/3.htm| title=|Darby Bible Translation| target=|_top|&gt;DBY&lt;/a&gt;</v>
      </c>
      <c r="AO29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9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9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94" t="str">
        <f>CONCATENATE("&lt;/li&gt;&lt;li&gt;&lt;a href=|http://",AR1191,"/1_kings/3.htm","| ","title=|",AR1190,"| target=|_top|&gt;",AR1192,"&lt;/a&gt;")</f>
        <v>&lt;/li&gt;&lt;li&gt;&lt;a href=|http://websterbible.com/1_kings/3.htm| title=|Webster's Bible Translation| target=|_top|&gt;WBS&lt;/a&gt;</v>
      </c>
      <c r="AS29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94" t="str">
        <f>CONCATENATE("&lt;/li&gt;&lt;li&gt;&lt;a href=|http://",AT1191,"/1_kings/3-1.htm","| ","title=|",AT1190,"| target=|_top|&gt;",AT1192,"&lt;/a&gt;")</f>
        <v>&lt;/li&gt;&lt;li&gt;&lt;a href=|http://biblebrowser.com/1_kings/3-1.htm| title=|Split View| target=|_top|&gt;Split&lt;/a&gt;</v>
      </c>
      <c r="AU294" s="2" t="s">
        <v>1276</v>
      </c>
      <c r="AV294" t="s">
        <v>64</v>
      </c>
    </row>
    <row r="295" spans="1:48">
      <c r="A295" t="s">
        <v>622</v>
      </c>
      <c r="B295" t="s">
        <v>348</v>
      </c>
      <c r="C295" t="s">
        <v>624</v>
      </c>
      <c r="D295" t="s">
        <v>1268</v>
      </c>
      <c r="E295" t="s">
        <v>1277</v>
      </c>
      <c r="F295" t="s">
        <v>1304</v>
      </c>
      <c r="G295" t="s">
        <v>1266</v>
      </c>
      <c r="H295" t="s">
        <v>1305</v>
      </c>
      <c r="I295" t="s">
        <v>1303</v>
      </c>
      <c r="J295" t="s">
        <v>1267</v>
      </c>
      <c r="K295" t="s">
        <v>1275</v>
      </c>
      <c r="L295" s="2" t="s">
        <v>1274</v>
      </c>
      <c r="M295" t="str">
        <f t="shared" ref="M295:AB295" si="1176">CONCATENATE("&lt;/li&gt;&lt;li&gt;&lt;a href=|http://",M1191,"/1_kings/4.htm","| ","title=|",M1190,"| target=|_top|&gt;",M1192,"&lt;/a&gt;")</f>
        <v>&lt;/li&gt;&lt;li&gt;&lt;a href=|http://niv.scripturetext.com/1_kings/4.htm| title=|New International Version| target=|_top|&gt;NIV&lt;/a&gt;</v>
      </c>
      <c r="N295" t="str">
        <f t="shared" si="1176"/>
        <v>&lt;/li&gt;&lt;li&gt;&lt;a href=|http://nlt.scripturetext.com/1_kings/4.htm| title=|New Living Translation| target=|_top|&gt;NLT&lt;/a&gt;</v>
      </c>
      <c r="O295" t="str">
        <f t="shared" si="1176"/>
        <v>&lt;/li&gt;&lt;li&gt;&lt;a href=|http://nasb.scripturetext.com/1_kings/4.htm| title=|New American Standard Bible| target=|_top|&gt;NAS&lt;/a&gt;</v>
      </c>
      <c r="P295" t="str">
        <f t="shared" si="1176"/>
        <v>&lt;/li&gt;&lt;li&gt;&lt;a href=|http://gwt.scripturetext.com/1_kings/4.htm| title=|God's Word Translation| target=|_top|&gt;GWT&lt;/a&gt;</v>
      </c>
      <c r="Q295" t="str">
        <f t="shared" si="1176"/>
        <v>&lt;/li&gt;&lt;li&gt;&lt;a href=|http://kingjbible.com/1_kings/4.htm| title=|King James Bible| target=|_top|&gt;KJV&lt;/a&gt;</v>
      </c>
      <c r="R295" t="str">
        <f t="shared" si="1176"/>
        <v>&lt;/li&gt;&lt;li&gt;&lt;a href=|http://asvbible.com/1_kings/4.htm| title=|American Standard Version| target=|_top|&gt;ASV&lt;/a&gt;</v>
      </c>
      <c r="S295" t="str">
        <f t="shared" si="1176"/>
        <v>&lt;/li&gt;&lt;li&gt;&lt;a href=|http://drb.scripturetext.com/1_kings/4.htm| title=|Douay-Rheims Bible| target=|_top|&gt;DRB&lt;/a&gt;</v>
      </c>
      <c r="T295" t="str">
        <f t="shared" si="1176"/>
        <v>&lt;/li&gt;&lt;li&gt;&lt;a href=|http://erv.scripturetext.com/1_kings/4.htm| title=|English Revised Version| target=|_top|&gt;ERV&lt;/a&gt;</v>
      </c>
      <c r="V295" t="str">
        <f>CONCATENATE("&lt;/li&gt;&lt;li&gt;&lt;a href=|http://",V1191,"/1_kings/4.htm","| ","title=|",V1190,"| target=|_top|&gt;",V1192,"&lt;/a&gt;")</f>
        <v>&lt;/li&gt;&lt;li&gt;&lt;a href=|http://study.interlinearbible.org/1_kings/4.htm| title=|Hebrew Study Bible| target=|_top|&gt;Heb Study&lt;/a&gt;</v>
      </c>
      <c r="W295" t="str">
        <f t="shared" si="1176"/>
        <v>&lt;/li&gt;&lt;li&gt;&lt;a href=|http://apostolic.interlinearbible.org/1_kings/4.htm| title=|Apostolic Bible Polyglot Interlinear| target=|_top|&gt;Polyglot&lt;/a&gt;</v>
      </c>
      <c r="X295" t="str">
        <f t="shared" si="1176"/>
        <v>&lt;/li&gt;&lt;li&gt;&lt;a href=|http://interlinearbible.org/1_kings/4.htm| title=|Interlinear Bible| target=|_top|&gt;Interlin&lt;/a&gt;</v>
      </c>
      <c r="Y295" t="str">
        <f t="shared" ref="Y295" si="1177">CONCATENATE("&lt;/li&gt;&lt;li&gt;&lt;a href=|http://",Y1191,"/1_kings/4.htm","| ","title=|",Y1190,"| target=|_top|&gt;",Y1192,"&lt;/a&gt;")</f>
        <v>&lt;/li&gt;&lt;li&gt;&lt;a href=|http://bibleoutline.org/1_kings/4.htm| title=|Outline with People and Places List| target=|_top|&gt;Outline&lt;/a&gt;</v>
      </c>
      <c r="Z295" t="str">
        <f t="shared" si="1176"/>
        <v>&lt;/li&gt;&lt;li&gt;&lt;a href=|http://kjvs.scripturetext.com/1_kings/4.htm| title=|King James Bible with Strong's Numbers| target=|_top|&gt;Strong's&lt;/a&gt;</v>
      </c>
      <c r="AA295" t="str">
        <f t="shared" si="1176"/>
        <v>&lt;/li&gt;&lt;li&gt;&lt;a href=|http://childrensbibleonline.com/1_kings/4.htm| title=|The Children's Bible| target=|_top|&gt;Children's&lt;/a&gt;</v>
      </c>
      <c r="AB295" s="2" t="str">
        <f t="shared" si="1176"/>
        <v>&lt;/li&gt;&lt;li&gt;&lt;a href=|http://tsk.scripturetext.com/1_kings/4.htm| title=|Treasury of Scripture Knowledge| target=|_top|&gt;TSK&lt;/a&gt;</v>
      </c>
      <c r="AC295" t="str">
        <f>CONCATENATE("&lt;a href=|http://",AC1191,"/1_kings/4.htm","| ","title=|",AC1190,"| target=|_top|&gt;",AC1192,"&lt;/a&gt;")</f>
        <v>&lt;a href=|http://parallelbible.com/1_kings/4.htm| title=|Parallel Chapters| target=|_top|&gt;PAR&lt;/a&gt;</v>
      </c>
      <c r="AD295" s="2" t="str">
        <f t="shared" ref="AD295:AK295" si="1178">CONCATENATE("&lt;/li&gt;&lt;li&gt;&lt;a href=|http://",AD1191,"/1_kings/4.htm","| ","title=|",AD1190,"| target=|_top|&gt;",AD1192,"&lt;/a&gt;")</f>
        <v>&lt;/li&gt;&lt;li&gt;&lt;a href=|http://gsb.biblecommenter.com/1_kings/4.htm| title=|Geneva Study Bible| target=|_top|&gt;GSB&lt;/a&gt;</v>
      </c>
      <c r="AE295" s="2" t="str">
        <f t="shared" si="1178"/>
        <v>&lt;/li&gt;&lt;li&gt;&lt;a href=|http://jfb.biblecommenter.com/1_kings/4.htm| title=|Jamieson-Fausset-Brown Bible Commentary| target=|_top|&gt;JFB&lt;/a&gt;</v>
      </c>
      <c r="AF295" s="2" t="str">
        <f t="shared" si="1178"/>
        <v>&lt;/li&gt;&lt;li&gt;&lt;a href=|http://kjt.biblecommenter.com/1_kings/4.htm| title=|King James Translators' Notes| target=|_top|&gt;KJT&lt;/a&gt;</v>
      </c>
      <c r="AG295" s="2" t="str">
        <f t="shared" si="1178"/>
        <v>&lt;/li&gt;&lt;li&gt;&lt;a href=|http://mhc.biblecommenter.com/1_kings/4.htm| title=|Matthew Henry's Concise Commentary| target=|_top|&gt;MHC&lt;/a&gt;</v>
      </c>
      <c r="AH295" s="2" t="str">
        <f t="shared" si="1178"/>
        <v>&lt;/li&gt;&lt;li&gt;&lt;a href=|http://sco.biblecommenter.com/1_kings/4.htm| title=|Scofield Reference Notes| target=|_top|&gt;SCO&lt;/a&gt;</v>
      </c>
      <c r="AI295" s="2" t="str">
        <f t="shared" si="1178"/>
        <v>&lt;/li&gt;&lt;li&gt;&lt;a href=|http://wes.biblecommenter.com/1_kings/4.htm| title=|Wesley's Notes on the Bible| target=|_top|&gt;WES&lt;/a&gt;</v>
      </c>
      <c r="AJ295" t="str">
        <f t="shared" si="1178"/>
        <v>&lt;/li&gt;&lt;li&gt;&lt;a href=|http://worldebible.com/1_kings/4.htm| title=|World English Bible| target=|_top|&gt;WEB&lt;/a&gt;</v>
      </c>
      <c r="AK295" t="str">
        <f t="shared" si="1178"/>
        <v>&lt;/li&gt;&lt;li&gt;&lt;a href=|http://yltbible.com/1_kings/4.htm| title=|Young's Literal Translation| target=|_top|&gt;YLT&lt;/a&gt;</v>
      </c>
      <c r="AL295" t="str">
        <f>CONCATENATE("&lt;a href=|http://",AL1191,"/1_kings/4.htm","| ","title=|",AL1190,"| target=|_top|&gt;",AL1192,"&lt;/a&gt;")</f>
        <v>&lt;a href=|http://kjv.us/1_kings/4.htm| title=|American King James Version| target=|_top|&gt;AKJ&lt;/a&gt;</v>
      </c>
      <c r="AM295" t="str">
        <f t="shared" ref="AM295:AN295" si="1179">CONCATENATE("&lt;/li&gt;&lt;li&gt;&lt;a href=|http://",AM1191,"/1_kings/4.htm","| ","title=|",AM1190,"| target=|_top|&gt;",AM1192,"&lt;/a&gt;")</f>
        <v>&lt;/li&gt;&lt;li&gt;&lt;a href=|http://basicenglishbible.com/1_kings/4.htm| title=|Bible in Basic English| target=|_top|&gt;BBE&lt;/a&gt;</v>
      </c>
      <c r="AN295" t="str">
        <f t="shared" si="1179"/>
        <v>&lt;/li&gt;&lt;li&gt;&lt;a href=|http://darbybible.com/1_kings/4.htm| title=|Darby Bible Translation| target=|_top|&gt;DBY&lt;/a&gt;</v>
      </c>
      <c r="AO29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9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9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95" t="str">
        <f>CONCATENATE("&lt;/li&gt;&lt;li&gt;&lt;a href=|http://",AR1191,"/1_kings/4.htm","| ","title=|",AR1190,"| target=|_top|&gt;",AR1192,"&lt;/a&gt;")</f>
        <v>&lt;/li&gt;&lt;li&gt;&lt;a href=|http://websterbible.com/1_kings/4.htm| title=|Webster's Bible Translation| target=|_top|&gt;WBS&lt;/a&gt;</v>
      </c>
      <c r="AS29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95" t="str">
        <f>CONCATENATE("&lt;/li&gt;&lt;li&gt;&lt;a href=|http://",AT1191,"/1_kings/4-1.htm","| ","title=|",AT1190,"| target=|_top|&gt;",AT1192,"&lt;/a&gt;")</f>
        <v>&lt;/li&gt;&lt;li&gt;&lt;a href=|http://biblebrowser.com/1_kings/4-1.htm| title=|Split View| target=|_top|&gt;Split&lt;/a&gt;</v>
      </c>
      <c r="AU295" s="2" t="s">
        <v>1276</v>
      </c>
      <c r="AV295" t="s">
        <v>64</v>
      </c>
    </row>
    <row r="296" spans="1:48">
      <c r="A296" t="s">
        <v>622</v>
      </c>
      <c r="B296" t="s">
        <v>349</v>
      </c>
      <c r="C296" t="s">
        <v>624</v>
      </c>
      <c r="D296" t="s">
        <v>1268</v>
      </c>
      <c r="E296" t="s">
        <v>1277</v>
      </c>
      <c r="F296" t="s">
        <v>1304</v>
      </c>
      <c r="G296" t="s">
        <v>1266</v>
      </c>
      <c r="H296" t="s">
        <v>1305</v>
      </c>
      <c r="I296" t="s">
        <v>1303</v>
      </c>
      <c r="J296" t="s">
        <v>1267</v>
      </c>
      <c r="K296" t="s">
        <v>1275</v>
      </c>
      <c r="L296" s="2" t="s">
        <v>1274</v>
      </c>
      <c r="M296" t="str">
        <f t="shared" ref="M296:AB296" si="1180">CONCATENATE("&lt;/li&gt;&lt;li&gt;&lt;a href=|http://",M1191,"/1_kings/5.htm","| ","title=|",M1190,"| target=|_top|&gt;",M1192,"&lt;/a&gt;")</f>
        <v>&lt;/li&gt;&lt;li&gt;&lt;a href=|http://niv.scripturetext.com/1_kings/5.htm| title=|New International Version| target=|_top|&gt;NIV&lt;/a&gt;</v>
      </c>
      <c r="N296" t="str">
        <f t="shared" si="1180"/>
        <v>&lt;/li&gt;&lt;li&gt;&lt;a href=|http://nlt.scripturetext.com/1_kings/5.htm| title=|New Living Translation| target=|_top|&gt;NLT&lt;/a&gt;</v>
      </c>
      <c r="O296" t="str">
        <f t="shared" si="1180"/>
        <v>&lt;/li&gt;&lt;li&gt;&lt;a href=|http://nasb.scripturetext.com/1_kings/5.htm| title=|New American Standard Bible| target=|_top|&gt;NAS&lt;/a&gt;</v>
      </c>
      <c r="P296" t="str">
        <f t="shared" si="1180"/>
        <v>&lt;/li&gt;&lt;li&gt;&lt;a href=|http://gwt.scripturetext.com/1_kings/5.htm| title=|God's Word Translation| target=|_top|&gt;GWT&lt;/a&gt;</v>
      </c>
      <c r="Q296" t="str">
        <f t="shared" si="1180"/>
        <v>&lt;/li&gt;&lt;li&gt;&lt;a href=|http://kingjbible.com/1_kings/5.htm| title=|King James Bible| target=|_top|&gt;KJV&lt;/a&gt;</v>
      </c>
      <c r="R296" t="str">
        <f t="shared" si="1180"/>
        <v>&lt;/li&gt;&lt;li&gt;&lt;a href=|http://asvbible.com/1_kings/5.htm| title=|American Standard Version| target=|_top|&gt;ASV&lt;/a&gt;</v>
      </c>
      <c r="S296" t="str">
        <f t="shared" si="1180"/>
        <v>&lt;/li&gt;&lt;li&gt;&lt;a href=|http://drb.scripturetext.com/1_kings/5.htm| title=|Douay-Rheims Bible| target=|_top|&gt;DRB&lt;/a&gt;</v>
      </c>
      <c r="T296" t="str">
        <f t="shared" si="1180"/>
        <v>&lt;/li&gt;&lt;li&gt;&lt;a href=|http://erv.scripturetext.com/1_kings/5.htm| title=|English Revised Version| target=|_top|&gt;ERV&lt;/a&gt;</v>
      </c>
      <c r="V296" t="str">
        <f>CONCATENATE("&lt;/li&gt;&lt;li&gt;&lt;a href=|http://",V1191,"/1_kings/5.htm","| ","title=|",V1190,"| target=|_top|&gt;",V1192,"&lt;/a&gt;")</f>
        <v>&lt;/li&gt;&lt;li&gt;&lt;a href=|http://study.interlinearbible.org/1_kings/5.htm| title=|Hebrew Study Bible| target=|_top|&gt;Heb Study&lt;/a&gt;</v>
      </c>
      <c r="W296" t="str">
        <f t="shared" si="1180"/>
        <v>&lt;/li&gt;&lt;li&gt;&lt;a href=|http://apostolic.interlinearbible.org/1_kings/5.htm| title=|Apostolic Bible Polyglot Interlinear| target=|_top|&gt;Polyglot&lt;/a&gt;</v>
      </c>
      <c r="X296" t="str">
        <f t="shared" si="1180"/>
        <v>&lt;/li&gt;&lt;li&gt;&lt;a href=|http://interlinearbible.org/1_kings/5.htm| title=|Interlinear Bible| target=|_top|&gt;Interlin&lt;/a&gt;</v>
      </c>
      <c r="Y296" t="str">
        <f t="shared" ref="Y296" si="1181">CONCATENATE("&lt;/li&gt;&lt;li&gt;&lt;a href=|http://",Y1191,"/1_kings/5.htm","| ","title=|",Y1190,"| target=|_top|&gt;",Y1192,"&lt;/a&gt;")</f>
        <v>&lt;/li&gt;&lt;li&gt;&lt;a href=|http://bibleoutline.org/1_kings/5.htm| title=|Outline with People and Places List| target=|_top|&gt;Outline&lt;/a&gt;</v>
      </c>
      <c r="Z296" t="str">
        <f t="shared" si="1180"/>
        <v>&lt;/li&gt;&lt;li&gt;&lt;a href=|http://kjvs.scripturetext.com/1_kings/5.htm| title=|King James Bible with Strong's Numbers| target=|_top|&gt;Strong's&lt;/a&gt;</v>
      </c>
      <c r="AA296" t="str">
        <f t="shared" si="1180"/>
        <v>&lt;/li&gt;&lt;li&gt;&lt;a href=|http://childrensbibleonline.com/1_kings/5.htm| title=|The Children's Bible| target=|_top|&gt;Children's&lt;/a&gt;</v>
      </c>
      <c r="AB296" s="2" t="str">
        <f t="shared" si="1180"/>
        <v>&lt;/li&gt;&lt;li&gt;&lt;a href=|http://tsk.scripturetext.com/1_kings/5.htm| title=|Treasury of Scripture Knowledge| target=|_top|&gt;TSK&lt;/a&gt;</v>
      </c>
      <c r="AC296" t="str">
        <f>CONCATENATE("&lt;a href=|http://",AC1191,"/1_kings/5.htm","| ","title=|",AC1190,"| target=|_top|&gt;",AC1192,"&lt;/a&gt;")</f>
        <v>&lt;a href=|http://parallelbible.com/1_kings/5.htm| title=|Parallel Chapters| target=|_top|&gt;PAR&lt;/a&gt;</v>
      </c>
      <c r="AD296" s="2" t="str">
        <f t="shared" ref="AD296:AK296" si="1182">CONCATENATE("&lt;/li&gt;&lt;li&gt;&lt;a href=|http://",AD1191,"/1_kings/5.htm","| ","title=|",AD1190,"| target=|_top|&gt;",AD1192,"&lt;/a&gt;")</f>
        <v>&lt;/li&gt;&lt;li&gt;&lt;a href=|http://gsb.biblecommenter.com/1_kings/5.htm| title=|Geneva Study Bible| target=|_top|&gt;GSB&lt;/a&gt;</v>
      </c>
      <c r="AE296" s="2" t="str">
        <f t="shared" si="1182"/>
        <v>&lt;/li&gt;&lt;li&gt;&lt;a href=|http://jfb.biblecommenter.com/1_kings/5.htm| title=|Jamieson-Fausset-Brown Bible Commentary| target=|_top|&gt;JFB&lt;/a&gt;</v>
      </c>
      <c r="AF296" s="2" t="str">
        <f t="shared" si="1182"/>
        <v>&lt;/li&gt;&lt;li&gt;&lt;a href=|http://kjt.biblecommenter.com/1_kings/5.htm| title=|King James Translators' Notes| target=|_top|&gt;KJT&lt;/a&gt;</v>
      </c>
      <c r="AG296" s="2" t="str">
        <f t="shared" si="1182"/>
        <v>&lt;/li&gt;&lt;li&gt;&lt;a href=|http://mhc.biblecommenter.com/1_kings/5.htm| title=|Matthew Henry's Concise Commentary| target=|_top|&gt;MHC&lt;/a&gt;</v>
      </c>
      <c r="AH296" s="2" t="str">
        <f t="shared" si="1182"/>
        <v>&lt;/li&gt;&lt;li&gt;&lt;a href=|http://sco.biblecommenter.com/1_kings/5.htm| title=|Scofield Reference Notes| target=|_top|&gt;SCO&lt;/a&gt;</v>
      </c>
      <c r="AI296" s="2" t="str">
        <f t="shared" si="1182"/>
        <v>&lt;/li&gt;&lt;li&gt;&lt;a href=|http://wes.biblecommenter.com/1_kings/5.htm| title=|Wesley's Notes on the Bible| target=|_top|&gt;WES&lt;/a&gt;</v>
      </c>
      <c r="AJ296" t="str">
        <f t="shared" si="1182"/>
        <v>&lt;/li&gt;&lt;li&gt;&lt;a href=|http://worldebible.com/1_kings/5.htm| title=|World English Bible| target=|_top|&gt;WEB&lt;/a&gt;</v>
      </c>
      <c r="AK296" t="str">
        <f t="shared" si="1182"/>
        <v>&lt;/li&gt;&lt;li&gt;&lt;a href=|http://yltbible.com/1_kings/5.htm| title=|Young's Literal Translation| target=|_top|&gt;YLT&lt;/a&gt;</v>
      </c>
      <c r="AL296" t="str">
        <f>CONCATENATE("&lt;a href=|http://",AL1191,"/1_kings/5.htm","| ","title=|",AL1190,"| target=|_top|&gt;",AL1192,"&lt;/a&gt;")</f>
        <v>&lt;a href=|http://kjv.us/1_kings/5.htm| title=|American King James Version| target=|_top|&gt;AKJ&lt;/a&gt;</v>
      </c>
      <c r="AM296" t="str">
        <f t="shared" ref="AM296:AN296" si="1183">CONCATENATE("&lt;/li&gt;&lt;li&gt;&lt;a href=|http://",AM1191,"/1_kings/5.htm","| ","title=|",AM1190,"| target=|_top|&gt;",AM1192,"&lt;/a&gt;")</f>
        <v>&lt;/li&gt;&lt;li&gt;&lt;a href=|http://basicenglishbible.com/1_kings/5.htm| title=|Bible in Basic English| target=|_top|&gt;BBE&lt;/a&gt;</v>
      </c>
      <c r="AN296" t="str">
        <f t="shared" si="1183"/>
        <v>&lt;/li&gt;&lt;li&gt;&lt;a href=|http://darbybible.com/1_kings/5.htm| title=|Darby Bible Translation| target=|_top|&gt;DBY&lt;/a&gt;</v>
      </c>
      <c r="AO29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9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9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96" t="str">
        <f>CONCATENATE("&lt;/li&gt;&lt;li&gt;&lt;a href=|http://",AR1191,"/1_kings/5.htm","| ","title=|",AR1190,"| target=|_top|&gt;",AR1192,"&lt;/a&gt;")</f>
        <v>&lt;/li&gt;&lt;li&gt;&lt;a href=|http://websterbible.com/1_kings/5.htm| title=|Webster's Bible Translation| target=|_top|&gt;WBS&lt;/a&gt;</v>
      </c>
      <c r="AS29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96" t="str">
        <f>CONCATENATE("&lt;/li&gt;&lt;li&gt;&lt;a href=|http://",AT1191,"/1_kings/5-1.htm","| ","title=|",AT1190,"| target=|_top|&gt;",AT1192,"&lt;/a&gt;")</f>
        <v>&lt;/li&gt;&lt;li&gt;&lt;a href=|http://biblebrowser.com/1_kings/5-1.htm| title=|Split View| target=|_top|&gt;Split&lt;/a&gt;</v>
      </c>
      <c r="AU296" s="2" t="s">
        <v>1276</v>
      </c>
      <c r="AV296" t="s">
        <v>64</v>
      </c>
    </row>
    <row r="297" spans="1:48">
      <c r="A297" t="s">
        <v>622</v>
      </c>
      <c r="B297" t="s">
        <v>350</v>
      </c>
      <c r="C297" t="s">
        <v>624</v>
      </c>
      <c r="D297" t="s">
        <v>1268</v>
      </c>
      <c r="E297" t="s">
        <v>1277</v>
      </c>
      <c r="F297" t="s">
        <v>1304</v>
      </c>
      <c r="G297" t="s">
        <v>1266</v>
      </c>
      <c r="H297" t="s">
        <v>1305</v>
      </c>
      <c r="I297" t="s">
        <v>1303</v>
      </c>
      <c r="J297" t="s">
        <v>1267</v>
      </c>
      <c r="K297" t="s">
        <v>1275</v>
      </c>
      <c r="L297" s="2" t="s">
        <v>1274</v>
      </c>
      <c r="M297" t="str">
        <f t="shared" ref="M297:AB297" si="1184">CONCATENATE("&lt;/li&gt;&lt;li&gt;&lt;a href=|http://",M1191,"/1_kings/6.htm","| ","title=|",M1190,"| target=|_top|&gt;",M1192,"&lt;/a&gt;")</f>
        <v>&lt;/li&gt;&lt;li&gt;&lt;a href=|http://niv.scripturetext.com/1_kings/6.htm| title=|New International Version| target=|_top|&gt;NIV&lt;/a&gt;</v>
      </c>
      <c r="N297" t="str">
        <f t="shared" si="1184"/>
        <v>&lt;/li&gt;&lt;li&gt;&lt;a href=|http://nlt.scripturetext.com/1_kings/6.htm| title=|New Living Translation| target=|_top|&gt;NLT&lt;/a&gt;</v>
      </c>
      <c r="O297" t="str">
        <f t="shared" si="1184"/>
        <v>&lt;/li&gt;&lt;li&gt;&lt;a href=|http://nasb.scripturetext.com/1_kings/6.htm| title=|New American Standard Bible| target=|_top|&gt;NAS&lt;/a&gt;</v>
      </c>
      <c r="P297" t="str">
        <f t="shared" si="1184"/>
        <v>&lt;/li&gt;&lt;li&gt;&lt;a href=|http://gwt.scripturetext.com/1_kings/6.htm| title=|God's Word Translation| target=|_top|&gt;GWT&lt;/a&gt;</v>
      </c>
      <c r="Q297" t="str">
        <f t="shared" si="1184"/>
        <v>&lt;/li&gt;&lt;li&gt;&lt;a href=|http://kingjbible.com/1_kings/6.htm| title=|King James Bible| target=|_top|&gt;KJV&lt;/a&gt;</v>
      </c>
      <c r="R297" t="str">
        <f t="shared" si="1184"/>
        <v>&lt;/li&gt;&lt;li&gt;&lt;a href=|http://asvbible.com/1_kings/6.htm| title=|American Standard Version| target=|_top|&gt;ASV&lt;/a&gt;</v>
      </c>
      <c r="S297" t="str">
        <f t="shared" si="1184"/>
        <v>&lt;/li&gt;&lt;li&gt;&lt;a href=|http://drb.scripturetext.com/1_kings/6.htm| title=|Douay-Rheims Bible| target=|_top|&gt;DRB&lt;/a&gt;</v>
      </c>
      <c r="T297" t="str">
        <f t="shared" si="1184"/>
        <v>&lt;/li&gt;&lt;li&gt;&lt;a href=|http://erv.scripturetext.com/1_kings/6.htm| title=|English Revised Version| target=|_top|&gt;ERV&lt;/a&gt;</v>
      </c>
      <c r="V297" t="str">
        <f>CONCATENATE("&lt;/li&gt;&lt;li&gt;&lt;a href=|http://",V1191,"/1_kings/6.htm","| ","title=|",V1190,"| target=|_top|&gt;",V1192,"&lt;/a&gt;")</f>
        <v>&lt;/li&gt;&lt;li&gt;&lt;a href=|http://study.interlinearbible.org/1_kings/6.htm| title=|Hebrew Study Bible| target=|_top|&gt;Heb Study&lt;/a&gt;</v>
      </c>
      <c r="W297" t="str">
        <f t="shared" si="1184"/>
        <v>&lt;/li&gt;&lt;li&gt;&lt;a href=|http://apostolic.interlinearbible.org/1_kings/6.htm| title=|Apostolic Bible Polyglot Interlinear| target=|_top|&gt;Polyglot&lt;/a&gt;</v>
      </c>
      <c r="X297" t="str">
        <f t="shared" si="1184"/>
        <v>&lt;/li&gt;&lt;li&gt;&lt;a href=|http://interlinearbible.org/1_kings/6.htm| title=|Interlinear Bible| target=|_top|&gt;Interlin&lt;/a&gt;</v>
      </c>
      <c r="Y297" t="str">
        <f t="shared" ref="Y297" si="1185">CONCATENATE("&lt;/li&gt;&lt;li&gt;&lt;a href=|http://",Y1191,"/1_kings/6.htm","| ","title=|",Y1190,"| target=|_top|&gt;",Y1192,"&lt;/a&gt;")</f>
        <v>&lt;/li&gt;&lt;li&gt;&lt;a href=|http://bibleoutline.org/1_kings/6.htm| title=|Outline with People and Places List| target=|_top|&gt;Outline&lt;/a&gt;</v>
      </c>
      <c r="Z297" t="str">
        <f t="shared" si="1184"/>
        <v>&lt;/li&gt;&lt;li&gt;&lt;a href=|http://kjvs.scripturetext.com/1_kings/6.htm| title=|King James Bible with Strong's Numbers| target=|_top|&gt;Strong's&lt;/a&gt;</v>
      </c>
      <c r="AA297" t="str">
        <f t="shared" si="1184"/>
        <v>&lt;/li&gt;&lt;li&gt;&lt;a href=|http://childrensbibleonline.com/1_kings/6.htm| title=|The Children's Bible| target=|_top|&gt;Children's&lt;/a&gt;</v>
      </c>
      <c r="AB297" s="2" t="str">
        <f t="shared" si="1184"/>
        <v>&lt;/li&gt;&lt;li&gt;&lt;a href=|http://tsk.scripturetext.com/1_kings/6.htm| title=|Treasury of Scripture Knowledge| target=|_top|&gt;TSK&lt;/a&gt;</v>
      </c>
      <c r="AC297" t="str">
        <f>CONCATENATE("&lt;a href=|http://",AC1191,"/1_kings/6.htm","| ","title=|",AC1190,"| target=|_top|&gt;",AC1192,"&lt;/a&gt;")</f>
        <v>&lt;a href=|http://parallelbible.com/1_kings/6.htm| title=|Parallel Chapters| target=|_top|&gt;PAR&lt;/a&gt;</v>
      </c>
      <c r="AD297" s="2" t="str">
        <f t="shared" ref="AD297:AK297" si="1186">CONCATENATE("&lt;/li&gt;&lt;li&gt;&lt;a href=|http://",AD1191,"/1_kings/6.htm","| ","title=|",AD1190,"| target=|_top|&gt;",AD1192,"&lt;/a&gt;")</f>
        <v>&lt;/li&gt;&lt;li&gt;&lt;a href=|http://gsb.biblecommenter.com/1_kings/6.htm| title=|Geneva Study Bible| target=|_top|&gt;GSB&lt;/a&gt;</v>
      </c>
      <c r="AE297" s="2" t="str">
        <f t="shared" si="1186"/>
        <v>&lt;/li&gt;&lt;li&gt;&lt;a href=|http://jfb.biblecommenter.com/1_kings/6.htm| title=|Jamieson-Fausset-Brown Bible Commentary| target=|_top|&gt;JFB&lt;/a&gt;</v>
      </c>
      <c r="AF297" s="2" t="str">
        <f t="shared" si="1186"/>
        <v>&lt;/li&gt;&lt;li&gt;&lt;a href=|http://kjt.biblecommenter.com/1_kings/6.htm| title=|King James Translators' Notes| target=|_top|&gt;KJT&lt;/a&gt;</v>
      </c>
      <c r="AG297" s="2" t="str">
        <f t="shared" si="1186"/>
        <v>&lt;/li&gt;&lt;li&gt;&lt;a href=|http://mhc.biblecommenter.com/1_kings/6.htm| title=|Matthew Henry's Concise Commentary| target=|_top|&gt;MHC&lt;/a&gt;</v>
      </c>
      <c r="AH297" s="2" t="str">
        <f t="shared" si="1186"/>
        <v>&lt;/li&gt;&lt;li&gt;&lt;a href=|http://sco.biblecommenter.com/1_kings/6.htm| title=|Scofield Reference Notes| target=|_top|&gt;SCO&lt;/a&gt;</v>
      </c>
      <c r="AI297" s="2" t="str">
        <f t="shared" si="1186"/>
        <v>&lt;/li&gt;&lt;li&gt;&lt;a href=|http://wes.biblecommenter.com/1_kings/6.htm| title=|Wesley's Notes on the Bible| target=|_top|&gt;WES&lt;/a&gt;</v>
      </c>
      <c r="AJ297" t="str">
        <f t="shared" si="1186"/>
        <v>&lt;/li&gt;&lt;li&gt;&lt;a href=|http://worldebible.com/1_kings/6.htm| title=|World English Bible| target=|_top|&gt;WEB&lt;/a&gt;</v>
      </c>
      <c r="AK297" t="str">
        <f t="shared" si="1186"/>
        <v>&lt;/li&gt;&lt;li&gt;&lt;a href=|http://yltbible.com/1_kings/6.htm| title=|Young's Literal Translation| target=|_top|&gt;YLT&lt;/a&gt;</v>
      </c>
      <c r="AL297" t="str">
        <f>CONCATENATE("&lt;a href=|http://",AL1191,"/1_kings/6.htm","| ","title=|",AL1190,"| target=|_top|&gt;",AL1192,"&lt;/a&gt;")</f>
        <v>&lt;a href=|http://kjv.us/1_kings/6.htm| title=|American King James Version| target=|_top|&gt;AKJ&lt;/a&gt;</v>
      </c>
      <c r="AM297" t="str">
        <f t="shared" ref="AM297:AN297" si="1187">CONCATENATE("&lt;/li&gt;&lt;li&gt;&lt;a href=|http://",AM1191,"/1_kings/6.htm","| ","title=|",AM1190,"| target=|_top|&gt;",AM1192,"&lt;/a&gt;")</f>
        <v>&lt;/li&gt;&lt;li&gt;&lt;a href=|http://basicenglishbible.com/1_kings/6.htm| title=|Bible in Basic English| target=|_top|&gt;BBE&lt;/a&gt;</v>
      </c>
      <c r="AN297" t="str">
        <f t="shared" si="1187"/>
        <v>&lt;/li&gt;&lt;li&gt;&lt;a href=|http://darbybible.com/1_kings/6.htm| title=|Darby Bible Translation| target=|_top|&gt;DBY&lt;/a&gt;</v>
      </c>
      <c r="AO29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9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9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97" t="str">
        <f>CONCATENATE("&lt;/li&gt;&lt;li&gt;&lt;a href=|http://",AR1191,"/1_kings/6.htm","| ","title=|",AR1190,"| target=|_top|&gt;",AR1192,"&lt;/a&gt;")</f>
        <v>&lt;/li&gt;&lt;li&gt;&lt;a href=|http://websterbible.com/1_kings/6.htm| title=|Webster's Bible Translation| target=|_top|&gt;WBS&lt;/a&gt;</v>
      </c>
      <c r="AS29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97" t="str">
        <f>CONCATENATE("&lt;/li&gt;&lt;li&gt;&lt;a href=|http://",AT1191,"/1_kings/6-1.htm","| ","title=|",AT1190,"| target=|_top|&gt;",AT1192,"&lt;/a&gt;")</f>
        <v>&lt;/li&gt;&lt;li&gt;&lt;a href=|http://biblebrowser.com/1_kings/6-1.htm| title=|Split View| target=|_top|&gt;Split&lt;/a&gt;</v>
      </c>
      <c r="AU297" s="2" t="s">
        <v>1276</v>
      </c>
      <c r="AV297" t="s">
        <v>64</v>
      </c>
    </row>
    <row r="298" spans="1:48">
      <c r="A298" t="s">
        <v>622</v>
      </c>
      <c r="B298" t="s">
        <v>351</v>
      </c>
      <c r="C298" t="s">
        <v>624</v>
      </c>
      <c r="D298" t="s">
        <v>1268</v>
      </c>
      <c r="E298" t="s">
        <v>1277</v>
      </c>
      <c r="F298" t="s">
        <v>1304</v>
      </c>
      <c r="G298" t="s">
        <v>1266</v>
      </c>
      <c r="H298" t="s">
        <v>1305</v>
      </c>
      <c r="I298" t="s">
        <v>1303</v>
      </c>
      <c r="J298" t="s">
        <v>1267</v>
      </c>
      <c r="K298" t="s">
        <v>1275</v>
      </c>
      <c r="L298" s="2" t="s">
        <v>1274</v>
      </c>
      <c r="M298" t="str">
        <f t="shared" ref="M298:AB298" si="1188">CONCATENATE("&lt;/li&gt;&lt;li&gt;&lt;a href=|http://",M1191,"/1_kings/7.htm","| ","title=|",M1190,"| target=|_top|&gt;",M1192,"&lt;/a&gt;")</f>
        <v>&lt;/li&gt;&lt;li&gt;&lt;a href=|http://niv.scripturetext.com/1_kings/7.htm| title=|New International Version| target=|_top|&gt;NIV&lt;/a&gt;</v>
      </c>
      <c r="N298" t="str">
        <f t="shared" si="1188"/>
        <v>&lt;/li&gt;&lt;li&gt;&lt;a href=|http://nlt.scripturetext.com/1_kings/7.htm| title=|New Living Translation| target=|_top|&gt;NLT&lt;/a&gt;</v>
      </c>
      <c r="O298" t="str">
        <f t="shared" si="1188"/>
        <v>&lt;/li&gt;&lt;li&gt;&lt;a href=|http://nasb.scripturetext.com/1_kings/7.htm| title=|New American Standard Bible| target=|_top|&gt;NAS&lt;/a&gt;</v>
      </c>
      <c r="P298" t="str">
        <f t="shared" si="1188"/>
        <v>&lt;/li&gt;&lt;li&gt;&lt;a href=|http://gwt.scripturetext.com/1_kings/7.htm| title=|God's Word Translation| target=|_top|&gt;GWT&lt;/a&gt;</v>
      </c>
      <c r="Q298" t="str">
        <f t="shared" si="1188"/>
        <v>&lt;/li&gt;&lt;li&gt;&lt;a href=|http://kingjbible.com/1_kings/7.htm| title=|King James Bible| target=|_top|&gt;KJV&lt;/a&gt;</v>
      </c>
      <c r="R298" t="str">
        <f t="shared" si="1188"/>
        <v>&lt;/li&gt;&lt;li&gt;&lt;a href=|http://asvbible.com/1_kings/7.htm| title=|American Standard Version| target=|_top|&gt;ASV&lt;/a&gt;</v>
      </c>
      <c r="S298" t="str">
        <f t="shared" si="1188"/>
        <v>&lt;/li&gt;&lt;li&gt;&lt;a href=|http://drb.scripturetext.com/1_kings/7.htm| title=|Douay-Rheims Bible| target=|_top|&gt;DRB&lt;/a&gt;</v>
      </c>
      <c r="T298" t="str">
        <f t="shared" si="1188"/>
        <v>&lt;/li&gt;&lt;li&gt;&lt;a href=|http://erv.scripturetext.com/1_kings/7.htm| title=|English Revised Version| target=|_top|&gt;ERV&lt;/a&gt;</v>
      </c>
      <c r="V298" t="str">
        <f>CONCATENATE("&lt;/li&gt;&lt;li&gt;&lt;a href=|http://",V1191,"/1_kings/7.htm","| ","title=|",V1190,"| target=|_top|&gt;",V1192,"&lt;/a&gt;")</f>
        <v>&lt;/li&gt;&lt;li&gt;&lt;a href=|http://study.interlinearbible.org/1_kings/7.htm| title=|Hebrew Study Bible| target=|_top|&gt;Heb Study&lt;/a&gt;</v>
      </c>
      <c r="W298" t="str">
        <f t="shared" si="1188"/>
        <v>&lt;/li&gt;&lt;li&gt;&lt;a href=|http://apostolic.interlinearbible.org/1_kings/7.htm| title=|Apostolic Bible Polyglot Interlinear| target=|_top|&gt;Polyglot&lt;/a&gt;</v>
      </c>
      <c r="X298" t="str">
        <f t="shared" si="1188"/>
        <v>&lt;/li&gt;&lt;li&gt;&lt;a href=|http://interlinearbible.org/1_kings/7.htm| title=|Interlinear Bible| target=|_top|&gt;Interlin&lt;/a&gt;</v>
      </c>
      <c r="Y298" t="str">
        <f t="shared" ref="Y298" si="1189">CONCATENATE("&lt;/li&gt;&lt;li&gt;&lt;a href=|http://",Y1191,"/1_kings/7.htm","| ","title=|",Y1190,"| target=|_top|&gt;",Y1192,"&lt;/a&gt;")</f>
        <v>&lt;/li&gt;&lt;li&gt;&lt;a href=|http://bibleoutline.org/1_kings/7.htm| title=|Outline with People and Places List| target=|_top|&gt;Outline&lt;/a&gt;</v>
      </c>
      <c r="Z298" t="str">
        <f t="shared" si="1188"/>
        <v>&lt;/li&gt;&lt;li&gt;&lt;a href=|http://kjvs.scripturetext.com/1_kings/7.htm| title=|King James Bible with Strong's Numbers| target=|_top|&gt;Strong's&lt;/a&gt;</v>
      </c>
      <c r="AA298" t="str">
        <f t="shared" si="1188"/>
        <v>&lt;/li&gt;&lt;li&gt;&lt;a href=|http://childrensbibleonline.com/1_kings/7.htm| title=|The Children's Bible| target=|_top|&gt;Children's&lt;/a&gt;</v>
      </c>
      <c r="AB298" s="2" t="str">
        <f t="shared" si="1188"/>
        <v>&lt;/li&gt;&lt;li&gt;&lt;a href=|http://tsk.scripturetext.com/1_kings/7.htm| title=|Treasury of Scripture Knowledge| target=|_top|&gt;TSK&lt;/a&gt;</v>
      </c>
      <c r="AC298" t="str">
        <f>CONCATENATE("&lt;a href=|http://",AC1191,"/1_kings/7.htm","| ","title=|",AC1190,"| target=|_top|&gt;",AC1192,"&lt;/a&gt;")</f>
        <v>&lt;a href=|http://parallelbible.com/1_kings/7.htm| title=|Parallel Chapters| target=|_top|&gt;PAR&lt;/a&gt;</v>
      </c>
      <c r="AD298" s="2" t="str">
        <f t="shared" ref="AD298:AK298" si="1190">CONCATENATE("&lt;/li&gt;&lt;li&gt;&lt;a href=|http://",AD1191,"/1_kings/7.htm","| ","title=|",AD1190,"| target=|_top|&gt;",AD1192,"&lt;/a&gt;")</f>
        <v>&lt;/li&gt;&lt;li&gt;&lt;a href=|http://gsb.biblecommenter.com/1_kings/7.htm| title=|Geneva Study Bible| target=|_top|&gt;GSB&lt;/a&gt;</v>
      </c>
      <c r="AE298" s="2" t="str">
        <f t="shared" si="1190"/>
        <v>&lt;/li&gt;&lt;li&gt;&lt;a href=|http://jfb.biblecommenter.com/1_kings/7.htm| title=|Jamieson-Fausset-Brown Bible Commentary| target=|_top|&gt;JFB&lt;/a&gt;</v>
      </c>
      <c r="AF298" s="2" t="str">
        <f t="shared" si="1190"/>
        <v>&lt;/li&gt;&lt;li&gt;&lt;a href=|http://kjt.biblecommenter.com/1_kings/7.htm| title=|King James Translators' Notes| target=|_top|&gt;KJT&lt;/a&gt;</v>
      </c>
      <c r="AG298" s="2" t="str">
        <f t="shared" si="1190"/>
        <v>&lt;/li&gt;&lt;li&gt;&lt;a href=|http://mhc.biblecommenter.com/1_kings/7.htm| title=|Matthew Henry's Concise Commentary| target=|_top|&gt;MHC&lt;/a&gt;</v>
      </c>
      <c r="AH298" s="2" t="str">
        <f t="shared" si="1190"/>
        <v>&lt;/li&gt;&lt;li&gt;&lt;a href=|http://sco.biblecommenter.com/1_kings/7.htm| title=|Scofield Reference Notes| target=|_top|&gt;SCO&lt;/a&gt;</v>
      </c>
      <c r="AI298" s="2" t="str">
        <f t="shared" si="1190"/>
        <v>&lt;/li&gt;&lt;li&gt;&lt;a href=|http://wes.biblecommenter.com/1_kings/7.htm| title=|Wesley's Notes on the Bible| target=|_top|&gt;WES&lt;/a&gt;</v>
      </c>
      <c r="AJ298" t="str">
        <f t="shared" si="1190"/>
        <v>&lt;/li&gt;&lt;li&gt;&lt;a href=|http://worldebible.com/1_kings/7.htm| title=|World English Bible| target=|_top|&gt;WEB&lt;/a&gt;</v>
      </c>
      <c r="AK298" t="str">
        <f t="shared" si="1190"/>
        <v>&lt;/li&gt;&lt;li&gt;&lt;a href=|http://yltbible.com/1_kings/7.htm| title=|Young's Literal Translation| target=|_top|&gt;YLT&lt;/a&gt;</v>
      </c>
      <c r="AL298" t="str">
        <f>CONCATENATE("&lt;a href=|http://",AL1191,"/1_kings/7.htm","| ","title=|",AL1190,"| target=|_top|&gt;",AL1192,"&lt;/a&gt;")</f>
        <v>&lt;a href=|http://kjv.us/1_kings/7.htm| title=|American King James Version| target=|_top|&gt;AKJ&lt;/a&gt;</v>
      </c>
      <c r="AM298" t="str">
        <f t="shared" ref="AM298:AN298" si="1191">CONCATENATE("&lt;/li&gt;&lt;li&gt;&lt;a href=|http://",AM1191,"/1_kings/7.htm","| ","title=|",AM1190,"| target=|_top|&gt;",AM1192,"&lt;/a&gt;")</f>
        <v>&lt;/li&gt;&lt;li&gt;&lt;a href=|http://basicenglishbible.com/1_kings/7.htm| title=|Bible in Basic English| target=|_top|&gt;BBE&lt;/a&gt;</v>
      </c>
      <c r="AN298" t="str">
        <f t="shared" si="1191"/>
        <v>&lt;/li&gt;&lt;li&gt;&lt;a href=|http://darbybible.com/1_kings/7.htm| title=|Darby Bible Translation| target=|_top|&gt;DBY&lt;/a&gt;</v>
      </c>
      <c r="AO29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9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9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98" t="str">
        <f>CONCATENATE("&lt;/li&gt;&lt;li&gt;&lt;a href=|http://",AR1191,"/1_kings/7.htm","| ","title=|",AR1190,"| target=|_top|&gt;",AR1192,"&lt;/a&gt;")</f>
        <v>&lt;/li&gt;&lt;li&gt;&lt;a href=|http://websterbible.com/1_kings/7.htm| title=|Webster's Bible Translation| target=|_top|&gt;WBS&lt;/a&gt;</v>
      </c>
      <c r="AS29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98" t="str">
        <f>CONCATENATE("&lt;/li&gt;&lt;li&gt;&lt;a href=|http://",AT1191,"/1_kings/7-1.htm","| ","title=|",AT1190,"| target=|_top|&gt;",AT1192,"&lt;/a&gt;")</f>
        <v>&lt;/li&gt;&lt;li&gt;&lt;a href=|http://biblebrowser.com/1_kings/7-1.htm| title=|Split View| target=|_top|&gt;Split&lt;/a&gt;</v>
      </c>
      <c r="AU298" s="2" t="s">
        <v>1276</v>
      </c>
      <c r="AV298" t="s">
        <v>64</v>
      </c>
    </row>
    <row r="299" spans="1:48">
      <c r="A299" t="s">
        <v>622</v>
      </c>
      <c r="B299" t="s">
        <v>352</v>
      </c>
      <c r="C299" t="s">
        <v>624</v>
      </c>
      <c r="D299" t="s">
        <v>1268</v>
      </c>
      <c r="E299" t="s">
        <v>1277</v>
      </c>
      <c r="F299" t="s">
        <v>1304</v>
      </c>
      <c r="G299" t="s">
        <v>1266</v>
      </c>
      <c r="H299" t="s">
        <v>1305</v>
      </c>
      <c r="I299" t="s">
        <v>1303</v>
      </c>
      <c r="J299" t="s">
        <v>1267</v>
      </c>
      <c r="K299" t="s">
        <v>1275</v>
      </c>
      <c r="L299" s="2" t="s">
        <v>1274</v>
      </c>
      <c r="M299" t="str">
        <f t="shared" ref="M299:AB299" si="1192">CONCATENATE("&lt;/li&gt;&lt;li&gt;&lt;a href=|http://",M1191,"/1_kings/8.htm","| ","title=|",M1190,"| target=|_top|&gt;",M1192,"&lt;/a&gt;")</f>
        <v>&lt;/li&gt;&lt;li&gt;&lt;a href=|http://niv.scripturetext.com/1_kings/8.htm| title=|New International Version| target=|_top|&gt;NIV&lt;/a&gt;</v>
      </c>
      <c r="N299" t="str">
        <f t="shared" si="1192"/>
        <v>&lt;/li&gt;&lt;li&gt;&lt;a href=|http://nlt.scripturetext.com/1_kings/8.htm| title=|New Living Translation| target=|_top|&gt;NLT&lt;/a&gt;</v>
      </c>
      <c r="O299" t="str">
        <f t="shared" si="1192"/>
        <v>&lt;/li&gt;&lt;li&gt;&lt;a href=|http://nasb.scripturetext.com/1_kings/8.htm| title=|New American Standard Bible| target=|_top|&gt;NAS&lt;/a&gt;</v>
      </c>
      <c r="P299" t="str">
        <f t="shared" si="1192"/>
        <v>&lt;/li&gt;&lt;li&gt;&lt;a href=|http://gwt.scripturetext.com/1_kings/8.htm| title=|God's Word Translation| target=|_top|&gt;GWT&lt;/a&gt;</v>
      </c>
      <c r="Q299" t="str">
        <f t="shared" si="1192"/>
        <v>&lt;/li&gt;&lt;li&gt;&lt;a href=|http://kingjbible.com/1_kings/8.htm| title=|King James Bible| target=|_top|&gt;KJV&lt;/a&gt;</v>
      </c>
      <c r="R299" t="str">
        <f t="shared" si="1192"/>
        <v>&lt;/li&gt;&lt;li&gt;&lt;a href=|http://asvbible.com/1_kings/8.htm| title=|American Standard Version| target=|_top|&gt;ASV&lt;/a&gt;</v>
      </c>
      <c r="S299" t="str">
        <f t="shared" si="1192"/>
        <v>&lt;/li&gt;&lt;li&gt;&lt;a href=|http://drb.scripturetext.com/1_kings/8.htm| title=|Douay-Rheims Bible| target=|_top|&gt;DRB&lt;/a&gt;</v>
      </c>
      <c r="T299" t="str">
        <f t="shared" si="1192"/>
        <v>&lt;/li&gt;&lt;li&gt;&lt;a href=|http://erv.scripturetext.com/1_kings/8.htm| title=|English Revised Version| target=|_top|&gt;ERV&lt;/a&gt;</v>
      </c>
      <c r="V299" t="str">
        <f>CONCATENATE("&lt;/li&gt;&lt;li&gt;&lt;a href=|http://",V1191,"/1_kings/8.htm","| ","title=|",V1190,"| target=|_top|&gt;",V1192,"&lt;/a&gt;")</f>
        <v>&lt;/li&gt;&lt;li&gt;&lt;a href=|http://study.interlinearbible.org/1_kings/8.htm| title=|Hebrew Study Bible| target=|_top|&gt;Heb Study&lt;/a&gt;</v>
      </c>
      <c r="W299" t="str">
        <f t="shared" si="1192"/>
        <v>&lt;/li&gt;&lt;li&gt;&lt;a href=|http://apostolic.interlinearbible.org/1_kings/8.htm| title=|Apostolic Bible Polyglot Interlinear| target=|_top|&gt;Polyglot&lt;/a&gt;</v>
      </c>
      <c r="X299" t="str">
        <f t="shared" si="1192"/>
        <v>&lt;/li&gt;&lt;li&gt;&lt;a href=|http://interlinearbible.org/1_kings/8.htm| title=|Interlinear Bible| target=|_top|&gt;Interlin&lt;/a&gt;</v>
      </c>
      <c r="Y299" t="str">
        <f t="shared" ref="Y299" si="1193">CONCATENATE("&lt;/li&gt;&lt;li&gt;&lt;a href=|http://",Y1191,"/1_kings/8.htm","| ","title=|",Y1190,"| target=|_top|&gt;",Y1192,"&lt;/a&gt;")</f>
        <v>&lt;/li&gt;&lt;li&gt;&lt;a href=|http://bibleoutline.org/1_kings/8.htm| title=|Outline with People and Places List| target=|_top|&gt;Outline&lt;/a&gt;</v>
      </c>
      <c r="Z299" t="str">
        <f t="shared" si="1192"/>
        <v>&lt;/li&gt;&lt;li&gt;&lt;a href=|http://kjvs.scripturetext.com/1_kings/8.htm| title=|King James Bible with Strong's Numbers| target=|_top|&gt;Strong's&lt;/a&gt;</v>
      </c>
      <c r="AA299" t="str">
        <f t="shared" si="1192"/>
        <v>&lt;/li&gt;&lt;li&gt;&lt;a href=|http://childrensbibleonline.com/1_kings/8.htm| title=|The Children's Bible| target=|_top|&gt;Children's&lt;/a&gt;</v>
      </c>
      <c r="AB299" s="2" t="str">
        <f t="shared" si="1192"/>
        <v>&lt;/li&gt;&lt;li&gt;&lt;a href=|http://tsk.scripturetext.com/1_kings/8.htm| title=|Treasury of Scripture Knowledge| target=|_top|&gt;TSK&lt;/a&gt;</v>
      </c>
      <c r="AC299" t="str">
        <f>CONCATENATE("&lt;a href=|http://",AC1191,"/1_kings/8.htm","| ","title=|",AC1190,"| target=|_top|&gt;",AC1192,"&lt;/a&gt;")</f>
        <v>&lt;a href=|http://parallelbible.com/1_kings/8.htm| title=|Parallel Chapters| target=|_top|&gt;PAR&lt;/a&gt;</v>
      </c>
      <c r="AD299" s="2" t="str">
        <f t="shared" ref="AD299:AK299" si="1194">CONCATENATE("&lt;/li&gt;&lt;li&gt;&lt;a href=|http://",AD1191,"/1_kings/8.htm","| ","title=|",AD1190,"| target=|_top|&gt;",AD1192,"&lt;/a&gt;")</f>
        <v>&lt;/li&gt;&lt;li&gt;&lt;a href=|http://gsb.biblecommenter.com/1_kings/8.htm| title=|Geneva Study Bible| target=|_top|&gt;GSB&lt;/a&gt;</v>
      </c>
      <c r="AE299" s="2" t="str">
        <f t="shared" si="1194"/>
        <v>&lt;/li&gt;&lt;li&gt;&lt;a href=|http://jfb.biblecommenter.com/1_kings/8.htm| title=|Jamieson-Fausset-Brown Bible Commentary| target=|_top|&gt;JFB&lt;/a&gt;</v>
      </c>
      <c r="AF299" s="2" t="str">
        <f t="shared" si="1194"/>
        <v>&lt;/li&gt;&lt;li&gt;&lt;a href=|http://kjt.biblecommenter.com/1_kings/8.htm| title=|King James Translators' Notes| target=|_top|&gt;KJT&lt;/a&gt;</v>
      </c>
      <c r="AG299" s="2" t="str">
        <f t="shared" si="1194"/>
        <v>&lt;/li&gt;&lt;li&gt;&lt;a href=|http://mhc.biblecommenter.com/1_kings/8.htm| title=|Matthew Henry's Concise Commentary| target=|_top|&gt;MHC&lt;/a&gt;</v>
      </c>
      <c r="AH299" s="2" t="str">
        <f t="shared" si="1194"/>
        <v>&lt;/li&gt;&lt;li&gt;&lt;a href=|http://sco.biblecommenter.com/1_kings/8.htm| title=|Scofield Reference Notes| target=|_top|&gt;SCO&lt;/a&gt;</v>
      </c>
      <c r="AI299" s="2" t="str">
        <f t="shared" si="1194"/>
        <v>&lt;/li&gt;&lt;li&gt;&lt;a href=|http://wes.biblecommenter.com/1_kings/8.htm| title=|Wesley's Notes on the Bible| target=|_top|&gt;WES&lt;/a&gt;</v>
      </c>
      <c r="AJ299" t="str">
        <f t="shared" si="1194"/>
        <v>&lt;/li&gt;&lt;li&gt;&lt;a href=|http://worldebible.com/1_kings/8.htm| title=|World English Bible| target=|_top|&gt;WEB&lt;/a&gt;</v>
      </c>
      <c r="AK299" t="str">
        <f t="shared" si="1194"/>
        <v>&lt;/li&gt;&lt;li&gt;&lt;a href=|http://yltbible.com/1_kings/8.htm| title=|Young's Literal Translation| target=|_top|&gt;YLT&lt;/a&gt;</v>
      </c>
      <c r="AL299" t="str">
        <f>CONCATENATE("&lt;a href=|http://",AL1191,"/1_kings/8.htm","| ","title=|",AL1190,"| target=|_top|&gt;",AL1192,"&lt;/a&gt;")</f>
        <v>&lt;a href=|http://kjv.us/1_kings/8.htm| title=|American King James Version| target=|_top|&gt;AKJ&lt;/a&gt;</v>
      </c>
      <c r="AM299" t="str">
        <f t="shared" ref="AM299:AN299" si="1195">CONCATENATE("&lt;/li&gt;&lt;li&gt;&lt;a href=|http://",AM1191,"/1_kings/8.htm","| ","title=|",AM1190,"| target=|_top|&gt;",AM1192,"&lt;/a&gt;")</f>
        <v>&lt;/li&gt;&lt;li&gt;&lt;a href=|http://basicenglishbible.com/1_kings/8.htm| title=|Bible in Basic English| target=|_top|&gt;BBE&lt;/a&gt;</v>
      </c>
      <c r="AN299" t="str">
        <f t="shared" si="1195"/>
        <v>&lt;/li&gt;&lt;li&gt;&lt;a href=|http://darbybible.com/1_kings/8.htm| title=|Darby Bible Translation| target=|_top|&gt;DBY&lt;/a&gt;</v>
      </c>
      <c r="AO29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29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29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299" t="str">
        <f>CONCATENATE("&lt;/li&gt;&lt;li&gt;&lt;a href=|http://",AR1191,"/1_kings/8.htm","| ","title=|",AR1190,"| target=|_top|&gt;",AR1192,"&lt;/a&gt;")</f>
        <v>&lt;/li&gt;&lt;li&gt;&lt;a href=|http://websterbible.com/1_kings/8.htm| title=|Webster's Bible Translation| target=|_top|&gt;WBS&lt;/a&gt;</v>
      </c>
      <c r="AS29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299" t="str">
        <f>CONCATENATE("&lt;/li&gt;&lt;li&gt;&lt;a href=|http://",AT1191,"/1_kings/8-1.htm","| ","title=|",AT1190,"| target=|_top|&gt;",AT1192,"&lt;/a&gt;")</f>
        <v>&lt;/li&gt;&lt;li&gt;&lt;a href=|http://biblebrowser.com/1_kings/8-1.htm| title=|Split View| target=|_top|&gt;Split&lt;/a&gt;</v>
      </c>
      <c r="AU299" s="2" t="s">
        <v>1276</v>
      </c>
      <c r="AV299" t="s">
        <v>64</v>
      </c>
    </row>
    <row r="300" spans="1:48">
      <c r="A300" t="s">
        <v>622</v>
      </c>
      <c r="B300" t="s">
        <v>353</v>
      </c>
      <c r="C300" t="s">
        <v>624</v>
      </c>
      <c r="D300" t="s">
        <v>1268</v>
      </c>
      <c r="E300" t="s">
        <v>1277</v>
      </c>
      <c r="F300" t="s">
        <v>1304</v>
      </c>
      <c r="G300" t="s">
        <v>1266</v>
      </c>
      <c r="H300" t="s">
        <v>1305</v>
      </c>
      <c r="I300" t="s">
        <v>1303</v>
      </c>
      <c r="J300" t="s">
        <v>1267</v>
      </c>
      <c r="K300" t="s">
        <v>1275</v>
      </c>
      <c r="L300" s="2" t="s">
        <v>1274</v>
      </c>
      <c r="M300" t="str">
        <f t="shared" ref="M300:AB300" si="1196">CONCATENATE("&lt;/li&gt;&lt;li&gt;&lt;a href=|http://",M1191,"/1_kings/9.htm","| ","title=|",M1190,"| target=|_top|&gt;",M1192,"&lt;/a&gt;")</f>
        <v>&lt;/li&gt;&lt;li&gt;&lt;a href=|http://niv.scripturetext.com/1_kings/9.htm| title=|New International Version| target=|_top|&gt;NIV&lt;/a&gt;</v>
      </c>
      <c r="N300" t="str">
        <f t="shared" si="1196"/>
        <v>&lt;/li&gt;&lt;li&gt;&lt;a href=|http://nlt.scripturetext.com/1_kings/9.htm| title=|New Living Translation| target=|_top|&gt;NLT&lt;/a&gt;</v>
      </c>
      <c r="O300" t="str">
        <f t="shared" si="1196"/>
        <v>&lt;/li&gt;&lt;li&gt;&lt;a href=|http://nasb.scripturetext.com/1_kings/9.htm| title=|New American Standard Bible| target=|_top|&gt;NAS&lt;/a&gt;</v>
      </c>
      <c r="P300" t="str">
        <f t="shared" si="1196"/>
        <v>&lt;/li&gt;&lt;li&gt;&lt;a href=|http://gwt.scripturetext.com/1_kings/9.htm| title=|God's Word Translation| target=|_top|&gt;GWT&lt;/a&gt;</v>
      </c>
      <c r="Q300" t="str">
        <f t="shared" si="1196"/>
        <v>&lt;/li&gt;&lt;li&gt;&lt;a href=|http://kingjbible.com/1_kings/9.htm| title=|King James Bible| target=|_top|&gt;KJV&lt;/a&gt;</v>
      </c>
      <c r="R300" t="str">
        <f t="shared" si="1196"/>
        <v>&lt;/li&gt;&lt;li&gt;&lt;a href=|http://asvbible.com/1_kings/9.htm| title=|American Standard Version| target=|_top|&gt;ASV&lt;/a&gt;</v>
      </c>
      <c r="S300" t="str">
        <f t="shared" si="1196"/>
        <v>&lt;/li&gt;&lt;li&gt;&lt;a href=|http://drb.scripturetext.com/1_kings/9.htm| title=|Douay-Rheims Bible| target=|_top|&gt;DRB&lt;/a&gt;</v>
      </c>
      <c r="T300" t="str">
        <f t="shared" si="1196"/>
        <v>&lt;/li&gt;&lt;li&gt;&lt;a href=|http://erv.scripturetext.com/1_kings/9.htm| title=|English Revised Version| target=|_top|&gt;ERV&lt;/a&gt;</v>
      </c>
      <c r="V300" t="str">
        <f>CONCATENATE("&lt;/li&gt;&lt;li&gt;&lt;a href=|http://",V1191,"/1_kings/9.htm","| ","title=|",V1190,"| target=|_top|&gt;",V1192,"&lt;/a&gt;")</f>
        <v>&lt;/li&gt;&lt;li&gt;&lt;a href=|http://study.interlinearbible.org/1_kings/9.htm| title=|Hebrew Study Bible| target=|_top|&gt;Heb Study&lt;/a&gt;</v>
      </c>
      <c r="W300" t="str">
        <f t="shared" si="1196"/>
        <v>&lt;/li&gt;&lt;li&gt;&lt;a href=|http://apostolic.interlinearbible.org/1_kings/9.htm| title=|Apostolic Bible Polyglot Interlinear| target=|_top|&gt;Polyglot&lt;/a&gt;</v>
      </c>
      <c r="X300" t="str">
        <f t="shared" si="1196"/>
        <v>&lt;/li&gt;&lt;li&gt;&lt;a href=|http://interlinearbible.org/1_kings/9.htm| title=|Interlinear Bible| target=|_top|&gt;Interlin&lt;/a&gt;</v>
      </c>
      <c r="Y300" t="str">
        <f t="shared" ref="Y300" si="1197">CONCATENATE("&lt;/li&gt;&lt;li&gt;&lt;a href=|http://",Y1191,"/1_kings/9.htm","| ","title=|",Y1190,"| target=|_top|&gt;",Y1192,"&lt;/a&gt;")</f>
        <v>&lt;/li&gt;&lt;li&gt;&lt;a href=|http://bibleoutline.org/1_kings/9.htm| title=|Outline with People and Places List| target=|_top|&gt;Outline&lt;/a&gt;</v>
      </c>
      <c r="Z300" t="str">
        <f t="shared" si="1196"/>
        <v>&lt;/li&gt;&lt;li&gt;&lt;a href=|http://kjvs.scripturetext.com/1_kings/9.htm| title=|King James Bible with Strong's Numbers| target=|_top|&gt;Strong's&lt;/a&gt;</v>
      </c>
      <c r="AA300" t="str">
        <f t="shared" si="1196"/>
        <v>&lt;/li&gt;&lt;li&gt;&lt;a href=|http://childrensbibleonline.com/1_kings/9.htm| title=|The Children's Bible| target=|_top|&gt;Children's&lt;/a&gt;</v>
      </c>
      <c r="AB300" s="2" t="str">
        <f t="shared" si="1196"/>
        <v>&lt;/li&gt;&lt;li&gt;&lt;a href=|http://tsk.scripturetext.com/1_kings/9.htm| title=|Treasury of Scripture Knowledge| target=|_top|&gt;TSK&lt;/a&gt;</v>
      </c>
      <c r="AC300" t="str">
        <f>CONCATENATE("&lt;a href=|http://",AC1191,"/1_kings/9.htm","| ","title=|",AC1190,"| target=|_top|&gt;",AC1192,"&lt;/a&gt;")</f>
        <v>&lt;a href=|http://parallelbible.com/1_kings/9.htm| title=|Parallel Chapters| target=|_top|&gt;PAR&lt;/a&gt;</v>
      </c>
      <c r="AD300" s="2" t="str">
        <f t="shared" ref="AD300:AK300" si="1198">CONCATENATE("&lt;/li&gt;&lt;li&gt;&lt;a href=|http://",AD1191,"/1_kings/9.htm","| ","title=|",AD1190,"| target=|_top|&gt;",AD1192,"&lt;/a&gt;")</f>
        <v>&lt;/li&gt;&lt;li&gt;&lt;a href=|http://gsb.biblecommenter.com/1_kings/9.htm| title=|Geneva Study Bible| target=|_top|&gt;GSB&lt;/a&gt;</v>
      </c>
      <c r="AE300" s="2" t="str">
        <f t="shared" si="1198"/>
        <v>&lt;/li&gt;&lt;li&gt;&lt;a href=|http://jfb.biblecommenter.com/1_kings/9.htm| title=|Jamieson-Fausset-Brown Bible Commentary| target=|_top|&gt;JFB&lt;/a&gt;</v>
      </c>
      <c r="AF300" s="2" t="str">
        <f t="shared" si="1198"/>
        <v>&lt;/li&gt;&lt;li&gt;&lt;a href=|http://kjt.biblecommenter.com/1_kings/9.htm| title=|King James Translators' Notes| target=|_top|&gt;KJT&lt;/a&gt;</v>
      </c>
      <c r="AG300" s="2" t="str">
        <f t="shared" si="1198"/>
        <v>&lt;/li&gt;&lt;li&gt;&lt;a href=|http://mhc.biblecommenter.com/1_kings/9.htm| title=|Matthew Henry's Concise Commentary| target=|_top|&gt;MHC&lt;/a&gt;</v>
      </c>
      <c r="AH300" s="2" t="str">
        <f t="shared" si="1198"/>
        <v>&lt;/li&gt;&lt;li&gt;&lt;a href=|http://sco.biblecommenter.com/1_kings/9.htm| title=|Scofield Reference Notes| target=|_top|&gt;SCO&lt;/a&gt;</v>
      </c>
      <c r="AI300" s="2" t="str">
        <f t="shared" si="1198"/>
        <v>&lt;/li&gt;&lt;li&gt;&lt;a href=|http://wes.biblecommenter.com/1_kings/9.htm| title=|Wesley's Notes on the Bible| target=|_top|&gt;WES&lt;/a&gt;</v>
      </c>
      <c r="AJ300" t="str">
        <f t="shared" si="1198"/>
        <v>&lt;/li&gt;&lt;li&gt;&lt;a href=|http://worldebible.com/1_kings/9.htm| title=|World English Bible| target=|_top|&gt;WEB&lt;/a&gt;</v>
      </c>
      <c r="AK300" t="str">
        <f t="shared" si="1198"/>
        <v>&lt;/li&gt;&lt;li&gt;&lt;a href=|http://yltbible.com/1_kings/9.htm| title=|Young's Literal Translation| target=|_top|&gt;YLT&lt;/a&gt;</v>
      </c>
      <c r="AL300" t="str">
        <f>CONCATENATE("&lt;a href=|http://",AL1191,"/1_kings/9.htm","| ","title=|",AL1190,"| target=|_top|&gt;",AL1192,"&lt;/a&gt;")</f>
        <v>&lt;a href=|http://kjv.us/1_kings/9.htm| title=|American King James Version| target=|_top|&gt;AKJ&lt;/a&gt;</v>
      </c>
      <c r="AM300" t="str">
        <f t="shared" ref="AM300:AN300" si="1199">CONCATENATE("&lt;/li&gt;&lt;li&gt;&lt;a href=|http://",AM1191,"/1_kings/9.htm","| ","title=|",AM1190,"| target=|_top|&gt;",AM1192,"&lt;/a&gt;")</f>
        <v>&lt;/li&gt;&lt;li&gt;&lt;a href=|http://basicenglishbible.com/1_kings/9.htm| title=|Bible in Basic English| target=|_top|&gt;BBE&lt;/a&gt;</v>
      </c>
      <c r="AN300" t="str">
        <f t="shared" si="1199"/>
        <v>&lt;/li&gt;&lt;li&gt;&lt;a href=|http://darbybible.com/1_kings/9.htm| title=|Darby Bible Translation| target=|_top|&gt;DBY&lt;/a&gt;</v>
      </c>
      <c r="AO30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0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0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00" t="str">
        <f>CONCATENATE("&lt;/li&gt;&lt;li&gt;&lt;a href=|http://",AR1191,"/1_kings/9.htm","| ","title=|",AR1190,"| target=|_top|&gt;",AR1192,"&lt;/a&gt;")</f>
        <v>&lt;/li&gt;&lt;li&gt;&lt;a href=|http://websterbible.com/1_kings/9.htm| title=|Webster's Bible Translation| target=|_top|&gt;WBS&lt;/a&gt;</v>
      </c>
      <c r="AS30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00" t="str">
        <f>CONCATENATE("&lt;/li&gt;&lt;li&gt;&lt;a href=|http://",AT1191,"/1_kings/9-1.htm","| ","title=|",AT1190,"| target=|_top|&gt;",AT1192,"&lt;/a&gt;")</f>
        <v>&lt;/li&gt;&lt;li&gt;&lt;a href=|http://biblebrowser.com/1_kings/9-1.htm| title=|Split View| target=|_top|&gt;Split&lt;/a&gt;</v>
      </c>
      <c r="AU300" s="2" t="s">
        <v>1276</v>
      </c>
      <c r="AV300" t="s">
        <v>64</v>
      </c>
    </row>
    <row r="301" spans="1:48">
      <c r="A301" t="s">
        <v>622</v>
      </c>
      <c r="B301" t="s">
        <v>354</v>
      </c>
      <c r="C301" t="s">
        <v>624</v>
      </c>
      <c r="D301" t="s">
        <v>1268</v>
      </c>
      <c r="E301" t="s">
        <v>1277</v>
      </c>
      <c r="F301" t="s">
        <v>1304</v>
      </c>
      <c r="G301" t="s">
        <v>1266</v>
      </c>
      <c r="H301" t="s">
        <v>1305</v>
      </c>
      <c r="I301" t="s">
        <v>1303</v>
      </c>
      <c r="J301" t="s">
        <v>1267</v>
      </c>
      <c r="K301" t="s">
        <v>1275</v>
      </c>
      <c r="L301" s="2" t="s">
        <v>1274</v>
      </c>
      <c r="M301" t="str">
        <f t="shared" ref="M301:AB301" si="1200">CONCATENATE("&lt;/li&gt;&lt;li&gt;&lt;a href=|http://",M1191,"/1_kings/10.htm","| ","title=|",M1190,"| target=|_top|&gt;",M1192,"&lt;/a&gt;")</f>
        <v>&lt;/li&gt;&lt;li&gt;&lt;a href=|http://niv.scripturetext.com/1_kings/10.htm| title=|New International Version| target=|_top|&gt;NIV&lt;/a&gt;</v>
      </c>
      <c r="N301" t="str">
        <f t="shared" si="1200"/>
        <v>&lt;/li&gt;&lt;li&gt;&lt;a href=|http://nlt.scripturetext.com/1_kings/10.htm| title=|New Living Translation| target=|_top|&gt;NLT&lt;/a&gt;</v>
      </c>
      <c r="O301" t="str">
        <f t="shared" si="1200"/>
        <v>&lt;/li&gt;&lt;li&gt;&lt;a href=|http://nasb.scripturetext.com/1_kings/10.htm| title=|New American Standard Bible| target=|_top|&gt;NAS&lt;/a&gt;</v>
      </c>
      <c r="P301" t="str">
        <f t="shared" si="1200"/>
        <v>&lt;/li&gt;&lt;li&gt;&lt;a href=|http://gwt.scripturetext.com/1_kings/10.htm| title=|God's Word Translation| target=|_top|&gt;GWT&lt;/a&gt;</v>
      </c>
      <c r="Q301" t="str">
        <f t="shared" si="1200"/>
        <v>&lt;/li&gt;&lt;li&gt;&lt;a href=|http://kingjbible.com/1_kings/10.htm| title=|King James Bible| target=|_top|&gt;KJV&lt;/a&gt;</v>
      </c>
      <c r="R301" t="str">
        <f t="shared" si="1200"/>
        <v>&lt;/li&gt;&lt;li&gt;&lt;a href=|http://asvbible.com/1_kings/10.htm| title=|American Standard Version| target=|_top|&gt;ASV&lt;/a&gt;</v>
      </c>
      <c r="S301" t="str">
        <f t="shared" si="1200"/>
        <v>&lt;/li&gt;&lt;li&gt;&lt;a href=|http://drb.scripturetext.com/1_kings/10.htm| title=|Douay-Rheims Bible| target=|_top|&gt;DRB&lt;/a&gt;</v>
      </c>
      <c r="T301" t="str">
        <f t="shared" si="1200"/>
        <v>&lt;/li&gt;&lt;li&gt;&lt;a href=|http://erv.scripturetext.com/1_kings/10.htm| title=|English Revised Version| target=|_top|&gt;ERV&lt;/a&gt;</v>
      </c>
      <c r="V301" t="str">
        <f>CONCATENATE("&lt;/li&gt;&lt;li&gt;&lt;a href=|http://",V1191,"/1_kings/10.htm","| ","title=|",V1190,"| target=|_top|&gt;",V1192,"&lt;/a&gt;")</f>
        <v>&lt;/li&gt;&lt;li&gt;&lt;a href=|http://study.interlinearbible.org/1_kings/10.htm| title=|Hebrew Study Bible| target=|_top|&gt;Heb Study&lt;/a&gt;</v>
      </c>
      <c r="W301" t="str">
        <f t="shared" si="1200"/>
        <v>&lt;/li&gt;&lt;li&gt;&lt;a href=|http://apostolic.interlinearbible.org/1_kings/10.htm| title=|Apostolic Bible Polyglot Interlinear| target=|_top|&gt;Polyglot&lt;/a&gt;</v>
      </c>
      <c r="X301" t="str">
        <f t="shared" si="1200"/>
        <v>&lt;/li&gt;&lt;li&gt;&lt;a href=|http://interlinearbible.org/1_kings/10.htm| title=|Interlinear Bible| target=|_top|&gt;Interlin&lt;/a&gt;</v>
      </c>
      <c r="Y301" t="str">
        <f t="shared" ref="Y301" si="1201">CONCATENATE("&lt;/li&gt;&lt;li&gt;&lt;a href=|http://",Y1191,"/1_kings/10.htm","| ","title=|",Y1190,"| target=|_top|&gt;",Y1192,"&lt;/a&gt;")</f>
        <v>&lt;/li&gt;&lt;li&gt;&lt;a href=|http://bibleoutline.org/1_kings/10.htm| title=|Outline with People and Places List| target=|_top|&gt;Outline&lt;/a&gt;</v>
      </c>
      <c r="Z301" t="str">
        <f t="shared" si="1200"/>
        <v>&lt;/li&gt;&lt;li&gt;&lt;a href=|http://kjvs.scripturetext.com/1_kings/10.htm| title=|King James Bible with Strong's Numbers| target=|_top|&gt;Strong's&lt;/a&gt;</v>
      </c>
      <c r="AA301" t="str">
        <f t="shared" si="1200"/>
        <v>&lt;/li&gt;&lt;li&gt;&lt;a href=|http://childrensbibleonline.com/1_kings/10.htm| title=|The Children's Bible| target=|_top|&gt;Children's&lt;/a&gt;</v>
      </c>
      <c r="AB301" s="2" t="str">
        <f t="shared" si="1200"/>
        <v>&lt;/li&gt;&lt;li&gt;&lt;a href=|http://tsk.scripturetext.com/1_kings/10.htm| title=|Treasury of Scripture Knowledge| target=|_top|&gt;TSK&lt;/a&gt;</v>
      </c>
      <c r="AC301" t="str">
        <f>CONCATENATE("&lt;a href=|http://",AC1191,"/1_kings/10.htm","| ","title=|",AC1190,"| target=|_top|&gt;",AC1192,"&lt;/a&gt;")</f>
        <v>&lt;a href=|http://parallelbible.com/1_kings/10.htm| title=|Parallel Chapters| target=|_top|&gt;PAR&lt;/a&gt;</v>
      </c>
      <c r="AD301" s="2" t="str">
        <f t="shared" ref="AD301:AK301" si="1202">CONCATENATE("&lt;/li&gt;&lt;li&gt;&lt;a href=|http://",AD1191,"/1_kings/10.htm","| ","title=|",AD1190,"| target=|_top|&gt;",AD1192,"&lt;/a&gt;")</f>
        <v>&lt;/li&gt;&lt;li&gt;&lt;a href=|http://gsb.biblecommenter.com/1_kings/10.htm| title=|Geneva Study Bible| target=|_top|&gt;GSB&lt;/a&gt;</v>
      </c>
      <c r="AE301" s="2" t="str">
        <f t="shared" si="1202"/>
        <v>&lt;/li&gt;&lt;li&gt;&lt;a href=|http://jfb.biblecommenter.com/1_kings/10.htm| title=|Jamieson-Fausset-Brown Bible Commentary| target=|_top|&gt;JFB&lt;/a&gt;</v>
      </c>
      <c r="AF301" s="2" t="str">
        <f t="shared" si="1202"/>
        <v>&lt;/li&gt;&lt;li&gt;&lt;a href=|http://kjt.biblecommenter.com/1_kings/10.htm| title=|King James Translators' Notes| target=|_top|&gt;KJT&lt;/a&gt;</v>
      </c>
      <c r="AG301" s="2" t="str">
        <f t="shared" si="1202"/>
        <v>&lt;/li&gt;&lt;li&gt;&lt;a href=|http://mhc.biblecommenter.com/1_kings/10.htm| title=|Matthew Henry's Concise Commentary| target=|_top|&gt;MHC&lt;/a&gt;</v>
      </c>
      <c r="AH301" s="2" t="str">
        <f t="shared" si="1202"/>
        <v>&lt;/li&gt;&lt;li&gt;&lt;a href=|http://sco.biblecommenter.com/1_kings/10.htm| title=|Scofield Reference Notes| target=|_top|&gt;SCO&lt;/a&gt;</v>
      </c>
      <c r="AI301" s="2" t="str">
        <f t="shared" si="1202"/>
        <v>&lt;/li&gt;&lt;li&gt;&lt;a href=|http://wes.biblecommenter.com/1_kings/10.htm| title=|Wesley's Notes on the Bible| target=|_top|&gt;WES&lt;/a&gt;</v>
      </c>
      <c r="AJ301" t="str">
        <f t="shared" si="1202"/>
        <v>&lt;/li&gt;&lt;li&gt;&lt;a href=|http://worldebible.com/1_kings/10.htm| title=|World English Bible| target=|_top|&gt;WEB&lt;/a&gt;</v>
      </c>
      <c r="AK301" t="str">
        <f t="shared" si="1202"/>
        <v>&lt;/li&gt;&lt;li&gt;&lt;a href=|http://yltbible.com/1_kings/10.htm| title=|Young's Literal Translation| target=|_top|&gt;YLT&lt;/a&gt;</v>
      </c>
      <c r="AL301" t="str">
        <f>CONCATENATE("&lt;a href=|http://",AL1191,"/1_kings/10.htm","| ","title=|",AL1190,"| target=|_top|&gt;",AL1192,"&lt;/a&gt;")</f>
        <v>&lt;a href=|http://kjv.us/1_kings/10.htm| title=|American King James Version| target=|_top|&gt;AKJ&lt;/a&gt;</v>
      </c>
      <c r="AM301" t="str">
        <f t="shared" ref="AM301:AN301" si="1203">CONCATENATE("&lt;/li&gt;&lt;li&gt;&lt;a href=|http://",AM1191,"/1_kings/10.htm","| ","title=|",AM1190,"| target=|_top|&gt;",AM1192,"&lt;/a&gt;")</f>
        <v>&lt;/li&gt;&lt;li&gt;&lt;a href=|http://basicenglishbible.com/1_kings/10.htm| title=|Bible in Basic English| target=|_top|&gt;BBE&lt;/a&gt;</v>
      </c>
      <c r="AN301" t="str">
        <f t="shared" si="1203"/>
        <v>&lt;/li&gt;&lt;li&gt;&lt;a href=|http://darbybible.com/1_kings/10.htm| title=|Darby Bible Translation| target=|_top|&gt;DBY&lt;/a&gt;</v>
      </c>
      <c r="AO30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0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0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01" t="str">
        <f>CONCATENATE("&lt;/li&gt;&lt;li&gt;&lt;a href=|http://",AR1191,"/1_kings/10.htm","| ","title=|",AR1190,"| target=|_top|&gt;",AR1192,"&lt;/a&gt;")</f>
        <v>&lt;/li&gt;&lt;li&gt;&lt;a href=|http://websterbible.com/1_kings/10.htm| title=|Webster's Bible Translation| target=|_top|&gt;WBS&lt;/a&gt;</v>
      </c>
      <c r="AS30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01" t="str">
        <f>CONCATENATE("&lt;/li&gt;&lt;li&gt;&lt;a href=|http://",AT1191,"/1_kings/10-1.htm","| ","title=|",AT1190,"| target=|_top|&gt;",AT1192,"&lt;/a&gt;")</f>
        <v>&lt;/li&gt;&lt;li&gt;&lt;a href=|http://biblebrowser.com/1_kings/10-1.htm| title=|Split View| target=|_top|&gt;Split&lt;/a&gt;</v>
      </c>
      <c r="AU301" s="2" t="s">
        <v>1276</v>
      </c>
      <c r="AV301" t="s">
        <v>64</v>
      </c>
    </row>
    <row r="302" spans="1:48">
      <c r="A302" t="s">
        <v>622</v>
      </c>
      <c r="B302" t="s">
        <v>355</v>
      </c>
      <c r="C302" t="s">
        <v>624</v>
      </c>
      <c r="D302" t="s">
        <v>1268</v>
      </c>
      <c r="E302" t="s">
        <v>1277</v>
      </c>
      <c r="F302" t="s">
        <v>1304</v>
      </c>
      <c r="G302" t="s">
        <v>1266</v>
      </c>
      <c r="H302" t="s">
        <v>1305</v>
      </c>
      <c r="I302" t="s">
        <v>1303</v>
      </c>
      <c r="J302" t="s">
        <v>1267</v>
      </c>
      <c r="K302" t="s">
        <v>1275</v>
      </c>
      <c r="L302" s="2" t="s">
        <v>1274</v>
      </c>
      <c r="M302" t="str">
        <f t="shared" ref="M302:AB302" si="1204">CONCATENATE("&lt;/li&gt;&lt;li&gt;&lt;a href=|http://",M1191,"/1_kings/11.htm","| ","title=|",M1190,"| target=|_top|&gt;",M1192,"&lt;/a&gt;")</f>
        <v>&lt;/li&gt;&lt;li&gt;&lt;a href=|http://niv.scripturetext.com/1_kings/11.htm| title=|New International Version| target=|_top|&gt;NIV&lt;/a&gt;</v>
      </c>
      <c r="N302" t="str">
        <f t="shared" si="1204"/>
        <v>&lt;/li&gt;&lt;li&gt;&lt;a href=|http://nlt.scripturetext.com/1_kings/11.htm| title=|New Living Translation| target=|_top|&gt;NLT&lt;/a&gt;</v>
      </c>
      <c r="O302" t="str">
        <f t="shared" si="1204"/>
        <v>&lt;/li&gt;&lt;li&gt;&lt;a href=|http://nasb.scripturetext.com/1_kings/11.htm| title=|New American Standard Bible| target=|_top|&gt;NAS&lt;/a&gt;</v>
      </c>
      <c r="P302" t="str">
        <f t="shared" si="1204"/>
        <v>&lt;/li&gt;&lt;li&gt;&lt;a href=|http://gwt.scripturetext.com/1_kings/11.htm| title=|God's Word Translation| target=|_top|&gt;GWT&lt;/a&gt;</v>
      </c>
      <c r="Q302" t="str">
        <f t="shared" si="1204"/>
        <v>&lt;/li&gt;&lt;li&gt;&lt;a href=|http://kingjbible.com/1_kings/11.htm| title=|King James Bible| target=|_top|&gt;KJV&lt;/a&gt;</v>
      </c>
      <c r="R302" t="str">
        <f t="shared" si="1204"/>
        <v>&lt;/li&gt;&lt;li&gt;&lt;a href=|http://asvbible.com/1_kings/11.htm| title=|American Standard Version| target=|_top|&gt;ASV&lt;/a&gt;</v>
      </c>
      <c r="S302" t="str">
        <f t="shared" si="1204"/>
        <v>&lt;/li&gt;&lt;li&gt;&lt;a href=|http://drb.scripturetext.com/1_kings/11.htm| title=|Douay-Rheims Bible| target=|_top|&gt;DRB&lt;/a&gt;</v>
      </c>
      <c r="T302" t="str">
        <f t="shared" si="1204"/>
        <v>&lt;/li&gt;&lt;li&gt;&lt;a href=|http://erv.scripturetext.com/1_kings/11.htm| title=|English Revised Version| target=|_top|&gt;ERV&lt;/a&gt;</v>
      </c>
      <c r="V302" t="str">
        <f>CONCATENATE("&lt;/li&gt;&lt;li&gt;&lt;a href=|http://",V1191,"/1_kings/11.htm","| ","title=|",V1190,"| target=|_top|&gt;",V1192,"&lt;/a&gt;")</f>
        <v>&lt;/li&gt;&lt;li&gt;&lt;a href=|http://study.interlinearbible.org/1_kings/11.htm| title=|Hebrew Study Bible| target=|_top|&gt;Heb Study&lt;/a&gt;</v>
      </c>
      <c r="W302" t="str">
        <f t="shared" si="1204"/>
        <v>&lt;/li&gt;&lt;li&gt;&lt;a href=|http://apostolic.interlinearbible.org/1_kings/11.htm| title=|Apostolic Bible Polyglot Interlinear| target=|_top|&gt;Polyglot&lt;/a&gt;</v>
      </c>
      <c r="X302" t="str">
        <f t="shared" si="1204"/>
        <v>&lt;/li&gt;&lt;li&gt;&lt;a href=|http://interlinearbible.org/1_kings/11.htm| title=|Interlinear Bible| target=|_top|&gt;Interlin&lt;/a&gt;</v>
      </c>
      <c r="Y302" t="str">
        <f t="shared" ref="Y302" si="1205">CONCATENATE("&lt;/li&gt;&lt;li&gt;&lt;a href=|http://",Y1191,"/1_kings/11.htm","| ","title=|",Y1190,"| target=|_top|&gt;",Y1192,"&lt;/a&gt;")</f>
        <v>&lt;/li&gt;&lt;li&gt;&lt;a href=|http://bibleoutline.org/1_kings/11.htm| title=|Outline with People and Places List| target=|_top|&gt;Outline&lt;/a&gt;</v>
      </c>
      <c r="Z302" t="str">
        <f t="shared" si="1204"/>
        <v>&lt;/li&gt;&lt;li&gt;&lt;a href=|http://kjvs.scripturetext.com/1_kings/11.htm| title=|King James Bible with Strong's Numbers| target=|_top|&gt;Strong's&lt;/a&gt;</v>
      </c>
      <c r="AA302" t="str">
        <f t="shared" si="1204"/>
        <v>&lt;/li&gt;&lt;li&gt;&lt;a href=|http://childrensbibleonline.com/1_kings/11.htm| title=|The Children's Bible| target=|_top|&gt;Children's&lt;/a&gt;</v>
      </c>
      <c r="AB302" s="2" t="str">
        <f t="shared" si="1204"/>
        <v>&lt;/li&gt;&lt;li&gt;&lt;a href=|http://tsk.scripturetext.com/1_kings/11.htm| title=|Treasury of Scripture Knowledge| target=|_top|&gt;TSK&lt;/a&gt;</v>
      </c>
      <c r="AC302" t="str">
        <f>CONCATENATE("&lt;a href=|http://",AC1191,"/1_kings/11.htm","| ","title=|",AC1190,"| target=|_top|&gt;",AC1192,"&lt;/a&gt;")</f>
        <v>&lt;a href=|http://parallelbible.com/1_kings/11.htm| title=|Parallel Chapters| target=|_top|&gt;PAR&lt;/a&gt;</v>
      </c>
      <c r="AD302" s="2" t="str">
        <f t="shared" ref="AD302:AK302" si="1206">CONCATENATE("&lt;/li&gt;&lt;li&gt;&lt;a href=|http://",AD1191,"/1_kings/11.htm","| ","title=|",AD1190,"| target=|_top|&gt;",AD1192,"&lt;/a&gt;")</f>
        <v>&lt;/li&gt;&lt;li&gt;&lt;a href=|http://gsb.biblecommenter.com/1_kings/11.htm| title=|Geneva Study Bible| target=|_top|&gt;GSB&lt;/a&gt;</v>
      </c>
      <c r="AE302" s="2" t="str">
        <f t="shared" si="1206"/>
        <v>&lt;/li&gt;&lt;li&gt;&lt;a href=|http://jfb.biblecommenter.com/1_kings/11.htm| title=|Jamieson-Fausset-Brown Bible Commentary| target=|_top|&gt;JFB&lt;/a&gt;</v>
      </c>
      <c r="AF302" s="2" t="str">
        <f t="shared" si="1206"/>
        <v>&lt;/li&gt;&lt;li&gt;&lt;a href=|http://kjt.biblecommenter.com/1_kings/11.htm| title=|King James Translators' Notes| target=|_top|&gt;KJT&lt;/a&gt;</v>
      </c>
      <c r="AG302" s="2" t="str">
        <f t="shared" si="1206"/>
        <v>&lt;/li&gt;&lt;li&gt;&lt;a href=|http://mhc.biblecommenter.com/1_kings/11.htm| title=|Matthew Henry's Concise Commentary| target=|_top|&gt;MHC&lt;/a&gt;</v>
      </c>
      <c r="AH302" s="2" t="str">
        <f t="shared" si="1206"/>
        <v>&lt;/li&gt;&lt;li&gt;&lt;a href=|http://sco.biblecommenter.com/1_kings/11.htm| title=|Scofield Reference Notes| target=|_top|&gt;SCO&lt;/a&gt;</v>
      </c>
      <c r="AI302" s="2" t="str">
        <f t="shared" si="1206"/>
        <v>&lt;/li&gt;&lt;li&gt;&lt;a href=|http://wes.biblecommenter.com/1_kings/11.htm| title=|Wesley's Notes on the Bible| target=|_top|&gt;WES&lt;/a&gt;</v>
      </c>
      <c r="AJ302" t="str">
        <f t="shared" si="1206"/>
        <v>&lt;/li&gt;&lt;li&gt;&lt;a href=|http://worldebible.com/1_kings/11.htm| title=|World English Bible| target=|_top|&gt;WEB&lt;/a&gt;</v>
      </c>
      <c r="AK302" t="str">
        <f t="shared" si="1206"/>
        <v>&lt;/li&gt;&lt;li&gt;&lt;a href=|http://yltbible.com/1_kings/11.htm| title=|Young's Literal Translation| target=|_top|&gt;YLT&lt;/a&gt;</v>
      </c>
      <c r="AL302" t="str">
        <f>CONCATENATE("&lt;a href=|http://",AL1191,"/1_kings/11.htm","| ","title=|",AL1190,"| target=|_top|&gt;",AL1192,"&lt;/a&gt;")</f>
        <v>&lt;a href=|http://kjv.us/1_kings/11.htm| title=|American King James Version| target=|_top|&gt;AKJ&lt;/a&gt;</v>
      </c>
      <c r="AM302" t="str">
        <f t="shared" ref="AM302:AN302" si="1207">CONCATENATE("&lt;/li&gt;&lt;li&gt;&lt;a href=|http://",AM1191,"/1_kings/11.htm","| ","title=|",AM1190,"| target=|_top|&gt;",AM1192,"&lt;/a&gt;")</f>
        <v>&lt;/li&gt;&lt;li&gt;&lt;a href=|http://basicenglishbible.com/1_kings/11.htm| title=|Bible in Basic English| target=|_top|&gt;BBE&lt;/a&gt;</v>
      </c>
      <c r="AN302" t="str">
        <f t="shared" si="1207"/>
        <v>&lt;/li&gt;&lt;li&gt;&lt;a href=|http://darbybible.com/1_kings/11.htm| title=|Darby Bible Translation| target=|_top|&gt;DBY&lt;/a&gt;</v>
      </c>
      <c r="AO30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0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0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02" t="str">
        <f>CONCATENATE("&lt;/li&gt;&lt;li&gt;&lt;a href=|http://",AR1191,"/1_kings/11.htm","| ","title=|",AR1190,"| target=|_top|&gt;",AR1192,"&lt;/a&gt;")</f>
        <v>&lt;/li&gt;&lt;li&gt;&lt;a href=|http://websterbible.com/1_kings/11.htm| title=|Webster's Bible Translation| target=|_top|&gt;WBS&lt;/a&gt;</v>
      </c>
      <c r="AS30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02" t="str">
        <f>CONCATENATE("&lt;/li&gt;&lt;li&gt;&lt;a href=|http://",AT1191,"/1_kings/11-1.htm","| ","title=|",AT1190,"| target=|_top|&gt;",AT1192,"&lt;/a&gt;")</f>
        <v>&lt;/li&gt;&lt;li&gt;&lt;a href=|http://biblebrowser.com/1_kings/11-1.htm| title=|Split View| target=|_top|&gt;Split&lt;/a&gt;</v>
      </c>
      <c r="AU302" s="2" t="s">
        <v>1276</v>
      </c>
      <c r="AV302" t="s">
        <v>64</v>
      </c>
    </row>
    <row r="303" spans="1:48">
      <c r="A303" t="s">
        <v>622</v>
      </c>
      <c r="B303" t="s">
        <v>356</v>
      </c>
      <c r="C303" t="s">
        <v>624</v>
      </c>
      <c r="D303" t="s">
        <v>1268</v>
      </c>
      <c r="E303" t="s">
        <v>1277</v>
      </c>
      <c r="F303" t="s">
        <v>1304</v>
      </c>
      <c r="G303" t="s">
        <v>1266</v>
      </c>
      <c r="H303" t="s">
        <v>1305</v>
      </c>
      <c r="I303" t="s">
        <v>1303</v>
      </c>
      <c r="J303" t="s">
        <v>1267</v>
      </c>
      <c r="K303" t="s">
        <v>1275</v>
      </c>
      <c r="L303" s="2" t="s">
        <v>1274</v>
      </c>
      <c r="M303" t="str">
        <f t="shared" ref="M303:AB303" si="1208">CONCATENATE("&lt;/li&gt;&lt;li&gt;&lt;a href=|http://",M1191,"/1_kings/12.htm","| ","title=|",M1190,"| target=|_top|&gt;",M1192,"&lt;/a&gt;")</f>
        <v>&lt;/li&gt;&lt;li&gt;&lt;a href=|http://niv.scripturetext.com/1_kings/12.htm| title=|New International Version| target=|_top|&gt;NIV&lt;/a&gt;</v>
      </c>
      <c r="N303" t="str">
        <f t="shared" si="1208"/>
        <v>&lt;/li&gt;&lt;li&gt;&lt;a href=|http://nlt.scripturetext.com/1_kings/12.htm| title=|New Living Translation| target=|_top|&gt;NLT&lt;/a&gt;</v>
      </c>
      <c r="O303" t="str">
        <f t="shared" si="1208"/>
        <v>&lt;/li&gt;&lt;li&gt;&lt;a href=|http://nasb.scripturetext.com/1_kings/12.htm| title=|New American Standard Bible| target=|_top|&gt;NAS&lt;/a&gt;</v>
      </c>
      <c r="P303" t="str">
        <f t="shared" si="1208"/>
        <v>&lt;/li&gt;&lt;li&gt;&lt;a href=|http://gwt.scripturetext.com/1_kings/12.htm| title=|God's Word Translation| target=|_top|&gt;GWT&lt;/a&gt;</v>
      </c>
      <c r="Q303" t="str">
        <f t="shared" si="1208"/>
        <v>&lt;/li&gt;&lt;li&gt;&lt;a href=|http://kingjbible.com/1_kings/12.htm| title=|King James Bible| target=|_top|&gt;KJV&lt;/a&gt;</v>
      </c>
      <c r="R303" t="str">
        <f t="shared" si="1208"/>
        <v>&lt;/li&gt;&lt;li&gt;&lt;a href=|http://asvbible.com/1_kings/12.htm| title=|American Standard Version| target=|_top|&gt;ASV&lt;/a&gt;</v>
      </c>
      <c r="S303" t="str">
        <f t="shared" si="1208"/>
        <v>&lt;/li&gt;&lt;li&gt;&lt;a href=|http://drb.scripturetext.com/1_kings/12.htm| title=|Douay-Rheims Bible| target=|_top|&gt;DRB&lt;/a&gt;</v>
      </c>
      <c r="T303" t="str">
        <f t="shared" si="1208"/>
        <v>&lt;/li&gt;&lt;li&gt;&lt;a href=|http://erv.scripturetext.com/1_kings/12.htm| title=|English Revised Version| target=|_top|&gt;ERV&lt;/a&gt;</v>
      </c>
      <c r="V303" t="str">
        <f>CONCATENATE("&lt;/li&gt;&lt;li&gt;&lt;a href=|http://",V1191,"/1_kings/12.htm","| ","title=|",V1190,"| target=|_top|&gt;",V1192,"&lt;/a&gt;")</f>
        <v>&lt;/li&gt;&lt;li&gt;&lt;a href=|http://study.interlinearbible.org/1_kings/12.htm| title=|Hebrew Study Bible| target=|_top|&gt;Heb Study&lt;/a&gt;</v>
      </c>
      <c r="W303" t="str">
        <f t="shared" si="1208"/>
        <v>&lt;/li&gt;&lt;li&gt;&lt;a href=|http://apostolic.interlinearbible.org/1_kings/12.htm| title=|Apostolic Bible Polyglot Interlinear| target=|_top|&gt;Polyglot&lt;/a&gt;</v>
      </c>
      <c r="X303" t="str">
        <f t="shared" si="1208"/>
        <v>&lt;/li&gt;&lt;li&gt;&lt;a href=|http://interlinearbible.org/1_kings/12.htm| title=|Interlinear Bible| target=|_top|&gt;Interlin&lt;/a&gt;</v>
      </c>
      <c r="Y303" t="str">
        <f t="shared" ref="Y303" si="1209">CONCATENATE("&lt;/li&gt;&lt;li&gt;&lt;a href=|http://",Y1191,"/1_kings/12.htm","| ","title=|",Y1190,"| target=|_top|&gt;",Y1192,"&lt;/a&gt;")</f>
        <v>&lt;/li&gt;&lt;li&gt;&lt;a href=|http://bibleoutline.org/1_kings/12.htm| title=|Outline with People and Places List| target=|_top|&gt;Outline&lt;/a&gt;</v>
      </c>
      <c r="Z303" t="str">
        <f t="shared" si="1208"/>
        <v>&lt;/li&gt;&lt;li&gt;&lt;a href=|http://kjvs.scripturetext.com/1_kings/12.htm| title=|King James Bible with Strong's Numbers| target=|_top|&gt;Strong's&lt;/a&gt;</v>
      </c>
      <c r="AA303" t="str">
        <f t="shared" si="1208"/>
        <v>&lt;/li&gt;&lt;li&gt;&lt;a href=|http://childrensbibleonline.com/1_kings/12.htm| title=|The Children's Bible| target=|_top|&gt;Children's&lt;/a&gt;</v>
      </c>
      <c r="AB303" s="2" t="str">
        <f t="shared" si="1208"/>
        <v>&lt;/li&gt;&lt;li&gt;&lt;a href=|http://tsk.scripturetext.com/1_kings/12.htm| title=|Treasury of Scripture Knowledge| target=|_top|&gt;TSK&lt;/a&gt;</v>
      </c>
      <c r="AC303" t="str">
        <f>CONCATENATE("&lt;a href=|http://",AC1191,"/1_kings/12.htm","| ","title=|",AC1190,"| target=|_top|&gt;",AC1192,"&lt;/a&gt;")</f>
        <v>&lt;a href=|http://parallelbible.com/1_kings/12.htm| title=|Parallel Chapters| target=|_top|&gt;PAR&lt;/a&gt;</v>
      </c>
      <c r="AD303" s="2" t="str">
        <f t="shared" ref="AD303:AK303" si="1210">CONCATENATE("&lt;/li&gt;&lt;li&gt;&lt;a href=|http://",AD1191,"/1_kings/12.htm","| ","title=|",AD1190,"| target=|_top|&gt;",AD1192,"&lt;/a&gt;")</f>
        <v>&lt;/li&gt;&lt;li&gt;&lt;a href=|http://gsb.biblecommenter.com/1_kings/12.htm| title=|Geneva Study Bible| target=|_top|&gt;GSB&lt;/a&gt;</v>
      </c>
      <c r="AE303" s="2" t="str">
        <f t="shared" si="1210"/>
        <v>&lt;/li&gt;&lt;li&gt;&lt;a href=|http://jfb.biblecommenter.com/1_kings/12.htm| title=|Jamieson-Fausset-Brown Bible Commentary| target=|_top|&gt;JFB&lt;/a&gt;</v>
      </c>
      <c r="AF303" s="2" t="str">
        <f t="shared" si="1210"/>
        <v>&lt;/li&gt;&lt;li&gt;&lt;a href=|http://kjt.biblecommenter.com/1_kings/12.htm| title=|King James Translators' Notes| target=|_top|&gt;KJT&lt;/a&gt;</v>
      </c>
      <c r="AG303" s="2" t="str">
        <f t="shared" si="1210"/>
        <v>&lt;/li&gt;&lt;li&gt;&lt;a href=|http://mhc.biblecommenter.com/1_kings/12.htm| title=|Matthew Henry's Concise Commentary| target=|_top|&gt;MHC&lt;/a&gt;</v>
      </c>
      <c r="AH303" s="2" t="str">
        <f t="shared" si="1210"/>
        <v>&lt;/li&gt;&lt;li&gt;&lt;a href=|http://sco.biblecommenter.com/1_kings/12.htm| title=|Scofield Reference Notes| target=|_top|&gt;SCO&lt;/a&gt;</v>
      </c>
      <c r="AI303" s="2" t="str">
        <f t="shared" si="1210"/>
        <v>&lt;/li&gt;&lt;li&gt;&lt;a href=|http://wes.biblecommenter.com/1_kings/12.htm| title=|Wesley's Notes on the Bible| target=|_top|&gt;WES&lt;/a&gt;</v>
      </c>
      <c r="AJ303" t="str">
        <f t="shared" si="1210"/>
        <v>&lt;/li&gt;&lt;li&gt;&lt;a href=|http://worldebible.com/1_kings/12.htm| title=|World English Bible| target=|_top|&gt;WEB&lt;/a&gt;</v>
      </c>
      <c r="AK303" t="str">
        <f t="shared" si="1210"/>
        <v>&lt;/li&gt;&lt;li&gt;&lt;a href=|http://yltbible.com/1_kings/12.htm| title=|Young's Literal Translation| target=|_top|&gt;YLT&lt;/a&gt;</v>
      </c>
      <c r="AL303" t="str">
        <f>CONCATENATE("&lt;a href=|http://",AL1191,"/1_kings/12.htm","| ","title=|",AL1190,"| target=|_top|&gt;",AL1192,"&lt;/a&gt;")</f>
        <v>&lt;a href=|http://kjv.us/1_kings/12.htm| title=|American King James Version| target=|_top|&gt;AKJ&lt;/a&gt;</v>
      </c>
      <c r="AM303" t="str">
        <f t="shared" ref="AM303:AN303" si="1211">CONCATENATE("&lt;/li&gt;&lt;li&gt;&lt;a href=|http://",AM1191,"/1_kings/12.htm","| ","title=|",AM1190,"| target=|_top|&gt;",AM1192,"&lt;/a&gt;")</f>
        <v>&lt;/li&gt;&lt;li&gt;&lt;a href=|http://basicenglishbible.com/1_kings/12.htm| title=|Bible in Basic English| target=|_top|&gt;BBE&lt;/a&gt;</v>
      </c>
      <c r="AN303" t="str">
        <f t="shared" si="1211"/>
        <v>&lt;/li&gt;&lt;li&gt;&lt;a href=|http://darbybible.com/1_kings/12.htm| title=|Darby Bible Translation| target=|_top|&gt;DBY&lt;/a&gt;</v>
      </c>
      <c r="AO30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0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0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03" t="str">
        <f>CONCATENATE("&lt;/li&gt;&lt;li&gt;&lt;a href=|http://",AR1191,"/1_kings/12.htm","| ","title=|",AR1190,"| target=|_top|&gt;",AR1192,"&lt;/a&gt;")</f>
        <v>&lt;/li&gt;&lt;li&gt;&lt;a href=|http://websterbible.com/1_kings/12.htm| title=|Webster's Bible Translation| target=|_top|&gt;WBS&lt;/a&gt;</v>
      </c>
      <c r="AS30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03" t="str">
        <f>CONCATENATE("&lt;/li&gt;&lt;li&gt;&lt;a href=|http://",AT1191,"/1_kings/12-1.htm","| ","title=|",AT1190,"| target=|_top|&gt;",AT1192,"&lt;/a&gt;")</f>
        <v>&lt;/li&gt;&lt;li&gt;&lt;a href=|http://biblebrowser.com/1_kings/12-1.htm| title=|Split View| target=|_top|&gt;Split&lt;/a&gt;</v>
      </c>
      <c r="AU303" s="2" t="s">
        <v>1276</v>
      </c>
      <c r="AV303" t="s">
        <v>64</v>
      </c>
    </row>
    <row r="304" spans="1:48">
      <c r="A304" t="s">
        <v>622</v>
      </c>
      <c r="B304" t="s">
        <v>357</v>
      </c>
      <c r="C304" t="s">
        <v>624</v>
      </c>
      <c r="D304" t="s">
        <v>1268</v>
      </c>
      <c r="E304" t="s">
        <v>1277</v>
      </c>
      <c r="F304" t="s">
        <v>1304</v>
      </c>
      <c r="G304" t="s">
        <v>1266</v>
      </c>
      <c r="H304" t="s">
        <v>1305</v>
      </c>
      <c r="I304" t="s">
        <v>1303</v>
      </c>
      <c r="J304" t="s">
        <v>1267</v>
      </c>
      <c r="K304" t="s">
        <v>1275</v>
      </c>
      <c r="L304" s="2" t="s">
        <v>1274</v>
      </c>
      <c r="M304" t="str">
        <f t="shared" ref="M304:AB304" si="1212">CONCATENATE("&lt;/li&gt;&lt;li&gt;&lt;a href=|http://",M1191,"/1_kings/13.htm","| ","title=|",M1190,"| target=|_top|&gt;",M1192,"&lt;/a&gt;")</f>
        <v>&lt;/li&gt;&lt;li&gt;&lt;a href=|http://niv.scripturetext.com/1_kings/13.htm| title=|New International Version| target=|_top|&gt;NIV&lt;/a&gt;</v>
      </c>
      <c r="N304" t="str">
        <f t="shared" si="1212"/>
        <v>&lt;/li&gt;&lt;li&gt;&lt;a href=|http://nlt.scripturetext.com/1_kings/13.htm| title=|New Living Translation| target=|_top|&gt;NLT&lt;/a&gt;</v>
      </c>
      <c r="O304" t="str">
        <f t="shared" si="1212"/>
        <v>&lt;/li&gt;&lt;li&gt;&lt;a href=|http://nasb.scripturetext.com/1_kings/13.htm| title=|New American Standard Bible| target=|_top|&gt;NAS&lt;/a&gt;</v>
      </c>
      <c r="P304" t="str">
        <f t="shared" si="1212"/>
        <v>&lt;/li&gt;&lt;li&gt;&lt;a href=|http://gwt.scripturetext.com/1_kings/13.htm| title=|God's Word Translation| target=|_top|&gt;GWT&lt;/a&gt;</v>
      </c>
      <c r="Q304" t="str">
        <f t="shared" si="1212"/>
        <v>&lt;/li&gt;&lt;li&gt;&lt;a href=|http://kingjbible.com/1_kings/13.htm| title=|King James Bible| target=|_top|&gt;KJV&lt;/a&gt;</v>
      </c>
      <c r="R304" t="str">
        <f t="shared" si="1212"/>
        <v>&lt;/li&gt;&lt;li&gt;&lt;a href=|http://asvbible.com/1_kings/13.htm| title=|American Standard Version| target=|_top|&gt;ASV&lt;/a&gt;</v>
      </c>
      <c r="S304" t="str">
        <f t="shared" si="1212"/>
        <v>&lt;/li&gt;&lt;li&gt;&lt;a href=|http://drb.scripturetext.com/1_kings/13.htm| title=|Douay-Rheims Bible| target=|_top|&gt;DRB&lt;/a&gt;</v>
      </c>
      <c r="T304" t="str">
        <f t="shared" si="1212"/>
        <v>&lt;/li&gt;&lt;li&gt;&lt;a href=|http://erv.scripturetext.com/1_kings/13.htm| title=|English Revised Version| target=|_top|&gt;ERV&lt;/a&gt;</v>
      </c>
      <c r="V304" t="str">
        <f>CONCATENATE("&lt;/li&gt;&lt;li&gt;&lt;a href=|http://",V1191,"/1_kings/13.htm","| ","title=|",V1190,"| target=|_top|&gt;",V1192,"&lt;/a&gt;")</f>
        <v>&lt;/li&gt;&lt;li&gt;&lt;a href=|http://study.interlinearbible.org/1_kings/13.htm| title=|Hebrew Study Bible| target=|_top|&gt;Heb Study&lt;/a&gt;</v>
      </c>
      <c r="W304" t="str">
        <f t="shared" si="1212"/>
        <v>&lt;/li&gt;&lt;li&gt;&lt;a href=|http://apostolic.interlinearbible.org/1_kings/13.htm| title=|Apostolic Bible Polyglot Interlinear| target=|_top|&gt;Polyglot&lt;/a&gt;</v>
      </c>
      <c r="X304" t="str">
        <f t="shared" si="1212"/>
        <v>&lt;/li&gt;&lt;li&gt;&lt;a href=|http://interlinearbible.org/1_kings/13.htm| title=|Interlinear Bible| target=|_top|&gt;Interlin&lt;/a&gt;</v>
      </c>
      <c r="Y304" t="str">
        <f t="shared" ref="Y304" si="1213">CONCATENATE("&lt;/li&gt;&lt;li&gt;&lt;a href=|http://",Y1191,"/1_kings/13.htm","| ","title=|",Y1190,"| target=|_top|&gt;",Y1192,"&lt;/a&gt;")</f>
        <v>&lt;/li&gt;&lt;li&gt;&lt;a href=|http://bibleoutline.org/1_kings/13.htm| title=|Outline with People and Places List| target=|_top|&gt;Outline&lt;/a&gt;</v>
      </c>
      <c r="Z304" t="str">
        <f t="shared" si="1212"/>
        <v>&lt;/li&gt;&lt;li&gt;&lt;a href=|http://kjvs.scripturetext.com/1_kings/13.htm| title=|King James Bible with Strong's Numbers| target=|_top|&gt;Strong's&lt;/a&gt;</v>
      </c>
      <c r="AA304" t="str">
        <f t="shared" si="1212"/>
        <v>&lt;/li&gt;&lt;li&gt;&lt;a href=|http://childrensbibleonline.com/1_kings/13.htm| title=|The Children's Bible| target=|_top|&gt;Children's&lt;/a&gt;</v>
      </c>
      <c r="AB304" s="2" t="str">
        <f t="shared" si="1212"/>
        <v>&lt;/li&gt;&lt;li&gt;&lt;a href=|http://tsk.scripturetext.com/1_kings/13.htm| title=|Treasury of Scripture Knowledge| target=|_top|&gt;TSK&lt;/a&gt;</v>
      </c>
      <c r="AC304" t="str">
        <f>CONCATENATE("&lt;a href=|http://",AC1191,"/1_kings/13.htm","| ","title=|",AC1190,"| target=|_top|&gt;",AC1192,"&lt;/a&gt;")</f>
        <v>&lt;a href=|http://parallelbible.com/1_kings/13.htm| title=|Parallel Chapters| target=|_top|&gt;PAR&lt;/a&gt;</v>
      </c>
      <c r="AD304" s="2" t="str">
        <f t="shared" ref="AD304:AK304" si="1214">CONCATENATE("&lt;/li&gt;&lt;li&gt;&lt;a href=|http://",AD1191,"/1_kings/13.htm","| ","title=|",AD1190,"| target=|_top|&gt;",AD1192,"&lt;/a&gt;")</f>
        <v>&lt;/li&gt;&lt;li&gt;&lt;a href=|http://gsb.biblecommenter.com/1_kings/13.htm| title=|Geneva Study Bible| target=|_top|&gt;GSB&lt;/a&gt;</v>
      </c>
      <c r="AE304" s="2" t="str">
        <f t="shared" si="1214"/>
        <v>&lt;/li&gt;&lt;li&gt;&lt;a href=|http://jfb.biblecommenter.com/1_kings/13.htm| title=|Jamieson-Fausset-Brown Bible Commentary| target=|_top|&gt;JFB&lt;/a&gt;</v>
      </c>
      <c r="AF304" s="2" t="str">
        <f t="shared" si="1214"/>
        <v>&lt;/li&gt;&lt;li&gt;&lt;a href=|http://kjt.biblecommenter.com/1_kings/13.htm| title=|King James Translators' Notes| target=|_top|&gt;KJT&lt;/a&gt;</v>
      </c>
      <c r="AG304" s="2" t="str">
        <f t="shared" si="1214"/>
        <v>&lt;/li&gt;&lt;li&gt;&lt;a href=|http://mhc.biblecommenter.com/1_kings/13.htm| title=|Matthew Henry's Concise Commentary| target=|_top|&gt;MHC&lt;/a&gt;</v>
      </c>
      <c r="AH304" s="2" t="str">
        <f t="shared" si="1214"/>
        <v>&lt;/li&gt;&lt;li&gt;&lt;a href=|http://sco.biblecommenter.com/1_kings/13.htm| title=|Scofield Reference Notes| target=|_top|&gt;SCO&lt;/a&gt;</v>
      </c>
      <c r="AI304" s="2" t="str">
        <f t="shared" si="1214"/>
        <v>&lt;/li&gt;&lt;li&gt;&lt;a href=|http://wes.biblecommenter.com/1_kings/13.htm| title=|Wesley's Notes on the Bible| target=|_top|&gt;WES&lt;/a&gt;</v>
      </c>
      <c r="AJ304" t="str">
        <f t="shared" si="1214"/>
        <v>&lt;/li&gt;&lt;li&gt;&lt;a href=|http://worldebible.com/1_kings/13.htm| title=|World English Bible| target=|_top|&gt;WEB&lt;/a&gt;</v>
      </c>
      <c r="AK304" t="str">
        <f t="shared" si="1214"/>
        <v>&lt;/li&gt;&lt;li&gt;&lt;a href=|http://yltbible.com/1_kings/13.htm| title=|Young's Literal Translation| target=|_top|&gt;YLT&lt;/a&gt;</v>
      </c>
      <c r="AL304" t="str">
        <f>CONCATENATE("&lt;a href=|http://",AL1191,"/1_kings/13.htm","| ","title=|",AL1190,"| target=|_top|&gt;",AL1192,"&lt;/a&gt;")</f>
        <v>&lt;a href=|http://kjv.us/1_kings/13.htm| title=|American King James Version| target=|_top|&gt;AKJ&lt;/a&gt;</v>
      </c>
      <c r="AM304" t="str">
        <f t="shared" ref="AM304:AN304" si="1215">CONCATENATE("&lt;/li&gt;&lt;li&gt;&lt;a href=|http://",AM1191,"/1_kings/13.htm","| ","title=|",AM1190,"| target=|_top|&gt;",AM1192,"&lt;/a&gt;")</f>
        <v>&lt;/li&gt;&lt;li&gt;&lt;a href=|http://basicenglishbible.com/1_kings/13.htm| title=|Bible in Basic English| target=|_top|&gt;BBE&lt;/a&gt;</v>
      </c>
      <c r="AN304" t="str">
        <f t="shared" si="1215"/>
        <v>&lt;/li&gt;&lt;li&gt;&lt;a href=|http://darbybible.com/1_kings/13.htm| title=|Darby Bible Translation| target=|_top|&gt;DBY&lt;/a&gt;</v>
      </c>
      <c r="AO30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0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0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04" t="str">
        <f>CONCATENATE("&lt;/li&gt;&lt;li&gt;&lt;a href=|http://",AR1191,"/1_kings/13.htm","| ","title=|",AR1190,"| target=|_top|&gt;",AR1192,"&lt;/a&gt;")</f>
        <v>&lt;/li&gt;&lt;li&gt;&lt;a href=|http://websterbible.com/1_kings/13.htm| title=|Webster's Bible Translation| target=|_top|&gt;WBS&lt;/a&gt;</v>
      </c>
      <c r="AS30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04" t="str">
        <f>CONCATENATE("&lt;/li&gt;&lt;li&gt;&lt;a href=|http://",AT1191,"/1_kings/13-1.htm","| ","title=|",AT1190,"| target=|_top|&gt;",AT1192,"&lt;/a&gt;")</f>
        <v>&lt;/li&gt;&lt;li&gt;&lt;a href=|http://biblebrowser.com/1_kings/13-1.htm| title=|Split View| target=|_top|&gt;Split&lt;/a&gt;</v>
      </c>
      <c r="AU304" s="2" t="s">
        <v>1276</v>
      </c>
      <c r="AV304" t="s">
        <v>64</v>
      </c>
    </row>
    <row r="305" spans="1:48">
      <c r="A305" t="s">
        <v>622</v>
      </c>
      <c r="B305" t="s">
        <v>358</v>
      </c>
      <c r="C305" t="s">
        <v>624</v>
      </c>
      <c r="D305" t="s">
        <v>1268</v>
      </c>
      <c r="E305" t="s">
        <v>1277</v>
      </c>
      <c r="F305" t="s">
        <v>1304</v>
      </c>
      <c r="G305" t="s">
        <v>1266</v>
      </c>
      <c r="H305" t="s">
        <v>1305</v>
      </c>
      <c r="I305" t="s">
        <v>1303</v>
      </c>
      <c r="J305" t="s">
        <v>1267</v>
      </c>
      <c r="K305" t="s">
        <v>1275</v>
      </c>
      <c r="L305" s="2" t="s">
        <v>1274</v>
      </c>
      <c r="M305" t="str">
        <f t="shared" ref="M305:AB305" si="1216">CONCATENATE("&lt;/li&gt;&lt;li&gt;&lt;a href=|http://",M1191,"/1_kings/14.htm","| ","title=|",M1190,"| target=|_top|&gt;",M1192,"&lt;/a&gt;")</f>
        <v>&lt;/li&gt;&lt;li&gt;&lt;a href=|http://niv.scripturetext.com/1_kings/14.htm| title=|New International Version| target=|_top|&gt;NIV&lt;/a&gt;</v>
      </c>
      <c r="N305" t="str">
        <f t="shared" si="1216"/>
        <v>&lt;/li&gt;&lt;li&gt;&lt;a href=|http://nlt.scripturetext.com/1_kings/14.htm| title=|New Living Translation| target=|_top|&gt;NLT&lt;/a&gt;</v>
      </c>
      <c r="O305" t="str">
        <f t="shared" si="1216"/>
        <v>&lt;/li&gt;&lt;li&gt;&lt;a href=|http://nasb.scripturetext.com/1_kings/14.htm| title=|New American Standard Bible| target=|_top|&gt;NAS&lt;/a&gt;</v>
      </c>
      <c r="P305" t="str">
        <f t="shared" si="1216"/>
        <v>&lt;/li&gt;&lt;li&gt;&lt;a href=|http://gwt.scripturetext.com/1_kings/14.htm| title=|God's Word Translation| target=|_top|&gt;GWT&lt;/a&gt;</v>
      </c>
      <c r="Q305" t="str">
        <f t="shared" si="1216"/>
        <v>&lt;/li&gt;&lt;li&gt;&lt;a href=|http://kingjbible.com/1_kings/14.htm| title=|King James Bible| target=|_top|&gt;KJV&lt;/a&gt;</v>
      </c>
      <c r="R305" t="str">
        <f t="shared" si="1216"/>
        <v>&lt;/li&gt;&lt;li&gt;&lt;a href=|http://asvbible.com/1_kings/14.htm| title=|American Standard Version| target=|_top|&gt;ASV&lt;/a&gt;</v>
      </c>
      <c r="S305" t="str">
        <f t="shared" si="1216"/>
        <v>&lt;/li&gt;&lt;li&gt;&lt;a href=|http://drb.scripturetext.com/1_kings/14.htm| title=|Douay-Rheims Bible| target=|_top|&gt;DRB&lt;/a&gt;</v>
      </c>
      <c r="T305" t="str">
        <f t="shared" si="1216"/>
        <v>&lt;/li&gt;&lt;li&gt;&lt;a href=|http://erv.scripturetext.com/1_kings/14.htm| title=|English Revised Version| target=|_top|&gt;ERV&lt;/a&gt;</v>
      </c>
      <c r="V305" t="str">
        <f>CONCATENATE("&lt;/li&gt;&lt;li&gt;&lt;a href=|http://",V1191,"/1_kings/14.htm","| ","title=|",V1190,"| target=|_top|&gt;",V1192,"&lt;/a&gt;")</f>
        <v>&lt;/li&gt;&lt;li&gt;&lt;a href=|http://study.interlinearbible.org/1_kings/14.htm| title=|Hebrew Study Bible| target=|_top|&gt;Heb Study&lt;/a&gt;</v>
      </c>
      <c r="W305" t="str">
        <f t="shared" si="1216"/>
        <v>&lt;/li&gt;&lt;li&gt;&lt;a href=|http://apostolic.interlinearbible.org/1_kings/14.htm| title=|Apostolic Bible Polyglot Interlinear| target=|_top|&gt;Polyglot&lt;/a&gt;</v>
      </c>
      <c r="X305" t="str">
        <f t="shared" si="1216"/>
        <v>&lt;/li&gt;&lt;li&gt;&lt;a href=|http://interlinearbible.org/1_kings/14.htm| title=|Interlinear Bible| target=|_top|&gt;Interlin&lt;/a&gt;</v>
      </c>
      <c r="Y305" t="str">
        <f t="shared" ref="Y305" si="1217">CONCATENATE("&lt;/li&gt;&lt;li&gt;&lt;a href=|http://",Y1191,"/1_kings/14.htm","| ","title=|",Y1190,"| target=|_top|&gt;",Y1192,"&lt;/a&gt;")</f>
        <v>&lt;/li&gt;&lt;li&gt;&lt;a href=|http://bibleoutline.org/1_kings/14.htm| title=|Outline with People and Places List| target=|_top|&gt;Outline&lt;/a&gt;</v>
      </c>
      <c r="Z305" t="str">
        <f t="shared" si="1216"/>
        <v>&lt;/li&gt;&lt;li&gt;&lt;a href=|http://kjvs.scripturetext.com/1_kings/14.htm| title=|King James Bible with Strong's Numbers| target=|_top|&gt;Strong's&lt;/a&gt;</v>
      </c>
      <c r="AA305" t="str">
        <f t="shared" si="1216"/>
        <v>&lt;/li&gt;&lt;li&gt;&lt;a href=|http://childrensbibleonline.com/1_kings/14.htm| title=|The Children's Bible| target=|_top|&gt;Children's&lt;/a&gt;</v>
      </c>
      <c r="AB305" s="2" t="str">
        <f t="shared" si="1216"/>
        <v>&lt;/li&gt;&lt;li&gt;&lt;a href=|http://tsk.scripturetext.com/1_kings/14.htm| title=|Treasury of Scripture Knowledge| target=|_top|&gt;TSK&lt;/a&gt;</v>
      </c>
      <c r="AC305" t="str">
        <f>CONCATENATE("&lt;a href=|http://",AC1191,"/1_kings/14.htm","| ","title=|",AC1190,"| target=|_top|&gt;",AC1192,"&lt;/a&gt;")</f>
        <v>&lt;a href=|http://parallelbible.com/1_kings/14.htm| title=|Parallel Chapters| target=|_top|&gt;PAR&lt;/a&gt;</v>
      </c>
      <c r="AD305" s="2" t="str">
        <f t="shared" ref="AD305:AK305" si="1218">CONCATENATE("&lt;/li&gt;&lt;li&gt;&lt;a href=|http://",AD1191,"/1_kings/14.htm","| ","title=|",AD1190,"| target=|_top|&gt;",AD1192,"&lt;/a&gt;")</f>
        <v>&lt;/li&gt;&lt;li&gt;&lt;a href=|http://gsb.biblecommenter.com/1_kings/14.htm| title=|Geneva Study Bible| target=|_top|&gt;GSB&lt;/a&gt;</v>
      </c>
      <c r="AE305" s="2" t="str">
        <f t="shared" si="1218"/>
        <v>&lt;/li&gt;&lt;li&gt;&lt;a href=|http://jfb.biblecommenter.com/1_kings/14.htm| title=|Jamieson-Fausset-Brown Bible Commentary| target=|_top|&gt;JFB&lt;/a&gt;</v>
      </c>
      <c r="AF305" s="2" t="str">
        <f t="shared" si="1218"/>
        <v>&lt;/li&gt;&lt;li&gt;&lt;a href=|http://kjt.biblecommenter.com/1_kings/14.htm| title=|King James Translators' Notes| target=|_top|&gt;KJT&lt;/a&gt;</v>
      </c>
      <c r="AG305" s="2" t="str">
        <f t="shared" si="1218"/>
        <v>&lt;/li&gt;&lt;li&gt;&lt;a href=|http://mhc.biblecommenter.com/1_kings/14.htm| title=|Matthew Henry's Concise Commentary| target=|_top|&gt;MHC&lt;/a&gt;</v>
      </c>
      <c r="AH305" s="2" t="str">
        <f t="shared" si="1218"/>
        <v>&lt;/li&gt;&lt;li&gt;&lt;a href=|http://sco.biblecommenter.com/1_kings/14.htm| title=|Scofield Reference Notes| target=|_top|&gt;SCO&lt;/a&gt;</v>
      </c>
      <c r="AI305" s="2" t="str">
        <f t="shared" si="1218"/>
        <v>&lt;/li&gt;&lt;li&gt;&lt;a href=|http://wes.biblecommenter.com/1_kings/14.htm| title=|Wesley's Notes on the Bible| target=|_top|&gt;WES&lt;/a&gt;</v>
      </c>
      <c r="AJ305" t="str">
        <f t="shared" si="1218"/>
        <v>&lt;/li&gt;&lt;li&gt;&lt;a href=|http://worldebible.com/1_kings/14.htm| title=|World English Bible| target=|_top|&gt;WEB&lt;/a&gt;</v>
      </c>
      <c r="AK305" t="str">
        <f t="shared" si="1218"/>
        <v>&lt;/li&gt;&lt;li&gt;&lt;a href=|http://yltbible.com/1_kings/14.htm| title=|Young's Literal Translation| target=|_top|&gt;YLT&lt;/a&gt;</v>
      </c>
      <c r="AL305" t="str">
        <f>CONCATENATE("&lt;a href=|http://",AL1191,"/1_kings/14.htm","| ","title=|",AL1190,"| target=|_top|&gt;",AL1192,"&lt;/a&gt;")</f>
        <v>&lt;a href=|http://kjv.us/1_kings/14.htm| title=|American King James Version| target=|_top|&gt;AKJ&lt;/a&gt;</v>
      </c>
      <c r="AM305" t="str">
        <f t="shared" ref="AM305:AN305" si="1219">CONCATENATE("&lt;/li&gt;&lt;li&gt;&lt;a href=|http://",AM1191,"/1_kings/14.htm","| ","title=|",AM1190,"| target=|_top|&gt;",AM1192,"&lt;/a&gt;")</f>
        <v>&lt;/li&gt;&lt;li&gt;&lt;a href=|http://basicenglishbible.com/1_kings/14.htm| title=|Bible in Basic English| target=|_top|&gt;BBE&lt;/a&gt;</v>
      </c>
      <c r="AN305" t="str">
        <f t="shared" si="1219"/>
        <v>&lt;/li&gt;&lt;li&gt;&lt;a href=|http://darbybible.com/1_kings/14.htm| title=|Darby Bible Translation| target=|_top|&gt;DBY&lt;/a&gt;</v>
      </c>
      <c r="AO30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0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0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05" t="str">
        <f>CONCATENATE("&lt;/li&gt;&lt;li&gt;&lt;a href=|http://",AR1191,"/1_kings/14.htm","| ","title=|",AR1190,"| target=|_top|&gt;",AR1192,"&lt;/a&gt;")</f>
        <v>&lt;/li&gt;&lt;li&gt;&lt;a href=|http://websterbible.com/1_kings/14.htm| title=|Webster's Bible Translation| target=|_top|&gt;WBS&lt;/a&gt;</v>
      </c>
      <c r="AS30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05" t="str">
        <f>CONCATENATE("&lt;/li&gt;&lt;li&gt;&lt;a href=|http://",AT1191,"/1_kings/14-1.htm","| ","title=|",AT1190,"| target=|_top|&gt;",AT1192,"&lt;/a&gt;")</f>
        <v>&lt;/li&gt;&lt;li&gt;&lt;a href=|http://biblebrowser.com/1_kings/14-1.htm| title=|Split View| target=|_top|&gt;Split&lt;/a&gt;</v>
      </c>
      <c r="AU305" s="2" t="s">
        <v>1276</v>
      </c>
      <c r="AV305" t="s">
        <v>64</v>
      </c>
    </row>
    <row r="306" spans="1:48">
      <c r="A306" t="s">
        <v>622</v>
      </c>
      <c r="B306" t="s">
        <v>359</v>
      </c>
      <c r="C306" t="s">
        <v>624</v>
      </c>
      <c r="D306" t="s">
        <v>1268</v>
      </c>
      <c r="E306" t="s">
        <v>1277</v>
      </c>
      <c r="F306" t="s">
        <v>1304</v>
      </c>
      <c r="G306" t="s">
        <v>1266</v>
      </c>
      <c r="H306" t="s">
        <v>1305</v>
      </c>
      <c r="I306" t="s">
        <v>1303</v>
      </c>
      <c r="J306" t="s">
        <v>1267</v>
      </c>
      <c r="K306" t="s">
        <v>1275</v>
      </c>
      <c r="L306" s="2" t="s">
        <v>1274</v>
      </c>
      <c r="M306" t="str">
        <f t="shared" ref="M306:AB306" si="1220">CONCATENATE("&lt;/li&gt;&lt;li&gt;&lt;a href=|http://",M1191,"/1_kings/15.htm","| ","title=|",M1190,"| target=|_top|&gt;",M1192,"&lt;/a&gt;")</f>
        <v>&lt;/li&gt;&lt;li&gt;&lt;a href=|http://niv.scripturetext.com/1_kings/15.htm| title=|New International Version| target=|_top|&gt;NIV&lt;/a&gt;</v>
      </c>
      <c r="N306" t="str">
        <f t="shared" si="1220"/>
        <v>&lt;/li&gt;&lt;li&gt;&lt;a href=|http://nlt.scripturetext.com/1_kings/15.htm| title=|New Living Translation| target=|_top|&gt;NLT&lt;/a&gt;</v>
      </c>
      <c r="O306" t="str">
        <f t="shared" si="1220"/>
        <v>&lt;/li&gt;&lt;li&gt;&lt;a href=|http://nasb.scripturetext.com/1_kings/15.htm| title=|New American Standard Bible| target=|_top|&gt;NAS&lt;/a&gt;</v>
      </c>
      <c r="P306" t="str">
        <f t="shared" si="1220"/>
        <v>&lt;/li&gt;&lt;li&gt;&lt;a href=|http://gwt.scripturetext.com/1_kings/15.htm| title=|God's Word Translation| target=|_top|&gt;GWT&lt;/a&gt;</v>
      </c>
      <c r="Q306" t="str">
        <f t="shared" si="1220"/>
        <v>&lt;/li&gt;&lt;li&gt;&lt;a href=|http://kingjbible.com/1_kings/15.htm| title=|King James Bible| target=|_top|&gt;KJV&lt;/a&gt;</v>
      </c>
      <c r="R306" t="str">
        <f t="shared" si="1220"/>
        <v>&lt;/li&gt;&lt;li&gt;&lt;a href=|http://asvbible.com/1_kings/15.htm| title=|American Standard Version| target=|_top|&gt;ASV&lt;/a&gt;</v>
      </c>
      <c r="S306" t="str">
        <f t="shared" si="1220"/>
        <v>&lt;/li&gt;&lt;li&gt;&lt;a href=|http://drb.scripturetext.com/1_kings/15.htm| title=|Douay-Rheims Bible| target=|_top|&gt;DRB&lt;/a&gt;</v>
      </c>
      <c r="T306" t="str">
        <f t="shared" si="1220"/>
        <v>&lt;/li&gt;&lt;li&gt;&lt;a href=|http://erv.scripturetext.com/1_kings/15.htm| title=|English Revised Version| target=|_top|&gt;ERV&lt;/a&gt;</v>
      </c>
      <c r="V306" t="str">
        <f>CONCATENATE("&lt;/li&gt;&lt;li&gt;&lt;a href=|http://",V1191,"/1_kings/15.htm","| ","title=|",V1190,"| target=|_top|&gt;",V1192,"&lt;/a&gt;")</f>
        <v>&lt;/li&gt;&lt;li&gt;&lt;a href=|http://study.interlinearbible.org/1_kings/15.htm| title=|Hebrew Study Bible| target=|_top|&gt;Heb Study&lt;/a&gt;</v>
      </c>
      <c r="W306" t="str">
        <f t="shared" si="1220"/>
        <v>&lt;/li&gt;&lt;li&gt;&lt;a href=|http://apostolic.interlinearbible.org/1_kings/15.htm| title=|Apostolic Bible Polyglot Interlinear| target=|_top|&gt;Polyglot&lt;/a&gt;</v>
      </c>
      <c r="X306" t="str">
        <f t="shared" si="1220"/>
        <v>&lt;/li&gt;&lt;li&gt;&lt;a href=|http://interlinearbible.org/1_kings/15.htm| title=|Interlinear Bible| target=|_top|&gt;Interlin&lt;/a&gt;</v>
      </c>
      <c r="Y306" t="str">
        <f t="shared" ref="Y306" si="1221">CONCATENATE("&lt;/li&gt;&lt;li&gt;&lt;a href=|http://",Y1191,"/1_kings/15.htm","| ","title=|",Y1190,"| target=|_top|&gt;",Y1192,"&lt;/a&gt;")</f>
        <v>&lt;/li&gt;&lt;li&gt;&lt;a href=|http://bibleoutline.org/1_kings/15.htm| title=|Outline with People and Places List| target=|_top|&gt;Outline&lt;/a&gt;</v>
      </c>
      <c r="Z306" t="str">
        <f t="shared" si="1220"/>
        <v>&lt;/li&gt;&lt;li&gt;&lt;a href=|http://kjvs.scripturetext.com/1_kings/15.htm| title=|King James Bible with Strong's Numbers| target=|_top|&gt;Strong's&lt;/a&gt;</v>
      </c>
      <c r="AA306" t="str">
        <f t="shared" si="1220"/>
        <v>&lt;/li&gt;&lt;li&gt;&lt;a href=|http://childrensbibleonline.com/1_kings/15.htm| title=|The Children's Bible| target=|_top|&gt;Children's&lt;/a&gt;</v>
      </c>
      <c r="AB306" s="2" t="str">
        <f t="shared" si="1220"/>
        <v>&lt;/li&gt;&lt;li&gt;&lt;a href=|http://tsk.scripturetext.com/1_kings/15.htm| title=|Treasury of Scripture Knowledge| target=|_top|&gt;TSK&lt;/a&gt;</v>
      </c>
      <c r="AC306" t="str">
        <f>CONCATENATE("&lt;a href=|http://",AC1191,"/1_kings/15.htm","| ","title=|",AC1190,"| target=|_top|&gt;",AC1192,"&lt;/a&gt;")</f>
        <v>&lt;a href=|http://parallelbible.com/1_kings/15.htm| title=|Parallel Chapters| target=|_top|&gt;PAR&lt;/a&gt;</v>
      </c>
      <c r="AD306" s="2" t="str">
        <f t="shared" ref="AD306:AK306" si="1222">CONCATENATE("&lt;/li&gt;&lt;li&gt;&lt;a href=|http://",AD1191,"/1_kings/15.htm","| ","title=|",AD1190,"| target=|_top|&gt;",AD1192,"&lt;/a&gt;")</f>
        <v>&lt;/li&gt;&lt;li&gt;&lt;a href=|http://gsb.biblecommenter.com/1_kings/15.htm| title=|Geneva Study Bible| target=|_top|&gt;GSB&lt;/a&gt;</v>
      </c>
      <c r="AE306" s="2" t="str">
        <f t="shared" si="1222"/>
        <v>&lt;/li&gt;&lt;li&gt;&lt;a href=|http://jfb.biblecommenter.com/1_kings/15.htm| title=|Jamieson-Fausset-Brown Bible Commentary| target=|_top|&gt;JFB&lt;/a&gt;</v>
      </c>
      <c r="AF306" s="2" t="str">
        <f t="shared" si="1222"/>
        <v>&lt;/li&gt;&lt;li&gt;&lt;a href=|http://kjt.biblecommenter.com/1_kings/15.htm| title=|King James Translators' Notes| target=|_top|&gt;KJT&lt;/a&gt;</v>
      </c>
      <c r="AG306" s="2" t="str">
        <f t="shared" si="1222"/>
        <v>&lt;/li&gt;&lt;li&gt;&lt;a href=|http://mhc.biblecommenter.com/1_kings/15.htm| title=|Matthew Henry's Concise Commentary| target=|_top|&gt;MHC&lt;/a&gt;</v>
      </c>
      <c r="AH306" s="2" t="str">
        <f t="shared" si="1222"/>
        <v>&lt;/li&gt;&lt;li&gt;&lt;a href=|http://sco.biblecommenter.com/1_kings/15.htm| title=|Scofield Reference Notes| target=|_top|&gt;SCO&lt;/a&gt;</v>
      </c>
      <c r="AI306" s="2" t="str">
        <f t="shared" si="1222"/>
        <v>&lt;/li&gt;&lt;li&gt;&lt;a href=|http://wes.biblecommenter.com/1_kings/15.htm| title=|Wesley's Notes on the Bible| target=|_top|&gt;WES&lt;/a&gt;</v>
      </c>
      <c r="AJ306" t="str">
        <f t="shared" si="1222"/>
        <v>&lt;/li&gt;&lt;li&gt;&lt;a href=|http://worldebible.com/1_kings/15.htm| title=|World English Bible| target=|_top|&gt;WEB&lt;/a&gt;</v>
      </c>
      <c r="AK306" t="str">
        <f t="shared" si="1222"/>
        <v>&lt;/li&gt;&lt;li&gt;&lt;a href=|http://yltbible.com/1_kings/15.htm| title=|Young's Literal Translation| target=|_top|&gt;YLT&lt;/a&gt;</v>
      </c>
      <c r="AL306" t="str">
        <f>CONCATENATE("&lt;a href=|http://",AL1191,"/1_kings/15.htm","| ","title=|",AL1190,"| target=|_top|&gt;",AL1192,"&lt;/a&gt;")</f>
        <v>&lt;a href=|http://kjv.us/1_kings/15.htm| title=|American King James Version| target=|_top|&gt;AKJ&lt;/a&gt;</v>
      </c>
      <c r="AM306" t="str">
        <f t="shared" ref="AM306:AN306" si="1223">CONCATENATE("&lt;/li&gt;&lt;li&gt;&lt;a href=|http://",AM1191,"/1_kings/15.htm","| ","title=|",AM1190,"| target=|_top|&gt;",AM1192,"&lt;/a&gt;")</f>
        <v>&lt;/li&gt;&lt;li&gt;&lt;a href=|http://basicenglishbible.com/1_kings/15.htm| title=|Bible in Basic English| target=|_top|&gt;BBE&lt;/a&gt;</v>
      </c>
      <c r="AN306" t="str">
        <f t="shared" si="1223"/>
        <v>&lt;/li&gt;&lt;li&gt;&lt;a href=|http://darbybible.com/1_kings/15.htm| title=|Darby Bible Translation| target=|_top|&gt;DBY&lt;/a&gt;</v>
      </c>
      <c r="AO30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0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0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06" t="str">
        <f>CONCATENATE("&lt;/li&gt;&lt;li&gt;&lt;a href=|http://",AR1191,"/1_kings/15.htm","| ","title=|",AR1190,"| target=|_top|&gt;",AR1192,"&lt;/a&gt;")</f>
        <v>&lt;/li&gt;&lt;li&gt;&lt;a href=|http://websterbible.com/1_kings/15.htm| title=|Webster's Bible Translation| target=|_top|&gt;WBS&lt;/a&gt;</v>
      </c>
      <c r="AS30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06" t="str">
        <f>CONCATENATE("&lt;/li&gt;&lt;li&gt;&lt;a href=|http://",AT1191,"/1_kings/15-1.htm","| ","title=|",AT1190,"| target=|_top|&gt;",AT1192,"&lt;/a&gt;")</f>
        <v>&lt;/li&gt;&lt;li&gt;&lt;a href=|http://biblebrowser.com/1_kings/15-1.htm| title=|Split View| target=|_top|&gt;Split&lt;/a&gt;</v>
      </c>
      <c r="AU306" s="2" t="s">
        <v>1276</v>
      </c>
      <c r="AV306" t="s">
        <v>64</v>
      </c>
    </row>
    <row r="307" spans="1:48">
      <c r="A307" t="s">
        <v>622</v>
      </c>
      <c r="B307" t="s">
        <v>360</v>
      </c>
      <c r="C307" t="s">
        <v>624</v>
      </c>
      <c r="D307" t="s">
        <v>1268</v>
      </c>
      <c r="E307" t="s">
        <v>1277</v>
      </c>
      <c r="F307" t="s">
        <v>1304</v>
      </c>
      <c r="G307" t="s">
        <v>1266</v>
      </c>
      <c r="H307" t="s">
        <v>1305</v>
      </c>
      <c r="I307" t="s">
        <v>1303</v>
      </c>
      <c r="J307" t="s">
        <v>1267</v>
      </c>
      <c r="K307" t="s">
        <v>1275</v>
      </c>
      <c r="L307" s="2" t="s">
        <v>1274</v>
      </c>
      <c r="M307" t="str">
        <f t="shared" ref="M307:AB307" si="1224">CONCATENATE("&lt;/li&gt;&lt;li&gt;&lt;a href=|http://",M1191,"/1_kings/16.htm","| ","title=|",M1190,"| target=|_top|&gt;",M1192,"&lt;/a&gt;")</f>
        <v>&lt;/li&gt;&lt;li&gt;&lt;a href=|http://niv.scripturetext.com/1_kings/16.htm| title=|New International Version| target=|_top|&gt;NIV&lt;/a&gt;</v>
      </c>
      <c r="N307" t="str">
        <f t="shared" si="1224"/>
        <v>&lt;/li&gt;&lt;li&gt;&lt;a href=|http://nlt.scripturetext.com/1_kings/16.htm| title=|New Living Translation| target=|_top|&gt;NLT&lt;/a&gt;</v>
      </c>
      <c r="O307" t="str">
        <f t="shared" si="1224"/>
        <v>&lt;/li&gt;&lt;li&gt;&lt;a href=|http://nasb.scripturetext.com/1_kings/16.htm| title=|New American Standard Bible| target=|_top|&gt;NAS&lt;/a&gt;</v>
      </c>
      <c r="P307" t="str">
        <f t="shared" si="1224"/>
        <v>&lt;/li&gt;&lt;li&gt;&lt;a href=|http://gwt.scripturetext.com/1_kings/16.htm| title=|God's Word Translation| target=|_top|&gt;GWT&lt;/a&gt;</v>
      </c>
      <c r="Q307" t="str">
        <f t="shared" si="1224"/>
        <v>&lt;/li&gt;&lt;li&gt;&lt;a href=|http://kingjbible.com/1_kings/16.htm| title=|King James Bible| target=|_top|&gt;KJV&lt;/a&gt;</v>
      </c>
      <c r="R307" t="str">
        <f t="shared" si="1224"/>
        <v>&lt;/li&gt;&lt;li&gt;&lt;a href=|http://asvbible.com/1_kings/16.htm| title=|American Standard Version| target=|_top|&gt;ASV&lt;/a&gt;</v>
      </c>
      <c r="S307" t="str">
        <f t="shared" si="1224"/>
        <v>&lt;/li&gt;&lt;li&gt;&lt;a href=|http://drb.scripturetext.com/1_kings/16.htm| title=|Douay-Rheims Bible| target=|_top|&gt;DRB&lt;/a&gt;</v>
      </c>
      <c r="T307" t="str">
        <f t="shared" si="1224"/>
        <v>&lt;/li&gt;&lt;li&gt;&lt;a href=|http://erv.scripturetext.com/1_kings/16.htm| title=|English Revised Version| target=|_top|&gt;ERV&lt;/a&gt;</v>
      </c>
      <c r="V307" t="str">
        <f>CONCATENATE("&lt;/li&gt;&lt;li&gt;&lt;a href=|http://",V1191,"/1_kings/16.htm","| ","title=|",V1190,"| target=|_top|&gt;",V1192,"&lt;/a&gt;")</f>
        <v>&lt;/li&gt;&lt;li&gt;&lt;a href=|http://study.interlinearbible.org/1_kings/16.htm| title=|Hebrew Study Bible| target=|_top|&gt;Heb Study&lt;/a&gt;</v>
      </c>
      <c r="W307" t="str">
        <f t="shared" si="1224"/>
        <v>&lt;/li&gt;&lt;li&gt;&lt;a href=|http://apostolic.interlinearbible.org/1_kings/16.htm| title=|Apostolic Bible Polyglot Interlinear| target=|_top|&gt;Polyglot&lt;/a&gt;</v>
      </c>
      <c r="X307" t="str">
        <f t="shared" si="1224"/>
        <v>&lt;/li&gt;&lt;li&gt;&lt;a href=|http://interlinearbible.org/1_kings/16.htm| title=|Interlinear Bible| target=|_top|&gt;Interlin&lt;/a&gt;</v>
      </c>
      <c r="Y307" t="str">
        <f t="shared" ref="Y307" si="1225">CONCATENATE("&lt;/li&gt;&lt;li&gt;&lt;a href=|http://",Y1191,"/1_kings/16.htm","| ","title=|",Y1190,"| target=|_top|&gt;",Y1192,"&lt;/a&gt;")</f>
        <v>&lt;/li&gt;&lt;li&gt;&lt;a href=|http://bibleoutline.org/1_kings/16.htm| title=|Outline with People and Places List| target=|_top|&gt;Outline&lt;/a&gt;</v>
      </c>
      <c r="Z307" t="str">
        <f t="shared" si="1224"/>
        <v>&lt;/li&gt;&lt;li&gt;&lt;a href=|http://kjvs.scripturetext.com/1_kings/16.htm| title=|King James Bible with Strong's Numbers| target=|_top|&gt;Strong's&lt;/a&gt;</v>
      </c>
      <c r="AA307" t="str">
        <f t="shared" si="1224"/>
        <v>&lt;/li&gt;&lt;li&gt;&lt;a href=|http://childrensbibleonline.com/1_kings/16.htm| title=|The Children's Bible| target=|_top|&gt;Children's&lt;/a&gt;</v>
      </c>
      <c r="AB307" s="2" t="str">
        <f t="shared" si="1224"/>
        <v>&lt;/li&gt;&lt;li&gt;&lt;a href=|http://tsk.scripturetext.com/1_kings/16.htm| title=|Treasury of Scripture Knowledge| target=|_top|&gt;TSK&lt;/a&gt;</v>
      </c>
      <c r="AC307" t="str">
        <f>CONCATENATE("&lt;a href=|http://",AC1191,"/1_kings/16.htm","| ","title=|",AC1190,"| target=|_top|&gt;",AC1192,"&lt;/a&gt;")</f>
        <v>&lt;a href=|http://parallelbible.com/1_kings/16.htm| title=|Parallel Chapters| target=|_top|&gt;PAR&lt;/a&gt;</v>
      </c>
      <c r="AD307" s="2" t="str">
        <f t="shared" ref="AD307:AK307" si="1226">CONCATENATE("&lt;/li&gt;&lt;li&gt;&lt;a href=|http://",AD1191,"/1_kings/16.htm","| ","title=|",AD1190,"| target=|_top|&gt;",AD1192,"&lt;/a&gt;")</f>
        <v>&lt;/li&gt;&lt;li&gt;&lt;a href=|http://gsb.biblecommenter.com/1_kings/16.htm| title=|Geneva Study Bible| target=|_top|&gt;GSB&lt;/a&gt;</v>
      </c>
      <c r="AE307" s="2" t="str">
        <f t="shared" si="1226"/>
        <v>&lt;/li&gt;&lt;li&gt;&lt;a href=|http://jfb.biblecommenter.com/1_kings/16.htm| title=|Jamieson-Fausset-Brown Bible Commentary| target=|_top|&gt;JFB&lt;/a&gt;</v>
      </c>
      <c r="AF307" s="2" t="str">
        <f t="shared" si="1226"/>
        <v>&lt;/li&gt;&lt;li&gt;&lt;a href=|http://kjt.biblecommenter.com/1_kings/16.htm| title=|King James Translators' Notes| target=|_top|&gt;KJT&lt;/a&gt;</v>
      </c>
      <c r="AG307" s="2" t="str">
        <f t="shared" si="1226"/>
        <v>&lt;/li&gt;&lt;li&gt;&lt;a href=|http://mhc.biblecommenter.com/1_kings/16.htm| title=|Matthew Henry's Concise Commentary| target=|_top|&gt;MHC&lt;/a&gt;</v>
      </c>
      <c r="AH307" s="2" t="str">
        <f t="shared" si="1226"/>
        <v>&lt;/li&gt;&lt;li&gt;&lt;a href=|http://sco.biblecommenter.com/1_kings/16.htm| title=|Scofield Reference Notes| target=|_top|&gt;SCO&lt;/a&gt;</v>
      </c>
      <c r="AI307" s="2" t="str">
        <f t="shared" si="1226"/>
        <v>&lt;/li&gt;&lt;li&gt;&lt;a href=|http://wes.biblecommenter.com/1_kings/16.htm| title=|Wesley's Notes on the Bible| target=|_top|&gt;WES&lt;/a&gt;</v>
      </c>
      <c r="AJ307" t="str">
        <f t="shared" si="1226"/>
        <v>&lt;/li&gt;&lt;li&gt;&lt;a href=|http://worldebible.com/1_kings/16.htm| title=|World English Bible| target=|_top|&gt;WEB&lt;/a&gt;</v>
      </c>
      <c r="AK307" t="str">
        <f t="shared" si="1226"/>
        <v>&lt;/li&gt;&lt;li&gt;&lt;a href=|http://yltbible.com/1_kings/16.htm| title=|Young's Literal Translation| target=|_top|&gt;YLT&lt;/a&gt;</v>
      </c>
      <c r="AL307" t="str">
        <f>CONCATENATE("&lt;a href=|http://",AL1191,"/1_kings/16.htm","| ","title=|",AL1190,"| target=|_top|&gt;",AL1192,"&lt;/a&gt;")</f>
        <v>&lt;a href=|http://kjv.us/1_kings/16.htm| title=|American King James Version| target=|_top|&gt;AKJ&lt;/a&gt;</v>
      </c>
      <c r="AM307" t="str">
        <f t="shared" ref="AM307:AN307" si="1227">CONCATENATE("&lt;/li&gt;&lt;li&gt;&lt;a href=|http://",AM1191,"/1_kings/16.htm","| ","title=|",AM1190,"| target=|_top|&gt;",AM1192,"&lt;/a&gt;")</f>
        <v>&lt;/li&gt;&lt;li&gt;&lt;a href=|http://basicenglishbible.com/1_kings/16.htm| title=|Bible in Basic English| target=|_top|&gt;BBE&lt;/a&gt;</v>
      </c>
      <c r="AN307" t="str">
        <f t="shared" si="1227"/>
        <v>&lt;/li&gt;&lt;li&gt;&lt;a href=|http://darbybible.com/1_kings/16.htm| title=|Darby Bible Translation| target=|_top|&gt;DBY&lt;/a&gt;</v>
      </c>
      <c r="AO30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0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0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07" t="str">
        <f>CONCATENATE("&lt;/li&gt;&lt;li&gt;&lt;a href=|http://",AR1191,"/1_kings/16.htm","| ","title=|",AR1190,"| target=|_top|&gt;",AR1192,"&lt;/a&gt;")</f>
        <v>&lt;/li&gt;&lt;li&gt;&lt;a href=|http://websterbible.com/1_kings/16.htm| title=|Webster's Bible Translation| target=|_top|&gt;WBS&lt;/a&gt;</v>
      </c>
      <c r="AS30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07" t="str">
        <f>CONCATENATE("&lt;/li&gt;&lt;li&gt;&lt;a href=|http://",AT1191,"/1_kings/16-1.htm","| ","title=|",AT1190,"| target=|_top|&gt;",AT1192,"&lt;/a&gt;")</f>
        <v>&lt;/li&gt;&lt;li&gt;&lt;a href=|http://biblebrowser.com/1_kings/16-1.htm| title=|Split View| target=|_top|&gt;Split&lt;/a&gt;</v>
      </c>
      <c r="AU307" s="2" t="s">
        <v>1276</v>
      </c>
      <c r="AV307" t="s">
        <v>64</v>
      </c>
    </row>
    <row r="308" spans="1:48">
      <c r="A308" t="s">
        <v>622</v>
      </c>
      <c r="B308" t="s">
        <v>361</v>
      </c>
      <c r="C308" t="s">
        <v>624</v>
      </c>
      <c r="D308" t="s">
        <v>1268</v>
      </c>
      <c r="E308" t="s">
        <v>1277</v>
      </c>
      <c r="F308" t="s">
        <v>1304</v>
      </c>
      <c r="G308" t="s">
        <v>1266</v>
      </c>
      <c r="H308" t="s">
        <v>1305</v>
      </c>
      <c r="I308" t="s">
        <v>1303</v>
      </c>
      <c r="J308" t="s">
        <v>1267</v>
      </c>
      <c r="K308" t="s">
        <v>1275</v>
      </c>
      <c r="L308" s="2" t="s">
        <v>1274</v>
      </c>
      <c r="M308" t="str">
        <f t="shared" ref="M308:AB308" si="1228">CONCATENATE("&lt;/li&gt;&lt;li&gt;&lt;a href=|http://",M1191,"/1_kings/17.htm","| ","title=|",M1190,"| target=|_top|&gt;",M1192,"&lt;/a&gt;")</f>
        <v>&lt;/li&gt;&lt;li&gt;&lt;a href=|http://niv.scripturetext.com/1_kings/17.htm| title=|New International Version| target=|_top|&gt;NIV&lt;/a&gt;</v>
      </c>
      <c r="N308" t="str">
        <f t="shared" si="1228"/>
        <v>&lt;/li&gt;&lt;li&gt;&lt;a href=|http://nlt.scripturetext.com/1_kings/17.htm| title=|New Living Translation| target=|_top|&gt;NLT&lt;/a&gt;</v>
      </c>
      <c r="O308" t="str">
        <f t="shared" si="1228"/>
        <v>&lt;/li&gt;&lt;li&gt;&lt;a href=|http://nasb.scripturetext.com/1_kings/17.htm| title=|New American Standard Bible| target=|_top|&gt;NAS&lt;/a&gt;</v>
      </c>
      <c r="P308" t="str">
        <f t="shared" si="1228"/>
        <v>&lt;/li&gt;&lt;li&gt;&lt;a href=|http://gwt.scripturetext.com/1_kings/17.htm| title=|God's Word Translation| target=|_top|&gt;GWT&lt;/a&gt;</v>
      </c>
      <c r="Q308" t="str">
        <f t="shared" si="1228"/>
        <v>&lt;/li&gt;&lt;li&gt;&lt;a href=|http://kingjbible.com/1_kings/17.htm| title=|King James Bible| target=|_top|&gt;KJV&lt;/a&gt;</v>
      </c>
      <c r="R308" t="str">
        <f t="shared" si="1228"/>
        <v>&lt;/li&gt;&lt;li&gt;&lt;a href=|http://asvbible.com/1_kings/17.htm| title=|American Standard Version| target=|_top|&gt;ASV&lt;/a&gt;</v>
      </c>
      <c r="S308" t="str">
        <f t="shared" si="1228"/>
        <v>&lt;/li&gt;&lt;li&gt;&lt;a href=|http://drb.scripturetext.com/1_kings/17.htm| title=|Douay-Rheims Bible| target=|_top|&gt;DRB&lt;/a&gt;</v>
      </c>
      <c r="T308" t="str">
        <f t="shared" si="1228"/>
        <v>&lt;/li&gt;&lt;li&gt;&lt;a href=|http://erv.scripturetext.com/1_kings/17.htm| title=|English Revised Version| target=|_top|&gt;ERV&lt;/a&gt;</v>
      </c>
      <c r="V308" t="str">
        <f>CONCATENATE("&lt;/li&gt;&lt;li&gt;&lt;a href=|http://",V1191,"/1_kings/17.htm","| ","title=|",V1190,"| target=|_top|&gt;",V1192,"&lt;/a&gt;")</f>
        <v>&lt;/li&gt;&lt;li&gt;&lt;a href=|http://study.interlinearbible.org/1_kings/17.htm| title=|Hebrew Study Bible| target=|_top|&gt;Heb Study&lt;/a&gt;</v>
      </c>
      <c r="W308" t="str">
        <f t="shared" si="1228"/>
        <v>&lt;/li&gt;&lt;li&gt;&lt;a href=|http://apostolic.interlinearbible.org/1_kings/17.htm| title=|Apostolic Bible Polyglot Interlinear| target=|_top|&gt;Polyglot&lt;/a&gt;</v>
      </c>
      <c r="X308" t="str">
        <f t="shared" si="1228"/>
        <v>&lt;/li&gt;&lt;li&gt;&lt;a href=|http://interlinearbible.org/1_kings/17.htm| title=|Interlinear Bible| target=|_top|&gt;Interlin&lt;/a&gt;</v>
      </c>
      <c r="Y308" t="str">
        <f t="shared" ref="Y308" si="1229">CONCATENATE("&lt;/li&gt;&lt;li&gt;&lt;a href=|http://",Y1191,"/1_kings/17.htm","| ","title=|",Y1190,"| target=|_top|&gt;",Y1192,"&lt;/a&gt;")</f>
        <v>&lt;/li&gt;&lt;li&gt;&lt;a href=|http://bibleoutline.org/1_kings/17.htm| title=|Outline with People and Places List| target=|_top|&gt;Outline&lt;/a&gt;</v>
      </c>
      <c r="Z308" t="str">
        <f t="shared" si="1228"/>
        <v>&lt;/li&gt;&lt;li&gt;&lt;a href=|http://kjvs.scripturetext.com/1_kings/17.htm| title=|King James Bible with Strong's Numbers| target=|_top|&gt;Strong's&lt;/a&gt;</v>
      </c>
      <c r="AA308" t="str">
        <f t="shared" si="1228"/>
        <v>&lt;/li&gt;&lt;li&gt;&lt;a href=|http://childrensbibleonline.com/1_kings/17.htm| title=|The Children's Bible| target=|_top|&gt;Children's&lt;/a&gt;</v>
      </c>
      <c r="AB308" s="2" t="str">
        <f t="shared" si="1228"/>
        <v>&lt;/li&gt;&lt;li&gt;&lt;a href=|http://tsk.scripturetext.com/1_kings/17.htm| title=|Treasury of Scripture Knowledge| target=|_top|&gt;TSK&lt;/a&gt;</v>
      </c>
      <c r="AC308" t="str">
        <f>CONCATENATE("&lt;a href=|http://",AC1191,"/1_kings/17.htm","| ","title=|",AC1190,"| target=|_top|&gt;",AC1192,"&lt;/a&gt;")</f>
        <v>&lt;a href=|http://parallelbible.com/1_kings/17.htm| title=|Parallel Chapters| target=|_top|&gt;PAR&lt;/a&gt;</v>
      </c>
      <c r="AD308" s="2" t="str">
        <f t="shared" ref="AD308:AK308" si="1230">CONCATENATE("&lt;/li&gt;&lt;li&gt;&lt;a href=|http://",AD1191,"/1_kings/17.htm","| ","title=|",AD1190,"| target=|_top|&gt;",AD1192,"&lt;/a&gt;")</f>
        <v>&lt;/li&gt;&lt;li&gt;&lt;a href=|http://gsb.biblecommenter.com/1_kings/17.htm| title=|Geneva Study Bible| target=|_top|&gt;GSB&lt;/a&gt;</v>
      </c>
      <c r="AE308" s="2" t="str">
        <f t="shared" si="1230"/>
        <v>&lt;/li&gt;&lt;li&gt;&lt;a href=|http://jfb.biblecommenter.com/1_kings/17.htm| title=|Jamieson-Fausset-Brown Bible Commentary| target=|_top|&gt;JFB&lt;/a&gt;</v>
      </c>
      <c r="AF308" s="2" t="str">
        <f t="shared" si="1230"/>
        <v>&lt;/li&gt;&lt;li&gt;&lt;a href=|http://kjt.biblecommenter.com/1_kings/17.htm| title=|King James Translators' Notes| target=|_top|&gt;KJT&lt;/a&gt;</v>
      </c>
      <c r="AG308" s="2" t="str">
        <f t="shared" si="1230"/>
        <v>&lt;/li&gt;&lt;li&gt;&lt;a href=|http://mhc.biblecommenter.com/1_kings/17.htm| title=|Matthew Henry's Concise Commentary| target=|_top|&gt;MHC&lt;/a&gt;</v>
      </c>
      <c r="AH308" s="2" t="str">
        <f t="shared" si="1230"/>
        <v>&lt;/li&gt;&lt;li&gt;&lt;a href=|http://sco.biblecommenter.com/1_kings/17.htm| title=|Scofield Reference Notes| target=|_top|&gt;SCO&lt;/a&gt;</v>
      </c>
      <c r="AI308" s="2" t="str">
        <f t="shared" si="1230"/>
        <v>&lt;/li&gt;&lt;li&gt;&lt;a href=|http://wes.biblecommenter.com/1_kings/17.htm| title=|Wesley's Notes on the Bible| target=|_top|&gt;WES&lt;/a&gt;</v>
      </c>
      <c r="AJ308" t="str">
        <f t="shared" si="1230"/>
        <v>&lt;/li&gt;&lt;li&gt;&lt;a href=|http://worldebible.com/1_kings/17.htm| title=|World English Bible| target=|_top|&gt;WEB&lt;/a&gt;</v>
      </c>
      <c r="AK308" t="str">
        <f t="shared" si="1230"/>
        <v>&lt;/li&gt;&lt;li&gt;&lt;a href=|http://yltbible.com/1_kings/17.htm| title=|Young's Literal Translation| target=|_top|&gt;YLT&lt;/a&gt;</v>
      </c>
      <c r="AL308" t="str">
        <f>CONCATENATE("&lt;a href=|http://",AL1191,"/1_kings/17.htm","| ","title=|",AL1190,"| target=|_top|&gt;",AL1192,"&lt;/a&gt;")</f>
        <v>&lt;a href=|http://kjv.us/1_kings/17.htm| title=|American King James Version| target=|_top|&gt;AKJ&lt;/a&gt;</v>
      </c>
      <c r="AM308" t="str">
        <f t="shared" ref="AM308:AN308" si="1231">CONCATENATE("&lt;/li&gt;&lt;li&gt;&lt;a href=|http://",AM1191,"/1_kings/17.htm","| ","title=|",AM1190,"| target=|_top|&gt;",AM1192,"&lt;/a&gt;")</f>
        <v>&lt;/li&gt;&lt;li&gt;&lt;a href=|http://basicenglishbible.com/1_kings/17.htm| title=|Bible in Basic English| target=|_top|&gt;BBE&lt;/a&gt;</v>
      </c>
      <c r="AN308" t="str">
        <f t="shared" si="1231"/>
        <v>&lt;/li&gt;&lt;li&gt;&lt;a href=|http://darbybible.com/1_kings/17.htm| title=|Darby Bible Translation| target=|_top|&gt;DBY&lt;/a&gt;</v>
      </c>
      <c r="AO30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0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0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08" t="str">
        <f>CONCATENATE("&lt;/li&gt;&lt;li&gt;&lt;a href=|http://",AR1191,"/1_kings/17.htm","| ","title=|",AR1190,"| target=|_top|&gt;",AR1192,"&lt;/a&gt;")</f>
        <v>&lt;/li&gt;&lt;li&gt;&lt;a href=|http://websterbible.com/1_kings/17.htm| title=|Webster's Bible Translation| target=|_top|&gt;WBS&lt;/a&gt;</v>
      </c>
      <c r="AS30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08" t="str">
        <f>CONCATENATE("&lt;/li&gt;&lt;li&gt;&lt;a href=|http://",AT1191,"/1_kings/17-1.htm","| ","title=|",AT1190,"| target=|_top|&gt;",AT1192,"&lt;/a&gt;")</f>
        <v>&lt;/li&gt;&lt;li&gt;&lt;a href=|http://biblebrowser.com/1_kings/17-1.htm| title=|Split View| target=|_top|&gt;Split&lt;/a&gt;</v>
      </c>
      <c r="AU308" s="2" t="s">
        <v>1276</v>
      </c>
      <c r="AV308" t="s">
        <v>64</v>
      </c>
    </row>
    <row r="309" spans="1:48">
      <c r="A309" t="s">
        <v>622</v>
      </c>
      <c r="B309" t="s">
        <v>362</v>
      </c>
      <c r="C309" t="s">
        <v>624</v>
      </c>
      <c r="D309" t="s">
        <v>1268</v>
      </c>
      <c r="E309" t="s">
        <v>1277</v>
      </c>
      <c r="F309" t="s">
        <v>1304</v>
      </c>
      <c r="G309" t="s">
        <v>1266</v>
      </c>
      <c r="H309" t="s">
        <v>1305</v>
      </c>
      <c r="I309" t="s">
        <v>1303</v>
      </c>
      <c r="J309" t="s">
        <v>1267</v>
      </c>
      <c r="K309" t="s">
        <v>1275</v>
      </c>
      <c r="L309" s="2" t="s">
        <v>1274</v>
      </c>
      <c r="M309" t="str">
        <f t="shared" ref="M309:AB309" si="1232">CONCATENATE("&lt;/li&gt;&lt;li&gt;&lt;a href=|http://",M1191,"/1_kings/18.htm","| ","title=|",M1190,"| target=|_top|&gt;",M1192,"&lt;/a&gt;")</f>
        <v>&lt;/li&gt;&lt;li&gt;&lt;a href=|http://niv.scripturetext.com/1_kings/18.htm| title=|New International Version| target=|_top|&gt;NIV&lt;/a&gt;</v>
      </c>
      <c r="N309" t="str">
        <f t="shared" si="1232"/>
        <v>&lt;/li&gt;&lt;li&gt;&lt;a href=|http://nlt.scripturetext.com/1_kings/18.htm| title=|New Living Translation| target=|_top|&gt;NLT&lt;/a&gt;</v>
      </c>
      <c r="O309" t="str">
        <f t="shared" si="1232"/>
        <v>&lt;/li&gt;&lt;li&gt;&lt;a href=|http://nasb.scripturetext.com/1_kings/18.htm| title=|New American Standard Bible| target=|_top|&gt;NAS&lt;/a&gt;</v>
      </c>
      <c r="P309" t="str">
        <f t="shared" si="1232"/>
        <v>&lt;/li&gt;&lt;li&gt;&lt;a href=|http://gwt.scripturetext.com/1_kings/18.htm| title=|God's Word Translation| target=|_top|&gt;GWT&lt;/a&gt;</v>
      </c>
      <c r="Q309" t="str">
        <f t="shared" si="1232"/>
        <v>&lt;/li&gt;&lt;li&gt;&lt;a href=|http://kingjbible.com/1_kings/18.htm| title=|King James Bible| target=|_top|&gt;KJV&lt;/a&gt;</v>
      </c>
      <c r="R309" t="str">
        <f t="shared" si="1232"/>
        <v>&lt;/li&gt;&lt;li&gt;&lt;a href=|http://asvbible.com/1_kings/18.htm| title=|American Standard Version| target=|_top|&gt;ASV&lt;/a&gt;</v>
      </c>
      <c r="S309" t="str">
        <f t="shared" si="1232"/>
        <v>&lt;/li&gt;&lt;li&gt;&lt;a href=|http://drb.scripturetext.com/1_kings/18.htm| title=|Douay-Rheims Bible| target=|_top|&gt;DRB&lt;/a&gt;</v>
      </c>
      <c r="T309" t="str">
        <f t="shared" si="1232"/>
        <v>&lt;/li&gt;&lt;li&gt;&lt;a href=|http://erv.scripturetext.com/1_kings/18.htm| title=|English Revised Version| target=|_top|&gt;ERV&lt;/a&gt;</v>
      </c>
      <c r="V309" t="str">
        <f>CONCATENATE("&lt;/li&gt;&lt;li&gt;&lt;a href=|http://",V1191,"/1_kings/18.htm","| ","title=|",V1190,"| target=|_top|&gt;",V1192,"&lt;/a&gt;")</f>
        <v>&lt;/li&gt;&lt;li&gt;&lt;a href=|http://study.interlinearbible.org/1_kings/18.htm| title=|Hebrew Study Bible| target=|_top|&gt;Heb Study&lt;/a&gt;</v>
      </c>
      <c r="W309" t="str">
        <f t="shared" si="1232"/>
        <v>&lt;/li&gt;&lt;li&gt;&lt;a href=|http://apostolic.interlinearbible.org/1_kings/18.htm| title=|Apostolic Bible Polyglot Interlinear| target=|_top|&gt;Polyglot&lt;/a&gt;</v>
      </c>
      <c r="X309" t="str">
        <f t="shared" si="1232"/>
        <v>&lt;/li&gt;&lt;li&gt;&lt;a href=|http://interlinearbible.org/1_kings/18.htm| title=|Interlinear Bible| target=|_top|&gt;Interlin&lt;/a&gt;</v>
      </c>
      <c r="Y309" t="str">
        <f t="shared" ref="Y309" si="1233">CONCATENATE("&lt;/li&gt;&lt;li&gt;&lt;a href=|http://",Y1191,"/1_kings/18.htm","| ","title=|",Y1190,"| target=|_top|&gt;",Y1192,"&lt;/a&gt;")</f>
        <v>&lt;/li&gt;&lt;li&gt;&lt;a href=|http://bibleoutline.org/1_kings/18.htm| title=|Outline with People and Places List| target=|_top|&gt;Outline&lt;/a&gt;</v>
      </c>
      <c r="Z309" t="str">
        <f t="shared" si="1232"/>
        <v>&lt;/li&gt;&lt;li&gt;&lt;a href=|http://kjvs.scripturetext.com/1_kings/18.htm| title=|King James Bible with Strong's Numbers| target=|_top|&gt;Strong's&lt;/a&gt;</v>
      </c>
      <c r="AA309" t="str">
        <f t="shared" si="1232"/>
        <v>&lt;/li&gt;&lt;li&gt;&lt;a href=|http://childrensbibleonline.com/1_kings/18.htm| title=|The Children's Bible| target=|_top|&gt;Children's&lt;/a&gt;</v>
      </c>
      <c r="AB309" s="2" t="str">
        <f t="shared" si="1232"/>
        <v>&lt;/li&gt;&lt;li&gt;&lt;a href=|http://tsk.scripturetext.com/1_kings/18.htm| title=|Treasury of Scripture Knowledge| target=|_top|&gt;TSK&lt;/a&gt;</v>
      </c>
      <c r="AC309" t="str">
        <f>CONCATENATE("&lt;a href=|http://",AC1191,"/1_kings/18.htm","| ","title=|",AC1190,"| target=|_top|&gt;",AC1192,"&lt;/a&gt;")</f>
        <v>&lt;a href=|http://parallelbible.com/1_kings/18.htm| title=|Parallel Chapters| target=|_top|&gt;PAR&lt;/a&gt;</v>
      </c>
      <c r="AD309" s="2" t="str">
        <f t="shared" ref="AD309:AK309" si="1234">CONCATENATE("&lt;/li&gt;&lt;li&gt;&lt;a href=|http://",AD1191,"/1_kings/18.htm","| ","title=|",AD1190,"| target=|_top|&gt;",AD1192,"&lt;/a&gt;")</f>
        <v>&lt;/li&gt;&lt;li&gt;&lt;a href=|http://gsb.biblecommenter.com/1_kings/18.htm| title=|Geneva Study Bible| target=|_top|&gt;GSB&lt;/a&gt;</v>
      </c>
      <c r="AE309" s="2" t="str">
        <f t="shared" si="1234"/>
        <v>&lt;/li&gt;&lt;li&gt;&lt;a href=|http://jfb.biblecommenter.com/1_kings/18.htm| title=|Jamieson-Fausset-Brown Bible Commentary| target=|_top|&gt;JFB&lt;/a&gt;</v>
      </c>
      <c r="AF309" s="2" t="str">
        <f t="shared" si="1234"/>
        <v>&lt;/li&gt;&lt;li&gt;&lt;a href=|http://kjt.biblecommenter.com/1_kings/18.htm| title=|King James Translators' Notes| target=|_top|&gt;KJT&lt;/a&gt;</v>
      </c>
      <c r="AG309" s="2" t="str">
        <f t="shared" si="1234"/>
        <v>&lt;/li&gt;&lt;li&gt;&lt;a href=|http://mhc.biblecommenter.com/1_kings/18.htm| title=|Matthew Henry's Concise Commentary| target=|_top|&gt;MHC&lt;/a&gt;</v>
      </c>
      <c r="AH309" s="2" t="str">
        <f t="shared" si="1234"/>
        <v>&lt;/li&gt;&lt;li&gt;&lt;a href=|http://sco.biblecommenter.com/1_kings/18.htm| title=|Scofield Reference Notes| target=|_top|&gt;SCO&lt;/a&gt;</v>
      </c>
      <c r="AI309" s="2" t="str">
        <f t="shared" si="1234"/>
        <v>&lt;/li&gt;&lt;li&gt;&lt;a href=|http://wes.biblecommenter.com/1_kings/18.htm| title=|Wesley's Notes on the Bible| target=|_top|&gt;WES&lt;/a&gt;</v>
      </c>
      <c r="AJ309" t="str">
        <f t="shared" si="1234"/>
        <v>&lt;/li&gt;&lt;li&gt;&lt;a href=|http://worldebible.com/1_kings/18.htm| title=|World English Bible| target=|_top|&gt;WEB&lt;/a&gt;</v>
      </c>
      <c r="AK309" t="str">
        <f t="shared" si="1234"/>
        <v>&lt;/li&gt;&lt;li&gt;&lt;a href=|http://yltbible.com/1_kings/18.htm| title=|Young's Literal Translation| target=|_top|&gt;YLT&lt;/a&gt;</v>
      </c>
      <c r="AL309" t="str">
        <f>CONCATENATE("&lt;a href=|http://",AL1191,"/1_kings/18.htm","| ","title=|",AL1190,"| target=|_top|&gt;",AL1192,"&lt;/a&gt;")</f>
        <v>&lt;a href=|http://kjv.us/1_kings/18.htm| title=|American King James Version| target=|_top|&gt;AKJ&lt;/a&gt;</v>
      </c>
      <c r="AM309" t="str">
        <f t="shared" ref="AM309:AN309" si="1235">CONCATENATE("&lt;/li&gt;&lt;li&gt;&lt;a href=|http://",AM1191,"/1_kings/18.htm","| ","title=|",AM1190,"| target=|_top|&gt;",AM1192,"&lt;/a&gt;")</f>
        <v>&lt;/li&gt;&lt;li&gt;&lt;a href=|http://basicenglishbible.com/1_kings/18.htm| title=|Bible in Basic English| target=|_top|&gt;BBE&lt;/a&gt;</v>
      </c>
      <c r="AN309" t="str">
        <f t="shared" si="1235"/>
        <v>&lt;/li&gt;&lt;li&gt;&lt;a href=|http://darbybible.com/1_kings/18.htm| title=|Darby Bible Translation| target=|_top|&gt;DBY&lt;/a&gt;</v>
      </c>
      <c r="AO30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0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0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09" t="str">
        <f>CONCATENATE("&lt;/li&gt;&lt;li&gt;&lt;a href=|http://",AR1191,"/1_kings/18.htm","| ","title=|",AR1190,"| target=|_top|&gt;",AR1192,"&lt;/a&gt;")</f>
        <v>&lt;/li&gt;&lt;li&gt;&lt;a href=|http://websterbible.com/1_kings/18.htm| title=|Webster's Bible Translation| target=|_top|&gt;WBS&lt;/a&gt;</v>
      </c>
      <c r="AS30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09" t="str">
        <f>CONCATENATE("&lt;/li&gt;&lt;li&gt;&lt;a href=|http://",AT1191,"/1_kings/18-1.htm","| ","title=|",AT1190,"| target=|_top|&gt;",AT1192,"&lt;/a&gt;")</f>
        <v>&lt;/li&gt;&lt;li&gt;&lt;a href=|http://biblebrowser.com/1_kings/18-1.htm| title=|Split View| target=|_top|&gt;Split&lt;/a&gt;</v>
      </c>
      <c r="AU309" s="2" t="s">
        <v>1276</v>
      </c>
      <c r="AV309" t="s">
        <v>64</v>
      </c>
    </row>
    <row r="310" spans="1:48">
      <c r="A310" t="s">
        <v>622</v>
      </c>
      <c r="B310" t="s">
        <v>363</v>
      </c>
      <c r="C310" t="s">
        <v>624</v>
      </c>
      <c r="D310" t="s">
        <v>1268</v>
      </c>
      <c r="E310" t="s">
        <v>1277</v>
      </c>
      <c r="F310" t="s">
        <v>1304</v>
      </c>
      <c r="G310" t="s">
        <v>1266</v>
      </c>
      <c r="H310" t="s">
        <v>1305</v>
      </c>
      <c r="I310" t="s">
        <v>1303</v>
      </c>
      <c r="J310" t="s">
        <v>1267</v>
      </c>
      <c r="K310" t="s">
        <v>1275</v>
      </c>
      <c r="L310" s="2" t="s">
        <v>1274</v>
      </c>
      <c r="M310" t="str">
        <f t="shared" ref="M310:AB310" si="1236">CONCATENATE("&lt;/li&gt;&lt;li&gt;&lt;a href=|http://",M1191,"/1_kings/19.htm","| ","title=|",M1190,"| target=|_top|&gt;",M1192,"&lt;/a&gt;")</f>
        <v>&lt;/li&gt;&lt;li&gt;&lt;a href=|http://niv.scripturetext.com/1_kings/19.htm| title=|New International Version| target=|_top|&gt;NIV&lt;/a&gt;</v>
      </c>
      <c r="N310" t="str">
        <f t="shared" si="1236"/>
        <v>&lt;/li&gt;&lt;li&gt;&lt;a href=|http://nlt.scripturetext.com/1_kings/19.htm| title=|New Living Translation| target=|_top|&gt;NLT&lt;/a&gt;</v>
      </c>
      <c r="O310" t="str">
        <f t="shared" si="1236"/>
        <v>&lt;/li&gt;&lt;li&gt;&lt;a href=|http://nasb.scripturetext.com/1_kings/19.htm| title=|New American Standard Bible| target=|_top|&gt;NAS&lt;/a&gt;</v>
      </c>
      <c r="P310" t="str">
        <f t="shared" si="1236"/>
        <v>&lt;/li&gt;&lt;li&gt;&lt;a href=|http://gwt.scripturetext.com/1_kings/19.htm| title=|God's Word Translation| target=|_top|&gt;GWT&lt;/a&gt;</v>
      </c>
      <c r="Q310" t="str">
        <f t="shared" si="1236"/>
        <v>&lt;/li&gt;&lt;li&gt;&lt;a href=|http://kingjbible.com/1_kings/19.htm| title=|King James Bible| target=|_top|&gt;KJV&lt;/a&gt;</v>
      </c>
      <c r="R310" t="str">
        <f t="shared" si="1236"/>
        <v>&lt;/li&gt;&lt;li&gt;&lt;a href=|http://asvbible.com/1_kings/19.htm| title=|American Standard Version| target=|_top|&gt;ASV&lt;/a&gt;</v>
      </c>
      <c r="S310" t="str">
        <f t="shared" si="1236"/>
        <v>&lt;/li&gt;&lt;li&gt;&lt;a href=|http://drb.scripturetext.com/1_kings/19.htm| title=|Douay-Rheims Bible| target=|_top|&gt;DRB&lt;/a&gt;</v>
      </c>
      <c r="T310" t="str">
        <f t="shared" si="1236"/>
        <v>&lt;/li&gt;&lt;li&gt;&lt;a href=|http://erv.scripturetext.com/1_kings/19.htm| title=|English Revised Version| target=|_top|&gt;ERV&lt;/a&gt;</v>
      </c>
      <c r="V310" t="str">
        <f>CONCATENATE("&lt;/li&gt;&lt;li&gt;&lt;a href=|http://",V1191,"/1_kings/19.htm","| ","title=|",V1190,"| target=|_top|&gt;",V1192,"&lt;/a&gt;")</f>
        <v>&lt;/li&gt;&lt;li&gt;&lt;a href=|http://study.interlinearbible.org/1_kings/19.htm| title=|Hebrew Study Bible| target=|_top|&gt;Heb Study&lt;/a&gt;</v>
      </c>
      <c r="W310" t="str">
        <f t="shared" si="1236"/>
        <v>&lt;/li&gt;&lt;li&gt;&lt;a href=|http://apostolic.interlinearbible.org/1_kings/19.htm| title=|Apostolic Bible Polyglot Interlinear| target=|_top|&gt;Polyglot&lt;/a&gt;</v>
      </c>
      <c r="X310" t="str">
        <f t="shared" si="1236"/>
        <v>&lt;/li&gt;&lt;li&gt;&lt;a href=|http://interlinearbible.org/1_kings/19.htm| title=|Interlinear Bible| target=|_top|&gt;Interlin&lt;/a&gt;</v>
      </c>
      <c r="Y310" t="str">
        <f t="shared" ref="Y310" si="1237">CONCATENATE("&lt;/li&gt;&lt;li&gt;&lt;a href=|http://",Y1191,"/1_kings/19.htm","| ","title=|",Y1190,"| target=|_top|&gt;",Y1192,"&lt;/a&gt;")</f>
        <v>&lt;/li&gt;&lt;li&gt;&lt;a href=|http://bibleoutline.org/1_kings/19.htm| title=|Outline with People and Places List| target=|_top|&gt;Outline&lt;/a&gt;</v>
      </c>
      <c r="Z310" t="str">
        <f t="shared" si="1236"/>
        <v>&lt;/li&gt;&lt;li&gt;&lt;a href=|http://kjvs.scripturetext.com/1_kings/19.htm| title=|King James Bible with Strong's Numbers| target=|_top|&gt;Strong's&lt;/a&gt;</v>
      </c>
      <c r="AA310" t="str">
        <f t="shared" si="1236"/>
        <v>&lt;/li&gt;&lt;li&gt;&lt;a href=|http://childrensbibleonline.com/1_kings/19.htm| title=|The Children's Bible| target=|_top|&gt;Children's&lt;/a&gt;</v>
      </c>
      <c r="AB310" s="2" t="str">
        <f t="shared" si="1236"/>
        <v>&lt;/li&gt;&lt;li&gt;&lt;a href=|http://tsk.scripturetext.com/1_kings/19.htm| title=|Treasury of Scripture Knowledge| target=|_top|&gt;TSK&lt;/a&gt;</v>
      </c>
      <c r="AC310" t="str">
        <f>CONCATENATE("&lt;a href=|http://",AC1191,"/1_kings/19.htm","| ","title=|",AC1190,"| target=|_top|&gt;",AC1192,"&lt;/a&gt;")</f>
        <v>&lt;a href=|http://parallelbible.com/1_kings/19.htm| title=|Parallel Chapters| target=|_top|&gt;PAR&lt;/a&gt;</v>
      </c>
      <c r="AD310" s="2" t="str">
        <f t="shared" ref="AD310:AK310" si="1238">CONCATENATE("&lt;/li&gt;&lt;li&gt;&lt;a href=|http://",AD1191,"/1_kings/19.htm","| ","title=|",AD1190,"| target=|_top|&gt;",AD1192,"&lt;/a&gt;")</f>
        <v>&lt;/li&gt;&lt;li&gt;&lt;a href=|http://gsb.biblecommenter.com/1_kings/19.htm| title=|Geneva Study Bible| target=|_top|&gt;GSB&lt;/a&gt;</v>
      </c>
      <c r="AE310" s="2" t="str">
        <f t="shared" si="1238"/>
        <v>&lt;/li&gt;&lt;li&gt;&lt;a href=|http://jfb.biblecommenter.com/1_kings/19.htm| title=|Jamieson-Fausset-Brown Bible Commentary| target=|_top|&gt;JFB&lt;/a&gt;</v>
      </c>
      <c r="AF310" s="2" t="str">
        <f t="shared" si="1238"/>
        <v>&lt;/li&gt;&lt;li&gt;&lt;a href=|http://kjt.biblecommenter.com/1_kings/19.htm| title=|King James Translators' Notes| target=|_top|&gt;KJT&lt;/a&gt;</v>
      </c>
      <c r="AG310" s="2" t="str">
        <f t="shared" si="1238"/>
        <v>&lt;/li&gt;&lt;li&gt;&lt;a href=|http://mhc.biblecommenter.com/1_kings/19.htm| title=|Matthew Henry's Concise Commentary| target=|_top|&gt;MHC&lt;/a&gt;</v>
      </c>
      <c r="AH310" s="2" t="str">
        <f t="shared" si="1238"/>
        <v>&lt;/li&gt;&lt;li&gt;&lt;a href=|http://sco.biblecommenter.com/1_kings/19.htm| title=|Scofield Reference Notes| target=|_top|&gt;SCO&lt;/a&gt;</v>
      </c>
      <c r="AI310" s="2" t="str">
        <f t="shared" si="1238"/>
        <v>&lt;/li&gt;&lt;li&gt;&lt;a href=|http://wes.biblecommenter.com/1_kings/19.htm| title=|Wesley's Notes on the Bible| target=|_top|&gt;WES&lt;/a&gt;</v>
      </c>
      <c r="AJ310" t="str">
        <f t="shared" si="1238"/>
        <v>&lt;/li&gt;&lt;li&gt;&lt;a href=|http://worldebible.com/1_kings/19.htm| title=|World English Bible| target=|_top|&gt;WEB&lt;/a&gt;</v>
      </c>
      <c r="AK310" t="str">
        <f t="shared" si="1238"/>
        <v>&lt;/li&gt;&lt;li&gt;&lt;a href=|http://yltbible.com/1_kings/19.htm| title=|Young's Literal Translation| target=|_top|&gt;YLT&lt;/a&gt;</v>
      </c>
      <c r="AL310" t="str">
        <f>CONCATENATE("&lt;a href=|http://",AL1191,"/1_kings/19.htm","| ","title=|",AL1190,"| target=|_top|&gt;",AL1192,"&lt;/a&gt;")</f>
        <v>&lt;a href=|http://kjv.us/1_kings/19.htm| title=|American King James Version| target=|_top|&gt;AKJ&lt;/a&gt;</v>
      </c>
      <c r="AM310" t="str">
        <f t="shared" ref="AM310:AN310" si="1239">CONCATENATE("&lt;/li&gt;&lt;li&gt;&lt;a href=|http://",AM1191,"/1_kings/19.htm","| ","title=|",AM1190,"| target=|_top|&gt;",AM1192,"&lt;/a&gt;")</f>
        <v>&lt;/li&gt;&lt;li&gt;&lt;a href=|http://basicenglishbible.com/1_kings/19.htm| title=|Bible in Basic English| target=|_top|&gt;BBE&lt;/a&gt;</v>
      </c>
      <c r="AN310" t="str">
        <f t="shared" si="1239"/>
        <v>&lt;/li&gt;&lt;li&gt;&lt;a href=|http://darbybible.com/1_kings/19.htm| title=|Darby Bible Translation| target=|_top|&gt;DBY&lt;/a&gt;</v>
      </c>
      <c r="AO31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1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1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10" t="str">
        <f>CONCATENATE("&lt;/li&gt;&lt;li&gt;&lt;a href=|http://",AR1191,"/1_kings/19.htm","| ","title=|",AR1190,"| target=|_top|&gt;",AR1192,"&lt;/a&gt;")</f>
        <v>&lt;/li&gt;&lt;li&gt;&lt;a href=|http://websterbible.com/1_kings/19.htm| title=|Webster's Bible Translation| target=|_top|&gt;WBS&lt;/a&gt;</v>
      </c>
      <c r="AS31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10" t="str">
        <f>CONCATENATE("&lt;/li&gt;&lt;li&gt;&lt;a href=|http://",AT1191,"/1_kings/19-1.htm","| ","title=|",AT1190,"| target=|_top|&gt;",AT1192,"&lt;/a&gt;")</f>
        <v>&lt;/li&gt;&lt;li&gt;&lt;a href=|http://biblebrowser.com/1_kings/19-1.htm| title=|Split View| target=|_top|&gt;Split&lt;/a&gt;</v>
      </c>
      <c r="AU310" s="2" t="s">
        <v>1276</v>
      </c>
      <c r="AV310" t="s">
        <v>64</v>
      </c>
    </row>
    <row r="311" spans="1:48">
      <c r="A311" t="s">
        <v>622</v>
      </c>
      <c r="B311" t="s">
        <v>364</v>
      </c>
      <c r="C311" t="s">
        <v>624</v>
      </c>
      <c r="D311" t="s">
        <v>1268</v>
      </c>
      <c r="E311" t="s">
        <v>1277</v>
      </c>
      <c r="F311" t="s">
        <v>1304</v>
      </c>
      <c r="G311" t="s">
        <v>1266</v>
      </c>
      <c r="H311" t="s">
        <v>1305</v>
      </c>
      <c r="I311" t="s">
        <v>1303</v>
      </c>
      <c r="J311" t="s">
        <v>1267</v>
      </c>
      <c r="K311" t="s">
        <v>1275</v>
      </c>
      <c r="L311" s="2" t="s">
        <v>1274</v>
      </c>
      <c r="M311" t="str">
        <f t="shared" ref="M311:AB311" si="1240">CONCATENATE("&lt;/li&gt;&lt;li&gt;&lt;a href=|http://",M1191,"/1_kings/20.htm","| ","title=|",M1190,"| target=|_top|&gt;",M1192,"&lt;/a&gt;")</f>
        <v>&lt;/li&gt;&lt;li&gt;&lt;a href=|http://niv.scripturetext.com/1_kings/20.htm| title=|New International Version| target=|_top|&gt;NIV&lt;/a&gt;</v>
      </c>
      <c r="N311" t="str">
        <f t="shared" si="1240"/>
        <v>&lt;/li&gt;&lt;li&gt;&lt;a href=|http://nlt.scripturetext.com/1_kings/20.htm| title=|New Living Translation| target=|_top|&gt;NLT&lt;/a&gt;</v>
      </c>
      <c r="O311" t="str">
        <f t="shared" si="1240"/>
        <v>&lt;/li&gt;&lt;li&gt;&lt;a href=|http://nasb.scripturetext.com/1_kings/20.htm| title=|New American Standard Bible| target=|_top|&gt;NAS&lt;/a&gt;</v>
      </c>
      <c r="P311" t="str">
        <f t="shared" si="1240"/>
        <v>&lt;/li&gt;&lt;li&gt;&lt;a href=|http://gwt.scripturetext.com/1_kings/20.htm| title=|God's Word Translation| target=|_top|&gt;GWT&lt;/a&gt;</v>
      </c>
      <c r="Q311" t="str">
        <f t="shared" si="1240"/>
        <v>&lt;/li&gt;&lt;li&gt;&lt;a href=|http://kingjbible.com/1_kings/20.htm| title=|King James Bible| target=|_top|&gt;KJV&lt;/a&gt;</v>
      </c>
      <c r="R311" t="str">
        <f t="shared" si="1240"/>
        <v>&lt;/li&gt;&lt;li&gt;&lt;a href=|http://asvbible.com/1_kings/20.htm| title=|American Standard Version| target=|_top|&gt;ASV&lt;/a&gt;</v>
      </c>
      <c r="S311" t="str">
        <f t="shared" si="1240"/>
        <v>&lt;/li&gt;&lt;li&gt;&lt;a href=|http://drb.scripturetext.com/1_kings/20.htm| title=|Douay-Rheims Bible| target=|_top|&gt;DRB&lt;/a&gt;</v>
      </c>
      <c r="T311" t="str">
        <f t="shared" si="1240"/>
        <v>&lt;/li&gt;&lt;li&gt;&lt;a href=|http://erv.scripturetext.com/1_kings/20.htm| title=|English Revised Version| target=|_top|&gt;ERV&lt;/a&gt;</v>
      </c>
      <c r="V311" t="str">
        <f>CONCATENATE("&lt;/li&gt;&lt;li&gt;&lt;a href=|http://",V1191,"/1_kings/20.htm","| ","title=|",V1190,"| target=|_top|&gt;",V1192,"&lt;/a&gt;")</f>
        <v>&lt;/li&gt;&lt;li&gt;&lt;a href=|http://study.interlinearbible.org/1_kings/20.htm| title=|Hebrew Study Bible| target=|_top|&gt;Heb Study&lt;/a&gt;</v>
      </c>
      <c r="W311" t="str">
        <f t="shared" si="1240"/>
        <v>&lt;/li&gt;&lt;li&gt;&lt;a href=|http://apostolic.interlinearbible.org/1_kings/20.htm| title=|Apostolic Bible Polyglot Interlinear| target=|_top|&gt;Polyglot&lt;/a&gt;</v>
      </c>
      <c r="X311" t="str">
        <f t="shared" si="1240"/>
        <v>&lt;/li&gt;&lt;li&gt;&lt;a href=|http://interlinearbible.org/1_kings/20.htm| title=|Interlinear Bible| target=|_top|&gt;Interlin&lt;/a&gt;</v>
      </c>
      <c r="Y311" t="str">
        <f t="shared" ref="Y311" si="1241">CONCATENATE("&lt;/li&gt;&lt;li&gt;&lt;a href=|http://",Y1191,"/1_kings/20.htm","| ","title=|",Y1190,"| target=|_top|&gt;",Y1192,"&lt;/a&gt;")</f>
        <v>&lt;/li&gt;&lt;li&gt;&lt;a href=|http://bibleoutline.org/1_kings/20.htm| title=|Outline with People and Places List| target=|_top|&gt;Outline&lt;/a&gt;</v>
      </c>
      <c r="Z311" t="str">
        <f t="shared" si="1240"/>
        <v>&lt;/li&gt;&lt;li&gt;&lt;a href=|http://kjvs.scripturetext.com/1_kings/20.htm| title=|King James Bible with Strong's Numbers| target=|_top|&gt;Strong's&lt;/a&gt;</v>
      </c>
      <c r="AA311" t="str">
        <f t="shared" si="1240"/>
        <v>&lt;/li&gt;&lt;li&gt;&lt;a href=|http://childrensbibleonline.com/1_kings/20.htm| title=|The Children's Bible| target=|_top|&gt;Children's&lt;/a&gt;</v>
      </c>
      <c r="AB311" s="2" t="str">
        <f t="shared" si="1240"/>
        <v>&lt;/li&gt;&lt;li&gt;&lt;a href=|http://tsk.scripturetext.com/1_kings/20.htm| title=|Treasury of Scripture Knowledge| target=|_top|&gt;TSK&lt;/a&gt;</v>
      </c>
      <c r="AC311" t="str">
        <f>CONCATENATE("&lt;a href=|http://",AC1191,"/1_kings/20.htm","| ","title=|",AC1190,"| target=|_top|&gt;",AC1192,"&lt;/a&gt;")</f>
        <v>&lt;a href=|http://parallelbible.com/1_kings/20.htm| title=|Parallel Chapters| target=|_top|&gt;PAR&lt;/a&gt;</v>
      </c>
      <c r="AD311" s="2" t="str">
        <f t="shared" ref="AD311:AK311" si="1242">CONCATENATE("&lt;/li&gt;&lt;li&gt;&lt;a href=|http://",AD1191,"/1_kings/20.htm","| ","title=|",AD1190,"| target=|_top|&gt;",AD1192,"&lt;/a&gt;")</f>
        <v>&lt;/li&gt;&lt;li&gt;&lt;a href=|http://gsb.biblecommenter.com/1_kings/20.htm| title=|Geneva Study Bible| target=|_top|&gt;GSB&lt;/a&gt;</v>
      </c>
      <c r="AE311" s="2" t="str">
        <f t="shared" si="1242"/>
        <v>&lt;/li&gt;&lt;li&gt;&lt;a href=|http://jfb.biblecommenter.com/1_kings/20.htm| title=|Jamieson-Fausset-Brown Bible Commentary| target=|_top|&gt;JFB&lt;/a&gt;</v>
      </c>
      <c r="AF311" s="2" t="str">
        <f t="shared" si="1242"/>
        <v>&lt;/li&gt;&lt;li&gt;&lt;a href=|http://kjt.biblecommenter.com/1_kings/20.htm| title=|King James Translators' Notes| target=|_top|&gt;KJT&lt;/a&gt;</v>
      </c>
      <c r="AG311" s="2" t="str">
        <f t="shared" si="1242"/>
        <v>&lt;/li&gt;&lt;li&gt;&lt;a href=|http://mhc.biblecommenter.com/1_kings/20.htm| title=|Matthew Henry's Concise Commentary| target=|_top|&gt;MHC&lt;/a&gt;</v>
      </c>
      <c r="AH311" s="2" t="str">
        <f t="shared" si="1242"/>
        <v>&lt;/li&gt;&lt;li&gt;&lt;a href=|http://sco.biblecommenter.com/1_kings/20.htm| title=|Scofield Reference Notes| target=|_top|&gt;SCO&lt;/a&gt;</v>
      </c>
      <c r="AI311" s="2" t="str">
        <f t="shared" si="1242"/>
        <v>&lt;/li&gt;&lt;li&gt;&lt;a href=|http://wes.biblecommenter.com/1_kings/20.htm| title=|Wesley's Notes on the Bible| target=|_top|&gt;WES&lt;/a&gt;</v>
      </c>
      <c r="AJ311" t="str">
        <f t="shared" si="1242"/>
        <v>&lt;/li&gt;&lt;li&gt;&lt;a href=|http://worldebible.com/1_kings/20.htm| title=|World English Bible| target=|_top|&gt;WEB&lt;/a&gt;</v>
      </c>
      <c r="AK311" t="str">
        <f t="shared" si="1242"/>
        <v>&lt;/li&gt;&lt;li&gt;&lt;a href=|http://yltbible.com/1_kings/20.htm| title=|Young's Literal Translation| target=|_top|&gt;YLT&lt;/a&gt;</v>
      </c>
      <c r="AL311" t="str">
        <f>CONCATENATE("&lt;a href=|http://",AL1191,"/1_kings/20.htm","| ","title=|",AL1190,"| target=|_top|&gt;",AL1192,"&lt;/a&gt;")</f>
        <v>&lt;a href=|http://kjv.us/1_kings/20.htm| title=|American King James Version| target=|_top|&gt;AKJ&lt;/a&gt;</v>
      </c>
      <c r="AM311" t="str">
        <f t="shared" ref="AM311:AN311" si="1243">CONCATENATE("&lt;/li&gt;&lt;li&gt;&lt;a href=|http://",AM1191,"/1_kings/20.htm","| ","title=|",AM1190,"| target=|_top|&gt;",AM1192,"&lt;/a&gt;")</f>
        <v>&lt;/li&gt;&lt;li&gt;&lt;a href=|http://basicenglishbible.com/1_kings/20.htm| title=|Bible in Basic English| target=|_top|&gt;BBE&lt;/a&gt;</v>
      </c>
      <c r="AN311" t="str">
        <f t="shared" si="1243"/>
        <v>&lt;/li&gt;&lt;li&gt;&lt;a href=|http://darbybible.com/1_kings/20.htm| title=|Darby Bible Translation| target=|_top|&gt;DBY&lt;/a&gt;</v>
      </c>
      <c r="AO31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1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1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11" t="str">
        <f>CONCATENATE("&lt;/li&gt;&lt;li&gt;&lt;a href=|http://",AR1191,"/1_kings/20.htm","| ","title=|",AR1190,"| target=|_top|&gt;",AR1192,"&lt;/a&gt;")</f>
        <v>&lt;/li&gt;&lt;li&gt;&lt;a href=|http://websterbible.com/1_kings/20.htm| title=|Webster's Bible Translation| target=|_top|&gt;WBS&lt;/a&gt;</v>
      </c>
      <c r="AS31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11" t="str">
        <f>CONCATENATE("&lt;/li&gt;&lt;li&gt;&lt;a href=|http://",AT1191,"/1_kings/20-1.htm","| ","title=|",AT1190,"| target=|_top|&gt;",AT1192,"&lt;/a&gt;")</f>
        <v>&lt;/li&gt;&lt;li&gt;&lt;a href=|http://biblebrowser.com/1_kings/20-1.htm| title=|Split View| target=|_top|&gt;Split&lt;/a&gt;</v>
      </c>
      <c r="AU311" s="2" t="s">
        <v>1276</v>
      </c>
      <c r="AV311" t="s">
        <v>64</v>
      </c>
    </row>
    <row r="312" spans="1:48">
      <c r="A312" t="s">
        <v>622</v>
      </c>
      <c r="B312" t="s">
        <v>365</v>
      </c>
      <c r="C312" t="s">
        <v>624</v>
      </c>
      <c r="D312" t="s">
        <v>1268</v>
      </c>
      <c r="E312" t="s">
        <v>1277</v>
      </c>
      <c r="F312" t="s">
        <v>1304</v>
      </c>
      <c r="G312" t="s">
        <v>1266</v>
      </c>
      <c r="H312" t="s">
        <v>1305</v>
      </c>
      <c r="I312" t="s">
        <v>1303</v>
      </c>
      <c r="J312" t="s">
        <v>1267</v>
      </c>
      <c r="K312" t="s">
        <v>1275</v>
      </c>
      <c r="L312" s="2" t="s">
        <v>1274</v>
      </c>
      <c r="M312" t="str">
        <f t="shared" ref="M312:AB312" si="1244">CONCATENATE("&lt;/li&gt;&lt;li&gt;&lt;a href=|http://",M1191,"/1_kings/21.htm","| ","title=|",M1190,"| target=|_top|&gt;",M1192,"&lt;/a&gt;")</f>
        <v>&lt;/li&gt;&lt;li&gt;&lt;a href=|http://niv.scripturetext.com/1_kings/21.htm| title=|New International Version| target=|_top|&gt;NIV&lt;/a&gt;</v>
      </c>
      <c r="N312" t="str">
        <f t="shared" si="1244"/>
        <v>&lt;/li&gt;&lt;li&gt;&lt;a href=|http://nlt.scripturetext.com/1_kings/21.htm| title=|New Living Translation| target=|_top|&gt;NLT&lt;/a&gt;</v>
      </c>
      <c r="O312" t="str">
        <f t="shared" si="1244"/>
        <v>&lt;/li&gt;&lt;li&gt;&lt;a href=|http://nasb.scripturetext.com/1_kings/21.htm| title=|New American Standard Bible| target=|_top|&gt;NAS&lt;/a&gt;</v>
      </c>
      <c r="P312" t="str">
        <f t="shared" si="1244"/>
        <v>&lt;/li&gt;&lt;li&gt;&lt;a href=|http://gwt.scripturetext.com/1_kings/21.htm| title=|God's Word Translation| target=|_top|&gt;GWT&lt;/a&gt;</v>
      </c>
      <c r="Q312" t="str">
        <f t="shared" si="1244"/>
        <v>&lt;/li&gt;&lt;li&gt;&lt;a href=|http://kingjbible.com/1_kings/21.htm| title=|King James Bible| target=|_top|&gt;KJV&lt;/a&gt;</v>
      </c>
      <c r="R312" t="str">
        <f t="shared" si="1244"/>
        <v>&lt;/li&gt;&lt;li&gt;&lt;a href=|http://asvbible.com/1_kings/21.htm| title=|American Standard Version| target=|_top|&gt;ASV&lt;/a&gt;</v>
      </c>
      <c r="S312" t="str">
        <f t="shared" si="1244"/>
        <v>&lt;/li&gt;&lt;li&gt;&lt;a href=|http://drb.scripturetext.com/1_kings/21.htm| title=|Douay-Rheims Bible| target=|_top|&gt;DRB&lt;/a&gt;</v>
      </c>
      <c r="T312" t="str">
        <f t="shared" si="1244"/>
        <v>&lt;/li&gt;&lt;li&gt;&lt;a href=|http://erv.scripturetext.com/1_kings/21.htm| title=|English Revised Version| target=|_top|&gt;ERV&lt;/a&gt;</v>
      </c>
      <c r="V312" t="str">
        <f>CONCATENATE("&lt;/li&gt;&lt;li&gt;&lt;a href=|http://",V1191,"/1_kings/21.htm","| ","title=|",V1190,"| target=|_top|&gt;",V1192,"&lt;/a&gt;")</f>
        <v>&lt;/li&gt;&lt;li&gt;&lt;a href=|http://study.interlinearbible.org/1_kings/21.htm| title=|Hebrew Study Bible| target=|_top|&gt;Heb Study&lt;/a&gt;</v>
      </c>
      <c r="W312" t="str">
        <f t="shared" si="1244"/>
        <v>&lt;/li&gt;&lt;li&gt;&lt;a href=|http://apostolic.interlinearbible.org/1_kings/21.htm| title=|Apostolic Bible Polyglot Interlinear| target=|_top|&gt;Polyglot&lt;/a&gt;</v>
      </c>
      <c r="X312" t="str">
        <f t="shared" si="1244"/>
        <v>&lt;/li&gt;&lt;li&gt;&lt;a href=|http://interlinearbible.org/1_kings/21.htm| title=|Interlinear Bible| target=|_top|&gt;Interlin&lt;/a&gt;</v>
      </c>
      <c r="Y312" t="str">
        <f t="shared" ref="Y312" si="1245">CONCATENATE("&lt;/li&gt;&lt;li&gt;&lt;a href=|http://",Y1191,"/1_kings/21.htm","| ","title=|",Y1190,"| target=|_top|&gt;",Y1192,"&lt;/a&gt;")</f>
        <v>&lt;/li&gt;&lt;li&gt;&lt;a href=|http://bibleoutline.org/1_kings/21.htm| title=|Outline with People and Places List| target=|_top|&gt;Outline&lt;/a&gt;</v>
      </c>
      <c r="Z312" t="str">
        <f t="shared" si="1244"/>
        <v>&lt;/li&gt;&lt;li&gt;&lt;a href=|http://kjvs.scripturetext.com/1_kings/21.htm| title=|King James Bible with Strong's Numbers| target=|_top|&gt;Strong's&lt;/a&gt;</v>
      </c>
      <c r="AA312" t="str">
        <f t="shared" si="1244"/>
        <v>&lt;/li&gt;&lt;li&gt;&lt;a href=|http://childrensbibleonline.com/1_kings/21.htm| title=|The Children's Bible| target=|_top|&gt;Children's&lt;/a&gt;</v>
      </c>
      <c r="AB312" s="2" t="str">
        <f t="shared" si="1244"/>
        <v>&lt;/li&gt;&lt;li&gt;&lt;a href=|http://tsk.scripturetext.com/1_kings/21.htm| title=|Treasury of Scripture Knowledge| target=|_top|&gt;TSK&lt;/a&gt;</v>
      </c>
      <c r="AC312" t="str">
        <f>CONCATENATE("&lt;a href=|http://",AC1191,"/1_kings/21.htm","| ","title=|",AC1190,"| target=|_top|&gt;",AC1192,"&lt;/a&gt;")</f>
        <v>&lt;a href=|http://parallelbible.com/1_kings/21.htm| title=|Parallel Chapters| target=|_top|&gt;PAR&lt;/a&gt;</v>
      </c>
      <c r="AD312" s="2" t="str">
        <f t="shared" ref="AD312:AK312" si="1246">CONCATENATE("&lt;/li&gt;&lt;li&gt;&lt;a href=|http://",AD1191,"/1_kings/21.htm","| ","title=|",AD1190,"| target=|_top|&gt;",AD1192,"&lt;/a&gt;")</f>
        <v>&lt;/li&gt;&lt;li&gt;&lt;a href=|http://gsb.biblecommenter.com/1_kings/21.htm| title=|Geneva Study Bible| target=|_top|&gt;GSB&lt;/a&gt;</v>
      </c>
      <c r="AE312" s="2" t="str">
        <f t="shared" si="1246"/>
        <v>&lt;/li&gt;&lt;li&gt;&lt;a href=|http://jfb.biblecommenter.com/1_kings/21.htm| title=|Jamieson-Fausset-Brown Bible Commentary| target=|_top|&gt;JFB&lt;/a&gt;</v>
      </c>
      <c r="AF312" s="2" t="str">
        <f t="shared" si="1246"/>
        <v>&lt;/li&gt;&lt;li&gt;&lt;a href=|http://kjt.biblecommenter.com/1_kings/21.htm| title=|King James Translators' Notes| target=|_top|&gt;KJT&lt;/a&gt;</v>
      </c>
      <c r="AG312" s="2" t="str">
        <f t="shared" si="1246"/>
        <v>&lt;/li&gt;&lt;li&gt;&lt;a href=|http://mhc.biblecommenter.com/1_kings/21.htm| title=|Matthew Henry's Concise Commentary| target=|_top|&gt;MHC&lt;/a&gt;</v>
      </c>
      <c r="AH312" s="2" t="str">
        <f t="shared" si="1246"/>
        <v>&lt;/li&gt;&lt;li&gt;&lt;a href=|http://sco.biblecommenter.com/1_kings/21.htm| title=|Scofield Reference Notes| target=|_top|&gt;SCO&lt;/a&gt;</v>
      </c>
      <c r="AI312" s="2" t="str">
        <f t="shared" si="1246"/>
        <v>&lt;/li&gt;&lt;li&gt;&lt;a href=|http://wes.biblecommenter.com/1_kings/21.htm| title=|Wesley's Notes on the Bible| target=|_top|&gt;WES&lt;/a&gt;</v>
      </c>
      <c r="AJ312" t="str">
        <f t="shared" si="1246"/>
        <v>&lt;/li&gt;&lt;li&gt;&lt;a href=|http://worldebible.com/1_kings/21.htm| title=|World English Bible| target=|_top|&gt;WEB&lt;/a&gt;</v>
      </c>
      <c r="AK312" t="str">
        <f t="shared" si="1246"/>
        <v>&lt;/li&gt;&lt;li&gt;&lt;a href=|http://yltbible.com/1_kings/21.htm| title=|Young's Literal Translation| target=|_top|&gt;YLT&lt;/a&gt;</v>
      </c>
      <c r="AL312" t="str">
        <f>CONCATENATE("&lt;a href=|http://",AL1191,"/1_kings/21.htm","| ","title=|",AL1190,"| target=|_top|&gt;",AL1192,"&lt;/a&gt;")</f>
        <v>&lt;a href=|http://kjv.us/1_kings/21.htm| title=|American King James Version| target=|_top|&gt;AKJ&lt;/a&gt;</v>
      </c>
      <c r="AM312" t="str">
        <f t="shared" ref="AM312:AN312" si="1247">CONCATENATE("&lt;/li&gt;&lt;li&gt;&lt;a href=|http://",AM1191,"/1_kings/21.htm","| ","title=|",AM1190,"| target=|_top|&gt;",AM1192,"&lt;/a&gt;")</f>
        <v>&lt;/li&gt;&lt;li&gt;&lt;a href=|http://basicenglishbible.com/1_kings/21.htm| title=|Bible in Basic English| target=|_top|&gt;BBE&lt;/a&gt;</v>
      </c>
      <c r="AN312" t="str">
        <f t="shared" si="1247"/>
        <v>&lt;/li&gt;&lt;li&gt;&lt;a href=|http://darbybible.com/1_kings/21.htm| title=|Darby Bible Translation| target=|_top|&gt;DBY&lt;/a&gt;</v>
      </c>
      <c r="AO31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1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1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12" t="str">
        <f>CONCATENATE("&lt;/li&gt;&lt;li&gt;&lt;a href=|http://",AR1191,"/1_kings/21.htm","| ","title=|",AR1190,"| target=|_top|&gt;",AR1192,"&lt;/a&gt;")</f>
        <v>&lt;/li&gt;&lt;li&gt;&lt;a href=|http://websterbible.com/1_kings/21.htm| title=|Webster's Bible Translation| target=|_top|&gt;WBS&lt;/a&gt;</v>
      </c>
      <c r="AS31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12" t="str">
        <f>CONCATENATE("&lt;/li&gt;&lt;li&gt;&lt;a href=|http://",AT1191,"/1_kings/21-1.htm","| ","title=|",AT1190,"| target=|_top|&gt;",AT1192,"&lt;/a&gt;")</f>
        <v>&lt;/li&gt;&lt;li&gt;&lt;a href=|http://biblebrowser.com/1_kings/21-1.htm| title=|Split View| target=|_top|&gt;Split&lt;/a&gt;</v>
      </c>
      <c r="AU312" s="2" t="s">
        <v>1276</v>
      </c>
      <c r="AV312" t="s">
        <v>64</v>
      </c>
    </row>
    <row r="313" spans="1:48">
      <c r="A313" t="s">
        <v>622</v>
      </c>
      <c r="B313" t="s">
        <v>366</v>
      </c>
      <c r="C313" t="s">
        <v>624</v>
      </c>
      <c r="D313" t="s">
        <v>1268</v>
      </c>
      <c r="E313" t="s">
        <v>1277</v>
      </c>
      <c r="F313" t="s">
        <v>1304</v>
      </c>
      <c r="G313" t="s">
        <v>1266</v>
      </c>
      <c r="H313" t="s">
        <v>1305</v>
      </c>
      <c r="I313" t="s">
        <v>1303</v>
      </c>
      <c r="J313" t="s">
        <v>1267</v>
      </c>
      <c r="K313" t="s">
        <v>1275</v>
      </c>
      <c r="L313" s="2" t="s">
        <v>1274</v>
      </c>
      <c r="M313" t="str">
        <f t="shared" ref="M313:AB313" si="1248">CONCATENATE("&lt;/li&gt;&lt;li&gt;&lt;a href=|http://",M1191,"/1_kings/22.htm","| ","title=|",M1190,"| target=|_top|&gt;",M1192,"&lt;/a&gt;")</f>
        <v>&lt;/li&gt;&lt;li&gt;&lt;a href=|http://niv.scripturetext.com/1_kings/22.htm| title=|New International Version| target=|_top|&gt;NIV&lt;/a&gt;</v>
      </c>
      <c r="N313" t="str">
        <f t="shared" si="1248"/>
        <v>&lt;/li&gt;&lt;li&gt;&lt;a href=|http://nlt.scripturetext.com/1_kings/22.htm| title=|New Living Translation| target=|_top|&gt;NLT&lt;/a&gt;</v>
      </c>
      <c r="O313" t="str">
        <f t="shared" si="1248"/>
        <v>&lt;/li&gt;&lt;li&gt;&lt;a href=|http://nasb.scripturetext.com/1_kings/22.htm| title=|New American Standard Bible| target=|_top|&gt;NAS&lt;/a&gt;</v>
      </c>
      <c r="P313" t="str">
        <f t="shared" si="1248"/>
        <v>&lt;/li&gt;&lt;li&gt;&lt;a href=|http://gwt.scripturetext.com/1_kings/22.htm| title=|God's Word Translation| target=|_top|&gt;GWT&lt;/a&gt;</v>
      </c>
      <c r="Q313" t="str">
        <f t="shared" si="1248"/>
        <v>&lt;/li&gt;&lt;li&gt;&lt;a href=|http://kingjbible.com/1_kings/22.htm| title=|King James Bible| target=|_top|&gt;KJV&lt;/a&gt;</v>
      </c>
      <c r="R313" t="str">
        <f t="shared" si="1248"/>
        <v>&lt;/li&gt;&lt;li&gt;&lt;a href=|http://asvbible.com/1_kings/22.htm| title=|American Standard Version| target=|_top|&gt;ASV&lt;/a&gt;</v>
      </c>
      <c r="S313" t="str">
        <f t="shared" si="1248"/>
        <v>&lt;/li&gt;&lt;li&gt;&lt;a href=|http://drb.scripturetext.com/1_kings/22.htm| title=|Douay-Rheims Bible| target=|_top|&gt;DRB&lt;/a&gt;</v>
      </c>
      <c r="T313" t="str">
        <f t="shared" si="1248"/>
        <v>&lt;/li&gt;&lt;li&gt;&lt;a href=|http://erv.scripturetext.com/1_kings/22.htm| title=|English Revised Version| target=|_top|&gt;ERV&lt;/a&gt;</v>
      </c>
      <c r="V313" t="str">
        <f>CONCATENATE("&lt;/li&gt;&lt;li&gt;&lt;a href=|http://",V1191,"/1_kings/22.htm","| ","title=|",V1190,"| target=|_top|&gt;",V1192,"&lt;/a&gt;")</f>
        <v>&lt;/li&gt;&lt;li&gt;&lt;a href=|http://study.interlinearbible.org/1_kings/22.htm| title=|Hebrew Study Bible| target=|_top|&gt;Heb Study&lt;/a&gt;</v>
      </c>
      <c r="W313" t="str">
        <f t="shared" si="1248"/>
        <v>&lt;/li&gt;&lt;li&gt;&lt;a href=|http://apostolic.interlinearbible.org/1_kings/22.htm| title=|Apostolic Bible Polyglot Interlinear| target=|_top|&gt;Polyglot&lt;/a&gt;</v>
      </c>
      <c r="X313" t="str">
        <f t="shared" si="1248"/>
        <v>&lt;/li&gt;&lt;li&gt;&lt;a href=|http://interlinearbible.org/1_kings/22.htm| title=|Interlinear Bible| target=|_top|&gt;Interlin&lt;/a&gt;</v>
      </c>
      <c r="Y313" t="str">
        <f t="shared" ref="Y313" si="1249">CONCATENATE("&lt;/li&gt;&lt;li&gt;&lt;a href=|http://",Y1191,"/1_kings/22.htm","| ","title=|",Y1190,"| target=|_top|&gt;",Y1192,"&lt;/a&gt;")</f>
        <v>&lt;/li&gt;&lt;li&gt;&lt;a href=|http://bibleoutline.org/1_kings/22.htm| title=|Outline with People and Places List| target=|_top|&gt;Outline&lt;/a&gt;</v>
      </c>
      <c r="Z313" t="str">
        <f t="shared" si="1248"/>
        <v>&lt;/li&gt;&lt;li&gt;&lt;a href=|http://kjvs.scripturetext.com/1_kings/22.htm| title=|King James Bible with Strong's Numbers| target=|_top|&gt;Strong's&lt;/a&gt;</v>
      </c>
      <c r="AA313" t="str">
        <f t="shared" si="1248"/>
        <v>&lt;/li&gt;&lt;li&gt;&lt;a href=|http://childrensbibleonline.com/1_kings/22.htm| title=|The Children's Bible| target=|_top|&gt;Children's&lt;/a&gt;</v>
      </c>
      <c r="AB313" s="2" t="str">
        <f t="shared" si="1248"/>
        <v>&lt;/li&gt;&lt;li&gt;&lt;a href=|http://tsk.scripturetext.com/1_kings/22.htm| title=|Treasury of Scripture Knowledge| target=|_top|&gt;TSK&lt;/a&gt;</v>
      </c>
      <c r="AC313" t="str">
        <f>CONCATENATE("&lt;a href=|http://",AC1191,"/1_kings/22.htm","| ","title=|",AC1190,"| target=|_top|&gt;",AC1192,"&lt;/a&gt;")</f>
        <v>&lt;a href=|http://parallelbible.com/1_kings/22.htm| title=|Parallel Chapters| target=|_top|&gt;PAR&lt;/a&gt;</v>
      </c>
      <c r="AD313" s="2" t="str">
        <f t="shared" ref="AD313:AK313" si="1250">CONCATENATE("&lt;/li&gt;&lt;li&gt;&lt;a href=|http://",AD1191,"/1_kings/22.htm","| ","title=|",AD1190,"| target=|_top|&gt;",AD1192,"&lt;/a&gt;")</f>
        <v>&lt;/li&gt;&lt;li&gt;&lt;a href=|http://gsb.biblecommenter.com/1_kings/22.htm| title=|Geneva Study Bible| target=|_top|&gt;GSB&lt;/a&gt;</v>
      </c>
      <c r="AE313" s="2" t="str">
        <f t="shared" si="1250"/>
        <v>&lt;/li&gt;&lt;li&gt;&lt;a href=|http://jfb.biblecommenter.com/1_kings/22.htm| title=|Jamieson-Fausset-Brown Bible Commentary| target=|_top|&gt;JFB&lt;/a&gt;</v>
      </c>
      <c r="AF313" s="2" t="str">
        <f t="shared" si="1250"/>
        <v>&lt;/li&gt;&lt;li&gt;&lt;a href=|http://kjt.biblecommenter.com/1_kings/22.htm| title=|King James Translators' Notes| target=|_top|&gt;KJT&lt;/a&gt;</v>
      </c>
      <c r="AG313" s="2" t="str">
        <f t="shared" si="1250"/>
        <v>&lt;/li&gt;&lt;li&gt;&lt;a href=|http://mhc.biblecommenter.com/1_kings/22.htm| title=|Matthew Henry's Concise Commentary| target=|_top|&gt;MHC&lt;/a&gt;</v>
      </c>
      <c r="AH313" s="2" t="str">
        <f t="shared" si="1250"/>
        <v>&lt;/li&gt;&lt;li&gt;&lt;a href=|http://sco.biblecommenter.com/1_kings/22.htm| title=|Scofield Reference Notes| target=|_top|&gt;SCO&lt;/a&gt;</v>
      </c>
      <c r="AI313" s="2" t="str">
        <f t="shared" si="1250"/>
        <v>&lt;/li&gt;&lt;li&gt;&lt;a href=|http://wes.biblecommenter.com/1_kings/22.htm| title=|Wesley's Notes on the Bible| target=|_top|&gt;WES&lt;/a&gt;</v>
      </c>
      <c r="AJ313" t="str">
        <f t="shared" si="1250"/>
        <v>&lt;/li&gt;&lt;li&gt;&lt;a href=|http://worldebible.com/1_kings/22.htm| title=|World English Bible| target=|_top|&gt;WEB&lt;/a&gt;</v>
      </c>
      <c r="AK313" t="str">
        <f t="shared" si="1250"/>
        <v>&lt;/li&gt;&lt;li&gt;&lt;a href=|http://yltbible.com/1_kings/22.htm| title=|Young's Literal Translation| target=|_top|&gt;YLT&lt;/a&gt;</v>
      </c>
      <c r="AL313" t="str">
        <f>CONCATENATE("&lt;a href=|http://",AL1191,"/1_kings/22.htm","| ","title=|",AL1190,"| target=|_top|&gt;",AL1192,"&lt;/a&gt;")</f>
        <v>&lt;a href=|http://kjv.us/1_kings/22.htm| title=|American King James Version| target=|_top|&gt;AKJ&lt;/a&gt;</v>
      </c>
      <c r="AM313" t="str">
        <f t="shared" ref="AM313:AN313" si="1251">CONCATENATE("&lt;/li&gt;&lt;li&gt;&lt;a href=|http://",AM1191,"/1_kings/22.htm","| ","title=|",AM1190,"| target=|_top|&gt;",AM1192,"&lt;/a&gt;")</f>
        <v>&lt;/li&gt;&lt;li&gt;&lt;a href=|http://basicenglishbible.com/1_kings/22.htm| title=|Bible in Basic English| target=|_top|&gt;BBE&lt;/a&gt;</v>
      </c>
      <c r="AN313" t="str">
        <f t="shared" si="1251"/>
        <v>&lt;/li&gt;&lt;li&gt;&lt;a href=|http://darbybible.com/1_kings/22.htm| title=|Darby Bible Translation| target=|_top|&gt;DBY&lt;/a&gt;</v>
      </c>
      <c r="AO31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1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1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13" t="str">
        <f>CONCATENATE("&lt;/li&gt;&lt;li&gt;&lt;a href=|http://",AR1191,"/1_kings/22.htm","| ","title=|",AR1190,"| target=|_top|&gt;",AR1192,"&lt;/a&gt;")</f>
        <v>&lt;/li&gt;&lt;li&gt;&lt;a href=|http://websterbible.com/1_kings/22.htm| title=|Webster's Bible Translation| target=|_top|&gt;WBS&lt;/a&gt;</v>
      </c>
      <c r="AS31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13" t="str">
        <f>CONCATENATE("&lt;/li&gt;&lt;li&gt;&lt;a href=|http://",AT1191,"/1_kings/22-1.htm","| ","title=|",AT1190,"| target=|_top|&gt;",AT1192,"&lt;/a&gt;")</f>
        <v>&lt;/li&gt;&lt;li&gt;&lt;a href=|http://biblebrowser.com/1_kings/22-1.htm| title=|Split View| target=|_top|&gt;Split&lt;/a&gt;</v>
      </c>
      <c r="AU313" s="2" t="s">
        <v>1276</v>
      </c>
      <c r="AV313" t="s">
        <v>64</v>
      </c>
    </row>
    <row r="314" spans="1:48">
      <c r="A314" t="s">
        <v>622</v>
      </c>
      <c r="B314" t="s">
        <v>367</v>
      </c>
      <c r="C314" t="s">
        <v>624</v>
      </c>
      <c r="D314" t="s">
        <v>1268</v>
      </c>
      <c r="E314" t="s">
        <v>1277</v>
      </c>
      <c r="F314" t="s">
        <v>1304</v>
      </c>
      <c r="G314" t="s">
        <v>1266</v>
      </c>
      <c r="H314" t="s">
        <v>1305</v>
      </c>
      <c r="I314" t="s">
        <v>1303</v>
      </c>
      <c r="J314" t="s">
        <v>1267</v>
      </c>
      <c r="K314" t="s">
        <v>1275</v>
      </c>
      <c r="L314" s="2" t="s">
        <v>1274</v>
      </c>
      <c r="M314" t="str">
        <f t="shared" ref="M314:AB314" si="1252">CONCATENATE("&lt;/li&gt;&lt;li&gt;&lt;a href=|http://",M1191,"/2_kings/1.htm","| ","title=|",M1190,"| target=|_top|&gt;",M1192,"&lt;/a&gt;")</f>
        <v>&lt;/li&gt;&lt;li&gt;&lt;a href=|http://niv.scripturetext.com/2_kings/1.htm| title=|New International Version| target=|_top|&gt;NIV&lt;/a&gt;</v>
      </c>
      <c r="N314" t="str">
        <f t="shared" si="1252"/>
        <v>&lt;/li&gt;&lt;li&gt;&lt;a href=|http://nlt.scripturetext.com/2_kings/1.htm| title=|New Living Translation| target=|_top|&gt;NLT&lt;/a&gt;</v>
      </c>
      <c r="O314" t="str">
        <f t="shared" si="1252"/>
        <v>&lt;/li&gt;&lt;li&gt;&lt;a href=|http://nasb.scripturetext.com/2_kings/1.htm| title=|New American Standard Bible| target=|_top|&gt;NAS&lt;/a&gt;</v>
      </c>
      <c r="P314" t="str">
        <f t="shared" si="1252"/>
        <v>&lt;/li&gt;&lt;li&gt;&lt;a href=|http://gwt.scripturetext.com/2_kings/1.htm| title=|God's Word Translation| target=|_top|&gt;GWT&lt;/a&gt;</v>
      </c>
      <c r="Q314" t="str">
        <f t="shared" si="1252"/>
        <v>&lt;/li&gt;&lt;li&gt;&lt;a href=|http://kingjbible.com/2_kings/1.htm| title=|King James Bible| target=|_top|&gt;KJV&lt;/a&gt;</v>
      </c>
      <c r="R314" t="str">
        <f t="shared" si="1252"/>
        <v>&lt;/li&gt;&lt;li&gt;&lt;a href=|http://asvbible.com/2_kings/1.htm| title=|American Standard Version| target=|_top|&gt;ASV&lt;/a&gt;</v>
      </c>
      <c r="S314" t="str">
        <f t="shared" si="1252"/>
        <v>&lt;/li&gt;&lt;li&gt;&lt;a href=|http://drb.scripturetext.com/2_kings/1.htm| title=|Douay-Rheims Bible| target=|_top|&gt;DRB&lt;/a&gt;</v>
      </c>
      <c r="T314" t="str">
        <f t="shared" si="1252"/>
        <v>&lt;/li&gt;&lt;li&gt;&lt;a href=|http://erv.scripturetext.com/2_kings/1.htm| title=|English Revised Version| target=|_top|&gt;ERV&lt;/a&gt;</v>
      </c>
      <c r="V314" t="str">
        <f>CONCATENATE("&lt;/li&gt;&lt;li&gt;&lt;a href=|http://",V1191,"/2_kings/1.htm","| ","title=|",V1190,"| target=|_top|&gt;",V1192,"&lt;/a&gt;")</f>
        <v>&lt;/li&gt;&lt;li&gt;&lt;a href=|http://study.interlinearbible.org/2_kings/1.htm| title=|Hebrew Study Bible| target=|_top|&gt;Heb Study&lt;/a&gt;</v>
      </c>
      <c r="W314" t="str">
        <f t="shared" si="1252"/>
        <v>&lt;/li&gt;&lt;li&gt;&lt;a href=|http://apostolic.interlinearbible.org/2_kings/1.htm| title=|Apostolic Bible Polyglot Interlinear| target=|_top|&gt;Polyglot&lt;/a&gt;</v>
      </c>
      <c r="X314" t="str">
        <f t="shared" si="1252"/>
        <v>&lt;/li&gt;&lt;li&gt;&lt;a href=|http://interlinearbible.org/2_kings/1.htm| title=|Interlinear Bible| target=|_top|&gt;Interlin&lt;/a&gt;</v>
      </c>
      <c r="Y314" t="str">
        <f t="shared" ref="Y314" si="1253">CONCATENATE("&lt;/li&gt;&lt;li&gt;&lt;a href=|http://",Y1191,"/2_kings/1.htm","| ","title=|",Y1190,"| target=|_top|&gt;",Y1192,"&lt;/a&gt;")</f>
        <v>&lt;/li&gt;&lt;li&gt;&lt;a href=|http://bibleoutline.org/2_kings/1.htm| title=|Outline with People and Places List| target=|_top|&gt;Outline&lt;/a&gt;</v>
      </c>
      <c r="Z314" t="str">
        <f t="shared" si="1252"/>
        <v>&lt;/li&gt;&lt;li&gt;&lt;a href=|http://kjvs.scripturetext.com/2_kings/1.htm| title=|King James Bible with Strong's Numbers| target=|_top|&gt;Strong's&lt;/a&gt;</v>
      </c>
      <c r="AA314" t="str">
        <f t="shared" si="1252"/>
        <v>&lt;/li&gt;&lt;li&gt;&lt;a href=|http://childrensbibleonline.com/2_kings/1.htm| title=|The Children's Bible| target=|_top|&gt;Children's&lt;/a&gt;</v>
      </c>
      <c r="AB314" s="2" t="str">
        <f t="shared" si="1252"/>
        <v>&lt;/li&gt;&lt;li&gt;&lt;a href=|http://tsk.scripturetext.com/2_kings/1.htm| title=|Treasury of Scripture Knowledge| target=|_top|&gt;TSK&lt;/a&gt;</v>
      </c>
      <c r="AC314" t="str">
        <f>CONCATENATE("&lt;a href=|http://",AC1191,"/2_kings/1.htm","| ","title=|",AC1190,"| target=|_top|&gt;",AC1192,"&lt;/a&gt;")</f>
        <v>&lt;a href=|http://parallelbible.com/2_kings/1.htm| title=|Parallel Chapters| target=|_top|&gt;PAR&lt;/a&gt;</v>
      </c>
      <c r="AD314" s="2" t="str">
        <f t="shared" ref="AD314:AK314" si="1254">CONCATENATE("&lt;/li&gt;&lt;li&gt;&lt;a href=|http://",AD1191,"/2_kings/1.htm","| ","title=|",AD1190,"| target=|_top|&gt;",AD1192,"&lt;/a&gt;")</f>
        <v>&lt;/li&gt;&lt;li&gt;&lt;a href=|http://gsb.biblecommenter.com/2_kings/1.htm| title=|Geneva Study Bible| target=|_top|&gt;GSB&lt;/a&gt;</v>
      </c>
      <c r="AE314" s="2" t="str">
        <f t="shared" si="1254"/>
        <v>&lt;/li&gt;&lt;li&gt;&lt;a href=|http://jfb.biblecommenter.com/2_kings/1.htm| title=|Jamieson-Fausset-Brown Bible Commentary| target=|_top|&gt;JFB&lt;/a&gt;</v>
      </c>
      <c r="AF314" s="2" t="str">
        <f t="shared" si="1254"/>
        <v>&lt;/li&gt;&lt;li&gt;&lt;a href=|http://kjt.biblecommenter.com/2_kings/1.htm| title=|King James Translators' Notes| target=|_top|&gt;KJT&lt;/a&gt;</v>
      </c>
      <c r="AG314" s="2" t="str">
        <f t="shared" si="1254"/>
        <v>&lt;/li&gt;&lt;li&gt;&lt;a href=|http://mhc.biblecommenter.com/2_kings/1.htm| title=|Matthew Henry's Concise Commentary| target=|_top|&gt;MHC&lt;/a&gt;</v>
      </c>
      <c r="AH314" s="2" t="str">
        <f t="shared" si="1254"/>
        <v>&lt;/li&gt;&lt;li&gt;&lt;a href=|http://sco.biblecommenter.com/2_kings/1.htm| title=|Scofield Reference Notes| target=|_top|&gt;SCO&lt;/a&gt;</v>
      </c>
      <c r="AI314" s="2" t="str">
        <f t="shared" si="1254"/>
        <v>&lt;/li&gt;&lt;li&gt;&lt;a href=|http://wes.biblecommenter.com/2_kings/1.htm| title=|Wesley's Notes on the Bible| target=|_top|&gt;WES&lt;/a&gt;</v>
      </c>
      <c r="AJ314" t="str">
        <f t="shared" si="1254"/>
        <v>&lt;/li&gt;&lt;li&gt;&lt;a href=|http://worldebible.com/2_kings/1.htm| title=|World English Bible| target=|_top|&gt;WEB&lt;/a&gt;</v>
      </c>
      <c r="AK314" t="str">
        <f t="shared" si="1254"/>
        <v>&lt;/li&gt;&lt;li&gt;&lt;a href=|http://yltbible.com/2_kings/1.htm| title=|Young's Literal Translation| target=|_top|&gt;YLT&lt;/a&gt;</v>
      </c>
      <c r="AL314" t="str">
        <f>CONCATENATE("&lt;a href=|http://",AL1191,"/2_kings/1.htm","| ","title=|",AL1190,"| target=|_top|&gt;",AL1192,"&lt;/a&gt;")</f>
        <v>&lt;a href=|http://kjv.us/2_kings/1.htm| title=|American King James Version| target=|_top|&gt;AKJ&lt;/a&gt;</v>
      </c>
      <c r="AM314" t="str">
        <f t="shared" ref="AM314:AN314" si="1255">CONCATENATE("&lt;/li&gt;&lt;li&gt;&lt;a href=|http://",AM1191,"/2_kings/1.htm","| ","title=|",AM1190,"| target=|_top|&gt;",AM1192,"&lt;/a&gt;")</f>
        <v>&lt;/li&gt;&lt;li&gt;&lt;a href=|http://basicenglishbible.com/2_kings/1.htm| title=|Bible in Basic English| target=|_top|&gt;BBE&lt;/a&gt;</v>
      </c>
      <c r="AN314" t="str">
        <f t="shared" si="1255"/>
        <v>&lt;/li&gt;&lt;li&gt;&lt;a href=|http://darbybible.com/2_kings/1.htm| title=|Darby Bible Translation| target=|_top|&gt;DBY&lt;/a&gt;</v>
      </c>
      <c r="AO31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1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1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14" t="str">
        <f>CONCATENATE("&lt;/li&gt;&lt;li&gt;&lt;a href=|http://",AR1191,"/2_kings/1.htm","| ","title=|",AR1190,"| target=|_top|&gt;",AR1192,"&lt;/a&gt;")</f>
        <v>&lt;/li&gt;&lt;li&gt;&lt;a href=|http://websterbible.com/2_kings/1.htm| title=|Webster's Bible Translation| target=|_top|&gt;WBS&lt;/a&gt;</v>
      </c>
      <c r="AS31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14" t="str">
        <f>CONCATENATE("&lt;/li&gt;&lt;li&gt;&lt;a href=|http://",AT1191,"/2_kings/1-1.htm","| ","title=|",AT1190,"| target=|_top|&gt;",AT1192,"&lt;/a&gt;")</f>
        <v>&lt;/li&gt;&lt;li&gt;&lt;a href=|http://biblebrowser.com/2_kings/1-1.htm| title=|Split View| target=|_top|&gt;Split&lt;/a&gt;</v>
      </c>
      <c r="AU314" s="2" t="s">
        <v>1276</v>
      </c>
      <c r="AV314" t="s">
        <v>64</v>
      </c>
    </row>
    <row r="315" spans="1:48">
      <c r="A315" t="s">
        <v>622</v>
      </c>
      <c r="B315" t="s">
        <v>368</v>
      </c>
      <c r="C315" t="s">
        <v>624</v>
      </c>
      <c r="D315" t="s">
        <v>1268</v>
      </c>
      <c r="E315" t="s">
        <v>1277</v>
      </c>
      <c r="F315" t="s">
        <v>1304</v>
      </c>
      <c r="G315" t="s">
        <v>1266</v>
      </c>
      <c r="H315" t="s">
        <v>1305</v>
      </c>
      <c r="I315" t="s">
        <v>1303</v>
      </c>
      <c r="J315" t="s">
        <v>1267</v>
      </c>
      <c r="K315" t="s">
        <v>1275</v>
      </c>
      <c r="L315" s="2" t="s">
        <v>1274</v>
      </c>
      <c r="M315" t="str">
        <f t="shared" ref="M315:AB315" si="1256">CONCATENATE("&lt;/li&gt;&lt;li&gt;&lt;a href=|http://",M1191,"/2_kings/2.htm","| ","title=|",M1190,"| target=|_top|&gt;",M1192,"&lt;/a&gt;")</f>
        <v>&lt;/li&gt;&lt;li&gt;&lt;a href=|http://niv.scripturetext.com/2_kings/2.htm| title=|New International Version| target=|_top|&gt;NIV&lt;/a&gt;</v>
      </c>
      <c r="N315" t="str">
        <f t="shared" si="1256"/>
        <v>&lt;/li&gt;&lt;li&gt;&lt;a href=|http://nlt.scripturetext.com/2_kings/2.htm| title=|New Living Translation| target=|_top|&gt;NLT&lt;/a&gt;</v>
      </c>
      <c r="O315" t="str">
        <f t="shared" si="1256"/>
        <v>&lt;/li&gt;&lt;li&gt;&lt;a href=|http://nasb.scripturetext.com/2_kings/2.htm| title=|New American Standard Bible| target=|_top|&gt;NAS&lt;/a&gt;</v>
      </c>
      <c r="P315" t="str">
        <f t="shared" si="1256"/>
        <v>&lt;/li&gt;&lt;li&gt;&lt;a href=|http://gwt.scripturetext.com/2_kings/2.htm| title=|God's Word Translation| target=|_top|&gt;GWT&lt;/a&gt;</v>
      </c>
      <c r="Q315" t="str">
        <f t="shared" si="1256"/>
        <v>&lt;/li&gt;&lt;li&gt;&lt;a href=|http://kingjbible.com/2_kings/2.htm| title=|King James Bible| target=|_top|&gt;KJV&lt;/a&gt;</v>
      </c>
      <c r="R315" t="str">
        <f t="shared" si="1256"/>
        <v>&lt;/li&gt;&lt;li&gt;&lt;a href=|http://asvbible.com/2_kings/2.htm| title=|American Standard Version| target=|_top|&gt;ASV&lt;/a&gt;</v>
      </c>
      <c r="S315" t="str">
        <f t="shared" si="1256"/>
        <v>&lt;/li&gt;&lt;li&gt;&lt;a href=|http://drb.scripturetext.com/2_kings/2.htm| title=|Douay-Rheims Bible| target=|_top|&gt;DRB&lt;/a&gt;</v>
      </c>
      <c r="T315" t="str">
        <f t="shared" si="1256"/>
        <v>&lt;/li&gt;&lt;li&gt;&lt;a href=|http://erv.scripturetext.com/2_kings/2.htm| title=|English Revised Version| target=|_top|&gt;ERV&lt;/a&gt;</v>
      </c>
      <c r="V315" t="str">
        <f>CONCATENATE("&lt;/li&gt;&lt;li&gt;&lt;a href=|http://",V1191,"/2_kings/2.htm","| ","title=|",V1190,"| target=|_top|&gt;",V1192,"&lt;/a&gt;")</f>
        <v>&lt;/li&gt;&lt;li&gt;&lt;a href=|http://study.interlinearbible.org/2_kings/2.htm| title=|Hebrew Study Bible| target=|_top|&gt;Heb Study&lt;/a&gt;</v>
      </c>
      <c r="W315" t="str">
        <f t="shared" si="1256"/>
        <v>&lt;/li&gt;&lt;li&gt;&lt;a href=|http://apostolic.interlinearbible.org/2_kings/2.htm| title=|Apostolic Bible Polyglot Interlinear| target=|_top|&gt;Polyglot&lt;/a&gt;</v>
      </c>
      <c r="X315" t="str">
        <f t="shared" si="1256"/>
        <v>&lt;/li&gt;&lt;li&gt;&lt;a href=|http://interlinearbible.org/2_kings/2.htm| title=|Interlinear Bible| target=|_top|&gt;Interlin&lt;/a&gt;</v>
      </c>
      <c r="Y315" t="str">
        <f t="shared" ref="Y315" si="1257">CONCATENATE("&lt;/li&gt;&lt;li&gt;&lt;a href=|http://",Y1191,"/2_kings/2.htm","| ","title=|",Y1190,"| target=|_top|&gt;",Y1192,"&lt;/a&gt;")</f>
        <v>&lt;/li&gt;&lt;li&gt;&lt;a href=|http://bibleoutline.org/2_kings/2.htm| title=|Outline with People and Places List| target=|_top|&gt;Outline&lt;/a&gt;</v>
      </c>
      <c r="Z315" t="str">
        <f t="shared" si="1256"/>
        <v>&lt;/li&gt;&lt;li&gt;&lt;a href=|http://kjvs.scripturetext.com/2_kings/2.htm| title=|King James Bible with Strong's Numbers| target=|_top|&gt;Strong's&lt;/a&gt;</v>
      </c>
      <c r="AA315" t="str">
        <f t="shared" si="1256"/>
        <v>&lt;/li&gt;&lt;li&gt;&lt;a href=|http://childrensbibleonline.com/2_kings/2.htm| title=|The Children's Bible| target=|_top|&gt;Children's&lt;/a&gt;</v>
      </c>
      <c r="AB315" s="2" t="str">
        <f t="shared" si="1256"/>
        <v>&lt;/li&gt;&lt;li&gt;&lt;a href=|http://tsk.scripturetext.com/2_kings/2.htm| title=|Treasury of Scripture Knowledge| target=|_top|&gt;TSK&lt;/a&gt;</v>
      </c>
      <c r="AC315" t="str">
        <f>CONCATENATE("&lt;a href=|http://",AC1191,"/2_kings/2.htm","| ","title=|",AC1190,"| target=|_top|&gt;",AC1192,"&lt;/a&gt;")</f>
        <v>&lt;a href=|http://parallelbible.com/2_kings/2.htm| title=|Parallel Chapters| target=|_top|&gt;PAR&lt;/a&gt;</v>
      </c>
      <c r="AD315" s="2" t="str">
        <f t="shared" ref="AD315:AK315" si="1258">CONCATENATE("&lt;/li&gt;&lt;li&gt;&lt;a href=|http://",AD1191,"/2_kings/2.htm","| ","title=|",AD1190,"| target=|_top|&gt;",AD1192,"&lt;/a&gt;")</f>
        <v>&lt;/li&gt;&lt;li&gt;&lt;a href=|http://gsb.biblecommenter.com/2_kings/2.htm| title=|Geneva Study Bible| target=|_top|&gt;GSB&lt;/a&gt;</v>
      </c>
      <c r="AE315" s="2" t="str">
        <f t="shared" si="1258"/>
        <v>&lt;/li&gt;&lt;li&gt;&lt;a href=|http://jfb.biblecommenter.com/2_kings/2.htm| title=|Jamieson-Fausset-Brown Bible Commentary| target=|_top|&gt;JFB&lt;/a&gt;</v>
      </c>
      <c r="AF315" s="2" t="str">
        <f t="shared" si="1258"/>
        <v>&lt;/li&gt;&lt;li&gt;&lt;a href=|http://kjt.biblecommenter.com/2_kings/2.htm| title=|King James Translators' Notes| target=|_top|&gt;KJT&lt;/a&gt;</v>
      </c>
      <c r="AG315" s="2" t="str">
        <f t="shared" si="1258"/>
        <v>&lt;/li&gt;&lt;li&gt;&lt;a href=|http://mhc.biblecommenter.com/2_kings/2.htm| title=|Matthew Henry's Concise Commentary| target=|_top|&gt;MHC&lt;/a&gt;</v>
      </c>
      <c r="AH315" s="2" t="str">
        <f t="shared" si="1258"/>
        <v>&lt;/li&gt;&lt;li&gt;&lt;a href=|http://sco.biblecommenter.com/2_kings/2.htm| title=|Scofield Reference Notes| target=|_top|&gt;SCO&lt;/a&gt;</v>
      </c>
      <c r="AI315" s="2" t="str">
        <f t="shared" si="1258"/>
        <v>&lt;/li&gt;&lt;li&gt;&lt;a href=|http://wes.biblecommenter.com/2_kings/2.htm| title=|Wesley's Notes on the Bible| target=|_top|&gt;WES&lt;/a&gt;</v>
      </c>
      <c r="AJ315" t="str">
        <f t="shared" si="1258"/>
        <v>&lt;/li&gt;&lt;li&gt;&lt;a href=|http://worldebible.com/2_kings/2.htm| title=|World English Bible| target=|_top|&gt;WEB&lt;/a&gt;</v>
      </c>
      <c r="AK315" t="str">
        <f t="shared" si="1258"/>
        <v>&lt;/li&gt;&lt;li&gt;&lt;a href=|http://yltbible.com/2_kings/2.htm| title=|Young's Literal Translation| target=|_top|&gt;YLT&lt;/a&gt;</v>
      </c>
      <c r="AL315" t="str">
        <f>CONCATENATE("&lt;a href=|http://",AL1191,"/2_kings/2.htm","| ","title=|",AL1190,"| target=|_top|&gt;",AL1192,"&lt;/a&gt;")</f>
        <v>&lt;a href=|http://kjv.us/2_kings/2.htm| title=|American King James Version| target=|_top|&gt;AKJ&lt;/a&gt;</v>
      </c>
      <c r="AM315" t="str">
        <f t="shared" ref="AM315:AN315" si="1259">CONCATENATE("&lt;/li&gt;&lt;li&gt;&lt;a href=|http://",AM1191,"/2_kings/2.htm","| ","title=|",AM1190,"| target=|_top|&gt;",AM1192,"&lt;/a&gt;")</f>
        <v>&lt;/li&gt;&lt;li&gt;&lt;a href=|http://basicenglishbible.com/2_kings/2.htm| title=|Bible in Basic English| target=|_top|&gt;BBE&lt;/a&gt;</v>
      </c>
      <c r="AN315" t="str">
        <f t="shared" si="1259"/>
        <v>&lt;/li&gt;&lt;li&gt;&lt;a href=|http://darbybible.com/2_kings/2.htm| title=|Darby Bible Translation| target=|_top|&gt;DBY&lt;/a&gt;</v>
      </c>
      <c r="AO31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1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1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15" t="str">
        <f>CONCATENATE("&lt;/li&gt;&lt;li&gt;&lt;a href=|http://",AR1191,"/2_kings/2.htm","| ","title=|",AR1190,"| target=|_top|&gt;",AR1192,"&lt;/a&gt;")</f>
        <v>&lt;/li&gt;&lt;li&gt;&lt;a href=|http://websterbible.com/2_kings/2.htm| title=|Webster's Bible Translation| target=|_top|&gt;WBS&lt;/a&gt;</v>
      </c>
      <c r="AS31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15" t="str">
        <f>CONCATENATE("&lt;/li&gt;&lt;li&gt;&lt;a href=|http://",AT1191,"/2_kings/2-1.htm","| ","title=|",AT1190,"| target=|_top|&gt;",AT1192,"&lt;/a&gt;")</f>
        <v>&lt;/li&gt;&lt;li&gt;&lt;a href=|http://biblebrowser.com/2_kings/2-1.htm| title=|Split View| target=|_top|&gt;Split&lt;/a&gt;</v>
      </c>
      <c r="AU315" s="2" t="s">
        <v>1276</v>
      </c>
      <c r="AV315" t="s">
        <v>64</v>
      </c>
    </row>
    <row r="316" spans="1:48">
      <c r="A316" t="s">
        <v>622</v>
      </c>
      <c r="B316" t="s">
        <v>369</v>
      </c>
      <c r="C316" t="s">
        <v>624</v>
      </c>
      <c r="D316" t="s">
        <v>1268</v>
      </c>
      <c r="E316" t="s">
        <v>1277</v>
      </c>
      <c r="F316" t="s">
        <v>1304</v>
      </c>
      <c r="G316" t="s">
        <v>1266</v>
      </c>
      <c r="H316" t="s">
        <v>1305</v>
      </c>
      <c r="I316" t="s">
        <v>1303</v>
      </c>
      <c r="J316" t="s">
        <v>1267</v>
      </c>
      <c r="K316" t="s">
        <v>1275</v>
      </c>
      <c r="L316" s="2" t="s">
        <v>1274</v>
      </c>
      <c r="M316" t="str">
        <f t="shared" ref="M316:AB316" si="1260">CONCATENATE("&lt;/li&gt;&lt;li&gt;&lt;a href=|http://",M1191,"/2_kings/3.htm","| ","title=|",M1190,"| target=|_top|&gt;",M1192,"&lt;/a&gt;")</f>
        <v>&lt;/li&gt;&lt;li&gt;&lt;a href=|http://niv.scripturetext.com/2_kings/3.htm| title=|New International Version| target=|_top|&gt;NIV&lt;/a&gt;</v>
      </c>
      <c r="N316" t="str">
        <f t="shared" si="1260"/>
        <v>&lt;/li&gt;&lt;li&gt;&lt;a href=|http://nlt.scripturetext.com/2_kings/3.htm| title=|New Living Translation| target=|_top|&gt;NLT&lt;/a&gt;</v>
      </c>
      <c r="O316" t="str">
        <f t="shared" si="1260"/>
        <v>&lt;/li&gt;&lt;li&gt;&lt;a href=|http://nasb.scripturetext.com/2_kings/3.htm| title=|New American Standard Bible| target=|_top|&gt;NAS&lt;/a&gt;</v>
      </c>
      <c r="P316" t="str">
        <f t="shared" si="1260"/>
        <v>&lt;/li&gt;&lt;li&gt;&lt;a href=|http://gwt.scripturetext.com/2_kings/3.htm| title=|God's Word Translation| target=|_top|&gt;GWT&lt;/a&gt;</v>
      </c>
      <c r="Q316" t="str">
        <f t="shared" si="1260"/>
        <v>&lt;/li&gt;&lt;li&gt;&lt;a href=|http://kingjbible.com/2_kings/3.htm| title=|King James Bible| target=|_top|&gt;KJV&lt;/a&gt;</v>
      </c>
      <c r="R316" t="str">
        <f t="shared" si="1260"/>
        <v>&lt;/li&gt;&lt;li&gt;&lt;a href=|http://asvbible.com/2_kings/3.htm| title=|American Standard Version| target=|_top|&gt;ASV&lt;/a&gt;</v>
      </c>
      <c r="S316" t="str">
        <f t="shared" si="1260"/>
        <v>&lt;/li&gt;&lt;li&gt;&lt;a href=|http://drb.scripturetext.com/2_kings/3.htm| title=|Douay-Rheims Bible| target=|_top|&gt;DRB&lt;/a&gt;</v>
      </c>
      <c r="T316" t="str">
        <f t="shared" si="1260"/>
        <v>&lt;/li&gt;&lt;li&gt;&lt;a href=|http://erv.scripturetext.com/2_kings/3.htm| title=|English Revised Version| target=|_top|&gt;ERV&lt;/a&gt;</v>
      </c>
      <c r="V316" t="str">
        <f>CONCATENATE("&lt;/li&gt;&lt;li&gt;&lt;a href=|http://",V1191,"/2_kings/3.htm","| ","title=|",V1190,"| target=|_top|&gt;",V1192,"&lt;/a&gt;")</f>
        <v>&lt;/li&gt;&lt;li&gt;&lt;a href=|http://study.interlinearbible.org/2_kings/3.htm| title=|Hebrew Study Bible| target=|_top|&gt;Heb Study&lt;/a&gt;</v>
      </c>
      <c r="W316" t="str">
        <f t="shared" si="1260"/>
        <v>&lt;/li&gt;&lt;li&gt;&lt;a href=|http://apostolic.interlinearbible.org/2_kings/3.htm| title=|Apostolic Bible Polyglot Interlinear| target=|_top|&gt;Polyglot&lt;/a&gt;</v>
      </c>
      <c r="X316" t="str">
        <f t="shared" si="1260"/>
        <v>&lt;/li&gt;&lt;li&gt;&lt;a href=|http://interlinearbible.org/2_kings/3.htm| title=|Interlinear Bible| target=|_top|&gt;Interlin&lt;/a&gt;</v>
      </c>
      <c r="Y316" t="str">
        <f t="shared" ref="Y316" si="1261">CONCATENATE("&lt;/li&gt;&lt;li&gt;&lt;a href=|http://",Y1191,"/2_kings/3.htm","| ","title=|",Y1190,"| target=|_top|&gt;",Y1192,"&lt;/a&gt;")</f>
        <v>&lt;/li&gt;&lt;li&gt;&lt;a href=|http://bibleoutline.org/2_kings/3.htm| title=|Outline with People and Places List| target=|_top|&gt;Outline&lt;/a&gt;</v>
      </c>
      <c r="Z316" t="str">
        <f t="shared" si="1260"/>
        <v>&lt;/li&gt;&lt;li&gt;&lt;a href=|http://kjvs.scripturetext.com/2_kings/3.htm| title=|King James Bible with Strong's Numbers| target=|_top|&gt;Strong's&lt;/a&gt;</v>
      </c>
      <c r="AA316" t="str">
        <f t="shared" si="1260"/>
        <v>&lt;/li&gt;&lt;li&gt;&lt;a href=|http://childrensbibleonline.com/2_kings/3.htm| title=|The Children's Bible| target=|_top|&gt;Children's&lt;/a&gt;</v>
      </c>
      <c r="AB316" s="2" t="str">
        <f t="shared" si="1260"/>
        <v>&lt;/li&gt;&lt;li&gt;&lt;a href=|http://tsk.scripturetext.com/2_kings/3.htm| title=|Treasury of Scripture Knowledge| target=|_top|&gt;TSK&lt;/a&gt;</v>
      </c>
      <c r="AC316" t="str">
        <f>CONCATENATE("&lt;a href=|http://",AC1191,"/2_kings/3.htm","| ","title=|",AC1190,"| target=|_top|&gt;",AC1192,"&lt;/a&gt;")</f>
        <v>&lt;a href=|http://parallelbible.com/2_kings/3.htm| title=|Parallel Chapters| target=|_top|&gt;PAR&lt;/a&gt;</v>
      </c>
      <c r="AD316" s="2" t="str">
        <f t="shared" ref="AD316:AK316" si="1262">CONCATENATE("&lt;/li&gt;&lt;li&gt;&lt;a href=|http://",AD1191,"/2_kings/3.htm","| ","title=|",AD1190,"| target=|_top|&gt;",AD1192,"&lt;/a&gt;")</f>
        <v>&lt;/li&gt;&lt;li&gt;&lt;a href=|http://gsb.biblecommenter.com/2_kings/3.htm| title=|Geneva Study Bible| target=|_top|&gt;GSB&lt;/a&gt;</v>
      </c>
      <c r="AE316" s="2" t="str">
        <f t="shared" si="1262"/>
        <v>&lt;/li&gt;&lt;li&gt;&lt;a href=|http://jfb.biblecommenter.com/2_kings/3.htm| title=|Jamieson-Fausset-Brown Bible Commentary| target=|_top|&gt;JFB&lt;/a&gt;</v>
      </c>
      <c r="AF316" s="2" t="str">
        <f t="shared" si="1262"/>
        <v>&lt;/li&gt;&lt;li&gt;&lt;a href=|http://kjt.biblecommenter.com/2_kings/3.htm| title=|King James Translators' Notes| target=|_top|&gt;KJT&lt;/a&gt;</v>
      </c>
      <c r="AG316" s="2" t="str">
        <f t="shared" si="1262"/>
        <v>&lt;/li&gt;&lt;li&gt;&lt;a href=|http://mhc.biblecommenter.com/2_kings/3.htm| title=|Matthew Henry's Concise Commentary| target=|_top|&gt;MHC&lt;/a&gt;</v>
      </c>
      <c r="AH316" s="2" t="str">
        <f t="shared" si="1262"/>
        <v>&lt;/li&gt;&lt;li&gt;&lt;a href=|http://sco.biblecommenter.com/2_kings/3.htm| title=|Scofield Reference Notes| target=|_top|&gt;SCO&lt;/a&gt;</v>
      </c>
      <c r="AI316" s="2" t="str">
        <f t="shared" si="1262"/>
        <v>&lt;/li&gt;&lt;li&gt;&lt;a href=|http://wes.biblecommenter.com/2_kings/3.htm| title=|Wesley's Notes on the Bible| target=|_top|&gt;WES&lt;/a&gt;</v>
      </c>
      <c r="AJ316" t="str">
        <f t="shared" si="1262"/>
        <v>&lt;/li&gt;&lt;li&gt;&lt;a href=|http://worldebible.com/2_kings/3.htm| title=|World English Bible| target=|_top|&gt;WEB&lt;/a&gt;</v>
      </c>
      <c r="AK316" t="str">
        <f t="shared" si="1262"/>
        <v>&lt;/li&gt;&lt;li&gt;&lt;a href=|http://yltbible.com/2_kings/3.htm| title=|Young's Literal Translation| target=|_top|&gt;YLT&lt;/a&gt;</v>
      </c>
      <c r="AL316" t="str">
        <f>CONCATENATE("&lt;a href=|http://",AL1191,"/2_kings/3.htm","| ","title=|",AL1190,"| target=|_top|&gt;",AL1192,"&lt;/a&gt;")</f>
        <v>&lt;a href=|http://kjv.us/2_kings/3.htm| title=|American King James Version| target=|_top|&gt;AKJ&lt;/a&gt;</v>
      </c>
      <c r="AM316" t="str">
        <f t="shared" ref="AM316:AN316" si="1263">CONCATENATE("&lt;/li&gt;&lt;li&gt;&lt;a href=|http://",AM1191,"/2_kings/3.htm","| ","title=|",AM1190,"| target=|_top|&gt;",AM1192,"&lt;/a&gt;")</f>
        <v>&lt;/li&gt;&lt;li&gt;&lt;a href=|http://basicenglishbible.com/2_kings/3.htm| title=|Bible in Basic English| target=|_top|&gt;BBE&lt;/a&gt;</v>
      </c>
      <c r="AN316" t="str">
        <f t="shared" si="1263"/>
        <v>&lt;/li&gt;&lt;li&gt;&lt;a href=|http://darbybible.com/2_kings/3.htm| title=|Darby Bible Translation| target=|_top|&gt;DBY&lt;/a&gt;</v>
      </c>
      <c r="AO31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1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1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16" t="str">
        <f>CONCATENATE("&lt;/li&gt;&lt;li&gt;&lt;a href=|http://",AR1191,"/2_kings/3.htm","| ","title=|",AR1190,"| target=|_top|&gt;",AR1192,"&lt;/a&gt;")</f>
        <v>&lt;/li&gt;&lt;li&gt;&lt;a href=|http://websterbible.com/2_kings/3.htm| title=|Webster's Bible Translation| target=|_top|&gt;WBS&lt;/a&gt;</v>
      </c>
      <c r="AS31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16" t="str">
        <f>CONCATENATE("&lt;/li&gt;&lt;li&gt;&lt;a href=|http://",AT1191,"/2_kings/3-1.htm","| ","title=|",AT1190,"| target=|_top|&gt;",AT1192,"&lt;/a&gt;")</f>
        <v>&lt;/li&gt;&lt;li&gt;&lt;a href=|http://biblebrowser.com/2_kings/3-1.htm| title=|Split View| target=|_top|&gt;Split&lt;/a&gt;</v>
      </c>
      <c r="AU316" s="2" t="s">
        <v>1276</v>
      </c>
      <c r="AV316" t="s">
        <v>64</v>
      </c>
    </row>
    <row r="317" spans="1:48">
      <c r="A317" t="s">
        <v>622</v>
      </c>
      <c r="B317" t="s">
        <v>370</v>
      </c>
      <c r="C317" t="s">
        <v>624</v>
      </c>
      <c r="D317" t="s">
        <v>1268</v>
      </c>
      <c r="E317" t="s">
        <v>1277</v>
      </c>
      <c r="F317" t="s">
        <v>1304</v>
      </c>
      <c r="G317" t="s">
        <v>1266</v>
      </c>
      <c r="H317" t="s">
        <v>1305</v>
      </c>
      <c r="I317" t="s">
        <v>1303</v>
      </c>
      <c r="J317" t="s">
        <v>1267</v>
      </c>
      <c r="K317" t="s">
        <v>1275</v>
      </c>
      <c r="L317" s="2" t="s">
        <v>1274</v>
      </c>
      <c r="M317" t="str">
        <f t="shared" ref="M317:AB317" si="1264">CONCATENATE("&lt;/li&gt;&lt;li&gt;&lt;a href=|http://",M1191,"/2_kings/4.htm","| ","title=|",M1190,"| target=|_top|&gt;",M1192,"&lt;/a&gt;")</f>
        <v>&lt;/li&gt;&lt;li&gt;&lt;a href=|http://niv.scripturetext.com/2_kings/4.htm| title=|New International Version| target=|_top|&gt;NIV&lt;/a&gt;</v>
      </c>
      <c r="N317" t="str">
        <f t="shared" si="1264"/>
        <v>&lt;/li&gt;&lt;li&gt;&lt;a href=|http://nlt.scripturetext.com/2_kings/4.htm| title=|New Living Translation| target=|_top|&gt;NLT&lt;/a&gt;</v>
      </c>
      <c r="O317" t="str">
        <f t="shared" si="1264"/>
        <v>&lt;/li&gt;&lt;li&gt;&lt;a href=|http://nasb.scripturetext.com/2_kings/4.htm| title=|New American Standard Bible| target=|_top|&gt;NAS&lt;/a&gt;</v>
      </c>
      <c r="P317" t="str">
        <f t="shared" si="1264"/>
        <v>&lt;/li&gt;&lt;li&gt;&lt;a href=|http://gwt.scripturetext.com/2_kings/4.htm| title=|God's Word Translation| target=|_top|&gt;GWT&lt;/a&gt;</v>
      </c>
      <c r="Q317" t="str">
        <f t="shared" si="1264"/>
        <v>&lt;/li&gt;&lt;li&gt;&lt;a href=|http://kingjbible.com/2_kings/4.htm| title=|King James Bible| target=|_top|&gt;KJV&lt;/a&gt;</v>
      </c>
      <c r="R317" t="str">
        <f t="shared" si="1264"/>
        <v>&lt;/li&gt;&lt;li&gt;&lt;a href=|http://asvbible.com/2_kings/4.htm| title=|American Standard Version| target=|_top|&gt;ASV&lt;/a&gt;</v>
      </c>
      <c r="S317" t="str">
        <f t="shared" si="1264"/>
        <v>&lt;/li&gt;&lt;li&gt;&lt;a href=|http://drb.scripturetext.com/2_kings/4.htm| title=|Douay-Rheims Bible| target=|_top|&gt;DRB&lt;/a&gt;</v>
      </c>
      <c r="T317" t="str">
        <f t="shared" si="1264"/>
        <v>&lt;/li&gt;&lt;li&gt;&lt;a href=|http://erv.scripturetext.com/2_kings/4.htm| title=|English Revised Version| target=|_top|&gt;ERV&lt;/a&gt;</v>
      </c>
      <c r="V317" t="str">
        <f>CONCATENATE("&lt;/li&gt;&lt;li&gt;&lt;a href=|http://",V1191,"/2_kings/4.htm","| ","title=|",V1190,"| target=|_top|&gt;",V1192,"&lt;/a&gt;")</f>
        <v>&lt;/li&gt;&lt;li&gt;&lt;a href=|http://study.interlinearbible.org/2_kings/4.htm| title=|Hebrew Study Bible| target=|_top|&gt;Heb Study&lt;/a&gt;</v>
      </c>
      <c r="W317" t="str">
        <f t="shared" si="1264"/>
        <v>&lt;/li&gt;&lt;li&gt;&lt;a href=|http://apostolic.interlinearbible.org/2_kings/4.htm| title=|Apostolic Bible Polyglot Interlinear| target=|_top|&gt;Polyglot&lt;/a&gt;</v>
      </c>
      <c r="X317" t="str">
        <f t="shared" si="1264"/>
        <v>&lt;/li&gt;&lt;li&gt;&lt;a href=|http://interlinearbible.org/2_kings/4.htm| title=|Interlinear Bible| target=|_top|&gt;Interlin&lt;/a&gt;</v>
      </c>
      <c r="Y317" t="str">
        <f t="shared" ref="Y317" si="1265">CONCATENATE("&lt;/li&gt;&lt;li&gt;&lt;a href=|http://",Y1191,"/2_kings/4.htm","| ","title=|",Y1190,"| target=|_top|&gt;",Y1192,"&lt;/a&gt;")</f>
        <v>&lt;/li&gt;&lt;li&gt;&lt;a href=|http://bibleoutline.org/2_kings/4.htm| title=|Outline with People and Places List| target=|_top|&gt;Outline&lt;/a&gt;</v>
      </c>
      <c r="Z317" t="str">
        <f t="shared" si="1264"/>
        <v>&lt;/li&gt;&lt;li&gt;&lt;a href=|http://kjvs.scripturetext.com/2_kings/4.htm| title=|King James Bible with Strong's Numbers| target=|_top|&gt;Strong's&lt;/a&gt;</v>
      </c>
      <c r="AA317" t="str">
        <f t="shared" si="1264"/>
        <v>&lt;/li&gt;&lt;li&gt;&lt;a href=|http://childrensbibleonline.com/2_kings/4.htm| title=|The Children's Bible| target=|_top|&gt;Children's&lt;/a&gt;</v>
      </c>
      <c r="AB317" s="2" t="str">
        <f t="shared" si="1264"/>
        <v>&lt;/li&gt;&lt;li&gt;&lt;a href=|http://tsk.scripturetext.com/2_kings/4.htm| title=|Treasury of Scripture Knowledge| target=|_top|&gt;TSK&lt;/a&gt;</v>
      </c>
      <c r="AC317" t="str">
        <f>CONCATENATE("&lt;a href=|http://",AC1191,"/2_kings/4.htm","| ","title=|",AC1190,"| target=|_top|&gt;",AC1192,"&lt;/a&gt;")</f>
        <v>&lt;a href=|http://parallelbible.com/2_kings/4.htm| title=|Parallel Chapters| target=|_top|&gt;PAR&lt;/a&gt;</v>
      </c>
      <c r="AD317" s="2" t="str">
        <f t="shared" ref="AD317:AK317" si="1266">CONCATENATE("&lt;/li&gt;&lt;li&gt;&lt;a href=|http://",AD1191,"/2_kings/4.htm","| ","title=|",AD1190,"| target=|_top|&gt;",AD1192,"&lt;/a&gt;")</f>
        <v>&lt;/li&gt;&lt;li&gt;&lt;a href=|http://gsb.biblecommenter.com/2_kings/4.htm| title=|Geneva Study Bible| target=|_top|&gt;GSB&lt;/a&gt;</v>
      </c>
      <c r="AE317" s="2" t="str">
        <f t="shared" si="1266"/>
        <v>&lt;/li&gt;&lt;li&gt;&lt;a href=|http://jfb.biblecommenter.com/2_kings/4.htm| title=|Jamieson-Fausset-Brown Bible Commentary| target=|_top|&gt;JFB&lt;/a&gt;</v>
      </c>
      <c r="AF317" s="2" t="str">
        <f t="shared" si="1266"/>
        <v>&lt;/li&gt;&lt;li&gt;&lt;a href=|http://kjt.biblecommenter.com/2_kings/4.htm| title=|King James Translators' Notes| target=|_top|&gt;KJT&lt;/a&gt;</v>
      </c>
      <c r="AG317" s="2" t="str">
        <f t="shared" si="1266"/>
        <v>&lt;/li&gt;&lt;li&gt;&lt;a href=|http://mhc.biblecommenter.com/2_kings/4.htm| title=|Matthew Henry's Concise Commentary| target=|_top|&gt;MHC&lt;/a&gt;</v>
      </c>
      <c r="AH317" s="2" t="str">
        <f t="shared" si="1266"/>
        <v>&lt;/li&gt;&lt;li&gt;&lt;a href=|http://sco.biblecommenter.com/2_kings/4.htm| title=|Scofield Reference Notes| target=|_top|&gt;SCO&lt;/a&gt;</v>
      </c>
      <c r="AI317" s="2" t="str">
        <f t="shared" si="1266"/>
        <v>&lt;/li&gt;&lt;li&gt;&lt;a href=|http://wes.biblecommenter.com/2_kings/4.htm| title=|Wesley's Notes on the Bible| target=|_top|&gt;WES&lt;/a&gt;</v>
      </c>
      <c r="AJ317" t="str">
        <f t="shared" si="1266"/>
        <v>&lt;/li&gt;&lt;li&gt;&lt;a href=|http://worldebible.com/2_kings/4.htm| title=|World English Bible| target=|_top|&gt;WEB&lt;/a&gt;</v>
      </c>
      <c r="AK317" t="str">
        <f t="shared" si="1266"/>
        <v>&lt;/li&gt;&lt;li&gt;&lt;a href=|http://yltbible.com/2_kings/4.htm| title=|Young's Literal Translation| target=|_top|&gt;YLT&lt;/a&gt;</v>
      </c>
      <c r="AL317" t="str">
        <f>CONCATENATE("&lt;a href=|http://",AL1191,"/2_kings/4.htm","| ","title=|",AL1190,"| target=|_top|&gt;",AL1192,"&lt;/a&gt;")</f>
        <v>&lt;a href=|http://kjv.us/2_kings/4.htm| title=|American King James Version| target=|_top|&gt;AKJ&lt;/a&gt;</v>
      </c>
      <c r="AM317" t="str">
        <f t="shared" ref="AM317:AN317" si="1267">CONCATENATE("&lt;/li&gt;&lt;li&gt;&lt;a href=|http://",AM1191,"/2_kings/4.htm","| ","title=|",AM1190,"| target=|_top|&gt;",AM1192,"&lt;/a&gt;")</f>
        <v>&lt;/li&gt;&lt;li&gt;&lt;a href=|http://basicenglishbible.com/2_kings/4.htm| title=|Bible in Basic English| target=|_top|&gt;BBE&lt;/a&gt;</v>
      </c>
      <c r="AN317" t="str">
        <f t="shared" si="1267"/>
        <v>&lt;/li&gt;&lt;li&gt;&lt;a href=|http://darbybible.com/2_kings/4.htm| title=|Darby Bible Translation| target=|_top|&gt;DBY&lt;/a&gt;</v>
      </c>
      <c r="AO31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1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1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17" t="str">
        <f>CONCATENATE("&lt;/li&gt;&lt;li&gt;&lt;a href=|http://",AR1191,"/2_kings/4.htm","| ","title=|",AR1190,"| target=|_top|&gt;",AR1192,"&lt;/a&gt;")</f>
        <v>&lt;/li&gt;&lt;li&gt;&lt;a href=|http://websterbible.com/2_kings/4.htm| title=|Webster's Bible Translation| target=|_top|&gt;WBS&lt;/a&gt;</v>
      </c>
      <c r="AS31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17" t="str">
        <f>CONCATENATE("&lt;/li&gt;&lt;li&gt;&lt;a href=|http://",AT1191,"/2_kings/4-1.htm","| ","title=|",AT1190,"| target=|_top|&gt;",AT1192,"&lt;/a&gt;")</f>
        <v>&lt;/li&gt;&lt;li&gt;&lt;a href=|http://biblebrowser.com/2_kings/4-1.htm| title=|Split View| target=|_top|&gt;Split&lt;/a&gt;</v>
      </c>
      <c r="AU317" s="2" t="s">
        <v>1276</v>
      </c>
      <c r="AV317" t="s">
        <v>64</v>
      </c>
    </row>
    <row r="318" spans="1:48">
      <c r="A318" t="s">
        <v>622</v>
      </c>
      <c r="B318" t="s">
        <v>371</v>
      </c>
      <c r="C318" t="s">
        <v>624</v>
      </c>
      <c r="D318" t="s">
        <v>1268</v>
      </c>
      <c r="E318" t="s">
        <v>1277</v>
      </c>
      <c r="F318" t="s">
        <v>1304</v>
      </c>
      <c r="G318" t="s">
        <v>1266</v>
      </c>
      <c r="H318" t="s">
        <v>1305</v>
      </c>
      <c r="I318" t="s">
        <v>1303</v>
      </c>
      <c r="J318" t="s">
        <v>1267</v>
      </c>
      <c r="K318" t="s">
        <v>1275</v>
      </c>
      <c r="L318" s="2" t="s">
        <v>1274</v>
      </c>
      <c r="M318" t="str">
        <f t="shared" ref="M318:AB318" si="1268">CONCATENATE("&lt;/li&gt;&lt;li&gt;&lt;a href=|http://",M1191,"/2_kings/5.htm","| ","title=|",M1190,"| target=|_top|&gt;",M1192,"&lt;/a&gt;")</f>
        <v>&lt;/li&gt;&lt;li&gt;&lt;a href=|http://niv.scripturetext.com/2_kings/5.htm| title=|New International Version| target=|_top|&gt;NIV&lt;/a&gt;</v>
      </c>
      <c r="N318" t="str">
        <f t="shared" si="1268"/>
        <v>&lt;/li&gt;&lt;li&gt;&lt;a href=|http://nlt.scripturetext.com/2_kings/5.htm| title=|New Living Translation| target=|_top|&gt;NLT&lt;/a&gt;</v>
      </c>
      <c r="O318" t="str">
        <f t="shared" si="1268"/>
        <v>&lt;/li&gt;&lt;li&gt;&lt;a href=|http://nasb.scripturetext.com/2_kings/5.htm| title=|New American Standard Bible| target=|_top|&gt;NAS&lt;/a&gt;</v>
      </c>
      <c r="P318" t="str">
        <f t="shared" si="1268"/>
        <v>&lt;/li&gt;&lt;li&gt;&lt;a href=|http://gwt.scripturetext.com/2_kings/5.htm| title=|God's Word Translation| target=|_top|&gt;GWT&lt;/a&gt;</v>
      </c>
      <c r="Q318" t="str">
        <f t="shared" si="1268"/>
        <v>&lt;/li&gt;&lt;li&gt;&lt;a href=|http://kingjbible.com/2_kings/5.htm| title=|King James Bible| target=|_top|&gt;KJV&lt;/a&gt;</v>
      </c>
      <c r="R318" t="str">
        <f t="shared" si="1268"/>
        <v>&lt;/li&gt;&lt;li&gt;&lt;a href=|http://asvbible.com/2_kings/5.htm| title=|American Standard Version| target=|_top|&gt;ASV&lt;/a&gt;</v>
      </c>
      <c r="S318" t="str">
        <f t="shared" si="1268"/>
        <v>&lt;/li&gt;&lt;li&gt;&lt;a href=|http://drb.scripturetext.com/2_kings/5.htm| title=|Douay-Rheims Bible| target=|_top|&gt;DRB&lt;/a&gt;</v>
      </c>
      <c r="T318" t="str">
        <f t="shared" si="1268"/>
        <v>&lt;/li&gt;&lt;li&gt;&lt;a href=|http://erv.scripturetext.com/2_kings/5.htm| title=|English Revised Version| target=|_top|&gt;ERV&lt;/a&gt;</v>
      </c>
      <c r="V318" t="str">
        <f>CONCATENATE("&lt;/li&gt;&lt;li&gt;&lt;a href=|http://",V1191,"/2_kings/5.htm","| ","title=|",V1190,"| target=|_top|&gt;",V1192,"&lt;/a&gt;")</f>
        <v>&lt;/li&gt;&lt;li&gt;&lt;a href=|http://study.interlinearbible.org/2_kings/5.htm| title=|Hebrew Study Bible| target=|_top|&gt;Heb Study&lt;/a&gt;</v>
      </c>
      <c r="W318" t="str">
        <f t="shared" si="1268"/>
        <v>&lt;/li&gt;&lt;li&gt;&lt;a href=|http://apostolic.interlinearbible.org/2_kings/5.htm| title=|Apostolic Bible Polyglot Interlinear| target=|_top|&gt;Polyglot&lt;/a&gt;</v>
      </c>
      <c r="X318" t="str">
        <f t="shared" si="1268"/>
        <v>&lt;/li&gt;&lt;li&gt;&lt;a href=|http://interlinearbible.org/2_kings/5.htm| title=|Interlinear Bible| target=|_top|&gt;Interlin&lt;/a&gt;</v>
      </c>
      <c r="Y318" t="str">
        <f t="shared" ref="Y318" si="1269">CONCATENATE("&lt;/li&gt;&lt;li&gt;&lt;a href=|http://",Y1191,"/2_kings/5.htm","| ","title=|",Y1190,"| target=|_top|&gt;",Y1192,"&lt;/a&gt;")</f>
        <v>&lt;/li&gt;&lt;li&gt;&lt;a href=|http://bibleoutline.org/2_kings/5.htm| title=|Outline with People and Places List| target=|_top|&gt;Outline&lt;/a&gt;</v>
      </c>
      <c r="Z318" t="str">
        <f t="shared" si="1268"/>
        <v>&lt;/li&gt;&lt;li&gt;&lt;a href=|http://kjvs.scripturetext.com/2_kings/5.htm| title=|King James Bible with Strong's Numbers| target=|_top|&gt;Strong's&lt;/a&gt;</v>
      </c>
      <c r="AA318" t="str">
        <f t="shared" si="1268"/>
        <v>&lt;/li&gt;&lt;li&gt;&lt;a href=|http://childrensbibleonline.com/2_kings/5.htm| title=|The Children's Bible| target=|_top|&gt;Children's&lt;/a&gt;</v>
      </c>
      <c r="AB318" s="2" t="str">
        <f t="shared" si="1268"/>
        <v>&lt;/li&gt;&lt;li&gt;&lt;a href=|http://tsk.scripturetext.com/2_kings/5.htm| title=|Treasury of Scripture Knowledge| target=|_top|&gt;TSK&lt;/a&gt;</v>
      </c>
      <c r="AC318" t="str">
        <f>CONCATENATE("&lt;a href=|http://",AC1191,"/2_kings/5.htm","| ","title=|",AC1190,"| target=|_top|&gt;",AC1192,"&lt;/a&gt;")</f>
        <v>&lt;a href=|http://parallelbible.com/2_kings/5.htm| title=|Parallel Chapters| target=|_top|&gt;PAR&lt;/a&gt;</v>
      </c>
      <c r="AD318" s="2" t="str">
        <f t="shared" ref="AD318:AK318" si="1270">CONCATENATE("&lt;/li&gt;&lt;li&gt;&lt;a href=|http://",AD1191,"/2_kings/5.htm","| ","title=|",AD1190,"| target=|_top|&gt;",AD1192,"&lt;/a&gt;")</f>
        <v>&lt;/li&gt;&lt;li&gt;&lt;a href=|http://gsb.biblecommenter.com/2_kings/5.htm| title=|Geneva Study Bible| target=|_top|&gt;GSB&lt;/a&gt;</v>
      </c>
      <c r="AE318" s="2" t="str">
        <f t="shared" si="1270"/>
        <v>&lt;/li&gt;&lt;li&gt;&lt;a href=|http://jfb.biblecommenter.com/2_kings/5.htm| title=|Jamieson-Fausset-Brown Bible Commentary| target=|_top|&gt;JFB&lt;/a&gt;</v>
      </c>
      <c r="AF318" s="2" t="str">
        <f t="shared" si="1270"/>
        <v>&lt;/li&gt;&lt;li&gt;&lt;a href=|http://kjt.biblecommenter.com/2_kings/5.htm| title=|King James Translators' Notes| target=|_top|&gt;KJT&lt;/a&gt;</v>
      </c>
      <c r="AG318" s="2" t="str">
        <f t="shared" si="1270"/>
        <v>&lt;/li&gt;&lt;li&gt;&lt;a href=|http://mhc.biblecommenter.com/2_kings/5.htm| title=|Matthew Henry's Concise Commentary| target=|_top|&gt;MHC&lt;/a&gt;</v>
      </c>
      <c r="AH318" s="2" t="str">
        <f t="shared" si="1270"/>
        <v>&lt;/li&gt;&lt;li&gt;&lt;a href=|http://sco.biblecommenter.com/2_kings/5.htm| title=|Scofield Reference Notes| target=|_top|&gt;SCO&lt;/a&gt;</v>
      </c>
      <c r="AI318" s="2" t="str">
        <f t="shared" si="1270"/>
        <v>&lt;/li&gt;&lt;li&gt;&lt;a href=|http://wes.biblecommenter.com/2_kings/5.htm| title=|Wesley's Notes on the Bible| target=|_top|&gt;WES&lt;/a&gt;</v>
      </c>
      <c r="AJ318" t="str">
        <f t="shared" si="1270"/>
        <v>&lt;/li&gt;&lt;li&gt;&lt;a href=|http://worldebible.com/2_kings/5.htm| title=|World English Bible| target=|_top|&gt;WEB&lt;/a&gt;</v>
      </c>
      <c r="AK318" t="str">
        <f t="shared" si="1270"/>
        <v>&lt;/li&gt;&lt;li&gt;&lt;a href=|http://yltbible.com/2_kings/5.htm| title=|Young's Literal Translation| target=|_top|&gt;YLT&lt;/a&gt;</v>
      </c>
      <c r="AL318" t="str">
        <f>CONCATENATE("&lt;a href=|http://",AL1191,"/2_kings/5.htm","| ","title=|",AL1190,"| target=|_top|&gt;",AL1192,"&lt;/a&gt;")</f>
        <v>&lt;a href=|http://kjv.us/2_kings/5.htm| title=|American King James Version| target=|_top|&gt;AKJ&lt;/a&gt;</v>
      </c>
      <c r="AM318" t="str">
        <f t="shared" ref="AM318:AN318" si="1271">CONCATENATE("&lt;/li&gt;&lt;li&gt;&lt;a href=|http://",AM1191,"/2_kings/5.htm","| ","title=|",AM1190,"| target=|_top|&gt;",AM1192,"&lt;/a&gt;")</f>
        <v>&lt;/li&gt;&lt;li&gt;&lt;a href=|http://basicenglishbible.com/2_kings/5.htm| title=|Bible in Basic English| target=|_top|&gt;BBE&lt;/a&gt;</v>
      </c>
      <c r="AN318" t="str">
        <f t="shared" si="1271"/>
        <v>&lt;/li&gt;&lt;li&gt;&lt;a href=|http://darbybible.com/2_kings/5.htm| title=|Darby Bible Translation| target=|_top|&gt;DBY&lt;/a&gt;</v>
      </c>
      <c r="AO31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1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1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18" t="str">
        <f>CONCATENATE("&lt;/li&gt;&lt;li&gt;&lt;a href=|http://",AR1191,"/2_kings/5.htm","| ","title=|",AR1190,"| target=|_top|&gt;",AR1192,"&lt;/a&gt;")</f>
        <v>&lt;/li&gt;&lt;li&gt;&lt;a href=|http://websterbible.com/2_kings/5.htm| title=|Webster's Bible Translation| target=|_top|&gt;WBS&lt;/a&gt;</v>
      </c>
      <c r="AS31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18" t="str">
        <f>CONCATENATE("&lt;/li&gt;&lt;li&gt;&lt;a href=|http://",AT1191,"/2_kings/5-1.htm","| ","title=|",AT1190,"| target=|_top|&gt;",AT1192,"&lt;/a&gt;")</f>
        <v>&lt;/li&gt;&lt;li&gt;&lt;a href=|http://biblebrowser.com/2_kings/5-1.htm| title=|Split View| target=|_top|&gt;Split&lt;/a&gt;</v>
      </c>
      <c r="AU318" s="2" t="s">
        <v>1276</v>
      </c>
      <c r="AV318" t="s">
        <v>64</v>
      </c>
    </row>
    <row r="319" spans="1:48">
      <c r="A319" t="s">
        <v>622</v>
      </c>
      <c r="B319" t="s">
        <v>372</v>
      </c>
      <c r="C319" t="s">
        <v>624</v>
      </c>
      <c r="D319" t="s">
        <v>1268</v>
      </c>
      <c r="E319" t="s">
        <v>1277</v>
      </c>
      <c r="F319" t="s">
        <v>1304</v>
      </c>
      <c r="G319" t="s">
        <v>1266</v>
      </c>
      <c r="H319" t="s">
        <v>1305</v>
      </c>
      <c r="I319" t="s">
        <v>1303</v>
      </c>
      <c r="J319" t="s">
        <v>1267</v>
      </c>
      <c r="K319" t="s">
        <v>1275</v>
      </c>
      <c r="L319" s="2" t="s">
        <v>1274</v>
      </c>
      <c r="M319" t="str">
        <f t="shared" ref="M319:AB319" si="1272">CONCATENATE("&lt;/li&gt;&lt;li&gt;&lt;a href=|http://",M1191,"/2_kings/6.htm","| ","title=|",M1190,"| target=|_top|&gt;",M1192,"&lt;/a&gt;")</f>
        <v>&lt;/li&gt;&lt;li&gt;&lt;a href=|http://niv.scripturetext.com/2_kings/6.htm| title=|New International Version| target=|_top|&gt;NIV&lt;/a&gt;</v>
      </c>
      <c r="N319" t="str">
        <f t="shared" si="1272"/>
        <v>&lt;/li&gt;&lt;li&gt;&lt;a href=|http://nlt.scripturetext.com/2_kings/6.htm| title=|New Living Translation| target=|_top|&gt;NLT&lt;/a&gt;</v>
      </c>
      <c r="O319" t="str">
        <f t="shared" si="1272"/>
        <v>&lt;/li&gt;&lt;li&gt;&lt;a href=|http://nasb.scripturetext.com/2_kings/6.htm| title=|New American Standard Bible| target=|_top|&gt;NAS&lt;/a&gt;</v>
      </c>
      <c r="P319" t="str">
        <f t="shared" si="1272"/>
        <v>&lt;/li&gt;&lt;li&gt;&lt;a href=|http://gwt.scripturetext.com/2_kings/6.htm| title=|God's Word Translation| target=|_top|&gt;GWT&lt;/a&gt;</v>
      </c>
      <c r="Q319" t="str">
        <f t="shared" si="1272"/>
        <v>&lt;/li&gt;&lt;li&gt;&lt;a href=|http://kingjbible.com/2_kings/6.htm| title=|King James Bible| target=|_top|&gt;KJV&lt;/a&gt;</v>
      </c>
      <c r="R319" t="str">
        <f t="shared" si="1272"/>
        <v>&lt;/li&gt;&lt;li&gt;&lt;a href=|http://asvbible.com/2_kings/6.htm| title=|American Standard Version| target=|_top|&gt;ASV&lt;/a&gt;</v>
      </c>
      <c r="S319" t="str">
        <f t="shared" si="1272"/>
        <v>&lt;/li&gt;&lt;li&gt;&lt;a href=|http://drb.scripturetext.com/2_kings/6.htm| title=|Douay-Rheims Bible| target=|_top|&gt;DRB&lt;/a&gt;</v>
      </c>
      <c r="T319" t="str">
        <f t="shared" si="1272"/>
        <v>&lt;/li&gt;&lt;li&gt;&lt;a href=|http://erv.scripturetext.com/2_kings/6.htm| title=|English Revised Version| target=|_top|&gt;ERV&lt;/a&gt;</v>
      </c>
      <c r="V319" t="str">
        <f>CONCATENATE("&lt;/li&gt;&lt;li&gt;&lt;a href=|http://",V1191,"/2_kings/6.htm","| ","title=|",V1190,"| target=|_top|&gt;",V1192,"&lt;/a&gt;")</f>
        <v>&lt;/li&gt;&lt;li&gt;&lt;a href=|http://study.interlinearbible.org/2_kings/6.htm| title=|Hebrew Study Bible| target=|_top|&gt;Heb Study&lt;/a&gt;</v>
      </c>
      <c r="W319" t="str">
        <f t="shared" si="1272"/>
        <v>&lt;/li&gt;&lt;li&gt;&lt;a href=|http://apostolic.interlinearbible.org/2_kings/6.htm| title=|Apostolic Bible Polyglot Interlinear| target=|_top|&gt;Polyglot&lt;/a&gt;</v>
      </c>
      <c r="X319" t="str">
        <f t="shared" si="1272"/>
        <v>&lt;/li&gt;&lt;li&gt;&lt;a href=|http://interlinearbible.org/2_kings/6.htm| title=|Interlinear Bible| target=|_top|&gt;Interlin&lt;/a&gt;</v>
      </c>
      <c r="Y319" t="str">
        <f t="shared" ref="Y319" si="1273">CONCATENATE("&lt;/li&gt;&lt;li&gt;&lt;a href=|http://",Y1191,"/2_kings/6.htm","| ","title=|",Y1190,"| target=|_top|&gt;",Y1192,"&lt;/a&gt;")</f>
        <v>&lt;/li&gt;&lt;li&gt;&lt;a href=|http://bibleoutline.org/2_kings/6.htm| title=|Outline with People and Places List| target=|_top|&gt;Outline&lt;/a&gt;</v>
      </c>
      <c r="Z319" t="str">
        <f t="shared" si="1272"/>
        <v>&lt;/li&gt;&lt;li&gt;&lt;a href=|http://kjvs.scripturetext.com/2_kings/6.htm| title=|King James Bible with Strong's Numbers| target=|_top|&gt;Strong's&lt;/a&gt;</v>
      </c>
      <c r="AA319" t="str">
        <f t="shared" si="1272"/>
        <v>&lt;/li&gt;&lt;li&gt;&lt;a href=|http://childrensbibleonline.com/2_kings/6.htm| title=|The Children's Bible| target=|_top|&gt;Children's&lt;/a&gt;</v>
      </c>
      <c r="AB319" s="2" t="str">
        <f t="shared" si="1272"/>
        <v>&lt;/li&gt;&lt;li&gt;&lt;a href=|http://tsk.scripturetext.com/2_kings/6.htm| title=|Treasury of Scripture Knowledge| target=|_top|&gt;TSK&lt;/a&gt;</v>
      </c>
      <c r="AC319" t="str">
        <f>CONCATENATE("&lt;a href=|http://",AC1191,"/2_kings/6.htm","| ","title=|",AC1190,"| target=|_top|&gt;",AC1192,"&lt;/a&gt;")</f>
        <v>&lt;a href=|http://parallelbible.com/2_kings/6.htm| title=|Parallel Chapters| target=|_top|&gt;PAR&lt;/a&gt;</v>
      </c>
      <c r="AD319" s="2" t="str">
        <f t="shared" ref="AD319:AK319" si="1274">CONCATENATE("&lt;/li&gt;&lt;li&gt;&lt;a href=|http://",AD1191,"/2_kings/6.htm","| ","title=|",AD1190,"| target=|_top|&gt;",AD1192,"&lt;/a&gt;")</f>
        <v>&lt;/li&gt;&lt;li&gt;&lt;a href=|http://gsb.biblecommenter.com/2_kings/6.htm| title=|Geneva Study Bible| target=|_top|&gt;GSB&lt;/a&gt;</v>
      </c>
      <c r="AE319" s="2" t="str">
        <f t="shared" si="1274"/>
        <v>&lt;/li&gt;&lt;li&gt;&lt;a href=|http://jfb.biblecommenter.com/2_kings/6.htm| title=|Jamieson-Fausset-Brown Bible Commentary| target=|_top|&gt;JFB&lt;/a&gt;</v>
      </c>
      <c r="AF319" s="2" t="str">
        <f t="shared" si="1274"/>
        <v>&lt;/li&gt;&lt;li&gt;&lt;a href=|http://kjt.biblecommenter.com/2_kings/6.htm| title=|King James Translators' Notes| target=|_top|&gt;KJT&lt;/a&gt;</v>
      </c>
      <c r="AG319" s="2" t="str">
        <f t="shared" si="1274"/>
        <v>&lt;/li&gt;&lt;li&gt;&lt;a href=|http://mhc.biblecommenter.com/2_kings/6.htm| title=|Matthew Henry's Concise Commentary| target=|_top|&gt;MHC&lt;/a&gt;</v>
      </c>
      <c r="AH319" s="2" t="str">
        <f t="shared" si="1274"/>
        <v>&lt;/li&gt;&lt;li&gt;&lt;a href=|http://sco.biblecommenter.com/2_kings/6.htm| title=|Scofield Reference Notes| target=|_top|&gt;SCO&lt;/a&gt;</v>
      </c>
      <c r="AI319" s="2" t="str">
        <f t="shared" si="1274"/>
        <v>&lt;/li&gt;&lt;li&gt;&lt;a href=|http://wes.biblecommenter.com/2_kings/6.htm| title=|Wesley's Notes on the Bible| target=|_top|&gt;WES&lt;/a&gt;</v>
      </c>
      <c r="AJ319" t="str">
        <f t="shared" si="1274"/>
        <v>&lt;/li&gt;&lt;li&gt;&lt;a href=|http://worldebible.com/2_kings/6.htm| title=|World English Bible| target=|_top|&gt;WEB&lt;/a&gt;</v>
      </c>
      <c r="AK319" t="str">
        <f t="shared" si="1274"/>
        <v>&lt;/li&gt;&lt;li&gt;&lt;a href=|http://yltbible.com/2_kings/6.htm| title=|Young's Literal Translation| target=|_top|&gt;YLT&lt;/a&gt;</v>
      </c>
      <c r="AL319" t="str">
        <f>CONCATENATE("&lt;a href=|http://",AL1191,"/2_kings/6.htm","| ","title=|",AL1190,"| target=|_top|&gt;",AL1192,"&lt;/a&gt;")</f>
        <v>&lt;a href=|http://kjv.us/2_kings/6.htm| title=|American King James Version| target=|_top|&gt;AKJ&lt;/a&gt;</v>
      </c>
      <c r="AM319" t="str">
        <f t="shared" ref="AM319:AN319" si="1275">CONCATENATE("&lt;/li&gt;&lt;li&gt;&lt;a href=|http://",AM1191,"/2_kings/6.htm","| ","title=|",AM1190,"| target=|_top|&gt;",AM1192,"&lt;/a&gt;")</f>
        <v>&lt;/li&gt;&lt;li&gt;&lt;a href=|http://basicenglishbible.com/2_kings/6.htm| title=|Bible in Basic English| target=|_top|&gt;BBE&lt;/a&gt;</v>
      </c>
      <c r="AN319" t="str">
        <f t="shared" si="1275"/>
        <v>&lt;/li&gt;&lt;li&gt;&lt;a href=|http://darbybible.com/2_kings/6.htm| title=|Darby Bible Translation| target=|_top|&gt;DBY&lt;/a&gt;</v>
      </c>
      <c r="AO31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1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1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19" t="str">
        <f>CONCATENATE("&lt;/li&gt;&lt;li&gt;&lt;a href=|http://",AR1191,"/2_kings/6.htm","| ","title=|",AR1190,"| target=|_top|&gt;",AR1192,"&lt;/a&gt;")</f>
        <v>&lt;/li&gt;&lt;li&gt;&lt;a href=|http://websterbible.com/2_kings/6.htm| title=|Webster's Bible Translation| target=|_top|&gt;WBS&lt;/a&gt;</v>
      </c>
      <c r="AS31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19" t="str">
        <f>CONCATENATE("&lt;/li&gt;&lt;li&gt;&lt;a href=|http://",AT1191,"/2_kings/6-1.htm","| ","title=|",AT1190,"| target=|_top|&gt;",AT1192,"&lt;/a&gt;")</f>
        <v>&lt;/li&gt;&lt;li&gt;&lt;a href=|http://biblebrowser.com/2_kings/6-1.htm| title=|Split View| target=|_top|&gt;Split&lt;/a&gt;</v>
      </c>
      <c r="AU319" s="2" t="s">
        <v>1276</v>
      </c>
      <c r="AV319" t="s">
        <v>64</v>
      </c>
    </row>
    <row r="320" spans="1:48">
      <c r="A320" t="s">
        <v>622</v>
      </c>
      <c r="B320" t="s">
        <v>373</v>
      </c>
      <c r="C320" t="s">
        <v>624</v>
      </c>
      <c r="D320" t="s">
        <v>1268</v>
      </c>
      <c r="E320" t="s">
        <v>1277</v>
      </c>
      <c r="F320" t="s">
        <v>1304</v>
      </c>
      <c r="G320" t="s">
        <v>1266</v>
      </c>
      <c r="H320" t="s">
        <v>1305</v>
      </c>
      <c r="I320" t="s">
        <v>1303</v>
      </c>
      <c r="J320" t="s">
        <v>1267</v>
      </c>
      <c r="K320" t="s">
        <v>1275</v>
      </c>
      <c r="L320" s="2" t="s">
        <v>1274</v>
      </c>
      <c r="M320" t="str">
        <f t="shared" ref="M320:AB320" si="1276">CONCATENATE("&lt;/li&gt;&lt;li&gt;&lt;a href=|http://",M1191,"/2_kings/7.htm","| ","title=|",M1190,"| target=|_top|&gt;",M1192,"&lt;/a&gt;")</f>
        <v>&lt;/li&gt;&lt;li&gt;&lt;a href=|http://niv.scripturetext.com/2_kings/7.htm| title=|New International Version| target=|_top|&gt;NIV&lt;/a&gt;</v>
      </c>
      <c r="N320" t="str">
        <f t="shared" si="1276"/>
        <v>&lt;/li&gt;&lt;li&gt;&lt;a href=|http://nlt.scripturetext.com/2_kings/7.htm| title=|New Living Translation| target=|_top|&gt;NLT&lt;/a&gt;</v>
      </c>
      <c r="O320" t="str">
        <f t="shared" si="1276"/>
        <v>&lt;/li&gt;&lt;li&gt;&lt;a href=|http://nasb.scripturetext.com/2_kings/7.htm| title=|New American Standard Bible| target=|_top|&gt;NAS&lt;/a&gt;</v>
      </c>
      <c r="P320" t="str">
        <f t="shared" si="1276"/>
        <v>&lt;/li&gt;&lt;li&gt;&lt;a href=|http://gwt.scripturetext.com/2_kings/7.htm| title=|God's Word Translation| target=|_top|&gt;GWT&lt;/a&gt;</v>
      </c>
      <c r="Q320" t="str">
        <f t="shared" si="1276"/>
        <v>&lt;/li&gt;&lt;li&gt;&lt;a href=|http://kingjbible.com/2_kings/7.htm| title=|King James Bible| target=|_top|&gt;KJV&lt;/a&gt;</v>
      </c>
      <c r="R320" t="str">
        <f t="shared" si="1276"/>
        <v>&lt;/li&gt;&lt;li&gt;&lt;a href=|http://asvbible.com/2_kings/7.htm| title=|American Standard Version| target=|_top|&gt;ASV&lt;/a&gt;</v>
      </c>
      <c r="S320" t="str">
        <f t="shared" si="1276"/>
        <v>&lt;/li&gt;&lt;li&gt;&lt;a href=|http://drb.scripturetext.com/2_kings/7.htm| title=|Douay-Rheims Bible| target=|_top|&gt;DRB&lt;/a&gt;</v>
      </c>
      <c r="T320" t="str">
        <f t="shared" si="1276"/>
        <v>&lt;/li&gt;&lt;li&gt;&lt;a href=|http://erv.scripturetext.com/2_kings/7.htm| title=|English Revised Version| target=|_top|&gt;ERV&lt;/a&gt;</v>
      </c>
      <c r="V320" t="str">
        <f>CONCATENATE("&lt;/li&gt;&lt;li&gt;&lt;a href=|http://",V1191,"/2_kings/7.htm","| ","title=|",V1190,"| target=|_top|&gt;",V1192,"&lt;/a&gt;")</f>
        <v>&lt;/li&gt;&lt;li&gt;&lt;a href=|http://study.interlinearbible.org/2_kings/7.htm| title=|Hebrew Study Bible| target=|_top|&gt;Heb Study&lt;/a&gt;</v>
      </c>
      <c r="W320" t="str">
        <f t="shared" si="1276"/>
        <v>&lt;/li&gt;&lt;li&gt;&lt;a href=|http://apostolic.interlinearbible.org/2_kings/7.htm| title=|Apostolic Bible Polyglot Interlinear| target=|_top|&gt;Polyglot&lt;/a&gt;</v>
      </c>
      <c r="X320" t="str">
        <f t="shared" si="1276"/>
        <v>&lt;/li&gt;&lt;li&gt;&lt;a href=|http://interlinearbible.org/2_kings/7.htm| title=|Interlinear Bible| target=|_top|&gt;Interlin&lt;/a&gt;</v>
      </c>
      <c r="Y320" t="str">
        <f t="shared" ref="Y320" si="1277">CONCATENATE("&lt;/li&gt;&lt;li&gt;&lt;a href=|http://",Y1191,"/2_kings/7.htm","| ","title=|",Y1190,"| target=|_top|&gt;",Y1192,"&lt;/a&gt;")</f>
        <v>&lt;/li&gt;&lt;li&gt;&lt;a href=|http://bibleoutline.org/2_kings/7.htm| title=|Outline with People and Places List| target=|_top|&gt;Outline&lt;/a&gt;</v>
      </c>
      <c r="Z320" t="str">
        <f t="shared" si="1276"/>
        <v>&lt;/li&gt;&lt;li&gt;&lt;a href=|http://kjvs.scripturetext.com/2_kings/7.htm| title=|King James Bible with Strong's Numbers| target=|_top|&gt;Strong's&lt;/a&gt;</v>
      </c>
      <c r="AA320" t="str">
        <f t="shared" si="1276"/>
        <v>&lt;/li&gt;&lt;li&gt;&lt;a href=|http://childrensbibleonline.com/2_kings/7.htm| title=|The Children's Bible| target=|_top|&gt;Children's&lt;/a&gt;</v>
      </c>
      <c r="AB320" s="2" t="str">
        <f t="shared" si="1276"/>
        <v>&lt;/li&gt;&lt;li&gt;&lt;a href=|http://tsk.scripturetext.com/2_kings/7.htm| title=|Treasury of Scripture Knowledge| target=|_top|&gt;TSK&lt;/a&gt;</v>
      </c>
      <c r="AC320" t="str">
        <f>CONCATENATE("&lt;a href=|http://",AC1191,"/2_kings/7.htm","| ","title=|",AC1190,"| target=|_top|&gt;",AC1192,"&lt;/a&gt;")</f>
        <v>&lt;a href=|http://parallelbible.com/2_kings/7.htm| title=|Parallel Chapters| target=|_top|&gt;PAR&lt;/a&gt;</v>
      </c>
      <c r="AD320" s="2" t="str">
        <f t="shared" ref="AD320:AK320" si="1278">CONCATENATE("&lt;/li&gt;&lt;li&gt;&lt;a href=|http://",AD1191,"/2_kings/7.htm","| ","title=|",AD1190,"| target=|_top|&gt;",AD1192,"&lt;/a&gt;")</f>
        <v>&lt;/li&gt;&lt;li&gt;&lt;a href=|http://gsb.biblecommenter.com/2_kings/7.htm| title=|Geneva Study Bible| target=|_top|&gt;GSB&lt;/a&gt;</v>
      </c>
      <c r="AE320" s="2" t="str">
        <f t="shared" si="1278"/>
        <v>&lt;/li&gt;&lt;li&gt;&lt;a href=|http://jfb.biblecommenter.com/2_kings/7.htm| title=|Jamieson-Fausset-Brown Bible Commentary| target=|_top|&gt;JFB&lt;/a&gt;</v>
      </c>
      <c r="AF320" s="2" t="str">
        <f t="shared" si="1278"/>
        <v>&lt;/li&gt;&lt;li&gt;&lt;a href=|http://kjt.biblecommenter.com/2_kings/7.htm| title=|King James Translators' Notes| target=|_top|&gt;KJT&lt;/a&gt;</v>
      </c>
      <c r="AG320" s="2" t="str">
        <f t="shared" si="1278"/>
        <v>&lt;/li&gt;&lt;li&gt;&lt;a href=|http://mhc.biblecommenter.com/2_kings/7.htm| title=|Matthew Henry's Concise Commentary| target=|_top|&gt;MHC&lt;/a&gt;</v>
      </c>
      <c r="AH320" s="2" t="str">
        <f t="shared" si="1278"/>
        <v>&lt;/li&gt;&lt;li&gt;&lt;a href=|http://sco.biblecommenter.com/2_kings/7.htm| title=|Scofield Reference Notes| target=|_top|&gt;SCO&lt;/a&gt;</v>
      </c>
      <c r="AI320" s="2" t="str">
        <f t="shared" si="1278"/>
        <v>&lt;/li&gt;&lt;li&gt;&lt;a href=|http://wes.biblecommenter.com/2_kings/7.htm| title=|Wesley's Notes on the Bible| target=|_top|&gt;WES&lt;/a&gt;</v>
      </c>
      <c r="AJ320" t="str">
        <f t="shared" si="1278"/>
        <v>&lt;/li&gt;&lt;li&gt;&lt;a href=|http://worldebible.com/2_kings/7.htm| title=|World English Bible| target=|_top|&gt;WEB&lt;/a&gt;</v>
      </c>
      <c r="AK320" t="str">
        <f t="shared" si="1278"/>
        <v>&lt;/li&gt;&lt;li&gt;&lt;a href=|http://yltbible.com/2_kings/7.htm| title=|Young's Literal Translation| target=|_top|&gt;YLT&lt;/a&gt;</v>
      </c>
      <c r="AL320" t="str">
        <f>CONCATENATE("&lt;a href=|http://",AL1191,"/2_kings/7.htm","| ","title=|",AL1190,"| target=|_top|&gt;",AL1192,"&lt;/a&gt;")</f>
        <v>&lt;a href=|http://kjv.us/2_kings/7.htm| title=|American King James Version| target=|_top|&gt;AKJ&lt;/a&gt;</v>
      </c>
      <c r="AM320" t="str">
        <f t="shared" ref="AM320:AN320" si="1279">CONCATENATE("&lt;/li&gt;&lt;li&gt;&lt;a href=|http://",AM1191,"/2_kings/7.htm","| ","title=|",AM1190,"| target=|_top|&gt;",AM1192,"&lt;/a&gt;")</f>
        <v>&lt;/li&gt;&lt;li&gt;&lt;a href=|http://basicenglishbible.com/2_kings/7.htm| title=|Bible in Basic English| target=|_top|&gt;BBE&lt;/a&gt;</v>
      </c>
      <c r="AN320" t="str">
        <f t="shared" si="1279"/>
        <v>&lt;/li&gt;&lt;li&gt;&lt;a href=|http://darbybible.com/2_kings/7.htm| title=|Darby Bible Translation| target=|_top|&gt;DBY&lt;/a&gt;</v>
      </c>
      <c r="AO32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2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2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20" t="str">
        <f>CONCATENATE("&lt;/li&gt;&lt;li&gt;&lt;a href=|http://",AR1191,"/2_kings/7.htm","| ","title=|",AR1190,"| target=|_top|&gt;",AR1192,"&lt;/a&gt;")</f>
        <v>&lt;/li&gt;&lt;li&gt;&lt;a href=|http://websterbible.com/2_kings/7.htm| title=|Webster's Bible Translation| target=|_top|&gt;WBS&lt;/a&gt;</v>
      </c>
      <c r="AS32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20" t="str">
        <f>CONCATENATE("&lt;/li&gt;&lt;li&gt;&lt;a href=|http://",AT1191,"/2_kings/7-1.htm","| ","title=|",AT1190,"| target=|_top|&gt;",AT1192,"&lt;/a&gt;")</f>
        <v>&lt;/li&gt;&lt;li&gt;&lt;a href=|http://biblebrowser.com/2_kings/7-1.htm| title=|Split View| target=|_top|&gt;Split&lt;/a&gt;</v>
      </c>
      <c r="AU320" s="2" t="s">
        <v>1276</v>
      </c>
      <c r="AV320" t="s">
        <v>64</v>
      </c>
    </row>
    <row r="321" spans="1:48">
      <c r="A321" t="s">
        <v>622</v>
      </c>
      <c r="B321" t="s">
        <v>374</v>
      </c>
      <c r="C321" t="s">
        <v>624</v>
      </c>
      <c r="D321" t="s">
        <v>1268</v>
      </c>
      <c r="E321" t="s">
        <v>1277</v>
      </c>
      <c r="F321" t="s">
        <v>1304</v>
      </c>
      <c r="G321" t="s">
        <v>1266</v>
      </c>
      <c r="H321" t="s">
        <v>1305</v>
      </c>
      <c r="I321" t="s">
        <v>1303</v>
      </c>
      <c r="J321" t="s">
        <v>1267</v>
      </c>
      <c r="K321" t="s">
        <v>1275</v>
      </c>
      <c r="L321" s="2" t="s">
        <v>1274</v>
      </c>
      <c r="M321" t="str">
        <f t="shared" ref="M321:AB321" si="1280">CONCATENATE("&lt;/li&gt;&lt;li&gt;&lt;a href=|http://",M1191,"/2_kings/8.htm","| ","title=|",M1190,"| target=|_top|&gt;",M1192,"&lt;/a&gt;")</f>
        <v>&lt;/li&gt;&lt;li&gt;&lt;a href=|http://niv.scripturetext.com/2_kings/8.htm| title=|New International Version| target=|_top|&gt;NIV&lt;/a&gt;</v>
      </c>
      <c r="N321" t="str">
        <f t="shared" si="1280"/>
        <v>&lt;/li&gt;&lt;li&gt;&lt;a href=|http://nlt.scripturetext.com/2_kings/8.htm| title=|New Living Translation| target=|_top|&gt;NLT&lt;/a&gt;</v>
      </c>
      <c r="O321" t="str">
        <f t="shared" si="1280"/>
        <v>&lt;/li&gt;&lt;li&gt;&lt;a href=|http://nasb.scripturetext.com/2_kings/8.htm| title=|New American Standard Bible| target=|_top|&gt;NAS&lt;/a&gt;</v>
      </c>
      <c r="P321" t="str">
        <f t="shared" si="1280"/>
        <v>&lt;/li&gt;&lt;li&gt;&lt;a href=|http://gwt.scripturetext.com/2_kings/8.htm| title=|God's Word Translation| target=|_top|&gt;GWT&lt;/a&gt;</v>
      </c>
      <c r="Q321" t="str">
        <f t="shared" si="1280"/>
        <v>&lt;/li&gt;&lt;li&gt;&lt;a href=|http://kingjbible.com/2_kings/8.htm| title=|King James Bible| target=|_top|&gt;KJV&lt;/a&gt;</v>
      </c>
      <c r="R321" t="str">
        <f t="shared" si="1280"/>
        <v>&lt;/li&gt;&lt;li&gt;&lt;a href=|http://asvbible.com/2_kings/8.htm| title=|American Standard Version| target=|_top|&gt;ASV&lt;/a&gt;</v>
      </c>
      <c r="S321" t="str">
        <f t="shared" si="1280"/>
        <v>&lt;/li&gt;&lt;li&gt;&lt;a href=|http://drb.scripturetext.com/2_kings/8.htm| title=|Douay-Rheims Bible| target=|_top|&gt;DRB&lt;/a&gt;</v>
      </c>
      <c r="T321" t="str">
        <f t="shared" si="1280"/>
        <v>&lt;/li&gt;&lt;li&gt;&lt;a href=|http://erv.scripturetext.com/2_kings/8.htm| title=|English Revised Version| target=|_top|&gt;ERV&lt;/a&gt;</v>
      </c>
      <c r="V321" t="str">
        <f>CONCATENATE("&lt;/li&gt;&lt;li&gt;&lt;a href=|http://",V1191,"/2_kings/8.htm","| ","title=|",V1190,"| target=|_top|&gt;",V1192,"&lt;/a&gt;")</f>
        <v>&lt;/li&gt;&lt;li&gt;&lt;a href=|http://study.interlinearbible.org/2_kings/8.htm| title=|Hebrew Study Bible| target=|_top|&gt;Heb Study&lt;/a&gt;</v>
      </c>
      <c r="W321" t="str">
        <f t="shared" si="1280"/>
        <v>&lt;/li&gt;&lt;li&gt;&lt;a href=|http://apostolic.interlinearbible.org/2_kings/8.htm| title=|Apostolic Bible Polyglot Interlinear| target=|_top|&gt;Polyglot&lt;/a&gt;</v>
      </c>
      <c r="X321" t="str">
        <f t="shared" si="1280"/>
        <v>&lt;/li&gt;&lt;li&gt;&lt;a href=|http://interlinearbible.org/2_kings/8.htm| title=|Interlinear Bible| target=|_top|&gt;Interlin&lt;/a&gt;</v>
      </c>
      <c r="Y321" t="str">
        <f t="shared" ref="Y321" si="1281">CONCATENATE("&lt;/li&gt;&lt;li&gt;&lt;a href=|http://",Y1191,"/2_kings/8.htm","| ","title=|",Y1190,"| target=|_top|&gt;",Y1192,"&lt;/a&gt;")</f>
        <v>&lt;/li&gt;&lt;li&gt;&lt;a href=|http://bibleoutline.org/2_kings/8.htm| title=|Outline with People and Places List| target=|_top|&gt;Outline&lt;/a&gt;</v>
      </c>
      <c r="Z321" t="str">
        <f t="shared" si="1280"/>
        <v>&lt;/li&gt;&lt;li&gt;&lt;a href=|http://kjvs.scripturetext.com/2_kings/8.htm| title=|King James Bible with Strong's Numbers| target=|_top|&gt;Strong's&lt;/a&gt;</v>
      </c>
      <c r="AA321" t="str">
        <f t="shared" si="1280"/>
        <v>&lt;/li&gt;&lt;li&gt;&lt;a href=|http://childrensbibleonline.com/2_kings/8.htm| title=|The Children's Bible| target=|_top|&gt;Children's&lt;/a&gt;</v>
      </c>
      <c r="AB321" s="2" t="str">
        <f t="shared" si="1280"/>
        <v>&lt;/li&gt;&lt;li&gt;&lt;a href=|http://tsk.scripturetext.com/2_kings/8.htm| title=|Treasury of Scripture Knowledge| target=|_top|&gt;TSK&lt;/a&gt;</v>
      </c>
      <c r="AC321" t="str">
        <f>CONCATENATE("&lt;a href=|http://",AC1191,"/2_kings/8.htm","| ","title=|",AC1190,"| target=|_top|&gt;",AC1192,"&lt;/a&gt;")</f>
        <v>&lt;a href=|http://parallelbible.com/2_kings/8.htm| title=|Parallel Chapters| target=|_top|&gt;PAR&lt;/a&gt;</v>
      </c>
      <c r="AD321" s="2" t="str">
        <f t="shared" ref="AD321:AK321" si="1282">CONCATENATE("&lt;/li&gt;&lt;li&gt;&lt;a href=|http://",AD1191,"/2_kings/8.htm","| ","title=|",AD1190,"| target=|_top|&gt;",AD1192,"&lt;/a&gt;")</f>
        <v>&lt;/li&gt;&lt;li&gt;&lt;a href=|http://gsb.biblecommenter.com/2_kings/8.htm| title=|Geneva Study Bible| target=|_top|&gt;GSB&lt;/a&gt;</v>
      </c>
      <c r="AE321" s="2" t="str">
        <f t="shared" si="1282"/>
        <v>&lt;/li&gt;&lt;li&gt;&lt;a href=|http://jfb.biblecommenter.com/2_kings/8.htm| title=|Jamieson-Fausset-Brown Bible Commentary| target=|_top|&gt;JFB&lt;/a&gt;</v>
      </c>
      <c r="AF321" s="2" t="str">
        <f t="shared" si="1282"/>
        <v>&lt;/li&gt;&lt;li&gt;&lt;a href=|http://kjt.biblecommenter.com/2_kings/8.htm| title=|King James Translators' Notes| target=|_top|&gt;KJT&lt;/a&gt;</v>
      </c>
      <c r="AG321" s="2" t="str">
        <f t="shared" si="1282"/>
        <v>&lt;/li&gt;&lt;li&gt;&lt;a href=|http://mhc.biblecommenter.com/2_kings/8.htm| title=|Matthew Henry's Concise Commentary| target=|_top|&gt;MHC&lt;/a&gt;</v>
      </c>
      <c r="AH321" s="2" t="str">
        <f t="shared" si="1282"/>
        <v>&lt;/li&gt;&lt;li&gt;&lt;a href=|http://sco.biblecommenter.com/2_kings/8.htm| title=|Scofield Reference Notes| target=|_top|&gt;SCO&lt;/a&gt;</v>
      </c>
      <c r="AI321" s="2" t="str">
        <f t="shared" si="1282"/>
        <v>&lt;/li&gt;&lt;li&gt;&lt;a href=|http://wes.biblecommenter.com/2_kings/8.htm| title=|Wesley's Notes on the Bible| target=|_top|&gt;WES&lt;/a&gt;</v>
      </c>
      <c r="AJ321" t="str">
        <f t="shared" si="1282"/>
        <v>&lt;/li&gt;&lt;li&gt;&lt;a href=|http://worldebible.com/2_kings/8.htm| title=|World English Bible| target=|_top|&gt;WEB&lt;/a&gt;</v>
      </c>
      <c r="AK321" t="str">
        <f t="shared" si="1282"/>
        <v>&lt;/li&gt;&lt;li&gt;&lt;a href=|http://yltbible.com/2_kings/8.htm| title=|Young's Literal Translation| target=|_top|&gt;YLT&lt;/a&gt;</v>
      </c>
      <c r="AL321" t="str">
        <f>CONCATENATE("&lt;a href=|http://",AL1191,"/2_kings/8.htm","| ","title=|",AL1190,"| target=|_top|&gt;",AL1192,"&lt;/a&gt;")</f>
        <v>&lt;a href=|http://kjv.us/2_kings/8.htm| title=|American King James Version| target=|_top|&gt;AKJ&lt;/a&gt;</v>
      </c>
      <c r="AM321" t="str">
        <f t="shared" ref="AM321:AN321" si="1283">CONCATENATE("&lt;/li&gt;&lt;li&gt;&lt;a href=|http://",AM1191,"/2_kings/8.htm","| ","title=|",AM1190,"| target=|_top|&gt;",AM1192,"&lt;/a&gt;")</f>
        <v>&lt;/li&gt;&lt;li&gt;&lt;a href=|http://basicenglishbible.com/2_kings/8.htm| title=|Bible in Basic English| target=|_top|&gt;BBE&lt;/a&gt;</v>
      </c>
      <c r="AN321" t="str">
        <f t="shared" si="1283"/>
        <v>&lt;/li&gt;&lt;li&gt;&lt;a href=|http://darbybible.com/2_kings/8.htm| title=|Darby Bible Translation| target=|_top|&gt;DBY&lt;/a&gt;</v>
      </c>
      <c r="AO32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2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2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21" t="str">
        <f>CONCATENATE("&lt;/li&gt;&lt;li&gt;&lt;a href=|http://",AR1191,"/2_kings/8.htm","| ","title=|",AR1190,"| target=|_top|&gt;",AR1192,"&lt;/a&gt;")</f>
        <v>&lt;/li&gt;&lt;li&gt;&lt;a href=|http://websterbible.com/2_kings/8.htm| title=|Webster's Bible Translation| target=|_top|&gt;WBS&lt;/a&gt;</v>
      </c>
      <c r="AS32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21" t="str">
        <f>CONCATENATE("&lt;/li&gt;&lt;li&gt;&lt;a href=|http://",AT1191,"/2_kings/8-1.htm","| ","title=|",AT1190,"| target=|_top|&gt;",AT1192,"&lt;/a&gt;")</f>
        <v>&lt;/li&gt;&lt;li&gt;&lt;a href=|http://biblebrowser.com/2_kings/8-1.htm| title=|Split View| target=|_top|&gt;Split&lt;/a&gt;</v>
      </c>
      <c r="AU321" s="2" t="s">
        <v>1276</v>
      </c>
      <c r="AV321" t="s">
        <v>64</v>
      </c>
    </row>
    <row r="322" spans="1:48">
      <c r="A322" t="s">
        <v>622</v>
      </c>
      <c r="B322" t="s">
        <v>375</v>
      </c>
      <c r="C322" t="s">
        <v>624</v>
      </c>
      <c r="D322" t="s">
        <v>1268</v>
      </c>
      <c r="E322" t="s">
        <v>1277</v>
      </c>
      <c r="F322" t="s">
        <v>1304</v>
      </c>
      <c r="G322" t="s">
        <v>1266</v>
      </c>
      <c r="H322" t="s">
        <v>1305</v>
      </c>
      <c r="I322" t="s">
        <v>1303</v>
      </c>
      <c r="J322" t="s">
        <v>1267</v>
      </c>
      <c r="K322" t="s">
        <v>1275</v>
      </c>
      <c r="L322" s="2" t="s">
        <v>1274</v>
      </c>
      <c r="M322" t="str">
        <f t="shared" ref="M322:AB322" si="1284">CONCATENATE("&lt;/li&gt;&lt;li&gt;&lt;a href=|http://",M1191,"/2_kings/9.htm","| ","title=|",M1190,"| target=|_top|&gt;",M1192,"&lt;/a&gt;")</f>
        <v>&lt;/li&gt;&lt;li&gt;&lt;a href=|http://niv.scripturetext.com/2_kings/9.htm| title=|New International Version| target=|_top|&gt;NIV&lt;/a&gt;</v>
      </c>
      <c r="N322" t="str">
        <f t="shared" si="1284"/>
        <v>&lt;/li&gt;&lt;li&gt;&lt;a href=|http://nlt.scripturetext.com/2_kings/9.htm| title=|New Living Translation| target=|_top|&gt;NLT&lt;/a&gt;</v>
      </c>
      <c r="O322" t="str">
        <f t="shared" si="1284"/>
        <v>&lt;/li&gt;&lt;li&gt;&lt;a href=|http://nasb.scripturetext.com/2_kings/9.htm| title=|New American Standard Bible| target=|_top|&gt;NAS&lt;/a&gt;</v>
      </c>
      <c r="P322" t="str">
        <f t="shared" si="1284"/>
        <v>&lt;/li&gt;&lt;li&gt;&lt;a href=|http://gwt.scripturetext.com/2_kings/9.htm| title=|God's Word Translation| target=|_top|&gt;GWT&lt;/a&gt;</v>
      </c>
      <c r="Q322" t="str">
        <f t="shared" si="1284"/>
        <v>&lt;/li&gt;&lt;li&gt;&lt;a href=|http://kingjbible.com/2_kings/9.htm| title=|King James Bible| target=|_top|&gt;KJV&lt;/a&gt;</v>
      </c>
      <c r="R322" t="str">
        <f t="shared" si="1284"/>
        <v>&lt;/li&gt;&lt;li&gt;&lt;a href=|http://asvbible.com/2_kings/9.htm| title=|American Standard Version| target=|_top|&gt;ASV&lt;/a&gt;</v>
      </c>
      <c r="S322" t="str">
        <f t="shared" si="1284"/>
        <v>&lt;/li&gt;&lt;li&gt;&lt;a href=|http://drb.scripturetext.com/2_kings/9.htm| title=|Douay-Rheims Bible| target=|_top|&gt;DRB&lt;/a&gt;</v>
      </c>
      <c r="T322" t="str">
        <f t="shared" si="1284"/>
        <v>&lt;/li&gt;&lt;li&gt;&lt;a href=|http://erv.scripturetext.com/2_kings/9.htm| title=|English Revised Version| target=|_top|&gt;ERV&lt;/a&gt;</v>
      </c>
      <c r="V322" t="str">
        <f>CONCATENATE("&lt;/li&gt;&lt;li&gt;&lt;a href=|http://",V1191,"/2_kings/9.htm","| ","title=|",V1190,"| target=|_top|&gt;",V1192,"&lt;/a&gt;")</f>
        <v>&lt;/li&gt;&lt;li&gt;&lt;a href=|http://study.interlinearbible.org/2_kings/9.htm| title=|Hebrew Study Bible| target=|_top|&gt;Heb Study&lt;/a&gt;</v>
      </c>
      <c r="W322" t="str">
        <f t="shared" si="1284"/>
        <v>&lt;/li&gt;&lt;li&gt;&lt;a href=|http://apostolic.interlinearbible.org/2_kings/9.htm| title=|Apostolic Bible Polyglot Interlinear| target=|_top|&gt;Polyglot&lt;/a&gt;</v>
      </c>
      <c r="X322" t="str">
        <f t="shared" si="1284"/>
        <v>&lt;/li&gt;&lt;li&gt;&lt;a href=|http://interlinearbible.org/2_kings/9.htm| title=|Interlinear Bible| target=|_top|&gt;Interlin&lt;/a&gt;</v>
      </c>
      <c r="Y322" t="str">
        <f t="shared" ref="Y322" si="1285">CONCATENATE("&lt;/li&gt;&lt;li&gt;&lt;a href=|http://",Y1191,"/2_kings/9.htm","| ","title=|",Y1190,"| target=|_top|&gt;",Y1192,"&lt;/a&gt;")</f>
        <v>&lt;/li&gt;&lt;li&gt;&lt;a href=|http://bibleoutline.org/2_kings/9.htm| title=|Outline with People and Places List| target=|_top|&gt;Outline&lt;/a&gt;</v>
      </c>
      <c r="Z322" t="str">
        <f t="shared" si="1284"/>
        <v>&lt;/li&gt;&lt;li&gt;&lt;a href=|http://kjvs.scripturetext.com/2_kings/9.htm| title=|King James Bible with Strong's Numbers| target=|_top|&gt;Strong's&lt;/a&gt;</v>
      </c>
      <c r="AA322" t="str">
        <f t="shared" si="1284"/>
        <v>&lt;/li&gt;&lt;li&gt;&lt;a href=|http://childrensbibleonline.com/2_kings/9.htm| title=|The Children's Bible| target=|_top|&gt;Children's&lt;/a&gt;</v>
      </c>
      <c r="AB322" s="2" t="str">
        <f t="shared" si="1284"/>
        <v>&lt;/li&gt;&lt;li&gt;&lt;a href=|http://tsk.scripturetext.com/2_kings/9.htm| title=|Treasury of Scripture Knowledge| target=|_top|&gt;TSK&lt;/a&gt;</v>
      </c>
      <c r="AC322" t="str">
        <f>CONCATENATE("&lt;a href=|http://",AC1191,"/2_kings/9.htm","| ","title=|",AC1190,"| target=|_top|&gt;",AC1192,"&lt;/a&gt;")</f>
        <v>&lt;a href=|http://parallelbible.com/2_kings/9.htm| title=|Parallel Chapters| target=|_top|&gt;PAR&lt;/a&gt;</v>
      </c>
      <c r="AD322" s="2" t="str">
        <f t="shared" ref="AD322:AK322" si="1286">CONCATENATE("&lt;/li&gt;&lt;li&gt;&lt;a href=|http://",AD1191,"/2_kings/9.htm","| ","title=|",AD1190,"| target=|_top|&gt;",AD1192,"&lt;/a&gt;")</f>
        <v>&lt;/li&gt;&lt;li&gt;&lt;a href=|http://gsb.biblecommenter.com/2_kings/9.htm| title=|Geneva Study Bible| target=|_top|&gt;GSB&lt;/a&gt;</v>
      </c>
      <c r="AE322" s="2" t="str">
        <f t="shared" si="1286"/>
        <v>&lt;/li&gt;&lt;li&gt;&lt;a href=|http://jfb.biblecommenter.com/2_kings/9.htm| title=|Jamieson-Fausset-Brown Bible Commentary| target=|_top|&gt;JFB&lt;/a&gt;</v>
      </c>
      <c r="AF322" s="2" t="str">
        <f t="shared" si="1286"/>
        <v>&lt;/li&gt;&lt;li&gt;&lt;a href=|http://kjt.biblecommenter.com/2_kings/9.htm| title=|King James Translators' Notes| target=|_top|&gt;KJT&lt;/a&gt;</v>
      </c>
      <c r="AG322" s="2" t="str">
        <f t="shared" si="1286"/>
        <v>&lt;/li&gt;&lt;li&gt;&lt;a href=|http://mhc.biblecommenter.com/2_kings/9.htm| title=|Matthew Henry's Concise Commentary| target=|_top|&gt;MHC&lt;/a&gt;</v>
      </c>
      <c r="AH322" s="2" t="str">
        <f t="shared" si="1286"/>
        <v>&lt;/li&gt;&lt;li&gt;&lt;a href=|http://sco.biblecommenter.com/2_kings/9.htm| title=|Scofield Reference Notes| target=|_top|&gt;SCO&lt;/a&gt;</v>
      </c>
      <c r="AI322" s="2" t="str">
        <f t="shared" si="1286"/>
        <v>&lt;/li&gt;&lt;li&gt;&lt;a href=|http://wes.biblecommenter.com/2_kings/9.htm| title=|Wesley's Notes on the Bible| target=|_top|&gt;WES&lt;/a&gt;</v>
      </c>
      <c r="AJ322" t="str">
        <f t="shared" si="1286"/>
        <v>&lt;/li&gt;&lt;li&gt;&lt;a href=|http://worldebible.com/2_kings/9.htm| title=|World English Bible| target=|_top|&gt;WEB&lt;/a&gt;</v>
      </c>
      <c r="AK322" t="str">
        <f t="shared" si="1286"/>
        <v>&lt;/li&gt;&lt;li&gt;&lt;a href=|http://yltbible.com/2_kings/9.htm| title=|Young's Literal Translation| target=|_top|&gt;YLT&lt;/a&gt;</v>
      </c>
      <c r="AL322" t="str">
        <f>CONCATENATE("&lt;a href=|http://",AL1191,"/2_kings/9.htm","| ","title=|",AL1190,"| target=|_top|&gt;",AL1192,"&lt;/a&gt;")</f>
        <v>&lt;a href=|http://kjv.us/2_kings/9.htm| title=|American King James Version| target=|_top|&gt;AKJ&lt;/a&gt;</v>
      </c>
      <c r="AM322" t="str">
        <f t="shared" ref="AM322:AN322" si="1287">CONCATENATE("&lt;/li&gt;&lt;li&gt;&lt;a href=|http://",AM1191,"/2_kings/9.htm","| ","title=|",AM1190,"| target=|_top|&gt;",AM1192,"&lt;/a&gt;")</f>
        <v>&lt;/li&gt;&lt;li&gt;&lt;a href=|http://basicenglishbible.com/2_kings/9.htm| title=|Bible in Basic English| target=|_top|&gt;BBE&lt;/a&gt;</v>
      </c>
      <c r="AN322" t="str">
        <f t="shared" si="1287"/>
        <v>&lt;/li&gt;&lt;li&gt;&lt;a href=|http://darbybible.com/2_kings/9.htm| title=|Darby Bible Translation| target=|_top|&gt;DBY&lt;/a&gt;</v>
      </c>
      <c r="AO32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2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2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22" t="str">
        <f>CONCATENATE("&lt;/li&gt;&lt;li&gt;&lt;a href=|http://",AR1191,"/2_kings/9.htm","| ","title=|",AR1190,"| target=|_top|&gt;",AR1192,"&lt;/a&gt;")</f>
        <v>&lt;/li&gt;&lt;li&gt;&lt;a href=|http://websterbible.com/2_kings/9.htm| title=|Webster's Bible Translation| target=|_top|&gt;WBS&lt;/a&gt;</v>
      </c>
      <c r="AS32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22" t="str">
        <f>CONCATENATE("&lt;/li&gt;&lt;li&gt;&lt;a href=|http://",AT1191,"/2_kings/9-1.htm","| ","title=|",AT1190,"| target=|_top|&gt;",AT1192,"&lt;/a&gt;")</f>
        <v>&lt;/li&gt;&lt;li&gt;&lt;a href=|http://biblebrowser.com/2_kings/9-1.htm| title=|Split View| target=|_top|&gt;Split&lt;/a&gt;</v>
      </c>
      <c r="AU322" s="2" t="s">
        <v>1276</v>
      </c>
      <c r="AV322" t="s">
        <v>64</v>
      </c>
    </row>
    <row r="323" spans="1:48">
      <c r="A323" t="s">
        <v>622</v>
      </c>
      <c r="B323" t="s">
        <v>376</v>
      </c>
      <c r="C323" t="s">
        <v>624</v>
      </c>
      <c r="D323" t="s">
        <v>1268</v>
      </c>
      <c r="E323" t="s">
        <v>1277</v>
      </c>
      <c r="F323" t="s">
        <v>1304</v>
      </c>
      <c r="G323" t="s">
        <v>1266</v>
      </c>
      <c r="H323" t="s">
        <v>1305</v>
      </c>
      <c r="I323" t="s">
        <v>1303</v>
      </c>
      <c r="J323" t="s">
        <v>1267</v>
      </c>
      <c r="K323" t="s">
        <v>1275</v>
      </c>
      <c r="L323" s="2" t="s">
        <v>1274</v>
      </c>
      <c r="M323" t="str">
        <f t="shared" ref="M323:AB323" si="1288">CONCATENATE("&lt;/li&gt;&lt;li&gt;&lt;a href=|http://",M1191,"/2_kings/10.htm","| ","title=|",M1190,"| target=|_top|&gt;",M1192,"&lt;/a&gt;")</f>
        <v>&lt;/li&gt;&lt;li&gt;&lt;a href=|http://niv.scripturetext.com/2_kings/10.htm| title=|New International Version| target=|_top|&gt;NIV&lt;/a&gt;</v>
      </c>
      <c r="N323" t="str">
        <f t="shared" si="1288"/>
        <v>&lt;/li&gt;&lt;li&gt;&lt;a href=|http://nlt.scripturetext.com/2_kings/10.htm| title=|New Living Translation| target=|_top|&gt;NLT&lt;/a&gt;</v>
      </c>
      <c r="O323" t="str">
        <f t="shared" si="1288"/>
        <v>&lt;/li&gt;&lt;li&gt;&lt;a href=|http://nasb.scripturetext.com/2_kings/10.htm| title=|New American Standard Bible| target=|_top|&gt;NAS&lt;/a&gt;</v>
      </c>
      <c r="P323" t="str">
        <f t="shared" si="1288"/>
        <v>&lt;/li&gt;&lt;li&gt;&lt;a href=|http://gwt.scripturetext.com/2_kings/10.htm| title=|God's Word Translation| target=|_top|&gt;GWT&lt;/a&gt;</v>
      </c>
      <c r="Q323" t="str">
        <f t="shared" si="1288"/>
        <v>&lt;/li&gt;&lt;li&gt;&lt;a href=|http://kingjbible.com/2_kings/10.htm| title=|King James Bible| target=|_top|&gt;KJV&lt;/a&gt;</v>
      </c>
      <c r="R323" t="str">
        <f t="shared" si="1288"/>
        <v>&lt;/li&gt;&lt;li&gt;&lt;a href=|http://asvbible.com/2_kings/10.htm| title=|American Standard Version| target=|_top|&gt;ASV&lt;/a&gt;</v>
      </c>
      <c r="S323" t="str">
        <f t="shared" si="1288"/>
        <v>&lt;/li&gt;&lt;li&gt;&lt;a href=|http://drb.scripturetext.com/2_kings/10.htm| title=|Douay-Rheims Bible| target=|_top|&gt;DRB&lt;/a&gt;</v>
      </c>
      <c r="T323" t="str">
        <f t="shared" si="1288"/>
        <v>&lt;/li&gt;&lt;li&gt;&lt;a href=|http://erv.scripturetext.com/2_kings/10.htm| title=|English Revised Version| target=|_top|&gt;ERV&lt;/a&gt;</v>
      </c>
      <c r="V323" t="str">
        <f>CONCATENATE("&lt;/li&gt;&lt;li&gt;&lt;a href=|http://",V1191,"/2_kings/10.htm","| ","title=|",V1190,"| target=|_top|&gt;",V1192,"&lt;/a&gt;")</f>
        <v>&lt;/li&gt;&lt;li&gt;&lt;a href=|http://study.interlinearbible.org/2_kings/10.htm| title=|Hebrew Study Bible| target=|_top|&gt;Heb Study&lt;/a&gt;</v>
      </c>
      <c r="W323" t="str">
        <f t="shared" si="1288"/>
        <v>&lt;/li&gt;&lt;li&gt;&lt;a href=|http://apostolic.interlinearbible.org/2_kings/10.htm| title=|Apostolic Bible Polyglot Interlinear| target=|_top|&gt;Polyglot&lt;/a&gt;</v>
      </c>
      <c r="X323" t="str">
        <f t="shared" si="1288"/>
        <v>&lt;/li&gt;&lt;li&gt;&lt;a href=|http://interlinearbible.org/2_kings/10.htm| title=|Interlinear Bible| target=|_top|&gt;Interlin&lt;/a&gt;</v>
      </c>
      <c r="Y323" t="str">
        <f t="shared" ref="Y323" si="1289">CONCATENATE("&lt;/li&gt;&lt;li&gt;&lt;a href=|http://",Y1191,"/2_kings/10.htm","| ","title=|",Y1190,"| target=|_top|&gt;",Y1192,"&lt;/a&gt;")</f>
        <v>&lt;/li&gt;&lt;li&gt;&lt;a href=|http://bibleoutline.org/2_kings/10.htm| title=|Outline with People and Places List| target=|_top|&gt;Outline&lt;/a&gt;</v>
      </c>
      <c r="Z323" t="str">
        <f t="shared" si="1288"/>
        <v>&lt;/li&gt;&lt;li&gt;&lt;a href=|http://kjvs.scripturetext.com/2_kings/10.htm| title=|King James Bible with Strong's Numbers| target=|_top|&gt;Strong's&lt;/a&gt;</v>
      </c>
      <c r="AA323" t="str">
        <f t="shared" si="1288"/>
        <v>&lt;/li&gt;&lt;li&gt;&lt;a href=|http://childrensbibleonline.com/2_kings/10.htm| title=|The Children's Bible| target=|_top|&gt;Children's&lt;/a&gt;</v>
      </c>
      <c r="AB323" s="2" t="str">
        <f t="shared" si="1288"/>
        <v>&lt;/li&gt;&lt;li&gt;&lt;a href=|http://tsk.scripturetext.com/2_kings/10.htm| title=|Treasury of Scripture Knowledge| target=|_top|&gt;TSK&lt;/a&gt;</v>
      </c>
      <c r="AC323" t="str">
        <f>CONCATENATE("&lt;a href=|http://",AC1191,"/2_kings/10.htm","| ","title=|",AC1190,"| target=|_top|&gt;",AC1192,"&lt;/a&gt;")</f>
        <v>&lt;a href=|http://parallelbible.com/2_kings/10.htm| title=|Parallel Chapters| target=|_top|&gt;PAR&lt;/a&gt;</v>
      </c>
      <c r="AD323" s="2" t="str">
        <f t="shared" ref="AD323:AK323" si="1290">CONCATENATE("&lt;/li&gt;&lt;li&gt;&lt;a href=|http://",AD1191,"/2_kings/10.htm","| ","title=|",AD1190,"| target=|_top|&gt;",AD1192,"&lt;/a&gt;")</f>
        <v>&lt;/li&gt;&lt;li&gt;&lt;a href=|http://gsb.biblecommenter.com/2_kings/10.htm| title=|Geneva Study Bible| target=|_top|&gt;GSB&lt;/a&gt;</v>
      </c>
      <c r="AE323" s="2" t="str">
        <f t="shared" si="1290"/>
        <v>&lt;/li&gt;&lt;li&gt;&lt;a href=|http://jfb.biblecommenter.com/2_kings/10.htm| title=|Jamieson-Fausset-Brown Bible Commentary| target=|_top|&gt;JFB&lt;/a&gt;</v>
      </c>
      <c r="AF323" s="2" t="str">
        <f t="shared" si="1290"/>
        <v>&lt;/li&gt;&lt;li&gt;&lt;a href=|http://kjt.biblecommenter.com/2_kings/10.htm| title=|King James Translators' Notes| target=|_top|&gt;KJT&lt;/a&gt;</v>
      </c>
      <c r="AG323" s="2" t="str">
        <f t="shared" si="1290"/>
        <v>&lt;/li&gt;&lt;li&gt;&lt;a href=|http://mhc.biblecommenter.com/2_kings/10.htm| title=|Matthew Henry's Concise Commentary| target=|_top|&gt;MHC&lt;/a&gt;</v>
      </c>
      <c r="AH323" s="2" t="str">
        <f t="shared" si="1290"/>
        <v>&lt;/li&gt;&lt;li&gt;&lt;a href=|http://sco.biblecommenter.com/2_kings/10.htm| title=|Scofield Reference Notes| target=|_top|&gt;SCO&lt;/a&gt;</v>
      </c>
      <c r="AI323" s="2" t="str">
        <f t="shared" si="1290"/>
        <v>&lt;/li&gt;&lt;li&gt;&lt;a href=|http://wes.biblecommenter.com/2_kings/10.htm| title=|Wesley's Notes on the Bible| target=|_top|&gt;WES&lt;/a&gt;</v>
      </c>
      <c r="AJ323" t="str">
        <f t="shared" si="1290"/>
        <v>&lt;/li&gt;&lt;li&gt;&lt;a href=|http://worldebible.com/2_kings/10.htm| title=|World English Bible| target=|_top|&gt;WEB&lt;/a&gt;</v>
      </c>
      <c r="AK323" t="str">
        <f t="shared" si="1290"/>
        <v>&lt;/li&gt;&lt;li&gt;&lt;a href=|http://yltbible.com/2_kings/10.htm| title=|Young's Literal Translation| target=|_top|&gt;YLT&lt;/a&gt;</v>
      </c>
      <c r="AL323" t="str">
        <f>CONCATENATE("&lt;a href=|http://",AL1191,"/2_kings/10.htm","| ","title=|",AL1190,"| target=|_top|&gt;",AL1192,"&lt;/a&gt;")</f>
        <v>&lt;a href=|http://kjv.us/2_kings/10.htm| title=|American King James Version| target=|_top|&gt;AKJ&lt;/a&gt;</v>
      </c>
      <c r="AM323" t="str">
        <f t="shared" ref="AM323:AN323" si="1291">CONCATENATE("&lt;/li&gt;&lt;li&gt;&lt;a href=|http://",AM1191,"/2_kings/10.htm","| ","title=|",AM1190,"| target=|_top|&gt;",AM1192,"&lt;/a&gt;")</f>
        <v>&lt;/li&gt;&lt;li&gt;&lt;a href=|http://basicenglishbible.com/2_kings/10.htm| title=|Bible in Basic English| target=|_top|&gt;BBE&lt;/a&gt;</v>
      </c>
      <c r="AN323" t="str">
        <f t="shared" si="1291"/>
        <v>&lt;/li&gt;&lt;li&gt;&lt;a href=|http://darbybible.com/2_kings/10.htm| title=|Darby Bible Translation| target=|_top|&gt;DBY&lt;/a&gt;</v>
      </c>
      <c r="AO32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2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2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23" t="str">
        <f>CONCATENATE("&lt;/li&gt;&lt;li&gt;&lt;a href=|http://",AR1191,"/2_kings/10.htm","| ","title=|",AR1190,"| target=|_top|&gt;",AR1192,"&lt;/a&gt;")</f>
        <v>&lt;/li&gt;&lt;li&gt;&lt;a href=|http://websterbible.com/2_kings/10.htm| title=|Webster's Bible Translation| target=|_top|&gt;WBS&lt;/a&gt;</v>
      </c>
      <c r="AS32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23" t="str">
        <f>CONCATENATE("&lt;/li&gt;&lt;li&gt;&lt;a href=|http://",AT1191,"/2_kings/10-1.htm","| ","title=|",AT1190,"| target=|_top|&gt;",AT1192,"&lt;/a&gt;")</f>
        <v>&lt;/li&gt;&lt;li&gt;&lt;a href=|http://biblebrowser.com/2_kings/10-1.htm| title=|Split View| target=|_top|&gt;Split&lt;/a&gt;</v>
      </c>
      <c r="AU323" s="2" t="s">
        <v>1276</v>
      </c>
      <c r="AV323" t="s">
        <v>64</v>
      </c>
    </row>
    <row r="324" spans="1:48">
      <c r="A324" t="s">
        <v>622</v>
      </c>
      <c r="B324" t="s">
        <v>377</v>
      </c>
      <c r="C324" t="s">
        <v>624</v>
      </c>
      <c r="D324" t="s">
        <v>1268</v>
      </c>
      <c r="E324" t="s">
        <v>1277</v>
      </c>
      <c r="F324" t="s">
        <v>1304</v>
      </c>
      <c r="G324" t="s">
        <v>1266</v>
      </c>
      <c r="H324" t="s">
        <v>1305</v>
      </c>
      <c r="I324" t="s">
        <v>1303</v>
      </c>
      <c r="J324" t="s">
        <v>1267</v>
      </c>
      <c r="K324" t="s">
        <v>1275</v>
      </c>
      <c r="L324" s="2" t="s">
        <v>1274</v>
      </c>
      <c r="M324" t="str">
        <f t="shared" ref="M324:AB324" si="1292">CONCATENATE("&lt;/li&gt;&lt;li&gt;&lt;a href=|http://",M1191,"/2_kings/11.htm","| ","title=|",M1190,"| target=|_top|&gt;",M1192,"&lt;/a&gt;")</f>
        <v>&lt;/li&gt;&lt;li&gt;&lt;a href=|http://niv.scripturetext.com/2_kings/11.htm| title=|New International Version| target=|_top|&gt;NIV&lt;/a&gt;</v>
      </c>
      <c r="N324" t="str">
        <f t="shared" si="1292"/>
        <v>&lt;/li&gt;&lt;li&gt;&lt;a href=|http://nlt.scripturetext.com/2_kings/11.htm| title=|New Living Translation| target=|_top|&gt;NLT&lt;/a&gt;</v>
      </c>
      <c r="O324" t="str">
        <f t="shared" si="1292"/>
        <v>&lt;/li&gt;&lt;li&gt;&lt;a href=|http://nasb.scripturetext.com/2_kings/11.htm| title=|New American Standard Bible| target=|_top|&gt;NAS&lt;/a&gt;</v>
      </c>
      <c r="P324" t="str">
        <f t="shared" si="1292"/>
        <v>&lt;/li&gt;&lt;li&gt;&lt;a href=|http://gwt.scripturetext.com/2_kings/11.htm| title=|God's Word Translation| target=|_top|&gt;GWT&lt;/a&gt;</v>
      </c>
      <c r="Q324" t="str">
        <f t="shared" si="1292"/>
        <v>&lt;/li&gt;&lt;li&gt;&lt;a href=|http://kingjbible.com/2_kings/11.htm| title=|King James Bible| target=|_top|&gt;KJV&lt;/a&gt;</v>
      </c>
      <c r="R324" t="str">
        <f t="shared" si="1292"/>
        <v>&lt;/li&gt;&lt;li&gt;&lt;a href=|http://asvbible.com/2_kings/11.htm| title=|American Standard Version| target=|_top|&gt;ASV&lt;/a&gt;</v>
      </c>
      <c r="S324" t="str">
        <f t="shared" si="1292"/>
        <v>&lt;/li&gt;&lt;li&gt;&lt;a href=|http://drb.scripturetext.com/2_kings/11.htm| title=|Douay-Rheims Bible| target=|_top|&gt;DRB&lt;/a&gt;</v>
      </c>
      <c r="T324" t="str">
        <f t="shared" si="1292"/>
        <v>&lt;/li&gt;&lt;li&gt;&lt;a href=|http://erv.scripturetext.com/2_kings/11.htm| title=|English Revised Version| target=|_top|&gt;ERV&lt;/a&gt;</v>
      </c>
      <c r="V324" t="str">
        <f>CONCATENATE("&lt;/li&gt;&lt;li&gt;&lt;a href=|http://",V1191,"/2_kings/11.htm","| ","title=|",V1190,"| target=|_top|&gt;",V1192,"&lt;/a&gt;")</f>
        <v>&lt;/li&gt;&lt;li&gt;&lt;a href=|http://study.interlinearbible.org/2_kings/11.htm| title=|Hebrew Study Bible| target=|_top|&gt;Heb Study&lt;/a&gt;</v>
      </c>
      <c r="W324" t="str">
        <f t="shared" si="1292"/>
        <v>&lt;/li&gt;&lt;li&gt;&lt;a href=|http://apostolic.interlinearbible.org/2_kings/11.htm| title=|Apostolic Bible Polyglot Interlinear| target=|_top|&gt;Polyglot&lt;/a&gt;</v>
      </c>
      <c r="X324" t="str">
        <f t="shared" si="1292"/>
        <v>&lt;/li&gt;&lt;li&gt;&lt;a href=|http://interlinearbible.org/2_kings/11.htm| title=|Interlinear Bible| target=|_top|&gt;Interlin&lt;/a&gt;</v>
      </c>
      <c r="Y324" t="str">
        <f t="shared" ref="Y324" si="1293">CONCATENATE("&lt;/li&gt;&lt;li&gt;&lt;a href=|http://",Y1191,"/2_kings/11.htm","| ","title=|",Y1190,"| target=|_top|&gt;",Y1192,"&lt;/a&gt;")</f>
        <v>&lt;/li&gt;&lt;li&gt;&lt;a href=|http://bibleoutline.org/2_kings/11.htm| title=|Outline with People and Places List| target=|_top|&gt;Outline&lt;/a&gt;</v>
      </c>
      <c r="Z324" t="str">
        <f t="shared" si="1292"/>
        <v>&lt;/li&gt;&lt;li&gt;&lt;a href=|http://kjvs.scripturetext.com/2_kings/11.htm| title=|King James Bible with Strong's Numbers| target=|_top|&gt;Strong's&lt;/a&gt;</v>
      </c>
      <c r="AA324" t="str">
        <f t="shared" si="1292"/>
        <v>&lt;/li&gt;&lt;li&gt;&lt;a href=|http://childrensbibleonline.com/2_kings/11.htm| title=|The Children's Bible| target=|_top|&gt;Children's&lt;/a&gt;</v>
      </c>
      <c r="AB324" s="2" t="str">
        <f t="shared" si="1292"/>
        <v>&lt;/li&gt;&lt;li&gt;&lt;a href=|http://tsk.scripturetext.com/2_kings/11.htm| title=|Treasury of Scripture Knowledge| target=|_top|&gt;TSK&lt;/a&gt;</v>
      </c>
      <c r="AC324" t="str">
        <f>CONCATENATE("&lt;a href=|http://",AC1191,"/2_kings/11.htm","| ","title=|",AC1190,"| target=|_top|&gt;",AC1192,"&lt;/a&gt;")</f>
        <v>&lt;a href=|http://parallelbible.com/2_kings/11.htm| title=|Parallel Chapters| target=|_top|&gt;PAR&lt;/a&gt;</v>
      </c>
      <c r="AD324" s="2" t="str">
        <f t="shared" ref="AD324:AK324" si="1294">CONCATENATE("&lt;/li&gt;&lt;li&gt;&lt;a href=|http://",AD1191,"/2_kings/11.htm","| ","title=|",AD1190,"| target=|_top|&gt;",AD1192,"&lt;/a&gt;")</f>
        <v>&lt;/li&gt;&lt;li&gt;&lt;a href=|http://gsb.biblecommenter.com/2_kings/11.htm| title=|Geneva Study Bible| target=|_top|&gt;GSB&lt;/a&gt;</v>
      </c>
      <c r="AE324" s="2" t="str">
        <f t="shared" si="1294"/>
        <v>&lt;/li&gt;&lt;li&gt;&lt;a href=|http://jfb.biblecommenter.com/2_kings/11.htm| title=|Jamieson-Fausset-Brown Bible Commentary| target=|_top|&gt;JFB&lt;/a&gt;</v>
      </c>
      <c r="AF324" s="2" t="str">
        <f t="shared" si="1294"/>
        <v>&lt;/li&gt;&lt;li&gt;&lt;a href=|http://kjt.biblecommenter.com/2_kings/11.htm| title=|King James Translators' Notes| target=|_top|&gt;KJT&lt;/a&gt;</v>
      </c>
      <c r="AG324" s="2" t="str">
        <f t="shared" si="1294"/>
        <v>&lt;/li&gt;&lt;li&gt;&lt;a href=|http://mhc.biblecommenter.com/2_kings/11.htm| title=|Matthew Henry's Concise Commentary| target=|_top|&gt;MHC&lt;/a&gt;</v>
      </c>
      <c r="AH324" s="2" t="str">
        <f t="shared" si="1294"/>
        <v>&lt;/li&gt;&lt;li&gt;&lt;a href=|http://sco.biblecommenter.com/2_kings/11.htm| title=|Scofield Reference Notes| target=|_top|&gt;SCO&lt;/a&gt;</v>
      </c>
      <c r="AI324" s="2" t="str">
        <f t="shared" si="1294"/>
        <v>&lt;/li&gt;&lt;li&gt;&lt;a href=|http://wes.biblecommenter.com/2_kings/11.htm| title=|Wesley's Notes on the Bible| target=|_top|&gt;WES&lt;/a&gt;</v>
      </c>
      <c r="AJ324" t="str">
        <f t="shared" si="1294"/>
        <v>&lt;/li&gt;&lt;li&gt;&lt;a href=|http://worldebible.com/2_kings/11.htm| title=|World English Bible| target=|_top|&gt;WEB&lt;/a&gt;</v>
      </c>
      <c r="AK324" t="str">
        <f t="shared" si="1294"/>
        <v>&lt;/li&gt;&lt;li&gt;&lt;a href=|http://yltbible.com/2_kings/11.htm| title=|Young's Literal Translation| target=|_top|&gt;YLT&lt;/a&gt;</v>
      </c>
      <c r="AL324" t="str">
        <f>CONCATENATE("&lt;a href=|http://",AL1191,"/2_kings/11.htm","| ","title=|",AL1190,"| target=|_top|&gt;",AL1192,"&lt;/a&gt;")</f>
        <v>&lt;a href=|http://kjv.us/2_kings/11.htm| title=|American King James Version| target=|_top|&gt;AKJ&lt;/a&gt;</v>
      </c>
      <c r="AM324" t="str">
        <f t="shared" ref="AM324:AN324" si="1295">CONCATENATE("&lt;/li&gt;&lt;li&gt;&lt;a href=|http://",AM1191,"/2_kings/11.htm","| ","title=|",AM1190,"| target=|_top|&gt;",AM1192,"&lt;/a&gt;")</f>
        <v>&lt;/li&gt;&lt;li&gt;&lt;a href=|http://basicenglishbible.com/2_kings/11.htm| title=|Bible in Basic English| target=|_top|&gt;BBE&lt;/a&gt;</v>
      </c>
      <c r="AN324" t="str">
        <f t="shared" si="1295"/>
        <v>&lt;/li&gt;&lt;li&gt;&lt;a href=|http://darbybible.com/2_kings/11.htm| title=|Darby Bible Translation| target=|_top|&gt;DBY&lt;/a&gt;</v>
      </c>
      <c r="AO32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2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2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24" t="str">
        <f>CONCATENATE("&lt;/li&gt;&lt;li&gt;&lt;a href=|http://",AR1191,"/2_kings/11.htm","| ","title=|",AR1190,"| target=|_top|&gt;",AR1192,"&lt;/a&gt;")</f>
        <v>&lt;/li&gt;&lt;li&gt;&lt;a href=|http://websterbible.com/2_kings/11.htm| title=|Webster's Bible Translation| target=|_top|&gt;WBS&lt;/a&gt;</v>
      </c>
      <c r="AS32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24" t="str">
        <f>CONCATENATE("&lt;/li&gt;&lt;li&gt;&lt;a href=|http://",AT1191,"/2_kings/11-1.htm","| ","title=|",AT1190,"| target=|_top|&gt;",AT1192,"&lt;/a&gt;")</f>
        <v>&lt;/li&gt;&lt;li&gt;&lt;a href=|http://biblebrowser.com/2_kings/11-1.htm| title=|Split View| target=|_top|&gt;Split&lt;/a&gt;</v>
      </c>
      <c r="AU324" s="2" t="s">
        <v>1276</v>
      </c>
      <c r="AV324" t="s">
        <v>64</v>
      </c>
    </row>
    <row r="325" spans="1:48">
      <c r="A325" t="s">
        <v>622</v>
      </c>
      <c r="B325" t="s">
        <v>378</v>
      </c>
      <c r="C325" t="s">
        <v>624</v>
      </c>
      <c r="D325" t="s">
        <v>1268</v>
      </c>
      <c r="E325" t="s">
        <v>1277</v>
      </c>
      <c r="F325" t="s">
        <v>1304</v>
      </c>
      <c r="G325" t="s">
        <v>1266</v>
      </c>
      <c r="H325" t="s">
        <v>1305</v>
      </c>
      <c r="I325" t="s">
        <v>1303</v>
      </c>
      <c r="J325" t="s">
        <v>1267</v>
      </c>
      <c r="K325" t="s">
        <v>1275</v>
      </c>
      <c r="L325" s="2" t="s">
        <v>1274</v>
      </c>
      <c r="M325" t="str">
        <f t="shared" ref="M325:AB325" si="1296">CONCATENATE("&lt;/li&gt;&lt;li&gt;&lt;a href=|http://",M1191,"/2_kings/12.htm","| ","title=|",M1190,"| target=|_top|&gt;",M1192,"&lt;/a&gt;")</f>
        <v>&lt;/li&gt;&lt;li&gt;&lt;a href=|http://niv.scripturetext.com/2_kings/12.htm| title=|New International Version| target=|_top|&gt;NIV&lt;/a&gt;</v>
      </c>
      <c r="N325" t="str">
        <f t="shared" si="1296"/>
        <v>&lt;/li&gt;&lt;li&gt;&lt;a href=|http://nlt.scripturetext.com/2_kings/12.htm| title=|New Living Translation| target=|_top|&gt;NLT&lt;/a&gt;</v>
      </c>
      <c r="O325" t="str">
        <f t="shared" si="1296"/>
        <v>&lt;/li&gt;&lt;li&gt;&lt;a href=|http://nasb.scripturetext.com/2_kings/12.htm| title=|New American Standard Bible| target=|_top|&gt;NAS&lt;/a&gt;</v>
      </c>
      <c r="P325" t="str">
        <f t="shared" si="1296"/>
        <v>&lt;/li&gt;&lt;li&gt;&lt;a href=|http://gwt.scripturetext.com/2_kings/12.htm| title=|God's Word Translation| target=|_top|&gt;GWT&lt;/a&gt;</v>
      </c>
      <c r="Q325" t="str">
        <f t="shared" si="1296"/>
        <v>&lt;/li&gt;&lt;li&gt;&lt;a href=|http://kingjbible.com/2_kings/12.htm| title=|King James Bible| target=|_top|&gt;KJV&lt;/a&gt;</v>
      </c>
      <c r="R325" t="str">
        <f t="shared" si="1296"/>
        <v>&lt;/li&gt;&lt;li&gt;&lt;a href=|http://asvbible.com/2_kings/12.htm| title=|American Standard Version| target=|_top|&gt;ASV&lt;/a&gt;</v>
      </c>
      <c r="S325" t="str">
        <f t="shared" si="1296"/>
        <v>&lt;/li&gt;&lt;li&gt;&lt;a href=|http://drb.scripturetext.com/2_kings/12.htm| title=|Douay-Rheims Bible| target=|_top|&gt;DRB&lt;/a&gt;</v>
      </c>
      <c r="T325" t="str">
        <f t="shared" si="1296"/>
        <v>&lt;/li&gt;&lt;li&gt;&lt;a href=|http://erv.scripturetext.com/2_kings/12.htm| title=|English Revised Version| target=|_top|&gt;ERV&lt;/a&gt;</v>
      </c>
      <c r="V325" t="str">
        <f>CONCATENATE("&lt;/li&gt;&lt;li&gt;&lt;a href=|http://",V1191,"/2_kings/12.htm","| ","title=|",V1190,"| target=|_top|&gt;",V1192,"&lt;/a&gt;")</f>
        <v>&lt;/li&gt;&lt;li&gt;&lt;a href=|http://study.interlinearbible.org/2_kings/12.htm| title=|Hebrew Study Bible| target=|_top|&gt;Heb Study&lt;/a&gt;</v>
      </c>
      <c r="W325" t="str">
        <f t="shared" si="1296"/>
        <v>&lt;/li&gt;&lt;li&gt;&lt;a href=|http://apostolic.interlinearbible.org/2_kings/12.htm| title=|Apostolic Bible Polyglot Interlinear| target=|_top|&gt;Polyglot&lt;/a&gt;</v>
      </c>
      <c r="X325" t="str">
        <f t="shared" si="1296"/>
        <v>&lt;/li&gt;&lt;li&gt;&lt;a href=|http://interlinearbible.org/2_kings/12.htm| title=|Interlinear Bible| target=|_top|&gt;Interlin&lt;/a&gt;</v>
      </c>
      <c r="Y325" t="str">
        <f t="shared" ref="Y325" si="1297">CONCATENATE("&lt;/li&gt;&lt;li&gt;&lt;a href=|http://",Y1191,"/2_kings/12.htm","| ","title=|",Y1190,"| target=|_top|&gt;",Y1192,"&lt;/a&gt;")</f>
        <v>&lt;/li&gt;&lt;li&gt;&lt;a href=|http://bibleoutline.org/2_kings/12.htm| title=|Outline with People and Places List| target=|_top|&gt;Outline&lt;/a&gt;</v>
      </c>
      <c r="Z325" t="str">
        <f t="shared" si="1296"/>
        <v>&lt;/li&gt;&lt;li&gt;&lt;a href=|http://kjvs.scripturetext.com/2_kings/12.htm| title=|King James Bible with Strong's Numbers| target=|_top|&gt;Strong's&lt;/a&gt;</v>
      </c>
      <c r="AA325" t="str">
        <f t="shared" si="1296"/>
        <v>&lt;/li&gt;&lt;li&gt;&lt;a href=|http://childrensbibleonline.com/2_kings/12.htm| title=|The Children's Bible| target=|_top|&gt;Children's&lt;/a&gt;</v>
      </c>
      <c r="AB325" s="2" t="str">
        <f t="shared" si="1296"/>
        <v>&lt;/li&gt;&lt;li&gt;&lt;a href=|http://tsk.scripturetext.com/2_kings/12.htm| title=|Treasury of Scripture Knowledge| target=|_top|&gt;TSK&lt;/a&gt;</v>
      </c>
      <c r="AC325" t="str">
        <f>CONCATENATE("&lt;a href=|http://",AC1191,"/2_kings/12.htm","| ","title=|",AC1190,"| target=|_top|&gt;",AC1192,"&lt;/a&gt;")</f>
        <v>&lt;a href=|http://parallelbible.com/2_kings/12.htm| title=|Parallel Chapters| target=|_top|&gt;PAR&lt;/a&gt;</v>
      </c>
      <c r="AD325" s="2" t="str">
        <f t="shared" ref="AD325:AK325" si="1298">CONCATENATE("&lt;/li&gt;&lt;li&gt;&lt;a href=|http://",AD1191,"/2_kings/12.htm","| ","title=|",AD1190,"| target=|_top|&gt;",AD1192,"&lt;/a&gt;")</f>
        <v>&lt;/li&gt;&lt;li&gt;&lt;a href=|http://gsb.biblecommenter.com/2_kings/12.htm| title=|Geneva Study Bible| target=|_top|&gt;GSB&lt;/a&gt;</v>
      </c>
      <c r="AE325" s="2" t="str">
        <f t="shared" si="1298"/>
        <v>&lt;/li&gt;&lt;li&gt;&lt;a href=|http://jfb.biblecommenter.com/2_kings/12.htm| title=|Jamieson-Fausset-Brown Bible Commentary| target=|_top|&gt;JFB&lt;/a&gt;</v>
      </c>
      <c r="AF325" s="2" t="str">
        <f t="shared" si="1298"/>
        <v>&lt;/li&gt;&lt;li&gt;&lt;a href=|http://kjt.biblecommenter.com/2_kings/12.htm| title=|King James Translators' Notes| target=|_top|&gt;KJT&lt;/a&gt;</v>
      </c>
      <c r="AG325" s="2" t="str">
        <f t="shared" si="1298"/>
        <v>&lt;/li&gt;&lt;li&gt;&lt;a href=|http://mhc.biblecommenter.com/2_kings/12.htm| title=|Matthew Henry's Concise Commentary| target=|_top|&gt;MHC&lt;/a&gt;</v>
      </c>
      <c r="AH325" s="2" t="str">
        <f t="shared" si="1298"/>
        <v>&lt;/li&gt;&lt;li&gt;&lt;a href=|http://sco.biblecommenter.com/2_kings/12.htm| title=|Scofield Reference Notes| target=|_top|&gt;SCO&lt;/a&gt;</v>
      </c>
      <c r="AI325" s="2" t="str">
        <f t="shared" si="1298"/>
        <v>&lt;/li&gt;&lt;li&gt;&lt;a href=|http://wes.biblecommenter.com/2_kings/12.htm| title=|Wesley's Notes on the Bible| target=|_top|&gt;WES&lt;/a&gt;</v>
      </c>
      <c r="AJ325" t="str">
        <f t="shared" si="1298"/>
        <v>&lt;/li&gt;&lt;li&gt;&lt;a href=|http://worldebible.com/2_kings/12.htm| title=|World English Bible| target=|_top|&gt;WEB&lt;/a&gt;</v>
      </c>
      <c r="AK325" t="str">
        <f t="shared" si="1298"/>
        <v>&lt;/li&gt;&lt;li&gt;&lt;a href=|http://yltbible.com/2_kings/12.htm| title=|Young's Literal Translation| target=|_top|&gt;YLT&lt;/a&gt;</v>
      </c>
      <c r="AL325" t="str">
        <f>CONCATENATE("&lt;a href=|http://",AL1191,"/2_kings/12.htm","| ","title=|",AL1190,"| target=|_top|&gt;",AL1192,"&lt;/a&gt;")</f>
        <v>&lt;a href=|http://kjv.us/2_kings/12.htm| title=|American King James Version| target=|_top|&gt;AKJ&lt;/a&gt;</v>
      </c>
      <c r="AM325" t="str">
        <f t="shared" ref="AM325:AN325" si="1299">CONCATENATE("&lt;/li&gt;&lt;li&gt;&lt;a href=|http://",AM1191,"/2_kings/12.htm","| ","title=|",AM1190,"| target=|_top|&gt;",AM1192,"&lt;/a&gt;")</f>
        <v>&lt;/li&gt;&lt;li&gt;&lt;a href=|http://basicenglishbible.com/2_kings/12.htm| title=|Bible in Basic English| target=|_top|&gt;BBE&lt;/a&gt;</v>
      </c>
      <c r="AN325" t="str">
        <f t="shared" si="1299"/>
        <v>&lt;/li&gt;&lt;li&gt;&lt;a href=|http://darbybible.com/2_kings/12.htm| title=|Darby Bible Translation| target=|_top|&gt;DBY&lt;/a&gt;</v>
      </c>
      <c r="AO32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2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2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25" t="str">
        <f>CONCATENATE("&lt;/li&gt;&lt;li&gt;&lt;a href=|http://",AR1191,"/2_kings/12.htm","| ","title=|",AR1190,"| target=|_top|&gt;",AR1192,"&lt;/a&gt;")</f>
        <v>&lt;/li&gt;&lt;li&gt;&lt;a href=|http://websterbible.com/2_kings/12.htm| title=|Webster's Bible Translation| target=|_top|&gt;WBS&lt;/a&gt;</v>
      </c>
      <c r="AS32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25" t="str">
        <f>CONCATENATE("&lt;/li&gt;&lt;li&gt;&lt;a href=|http://",AT1191,"/2_kings/12-1.htm","| ","title=|",AT1190,"| target=|_top|&gt;",AT1192,"&lt;/a&gt;")</f>
        <v>&lt;/li&gt;&lt;li&gt;&lt;a href=|http://biblebrowser.com/2_kings/12-1.htm| title=|Split View| target=|_top|&gt;Split&lt;/a&gt;</v>
      </c>
      <c r="AU325" s="2" t="s">
        <v>1276</v>
      </c>
      <c r="AV325" t="s">
        <v>64</v>
      </c>
    </row>
    <row r="326" spans="1:48">
      <c r="A326" t="s">
        <v>622</v>
      </c>
      <c r="B326" t="s">
        <v>379</v>
      </c>
      <c r="C326" t="s">
        <v>624</v>
      </c>
      <c r="D326" t="s">
        <v>1268</v>
      </c>
      <c r="E326" t="s">
        <v>1277</v>
      </c>
      <c r="F326" t="s">
        <v>1304</v>
      </c>
      <c r="G326" t="s">
        <v>1266</v>
      </c>
      <c r="H326" t="s">
        <v>1305</v>
      </c>
      <c r="I326" t="s">
        <v>1303</v>
      </c>
      <c r="J326" t="s">
        <v>1267</v>
      </c>
      <c r="K326" t="s">
        <v>1275</v>
      </c>
      <c r="L326" s="2" t="s">
        <v>1274</v>
      </c>
      <c r="M326" t="str">
        <f t="shared" ref="M326:AB326" si="1300">CONCATENATE("&lt;/li&gt;&lt;li&gt;&lt;a href=|http://",M1191,"/2_kings/13.htm","| ","title=|",M1190,"| target=|_top|&gt;",M1192,"&lt;/a&gt;")</f>
        <v>&lt;/li&gt;&lt;li&gt;&lt;a href=|http://niv.scripturetext.com/2_kings/13.htm| title=|New International Version| target=|_top|&gt;NIV&lt;/a&gt;</v>
      </c>
      <c r="N326" t="str">
        <f t="shared" si="1300"/>
        <v>&lt;/li&gt;&lt;li&gt;&lt;a href=|http://nlt.scripturetext.com/2_kings/13.htm| title=|New Living Translation| target=|_top|&gt;NLT&lt;/a&gt;</v>
      </c>
      <c r="O326" t="str">
        <f t="shared" si="1300"/>
        <v>&lt;/li&gt;&lt;li&gt;&lt;a href=|http://nasb.scripturetext.com/2_kings/13.htm| title=|New American Standard Bible| target=|_top|&gt;NAS&lt;/a&gt;</v>
      </c>
      <c r="P326" t="str">
        <f t="shared" si="1300"/>
        <v>&lt;/li&gt;&lt;li&gt;&lt;a href=|http://gwt.scripturetext.com/2_kings/13.htm| title=|God's Word Translation| target=|_top|&gt;GWT&lt;/a&gt;</v>
      </c>
      <c r="Q326" t="str">
        <f t="shared" si="1300"/>
        <v>&lt;/li&gt;&lt;li&gt;&lt;a href=|http://kingjbible.com/2_kings/13.htm| title=|King James Bible| target=|_top|&gt;KJV&lt;/a&gt;</v>
      </c>
      <c r="R326" t="str">
        <f t="shared" si="1300"/>
        <v>&lt;/li&gt;&lt;li&gt;&lt;a href=|http://asvbible.com/2_kings/13.htm| title=|American Standard Version| target=|_top|&gt;ASV&lt;/a&gt;</v>
      </c>
      <c r="S326" t="str">
        <f t="shared" si="1300"/>
        <v>&lt;/li&gt;&lt;li&gt;&lt;a href=|http://drb.scripturetext.com/2_kings/13.htm| title=|Douay-Rheims Bible| target=|_top|&gt;DRB&lt;/a&gt;</v>
      </c>
      <c r="T326" t="str">
        <f t="shared" si="1300"/>
        <v>&lt;/li&gt;&lt;li&gt;&lt;a href=|http://erv.scripturetext.com/2_kings/13.htm| title=|English Revised Version| target=|_top|&gt;ERV&lt;/a&gt;</v>
      </c>
      <c r="V326" t="str">
        <f>CONCATENATE("&lt;/li&gt;&lt;li&gt;&lt;a href=|http://",V1191,"/2_kings/13.htm","| ","title=|",V1190,"| target=|_top|&gt;",V1192,"&lt;/a&gt;")</f>
        <v>&lt;/li&gt;&lt;li&gt;&lt;a href=|http://study.interlinearbible.org/2_kings/13.htm| title=|Hebrew Study Bible| target=|_top|&gt;Heb Study&lt;/a&gt;</v>
      </c>
      <c r="W326" t="str">
        <f t="shared" si="1300"/>
        <v>&lt;/li&gt;&lt;li&gt;&lt;a href=|http://apostolic.interlinearbible.org/2_kings/13.htm| title=|Apostolic Bible Polyglot Interlinear| target=|_top|&gt;Polyglot&lt;/a&gt;</v>
      </c>
      <c r="X326" t="str">
        <f t="shared" si="1300"/>
        <v>&lt;/li&gt;&lt;li&gt;&lt;a href=|http://interlinearbible.org/2_kings/13.htm| title=|Interlinear Bible| target=|_top|&gt;Interlin&lt;/a&gt;</v>
      </c>
      <c r="Y326" t="str">
        <f t="shared" ref="Y326" si="1301">CONCATENATE("&lt;/li&gt;&lt;li&gt;&lt;a href=|http://",Y1191,"/2_kings/13.htm","| ","title=|",Y1190,"| target=|_top|&gt;",Y1192,"&lt;/a&gt;")</f>
        <v>&lt;/li&gt;&lt;li&gt;&lt;a href=|http://bibleoutline.org/2_kings/13.htm| title=|Outline with People and Places List| target=|_top|&gt;Outline&lt;/a&gt;</v>
      </c>
      <c r="Z326" t="str">
        <f t="shared" si="1300"/>
        <v>&lt;/li&gt;&lt;li&gt;&lt;a href=|http://kjvs.scripturetext.com/2_kings/13.htm| title=|King James Bible with Strong's Numbers| target=|_top|&gt;Strong's&lt;/a&gt;</v>
      </c>
      <c r="AA326" t="str">
        <f t="shared" si="1300"/>
        <v>&lt;/li&gt;&lt;li&gt;&lt;a href=|http://childrensbibleonline.com/2_kings/13.htm| title=|The Children's Bible| target=|_top|&gt;Children's&lt;/a&gt;</v>
      </c>
      <c r="AB326" s="2" t="str">
        <f t="shared" si="1300"/>
        <v>&lt;/li&gt;&lt;li&gt;&lt;a href=|http://tsk.scripturetext.com/2_kings/13.htm| title=|Treasury of Scripture Knowledge| target=|_top|&gt;TSK&lt;/a&gt;</v>
      </c>
      <c r="AC326" t="str">
        <f>CONCATENATE("&lt;a href=|http://",AC1191,"/2_kings/13.htm","| ","title=|",AC1190,"| target=|_top|&gt;",AC1192,"&lt;/a&gt;")</f>
        <v>&lt;a href=|http://parallelbible.com/2_kings/13.htm| title=|Parallel Chapters| target=|_top|&gt;PAR&lt;/a&gt;</v>
      </c>
      <c r="AD326" s="2" t="str">
        <f t="shared" ref="AD326:AK326" si="1302">CONCATENATE("&lt;/li&gt;&lt;li&gt;&lt;a href=|http://",AD1191,"/2_kings/13.htm","| ","title=|",AD1190,"| target=|_top|&gt;",AD1192,"&lt;/a&gt;")</f>
        <v>&lt;/li&gt;&lt;li&gt;&lt;a href=|http://gsb.biblecommenter.com/2_kings/13.htm| title=|Geneva Study Bible| target=|_top|&gt;GSB&lt;/a&gt;</v>
      </c>
      <c r="AE326" s="2" t="str">
        <f t="shared" si="1302"/>
        <v>&lt;/li&gt;&lt;li&gt;&lt;a href=|http://jfb.biblecommenter.com/2_kings/13.htm| title=|Jamieson-Fausset-Brown Bible Commentary| target=|_top|&gt;JFB&lt;/a&gt;</v>
      </c>
      <c r="AF326" s="2" t="str">
        <f t="shared" si="1302"/>
        <v>&lt;/li&gt;&lt;li&gt;&lt;a href=|http://kjt.biblecommenter.com/2_kings/13.htm| title=|King James Translators' Notes| target=|_top|&gt;KJT&lt;/a&gt;</v>
      </c>
      <c r="AG326" s="2" t="str">
        <f t="shared" si="1302"/>
        <v>&lt;/li&gt;&lt;li&gt;&lt;a href=|http://mhc.biblecommenter.com/2_kings/13.htm| title=|Matthew Henry's Concise Commentary| target=|_top|&gt;MHC&lt;/a&gt;</v>
      </c>
      <c r="AH326" s="2" t="str">
        <f t="shared" si="1302"/>
        <v>&lt;/li&gt;&lt;li&gt;&lt;a href=|http://sco.biblecommenter.com/2_kings/13.htm| title=|Scofield Reference Notes| target=|_top|&gt;SCO&lt;/a&gt;</v>
      </c>
      <c r="AI326" s="2" t="str">
        <f t="shared" si="1302"/>
        <v>&lt;/li&gt;&lt;li&gt;&lt;a href=|http://wes.biblecommenter.com/2_kings/13.htm| title=|Wesley's Notes on the Bible| target=|_top|&gt;WES&lt;/a&gt;</v>
      </c>
      <c r="AJ326" t="str">
        <f t="shared" si="1302"/>
        <v>&lt;/li&gt;&lt;li&gt;&lt;a href=|http://worldebible.com/2_kings/13.htm| title=|World English Bible| target=|_top|&gt;WEB&lt;/a&gt;</v>
      </c>
      <c r="AK326" t="str">
        <f t="shared" si="1302"/>
        <v>&lt;/li&gt;&lt;li&gt;&lt;a href=|http://yltbible.com/2_kings/13.htm| title=|Young's Literal Translation| target=|_top|&gt;YLT&lt;/a&gt;</v>
      </c>
      <c r="AL326" t="str">
        <f>CONCATENATE("&lt;a href=|http://",AL1191,"/2_kings/13.htm","| ","title=|",AL1190,"| target=|_top|&gt;",AL1192,"&lt;/a&gt;")</f>
        <v>&lt;a href=|http://kjv.us/2_kings/13.htm| title=|American King James Version| target=|_top|&gt;AKJ&lt;/a&gt;</v>
      </c>
      <c r="AM326" t="str">
        <f t="shared" ref="AM326:AN326" si="1303">CONCATENATE("&lt;/li&gt;&lt;li&gt;&lt;a href=|http://",AM1191,"/2_kings/13.htm","| ","title=|",AM1190,"| target=|_top|&gt;",AM1192,"&lt;/a&gt;")</f>
        <v>&lt;/li&gt;&lt;li&gt;&lt;a href=|http://basicenglishbible.com/2_kings/13.htm| title=|Bible in Basic English| target=|_top|&gt;BBE&lt;/a&gt;</v>
      </c>
      <c r="AN326" t="str">
        <f t="shared" si="1303"/>
        <v>&lt;/li&gt;&lt;li&gt;&lt;a href=|http://darbybible.com/2_kings/13.htm| title=|Darby Bible Translation| target=|_top|&gt;DBY&lt;/a&gt;</v>
      </c>
      <c r="AO32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2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2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26" t="str">
        <f>CONCATENATE("&lt;/li&gt;&lt;li&gt;&lt;a href=|http://",AR1191,"/2_kings/13.htm","| ","title=|",AR1190,"| target=|_top|&gt;",AR1192,"&lt;/a&gt;")</f>
        <v>&lt;/li&gt;&lt;li&gt;&lt;a href=|http://websterbible.com/2_kings/13.htm| title=|Webster's Bible Translation| target=|_top|&gt;WBS&lt;/a&gt;</v>
      </c>
      <c r="AS32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26" t="str">
        <f>CONCATENATE("&lt;/li&gt;&lt;li&gt;&lt;a href=|http://",AT1191,"/2_kings/13-1.htm","| ","title=|",AT1190,"| target=|_top|&gt;",AT1192,"&lt;/a&gt;")</f>
        <v>&lt;/li&gt;&lt;li&gt;&lt;a href=|http://biblebrowser.com/2_kings/13-1.htm| title=|Split View| target=|_top|&gt;Split&lt;/a&gt;</v>
      </c>
      <c r="AU326" s="2" t="s">
        <v>1276</v>
      </c>
      <c r="AV326" t="s">
        <v>64</v>
      </c>
    </row>
    <row r="327" spans="1:48">
      <c r="A327" t="s">
        <v>622</v>
      </c>
      <c r="B327" t="s">
        <v>380</v>
      </c>
      <c r="C327" t="s">
        <v>624</v>
      </c>
      <c r="D327" t="s">
        <v>1268</v>
      </c>
      <c r="E327" t="s">
        <v>1277</v>
      </c>
      <c r="F327" t="s">
        <v>1304</v>
      </c>
      <c r="G327" t="s">
        <v>1266</v>
      </c>
      <c r="H327" t="s">
        <v>1305</v>
      </c>
      <c r="I327" t="s">
        <v>1303</v>
      </c>
      <c r="J327" t="s">
        <v>1267</v>
      </c>
      <c r="K327" t="s">
        <v>1275</v>
      </c>
      <c r="L327" s="2" t="s">
        <v>1274</v>
      </c>
      <c r="M327" t="str">
        <f t="shared" ref="M327:AB327" si="1304">CONCATENATE("&lt;/li&gt;&lt;li&gt;&lt;a href=|http://",M1191,"/2_kings/14.htm","| ","title=|",M1190,"| target=|_top|&gt;",M1192,"&lt;/a&gt;")</f>
        <v>&lt;/li&gt;&lt;li&gt;&lt;a href=|http://niv.scripturetext.com/2_kings/14.htm| title=|New International Version| target=|_top|&gt;NIV&lt;/a&gt;</v>
      </c>
      <c r="N327" t="str">
        <f t="shared" si="1304"/>
        <v>&lt;/li&gt;&lt;li&gt;&lt;a href=|http://nlt.scripturetext.com/2_kings/14.htm| title=|New Living Translation| target=|_top|&gt;NLT&lt;/a&gt;</v>
      </c>
      <c r="O327" t="str">
        <f t="shared" si="1304"/>
        <v>&lt;/li&gt;&lt;li&gt;&lt;a href=|http://nasb.scripturetext.com/2_kings/14.htm| title=|New American Standard Bible| target=|_top|&gt;NAS&lt;/a&gt;</v>
      </c>
      <c r="P327" t="str">
        <f t="shared" si="1304"/>
        <v>&lt;/li&gt;&lt;li&gt;&lt;a href=|http://gwt.scripturetext.com/2_kings/14.htm| title=|God's Word Translation| target=|_top|&gt;GWT&lt;/a&gt;</v>
      </c>
      <c r="Q327" t="str">
        <f t="shared" si="1304"/>
        <v>&lt;/li&gt;&lt;li&gt;&lt;a href=|http://kingjbible.com/2_kings/14.htm| title=|King James Bible| target=|_top|&gt;KJV&lt;/a&gt;</v>
      </c>
      <c r="R327" t="str">
        <f t="shared" si="1304"/>
        <v>&lt;/li&gt;&lt;li&gt;&lt;a href=|http://asvbible.com/2_kings/14.htm| title=|American Standard Version| target=|_top|&gt;ASV&lt;/a&gt;</v>
      </c>
      <c r="S327" t="str">
        <f t="shared" si="1304"/>
        <v>&lt;/li&gt;&lt;li&gt;&lt;a href=|http://drb.scripturetext.com/2_kings/14.htm| title=|Douay-Rheims Bible| target=|_top|&gt;DRB&lt;/a&gt;</v>
      </c>
      <c r="T327" t="str">
        <f t="shared" si="1304"/>
        <v>&lt;/li&gt;&lt;li&gt;&lt;a href=|http://erv.scripturetext.com/2_kings/14.htm| title=|English Revised Version| target=|_top|&gt;ERV&lt;/a&gt;</v>
      </c>
      <c r="V327" t="str">
        <f>CONCATENATE("&lt;/li&gt;&lt;li&gt;&lt;a href=|http://",V1191,"/2_kings/14.htm","| ","title=|",V1190,"| target=|_top|&gt;",V1192,"&lt;/a&gt;")</f>
        <v>&lt;/li&gt;&lt;li&gt;&lt;a href=|http://study.interlinearbible.org/2_kings/14.htm| title=|Hebrew Study Bible| target=|_top|&gt;Heb Study&lt;/a&gt;</v>
      </c>
      <c r="W327" t="str">
        <f t="shared" si="1304"/>
        <v>&lt;/li&gt;&lt;li&gt;&lt;a href=|http://apostolic.interlinearbible.org/2_kings/14.htm| title=|Apostolic Bible Polyglot Interlinear| target=|_top|&gt;Polyglot&lt;/a&gt;</v>
      </c>
      <c r="X327" t="str">
        <f t="shared" si="1304"/>
        <v>&lt;/li&gt;&lt;li&gt;&lt;a href=|http://interlinearbible.org/2_kings/14.htm| title=|Interlinear Bible| target=|_top|&gt;Interlin&lt;/a&gt;</v>
      </c>
      <c r="Y327" t="str">
        <f t="shared" ref="Y327" si="1305">CONCATENATE("&lt;/li&gt;&lt;li&gt;&lt;a href=|http://",Y1191,"/2_kings/14.htm","| ","title=|",Y1190,"| target=|_top|&gt;",Y1192,"&lt;/a&gt;")</f>
        <v>&lt;/li&gt;&lt;li&gt;&lt;a href=|http://bibleoutline.org/2_kings/14.htm| title=|Outline with People and Places List| target=|_top|&gt;Outline&lt;/a&gt;</v>
      </c>
      <c r="Z327" t="str">
        <f t="shared" si="1304"/>
        <v>&lt;/li&gt;&lt;li&gt;&lt;a href=|http://kjvs.scripturetext.com/2_kings/14.htm| title=|King James Bible with Strong's Numbers| target=|_top|&gt;Strong's&lt;/a&gt;</v>
      </c>
      <c r="AA327" t="str">
        <f t="shared" si="1304"/>
        <v>&lt;/li&gt;&lt;li&gt;&lt;a href=|http://childrensbibleonline.com/2_kings/14.htm| title=|The Children's Bible| target=|_top|&gt;Children's&lt;/a&gt;</v>
      </c>
      <c r="AB327" s="2" t="str">
        <f t="shared" si="1304"/>
        <v>&lt;/li&gt;&lt;li&gt;&lt;a href=|http://tsk.scripturetext.com/2_kings/14.htm| title=|Treasury of Scripture Knowledge| target=|_top|&gt;TSK&lt;/a&gt;</v>
      </c>
      <c r="AC327" t="str">
        <f>CONCATENATE("&lt;a href=|http://",AC1191,"/2_kings/14.htm","| ","title=|",AC1190,"| target=|_top|&gt;",AC1192,"&lt;/a&gt;")</f>
        <v>&lt;a href=|http://parallelbible.com/2_kings/14.htm| title=|Parallel Chapters| target=|_top|&gt;PAR&lt;/a&gt;</v>
      </c>
      <c r="AD327" s="2" t="str">
        <f t="shared" ref="AD327:AK327" si="1306">CONCATENATE("&lt;/li&gt;&lt;li&gt;&lt;a href=|http://",AD1191,"/2_kings/14.htm","| ","title=|",AD1190,"| target=|_top|&gt;",AD1192,"&lt;/a&gt;")</f>
        <v>&lt;/li&gt;&lt;li&gt;&lt;a href=|http://gsb.biblecommenter.com/2_kings/14.htm| title=|Geneva Study Bible| target=|_top|&gt;GSB&lt;/a&gt;</v>
      </c>
      <c r="AE327" s="2" t="str">
        <f t="shared" si="1306"/>
        <v>&lt;/li&gt;&lt;li&gt;&lt;a href=|http://jfb.biblecommenter.com/2_kings/14.htm| title=|Jamieson-Fausset-Brown Bible Commentary| target=|_top|&gt;JFB&lt;/a&gt;</v>
      </c>
      <c r="AF327" s="2" t="str">
        <f t="shared" si="1306"/>
        <v>&lt;/li&gt;&lt;li&gt;&lt;a href=|http://kjt.biblecommenter.com/2_kings/14.htm| title=|King James Translators' Notes| target=|_top|&gt;KJT&lt;/a&gt;</v>
      </c>
      <c r="AG327" s="2" t="str">
        <f t="shared" si="1306"/>
        <v>&lt;/li&gt;&lt;li&gt;&lt;a href=|http://mhc.biblecommenter.com/2_kings/14.htm| title=|Matthew Henry's Concise Commentary| target=|_top|&gt;MHC&lt;/a&gt;</v>
      </c>
      <c r="AH327" s="2" t="str">
        <f t="shared" si="1306"/>
        <v>&lt;/li&gt;&lt;li&gt;&lt;a href=|http://sco.biblecommenter.com/2_kings/14.htm| title=|Scofield Reference Notes| target=|_top|&gt;SCO&lt;/a&gt;</v>
      </c>
      <c r="AI327" s="2" t="str">
        <f t="shared" si="1306"/>
        <v>&lt;/li&gt;&lt;li&gt;&lt;a href=|http://wes.biblecommenter.com/2_kings/14.htm| title=|Wesley's Notes on the Bible| target=|_top|&gt;WES&lt;/a&gt;</v>
      </c>
      <c r="AJ327" t="str">
        <f t="shared" si="1306"/>
        <v>&lt;/li&gt;&lt;li&gt;&lt;a href=|http://worldebible.com/2_kings/14.htm| title=|World English Bible| target=|_top|&gt;WEB&lt;/a&gt;</v>
      </c>
      <c r="AK327" t="str">
        <f t="shared" si="1306"/>
        <v>&lt;/li&gt;&lt;li&gt;&lt;a href=|http://yltbible.com/2_kings/14.htm| title=|Young's Literal Translation| target=|_top|&gt;YLT&lt;/a&gt;</v>
      </c>
      <c r="AL327" t="str">
        <f>CONCATENATE("&lt;a href=|http://",AL1191,"/2_kings/14.htm","| ","title=|",AL1190,"| target=|_top|&gt;",AL1192,"&lt;/a&gt;")</f>
        <v>&lt;a href=|http://kjv.us/2_kings/14.htm| title=|American King James Version| target=|_top|&gt;AKJ&lt;/a&gt;</v>
      </c>
      <c r="AM327" t="str">
        <f t="shared" ref="AM327:AN327" si="1307">CONCATENATE("&lt;/li&gt;&lt;li&gt;&lt;a href=|http://",AM1191,"/2_kings/14.htm","| ","title=|",AM1190,"| target=|_top|&gt;",AM1192,"&lt;/a&gt;")</f>
        <v>&lt;/li&gt;&lt;li&gt;&lt;a href=|http://basicenglishbible.com/2_kings/14.htm| title=|Bible in Basic English| target=|_top|&gt;BBE&lt;/a&gt;</v>
      </c>
      <c r="AN327" t="str">
        <f t="shared" si="1307"/>
        <v>&lt;/li&gt;&lt;li&gt;&lt;a href=|http://darbybible.com/2_kings/14.htm| title=|Darby Bible Translation| target=|_top|&gt;DBY&lt;/a&gt;</v>
      </c>
      <c r="AO32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2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2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27" t="str">
        <f>CONCATENATE("&lt;/li&gt;&lt;li&gt;&lt;a href=|http://",AR1191,"/2_kings/14.htm","| ","title=|",AR1190,"| target=|_top|&gt;",AR1192,"&lt;/a&gt;")</f>
        <v>&lt;/li&gt;&lt;li&gt;&lt;a href=|http://websterbible.com/2_kings/14.htm| title=|Webster's Bible Translation| target=|_top|&gt;WBS&lt;/a&gt;</v>
      </c>
      <c r="AS32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27" t="str">
        <f>CONCATENATE("&lt;/li&gt;&lt;li&gt;&lt;a href=|http://",AT1191,"/2_kings/14-1.htm","| ","title=|",AT1190,"| target=|_top|&gt;",AT1192,"&lt;/a&gt;")</f>
        <v>&lt;/li&gt;&lt;li&gt;&lt;a href=|http://biblebrowser.com/2_kings/14-1.htm| title=|Split View| target=|_top|&gt;Split&lt;/a&gt;</v>
      </c>
      <c r="AU327" s="2" t="s">
        <v>1276</v>
      </c>
      <c r="AV327" t="s">
        <v>64</v>
      </c>
    </row>
    <row r="328" spans="1:48">
      <c r="A328" t="s">
        <v>622</v>
      </c>
      <c r="B328" t="s">
        <v>381</v>
      </c>
      <c r="C328" t="s">
        <v>624</v>
      </c>
      <c r="D328" t="s">
        <v>1268</v>
      </c>
      <c r="E328" t="s">
        <v>1277</v>
      </c>
      <c r="F328" t="s">
        <v>1304</v>
      </c>
      <c r="G328" t="s">
        <v>1266</v>
      </c>
      <c r="H328" t="s">
        <v>1305</v>
      </c>
      <c r="I328" t="s">
        <v>1303</v>
      </c>
      <c r="J328" t="s">
        <v>1267</v>
      </c>
      <c r="K328" t="s">
        <v>1275</v>
      </c>
      <c r="L328" s="2" t="s">
        <v>1274</v>
      </c>
      <c r="M328" t="str">
        <f t="shared" ref="M328:AB328" si="1308">CONCATENATE("&lt;/li&gt;&lt;li&gt;&lt;a href=|http://",M1191,"/2_kings/15.htm","| ","title=|",M1190,"| target=|_top|&gt;",M1192,"&lt;/a&gt;")</f>
        <v>&lt;/li&gt;&lt;li&gt;&lt;a href=|http://niv.scripturetext.com/2_kings/15.htm| title=|New International Version| target=|_top|&gt;NIV&lt;/a&gt;</v>
      </c>
      <c r="N328" t="str">
        <f t="shared" si="1308"/>
        <v>&lt;/li&gt;&lt;li&gt;&lt;a href=|http://nlt.scripturetext.com/2_kings/15.htm| title=|New Living Translation| target=|_top|&gt;NLT&lt;/a&gt;</v>
      </c>
      <c r="O328" t="str">
        <f t="shared" si="1308"/>
        <v>&lt;/li&gt;&lt;li&gt;&lt;a href=|http://nasb.scripturetext.com/2_kings/15.htm| title=|New American Standard Bible| target=|_top|&gt;NAS&lt;/a&gt;</v>
      </c>
      <c r="P328" t="str">
        <f t="shared" si="1308"/>
        <v>&lt;/li&gt;&lt;li&gt;&lt;a href=|http://gwt.scripturetext.com/2_kings/15.htm| title=|God's Word Translation| target=|_top|&gt;GWT&lt;/a&gt;</v>
      </c>
      <c r="Q328" t="str">
        <f t="shared" si="1308"/>
        <v>&lt;/li&gt;&lt;li&gt;&lt;a href=|http://kingjbible.com/2_kings/15.htm| title=|King James Bible| target=|_top|&gt;KJV&lt;/a&gt;</v>
      </c>
      <c r="R328" t="str">
        <f t="shared" si="1308"/>
        <v>&lt;/li&gt;&lt;li&gt;&lt;a href=|http://asvbible.com/2_kings/15.htm| title=|American Standard Version| target=|_top|&gt;ASV&lt;/a&gt;</v>
      </c>
      <c r="S328" t="str">
        <f t="shared" si="1308"/>
        <v>&lt;/li&gt;&lt;li&gt;&lt;a href=|http://drb.scripturetext.com/2_kings/15.htm| title=|Douay-Rheims Bible| target=|_top|&gt;DRB&lt;/a&gt;</v>
      </c>
      <c r="T328" t="str">
        <f t="shared" si="1308"/>
        <v>&lt;/li&gt;&lt;li&gt;&lt;a href=|http://erv.scripturetext.com/2_kings/15.htm| title=|English Revised Version| target=|_top|&gt;ERV&lt;/a&gt;</v>
      </c>
      <c r="V328" t="str">
        <f>CONCATENATE("&lt;/li&gt;&lt;li&gt;&lt;a href=|http://",V1191,"/2_kings/15.htm","| ","title=|",V1190,"| target=|_top|&gt;",V1192,"&lt;/a&gt;")</f>
        <v>&lt;/li&gt;&lt;li&gt;&lt;a href=|http://study.interlinearbible.org/2_kings/15.htm| title=|Hebrew Study Bible| target=|_top|&gt;Heb Study&lt;/a&gt;</v>
      </c>
      <c r="W328" t="str">
        <f t="shared" si="1308"/>
        <v>&lt;/li&gt;&lt;li&gt;&lt;a href=|http://apostolic.interlinearbible.org/2_kings/15.htm| title=|Apostolic Bible Polyglot Interlinear| target=|_top|&gt;Polyglot&lt;/a&gt;</v>
      </c>
      <c r="X328" t="str">
        <f t="shared" si="1308"/>
        <v>&lt;/li&gt;&lt;li&gt;&lt;a href=|http://interlinearbible.org/2_kings/15.htm| title=|Interlinear Bible| target=|_top|&gt;Interlin&lt;/a&gt;</v>
      </c>
      <c r="Y328" t="str">
        <f t="shared" ref="Y328" si="1309">CONCATENATE("&lt;/li&gt;&lt;li&gt;&lt;a href=|http://",Y1191,"/2_kings/15.htm","| ","title=|",Y1190,"| target=|_top|&gt;",Y1192,"&lt;/a&gt;")</f>
        <v>&lt;/li&gt;&lt;li&gt;&lt;a href=|http://bibleoutline.org/2_kings/15.htm| title=|Outline with People and Places List| target=|_top|&gt;Outline&lt;/a&gt;</v>
      </c>
      <c r="Z328" t="str">
        <f t="shared" si="1308"/>
        <v>&lt;/li&gt;&lt;li&gt;&lt;a href=|http://kjvs.scripturetext.com/2_kings/15.htm| title=|King James Bible with Strong's Numbers| target=|_top|&gt;Strong's&lt;/a&gt;</v>
      </c>
      <c r="AA328" t="str">
        <f t="shared" si="1308"/>
        <v>&lt;/li&gt;&lt;li&gt;&lt;a href=|http://childrensbibleonline.com/2_kings/15.htm| title=|The Children's Bible| target=|_top|&gt;Children's&lt;/a&gt;</v>
      </c>
      <c r="AB328" s="2" t="str">
        <f t="shared" si="1308"/>
        <v>&lt;/li&gt;&lt;li&gt;&lt;a href=|http://tsk.scripturetext.com/2_kings/15.htm| title=|Treasury of Scripture Knowledge| target=|_top|&gt;TSK&lt;/a&gt;</v>
      </c>
      <c r="AC328" t="str">
        <f>CONCATENATE("&lt;a href=|http://",AC1191,"/2_kings/15.htm","| ","title=|",AC1190,"| target=|_top|&gt;",AC1192,"&lt;/a&gt;")</f>
        <v>&lt;a href=|http://parallelbible.com/2_kings/15.htm| title=|Parallel Chapters| target=|_top|&gt;PAR&lt;/a&gt;</v>
      </c>
      <c r="AD328" s="2" t="str">
        <f t="shared" ref="AD328:AK328" si="1310">CONCATENATE("&lt;/li&gt;&lt;li&gt;&lt;a href=|http://",AD1191,"/2_kings/15.htm","| ","title=|",AD1190,"| target=|_top|&gt;",AD1192,"&lt;/a&gt;")</f>
        <v>&lt;/li&gt;&lt;li&gt;&lt;a href=|http://gsb.biblecommenter.com/2_kings/15.htm| title=|Geneva Study Bible| target=|_top|&gt;GSB&lt;/a&gt;</v>
      </c>
      <c r="AE328" s="2" t="str">
        <f t="shared" si="1310"/>
        <v>&lt;/li&gt;&lt;li&gt;&lt;a href=|http://jfb.biblecommenter.com/2_kings/15.htm| title=|Jamieson-Fausset-Brown Bible Commentary| target=|_top|&gt;JFB&lt;/a&gt;</v>
      </c>
      <c r="AF328" s="2" t="str">
        <f t="shared" si="1310"/>
        <v>&lt;/li&gt;&lt;li&gt;&lt;a href=|http://kjt.biblecommenter.com/2_kings/15.htm| title=|King James Translators' Notes| target=|_top|&gt;KJT&lt;/a&gt;</v>
      </c>
      <c r="AG328" s="2" t="str">
        <f t="shared" si="1310"/>
        <v>&lt;/li&gt;&lt;li&gt;&lt;a href=|http://mhc.biblecommenter.com/2_kings/15.htm| title=|Matthew Henry's Concise Commentary| target=|_top|&gt;MHC&lt;/a&gt;</v>
      </c>
      <c r="AH328" s="2" t="str">
        <f t="shared" si="1310"/>
        <v>&lt;/li&gt;&lt;li&gt;&lt;a href=|http://sco.biblecommenter.com/2_kings/15.htm| title=|Scofield Reference Notes| target=|_top|&gt;SCO&lt;/a&gt;</v>
      </c>
      <c r="AI328" s="2" t="str">
        <f t="shared" si="1310"/>
        <v>&lt;/li&gt;&lt;li&gt;&lt;a href=|http://wes.biblecommenter.com/2_kings/15.htm| title=|Wesley's Notes on the Bible| target=|_top|&gt;WES&lt;/a&gt;</v>
      </c>
      <c r="AJ328" t="str">
        <f t="shared" si="1310"/>
        <v>&lt;/li&gt;&lt;li&gt;&lt;a href=|http://worldebible.com/2_kings/15.htm| title=|World English Bible| target=|_top|&gt;WEB&lt;/a&gt;</v>
      </c>
      <c r="AK328" t="str">
        <f t="shared" si="1310"/>
        <v>&lt;/li&gt;&lt;li&gt;&lt;a href=|http://yltbible.com/2_kings/15.htm| title=|Young's Literal Translation| target=|_top|&gt;YLT&lt;/a&gt;</v>
      </c>
      <c r="AL328" t="str">
        <f>CONCATENATE("&lt;a href=|http://",AL1191,"/2_kings/15.htm","| ","title=|",AL1190,"| target=|_top|&gt;",AL1192,"&lt;/a&gt;")</f>
        <v>&lt;a href=|http://kjv.us/2_kings/15.htm| title=|American King James Version| target=|_top|&gt;AKJ&lt;/a&gt;</v>
      </c>
      <c r="AM328" t="str">
        <f t="shared" ref="AM328:AN328" si="1311">CONCATENATE("&lt;/li&gt;&lt;li&gt;&lt;a href=|http://",AM1191,"/2_kings/15.htm","| ","title=|",AM1190,"| target=|_top|&gt;",AM1192,"&lt;/a&gt;")</f>
        <v>&lt;/li&gt;&lt;li&gt;&lt;a href=|http://basicenglishbible.com/2_kings/15.htm| title=|Bible in Basic English| target=|_top|&gt;BBE&lt;/a&gt;</v>
      </c>
      <c r="AN328" t="str">
        <f t="shared" si="1311"/>
        <v>&lt;/li&gt;&lt;li&gt;&lt;a href=|http://darbybible.com/2_kings/15.htm| title=|Darby Bible Translation| target=|_top|&gt;DBY&lt;/a&gt;</v>
      </c>
      <c r="AO32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2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2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28" t="str">
        <f>CONCATENATE("&lt;/li&gt;&lt;li&gt;&lt;a href=|http://",AR1191,"/2_kings/15.htm","| ","title=|",AR1190,"| target=|_top|&gt;",AR1192,"&lt;/a&gt;")</f>
        <v>&lt;/li&gt;&lt;li&gt;&lt;a href=|http://websterbible.com/2_kings/15.htm| title=|Webster's Bible Translation| target=|_top|&gt;WBS&lt;/a&gt;</v>
      </c>
      <c r="AS32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28" t="str">
        <f>CONCATENATE("&lt;/li&gt;&lt;li&gt;&lt;a href=|http://",AT1191,"/2_kings/15-1.htm","| ","title=|",AT1190,"| target=|_top|&gt;",AT1192,"&lt;/a&gt;")</f>
        <v>&lt;/li&gt;&lt;li&gt;&lt;a href=|http://biblebrowser.com/2_kings/15-1.htm| title=|Split View| target=|_top|&gt;Split&lt;/a&gt;</v>
      </c>
      <c r="AU328" s="2" t="s">
        <v>1276</v>
      </c>
      <c r="AV328" t="s">
        <v>64</v>
      </c>
    </row>
    <row r="329" spans="1:48">
      <c r="A329" t="s">
        <v>622</v>
      </c>
      <c r="B329" t="s">
        <v>382</v>
      </c>
      <c r="C329" t="s">
        <v>624</v>
      </c>
      <c r="D329" t="s">
        <v>1268</v>
      </c>
      <c r="E329" t="s">
        <v>1277</v>
      </c>
      <c r="F329" t="s">
        <v>1304</v>
      </c>
      <c r="G329" t="s">
        <v>1266</v>
      </c>
      <c r="H329" t="s">
        <v>1305</v>
      </c>
      <c r="I329" t="s">
        <v>1303</v>
      </c>
      <c r="J329" t="s">
        <v>1267</v>
      </c>
      <c r="K329" t="s">
        <v>1275</v>
      </c>
      <c r="L329" s="2" t="s">
        <v>1274</v>
      </c>
      <c r="M329" t="str">
        <f t="shared" ref="M329:AB329" si="1312">CONCATENATE("&lt;/li&gt;&lt;li&gt;&lt;a href=|http://",M1191,"/2_kings/16.htm","| ","title=|",M1190,"| target=|_top|&gt;",M1192,"&lt;/a&gt;")</f>
        <v>&lt;/li&gt;&lt;li&gt;&lt;a href=|http://niv.scripturetext.com/2_kings/16.htm| title=|New International Version| target=|_top|&gt;NIV&lt;/a&gt;</v>
      </c>
      <c r="N329" t="str">
        <f t="shared" si="1312"/>
        <v>&lt;/li&gt;&lt;li&gt;&lt;a href=|http://nlt.scripturetext.com/2_kings/16.htm| title=|New Living Translation| target=|_top|&gt;NLT&lt;/a&gt;</v>
      </c>
      <c r="O329" t="str">
        <f t="shared" si="1312"/>
        <v>&lt;/li&gt;&lt;li&gt;&lt;a href=|http://nasb.scripturetext.com/2_kings/16.htm| title=|New American Standard Bible| target=|_top|&gt;NAS&lt;/a&gt;</v>
      </c>
      <c r="P329" t="str">
        <f t="shared" si="1312"/>
        <v>&lt;/li&gt;&lt;li&gt;&lt;a href=|http://gwt.scripturetext.com/2_kings/16.htm| title=|God's Word Translation| target=|_top|&gt;GWT&lt;/a&gt;</v>
      </c>
      <c r="Q329" t="str">
        <f t="shared" si="1312"/>
        <v>&lt;/li&gt;&lt;li&gt;&lt;a href=|http://kingjbible.com/2_kings/16.htm| title=|King James Bible| target=|_top|&gt;KJV&lt;/a&gt;</v>
      </c>
      <c r="R329" t="str">
        <f t="shared" si="1312"/>
        <v>&lt;/li&gt;&lt;li&gt;&lt;a href=|http://asvbible.com/2_kings/16.htm| title=|American Standard Version| target=|_top|&gt;ASV&lt;/a&gt;</v>
      </c>
      <c r="S329" t="str">
        <f t="shared" si="1312"/>
        <v>&lt;/li&gt;&lt;li&gt;&lt;a href=|http://drb.scripturetext.com/2_kings/16.htm| title=|Douay-Rheims Bible| target=|_top|&gt;DRB&lt;/a&gt;</v>
      </c>
      <c r="T329" t="str">
        <f t="shared" si="1312"/>
        <v>&lt;/li&gt;&lt;li&gt;&lt;a href=|http://erv.scripturetext.com/2_kings/16.htm| title=|English Revised Version| target=|_top|&gt;ERV&lt;/a&gt;</v>
      </c>
      <c r="V329" t="str">
        <f>CONCATENATE("&lt;/li&gt;&lt;li&gt;&lt;a href=|http://",V1191,"/2_kings/16.htm","| ","title=|",V1190,"| target=|_top|&gt;",V1192,"&lt;/a&gt;")</f>
        <v>&lt;/li&gt;&lt;li&gt;&lt;a href=|http://study.interlinearbible.org/2_kings/16.htm| title=|Hebrew Study Bible| target=|_top|&gt;Heb Study&lt;/a&gt;</v>
      </c>
      <c r="W329" t="str">
        <f t="shared" si="1312"/>
        <v>&lt;/li&gt;&lt;li&gt;&lt;a href=|http://apostolic.interlinearbible.org/2_kings/16.htm| title=|Apostolic Bible Polyglot Interlinear| target=|_top|&gt;Polyglot&lt;/a&gt;</v>
      </c>
      <c r="X329" t="str">
        <f t="shared" si="1312"/>
        <v>&lt;/li&gt;&lt;li&gt;&lt;a href=|http://interlinearbible.org/2_kings/16.htm| title=|Interlinear Bible| target=|_top|&gt;Interlin&lt;/a&gt;</v>
      </c>
      <c r="Y329" t="str">
        <f t="shared" ref="Y329" si="1313">CONCATENATE("&lt;/li&gt;&lt;li&gt;&lt;a href=|http://",Y1191,"/2_kings/16.htm","| ","title=|",Y1190,"| target=|_top|&gt;",Y1192,"&lt;/a&gt;")</f>
        <v>&lt;/li&gt;&lt;li&gt;&lt;a href=|http://bibleoutline.org/2_kings/16.htm| title=|Outline with People and Places List| target=|_top|&gt;Outline&lt;/a&gt;</v>
      </c>
      <c r="Z329" t="str">
        <f t="shared" si="1312"/>
        <v>&lt;/li&gt;&lt;li&gt;&lt;a href=|http://kjvs.scripturetext.com/2_kings/16.htm| title=|King James Bible with Strong's Numbers| target=|_top|&gt;Strong's&lt;/a&gt;</v>
      </c>
      <c r="AA329" t="str">
        <f t="shared" si="1312"/>
        <v>&lt;/li&gt;&lt;li&gt;&lt;a href=|http://childrensbibleonline.com/2_kings/16.htm| title=|The Children's Bible| target=|_top|&gt;Children's&lt;/a&gt;</v>
      </c>
      <c r="AB329" s="2" t="str">
        <f t="shared" si="1312"/>
        <v>&lt;/li&gt;&lt;li&gt;&lt;a href=|http://tsk.scripturetext.com/2_kings/16.htm| title=|Treasury of Scripture Knowledge| target=|_top|&gt;TSK&lt;/a&gt;</v>
      </c>
      <c r="AC329" t="str">
        <f>CONCATENATE("&lt;a href=|http://",AC1191,"/2_kings/16.htm","| ","title=|",AC1190,"| target=|_top|&gt;",AC1192,"&lt;/a&gt;")</f>
        <v>&lt;a href=|http://parallelbible.com/2_kings/16.htm| title=|Parallel Chapters| target=|_top|&gt;PAR&lt;/a&gt;</v>
      </c>
      <c r="AD329" s="2" t="str">
        <f t="shared" ref="AD329:AK329" si="1314">CONCATENATE("&lt;/li&gt;&lt;li&gt;&lt;a href=|http://",AD1191,"/2_kings/16.htm","| ","title=|",AD1190,"| target=|_top|&gt;",AD1192,"&lt;/a&gt;")</f>
        <v>&lt;/li&gt;&lt;li&gt;&lt;a href=|http://gsb.biblecommenter.com/2_kings/16.htm| title=|Geneva Study Bible| target=|_top|&gt;GSB&lt;/a&gt;</v>
      </c>
      <c r="AE329" s="2" t="str">
        <f t="shared" si="1314"/>
        <v>&lt;/li&gt;&lt;li&gt;&lt;a href=|http://jfb.biblecommenter.com/2_kings/16.htm| title=|Jamieson-Fausset-Brown Bible Commentary| target=|_top|&gt;JFB&lt;/a&gt;</v>
      </c>
      <c r="AF329" s="2" t="str">
        <f t="shared" si="1314"/>
        <v>&lt;/li&gt;&lt;li&gt;&lt;a href=|http://kjt.biblecommenter.com/2_kings/16.htm| title=|King James Translators' Notes| target=|_top|&gt;KJT&lt;/a&gt;</v>
      </c>
      <c r="AG329" s="2" t="str">
        <f t="shared" si="1314"/>
        <v>&lt;/li&gt;&lt;li&gt;&lt;a href=|http://mhc.biblecommenter.com/2_kings/16.htm| title=|Matthew Henry's Concise Commentary| target=|_top|&gt;MHC&lt;/a&gt;</v>
      </c>
      <c r="AH329" s="2" t="str">
        <f t="shared" si="1314"/>
        <v>&lt;/li&gt;&lt;li&gt;&lt;a href=|http://sco.biblecommenter.com/2_kings/16.htm| title=|Scofield Reference Notes| target=|_top|&gt;SCO&lt;/a&gt;</v>
      </c>
      <c r="AI329" s="2" t="str">
        <f t="shared" si="1314"/>
        <v>&lt;/li&gt;&lt;li&gt;&lt;a href=|http://wes.biblecommenter.com/2_kings/16.htm| title=|Wesley's Notes on the Bible| target=|_top|&gt;WES&lt;/a&gt;</v>
      </c>
      <c r="AJ329" t="str">
        <f t="shared" si="1314"/>
        <v>&lt;/li&gt;&lt;li&gt;&lt;a href=|http://worldebible.com/2_kings/16.htm| title=|World English Bible| target=|_top|&gt;WEB&lt;/a&gt;</v>
      </c>
      <c r="AK329" t="str">
        <f t="shared" si="1314"/>
        <v>&lt;/li&gt;&lt;li&gt;&lt;a href=|http://yltbible.com/2_kings/16.htm| title=|Young's Literal Translation| target=|_top|&gt;YLT&lt;/a&gt;</v>
      </c>
      <c r="AL329" t="str">
        <f>CONCATENATE("&lt;a href=|http://",AL1191,"/2_kings/16.htm","| ","title=|",AL1190,"| target=|_top|&gt;",AL1192,"&lt;/a&gt;")</f>
        <v>&lt;a href=|http://kjv.us/2_kings/16.htm| title=|American King James Version| target=|_top|&gt;AKJ&lt;/a&gt;</v>
      </c>
      <c r="AM329" t="str">
        <f t="shared" ref="AM329:AN329" si="1315">CONCATENATE("&lt;/li&gt;&lt;li&gt;&lt;a href=|http://",AM1191,"/2_kings/16.htm","| ","title=|",AM1190,"| target=|_top|&gt;",AM1192,"&lt;/a&gt;")</f>
        <v>&lt;/li&gt;&lt;li&gt;&lt;a href=|http://basicenglishbible.com/2_kings/16.htm| title=|Bible in Basic English| target=|_top|&gt;BBE&lt;/a&gt;</v>
      </c>
      <c r="AN329" t="str">
        <f t="shared" si="1315"/>
        <v>&lt;/li&gt;&lt;li&gt;&lt;a href=|http://darbybible.com/2_kings/16.htm| title=|Darby Bible Translation| target=|_top|&gt;DBY&lt;/a&gt;</v>
      </c>
      <c r="AO32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2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2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29" t="str">
        <f>CONCATENATE("&lt;/li&gt;&lt;li&gt;&lt;a href=|http://",AR1191,"/2_kings/16.htm","| ","title=|",AR1190,"| target=|_top|&gt;",AR1192,"&lt;/a&gt;")</f>
        <v>&lt;/li&gt;&lt;li&gt;&lt;a href=|http://websterbible.com/2_kings/16.htm| title=|Webster's Bible Translation| target=|_top|&gt;WBS&lt;/a&gt;</v>
      </c>
      <c r="AS32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29" t="str">
        <f>CONCATENATE("&lt;/li&gt;&lt;li&gt;&lt;a href=|http://",AT1191,"/2_kings/16-1.htm","| ","title=|",AT1190,"| target=|_top|&gt;",AT1192,"&lt;/a&gt;")</f>
        <v>&lt;/li&gt;&lt;li&gt;&lt;a href=|http://biblebrowser.com/2_kings/16-1.htm| title=|Split View| target=|_top|&gt;Split&lt;/a&gt;</v>
      </c>
      <c r="AU329" s="2" t="s">
        <v>1276</v>
      </c>
      <c r="AV329" t="s">
        <v>64</v>
      </c>
    </row>
    <row r="330" spans="1:48">
      <c r="A330" t="s">
        <v>622</v>
      </c>
      <c r="B330" t="s">
        <v>383</v>
      </c>
      <c r="C330" t="s">
        <v>624</v>
      </c>
      <c r="D330" t="s">
        <v>1268</v>
      </c>
      <c r="E330" t="s">
        <v>1277</v>
      </c>
      <c r="F330" t="s">
        <v>1304</v>
      </c>
      <c r="G330" t="s">
        <v>1266</v>
      </c>
      <c r="H330" t="s">
        <v>1305</v>
      </c>
      <c r="I330" t="s">
        <v>1303</v>
      </c>
      <c r="J330" t="s">
        <v>1267</v>
      </c>
      <c r="K330" t="s">
        <v>1275</v>
      </c>
      <c r="L330" s="2" t="s">
        <v>1274</v>
      </c>
      <c r="M330" t="str">
        <f t="shared" ref="M330:AB330" si="1316">CONCATENATE("&lt;/li&gt;&lt;li&gt;&lt;a href=|http://",M1191,"/2_kings/17.htm","| ","title=|",M1190,"| target=|_top|&gt;",M1192,"&lt;/a&gt;")</f>
        <v>&lt;/li&gt;&lt;li&gt;&lt;a href=|http://niv.scripturetext.com/2_kings/17.htm| title=|New International Version| target=|_top|&gt;NIV&lt;/a&gt;</v>
      </c>
      <c r="N330" t="str">
        <f t="shared" si="1316"/>
        <v>&lt;/li&gt;&lt;li&gt;&lt;a href=|http://nlt.scripturetext.com/2_kings/17.htm| title=|New Living Translation| target=|_top|&gt;NLT&lt;/a&gt;</v>
      </c>
      <c r="O330" t="str">
        <f t="shared" si="1316"/>
        <v>&lt;/li&gt;&lt;li&gt;&lt;a href=|http://nasb.scripturetext.com/2_kings/17.htm| title=|New American Standard Bible| target=|_top|&gt;NAS&lt;/a&gt;</v>
      </c>
      <c r="P330" t="str">
        <f t="shared" si="1316"/>
        <v>&lt;/li&gt;&lt;li&gt;&lt;a href=|http://gwt.scripturetext.com/2_kings/17.htm| title=|God's Word Translation| target=|_top|&gt;GWT&lt;/a&gt;</v>
      </c>
      <c r="Q330" t="str">
        <f t="shared" si="1316"/>
        <v>&lt;/li&gt;&lt;li&gt;&lt;a href=|http://kingjbible.com/2_kings/17.htm| title=|King James Bible| target=|_top|&gt;KJV&lt;/a&gt;</v>
      </c>
      <c r="R330" t="str">
        <f t="shared" si="1316"/>
        <v>&lt;/li&gt;&lt;li&gt;&lt;a href=|http://asvbible.com/2_kings/17.htm| title=|American Standard Version| target=|_top|&gt;ASV&lt;/a&gt;</v>
      </c>
      <c r="S330" t="str">
        <f t="shared" si="1316"/>
        <v>&lt;/li&gt;&lt;li&gt;&lt;a href=|http://drb.scripturetext.com/2_kings/17.htm| title=|Douay-Rheims Bible| target=|_top|&gt;DRB&lt;/a&gt;</v>
      </c>
      <c r="T330" t="str">
        <f t="shared" si="1316"/>
        <v>&lt;/li&gt;&lt;li&gt;&lt;a href=|http://erv.scripturetext.com/2_kings/17.htm| title=|English Revised Version| target=|_top|&gt;ERV&lt;/a&gt;</v>
      </c>
      <c r="V330" t="str">
        <f>CONCATENATE("&lt;/li&gt;&lt;li&gt;&lt;a href=|http://",V1191,"/2_kings/17.htm","| ","title=|",V1190,"| target=|_top|&gt;",V1192,"&lt;/a&gt;")</f>
        <v>&lt;/li&gt;&lt;li&gt;&lt;a href=|http://study.interlinearbible.org/2_kings/17.htm| title=|Hebrew Study Bible| target=|_top|&gt;Heb Study&lt;/a&gt;</v>
      </c>
      <c r="W330" t="str">
        <f t="shared" si="1316"/>
        <v>&lt;/li&gt;&lt;li&gt;&lt;a href=|http://apostolic.interlinearbible.org/2_kings/17.htm| title=|Apostolic Bible Polyglot Interlinear| target=|_top|&gt;Polyglot&lt;/a&gt;</v>
      </c>
      <c r="X330" t="str">
        <f t="shared" si="1316"/>
        <v>&lt;/li&gt;&lt;li&gt;&lt;a href=|http://interlinearbible.org/2_kings/17.htm| title=|Interlinear Bible| target=|_top|&gt;Interlin&lt;/a&gt;</v>
      </c>
      <c r="Y330" t="str">
        <f t="shared" ref="Y330" si="1317">CONCATENATE("&lt;/li&gt;&lt;li&gt;&lt;a href=|http://",Y1191,"/2_kings/17.htm","| ","title=|",Y1190,"| target=|_top|&gt;",Y1192,"&lt;/a&gt;")</f>
        <v>&lt;/li&gt;&lt;li&gt;&lt;a href=|http://bibleoutline.org/2_kings/17.htm| title=|Outline with People and Places List| target=|_top|&gt;Outline&lt;/a&gt;</v>
      </c>
      <c r="Z330" t="str">
        <f t="shared" si="1316"/>
        <v>&lt;/li&gt;&lt;li&gt;&lt;a href=|http://kjvs.scripturetext.com/2_kings/17.htm| title=|King James Bible with Strong's Numbers| target=|_top|&gt;Strong's&lt;/a&gt;</v>
      </c>
      <c r="AA330" t="str">
        <f t="shared" si="1316"/>
        <v>&lt;/li&gt;&lt;li&gt;&lt;a href=|http://childrensbibleonline.com/2_kings/17.htm| title=|The Children's Bible| target=|_top|&gt;Children's&lt;/a&gt;</v>
      </c>
      <c r="AB330" s="2" t="str">
        <f t="shared" si="1316"/>
        <v>&lt;/li&gt;&lt;li&gt;&lt;a href=|http://tsk.scripturetext.com/2_kings/17.htm| title=|Treasury of Scripture Knowledge| target=|_top|&gt;TSK&lt;/a&gt;</v>
      </c>
      <c r="AC330" t="str">
        <f>CONCATENATE("&lt;a href=|http://",AC1191,"/2_kings/17.htm","| ","title=|",AC1190,"| target=|_top|&gt;",AC1192,"&lt;/a&gt;")</f>
        <v>&lt;a href=|http://parallelbible.com/2_kings/17.htm| title=|Parallel Chapters| target=|_top|&gt;PAR&lt;/a&gt;</v>
      </c>
      <c r="AD330" s="2" t="str">
        <f t="shared" ref="AD330:AK330" si="1318">CONCATENATE("&lt;/li&gt;&lt;li&gt;&lt;a href=|http://",AD1191,"/2_kings/17.htm","| ","title=|",AD1190,"| target=|_top|&gt;",AD1192,"&lt;/a&gt;")</f>
        <v>&lt;/li&gt;&lt;li&gt;&lt;a href=|http://gsb.biblecommenter.com/2_kings/17.htm| title=|Geneva Study Bible| target=|_top|&gt;GSB&lt;/a&gt;</v>
      </c>
      <c r="AE330" s="2" t="str">
        <f t="shared" si="1318"/>
        <v>&lt;/li&gt;&lt;li&gt;&lt;a href=|http://jfb.biblecommenter.com/2_kings/17.htm| title=|Jamieson-Fausset-Brown Bible Commentary| target=|_top|&gt;JFB&lt;/a&gt;</v>
      </c>
      <c r="AF330" s="2" t="str">
        <f t="shared" si="1318"/>
        <v>&lt;/li&gt;&lt;li&gt;&lt;a href=|http://kjt.biblecommenter.com/2_kings/17.htm| title=|King James Translators' Notes| target=|_top|&gt;KJT&lt;/a&gt;</v>
      </c>
      <c r="AG330" s="2" t="str">
        <f t="shared" si="1318"/>
        <v>&lt;/li&gt;&lt;li&gt;&lt;a href=|http://mhc.biblecommenter.com/2_kings/17.htm| title=|Matthew Henry's Concise Commentary| target=|_top|&gt;MHC&lt;/a&gt;</v>
      </c>
      <c r="AH330" s="2" t="str">
        <f t="shared" si="1318"/>
        <v>&lt;/li&gt;&lt;li&gt;&lt;a href=|http://sco.biblecommenter.com/2_kings/17.htm| title=|Scofield Reference Notes| target=|_top|&gt;SCO&lt;/a&gt;</v>
      </c>
      <c r="AI330" s="2" t="str">
        <f t="shared" si="1318"/>
        <v>&lt;/li&gt;&lt;li&gt;&lt;a href=|http://wes.biblecommenter.com/2_kings/17.htm| title=|Wesley's Notes on the Bible| target=|_top|&gt;WES&lt;/a&gt;</v>
      </c>
      <c r="AJ330" t="str">
        <f t="shared" si="1318"/>
        <v>&lt;/li&gt;&lt;li&gt;&lt;a href=|http://worldebible.com/2_kings/17.htm| title=|World English Bible| target=|_top|&gt;WEB&lt;/a&gt;</v>
      </c>
      <c r="AK330" t="str">
        <f t="shared" si="1318"/>
        <v>&lt;/li&gt;&lt;li&gt;&lt;a href=|http://yltbible.com/2_kings/17.htm| title=|Young's Literal Translation| target=|_top|&gt;YLT&lt;/a&gt;</v>
      </c>
      <c r="AL330" t="str">
        <f>CONCATENATE("&lt;a href=|http://",AL1191,"/2_kings/17.htm","| ","title=|",AL1190,"| target=|_top|&gt;",AL1192,"&lt;/a&gt;")</f>
        <v>&lt;a href=|http://kjv.us/2_kings/17.htm| title=|American King James Version| target=|_top|&gt;AKJ&lt;/a&gt;</v>
      </c>
      <c r="AM330" t="str">
        <f t="shared" ref="AM330:AN330" si="1319">CONCATENATE("&lt;/li&gt;&lt;li&gt;&lt;a href=|http://",AM1191,"/2_kings/17.htm","| ","title=|",AM1190,"| target=|_top|&gt;",AM1192,"&lt;/a&gt;")</f>
        <v>&lt;/li&gt;&lt;li&gt;&lt;a href=|http://basicenglishbible.com/2_kings/17.htm| title=|Bible in Basic English| target=|_top|&gt;BBE&lt;/a&gt;</v>
      </c>
      <c r="AN330" t="str">
        <f t="shared" si="1319"/>
        <v>&lt;/li&gt;&lt;li&gt;&lt;a href=|http://darbybible.com/2_kings/17.htm| title=|Darby Bible Translation| target=|_top|&gt;DBY&lt;/a&gt;</v>
      </c>
      <c r="AO33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3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3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30" t="str">
        <f>CONCATENATE("&lt;/li&gt;&lt;li&gt;&lt;a href=|http://",AR1191,"/2_kings/17.htm","| ","title=|",AR1190,"| target=|_top|&gt;",AR1192,"&lt;/a&gt;")</f>
        <v>&lt;/li&gt;&lt;li&gt;&lt;a href=|http://websterbible.com/2_kings/17.htm| title=|Webster's Bible Translation| target=|_top|&gt;WBS&lt;/a&gt;</v>
      </c>
      <c r="AS33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30" t="str">
        <f>CONCATENATE("&lt;/li&gt;&lt;li&gt;&lt;a href=|http://",AT1191,"/2_kings/17-1.htm","| ","title=|",AT1190,"| target=|_top|&gt;",AT1192,"&lt;/a&gt;")</f>
        <v>&lt;/li&gt;&lt;li&gt;&lt;a href=|http://biblebrowser.com/2_kings/17-1.htm| title=|Split View| target=|_top|&gt;Split&lt;/a&gt;</v>
      </c>
      <c r="AU330" s="2" t="s">
        <v>1276</v>
      </c>
      <c r="AV330" t="s">
        <v>64</v>
      </c>
    </row>
    <row r="331" spans="1:48">
      <c r="A331" t="s">
        <v>622</v>
      </c>
      <c r="B331" t="s">
        <v>384</v>
      </c>
      <c r="C331" t="s">
        <v>624</v>
      </c>
      <c r="D331" t="s">
        <v>1268</v>
      </c>
      <c r="E331" t="s">
        <v>1277</v>
      </c>
      <c r="F331" t="s">
        <v>1304</v>
      </c>
      <c r="G331" t="s">
        <v>1266</v>
      </c>
      <c r="H331" t="s">
        <v>1305</v>
      </c>
      <c r="I331" t="s">
        <v>1303</v>
      </c>
      <c r="J331" t="s">
        <v>1267</v>
      </c>
      <c r="K331" t="s">
        <v>1275</v>
      </c>
      <c r="L331" s="2" t="s">
        <v>1274</v>
      </c>
      <c r="M331" t="str">
        <f t="shared" ref="M331:AB331" si="1320">CONCATENATE("&lt;/li&gt;&lt;li&gt;&lt;a href=|http://",M1191,"/2_kings/18.htm","| ","title=|",M1190,"| target=|_top|&gt;",M1192,"&lt;/a&gt;")</f>
        <v>&lt;/li&gt;&lt;li&gt;&lt;a href=|http://niv.scripturetext.com/2_kings/18.htm| title=|New International Version| target=|_top|&gt;NIV&lt;/a&gt;</v>
      </c>
      <c r="N331" t="str">
        <f t="shared" si="1320"/>
        <v>&lt;/li&gt;&lt;li&gt;&lt;a href=|http://nlt.scripturetext.com/2_kings/18.htm| title=|New Living Translation| target=|_top|&gt;NLT&lt;/a&gt;</v>
      </c>
      <c r="O331" t="str">
        <f t="shared" si="1320"/>
        <v>&lt;/li&gt;&lt;li&gt;&lt;a href=|http://nasb.scripturetext.com/2_kings/18.htm| title=|New American Standard Bible| target=|_top|&gt;NAS&lt;/a&gt;</v>
      </c>
      <c r="P331" t="str">
        <f t="shared" si="1320"/>
        <v>&lt;/li&gt;&lt;li&gt;&lt;a href=|http://gwt.scripturetext.com/2_kings/18.htm| title=|God's Word Translation| target=|_top|&gt;GWT&lt;/a&gt;</v>
      </c>
      <c r="Q331" t="str">
        <f t="shared" si="1320"/>
        <v>&lt;/li&gt;&lt;li&gt;&lt;a href=|http://kingjbible.com/2_kings/18.htm| title=|King James Bible| target=|_top|&gt;KJV&lt;/a&gt;</v>
      </c>
      <c r="R331" t="str">
        <f t="shared" si="1320"/>
        <v>&lt;/li&gt;&lt;li&gt;&lt;a href=|http://asvbible.com/2_kings/18.htm| title=|American Standard Version| target=|_top|&gt;ASV&lt;/a&gt;</v>
      </c>
      <c r="S331" t="str">
        <f t="shared" si="1320"/>
        <v>&lt;/li&gt;&lt;li&gt;&lt;a href=|http://drb.scripturetext.com/2_kings/18.htm| title=|Douay-Rheims Bible| target=|_top|&gt;DRB&lt;/a&gt;</v>
      </c>
      <c r="T331" t="str">
        <f t="shared" si="1320"/>
        <v>&lt;/li&gt;&lt;li&gt;&lt;a href=|http://erv.scripturetext.com/2_kings/18.htm| title=|English Revised Version| target=|_top|&gt;ERV&lt;/a&gt;</v>
      </c>
      <c r="V331" t="str">
        <f>CONCATENATE("&lt;/li&gt;&lt;li&gt;&lt;a href=|http://",V1191,"/2_kings/18.htm","| ","title=|",V1190,"| target=|_top|&gt;",V1192,"&lt;/a&gt;")</f>
        <v>&lt;/li&gt;&lt;li&gt;&lt;a href=|http://study.interlinearbible.org/2_kings/18.htm| title=|Hebrew Study Bible| target=|_top|&gt;Heb Study&lt;/a&gt;</v>
      </c>
      <c r="W331" t="str">
        <f t="shared" si="1320"/>
        <v>&lt;/li&gt;&lt;li&gt;&lt;a href=|http://apostolic.interlinearbible.org/2_kings/18.htm| title=|Apostolic Bible Polyglot Interlinear| target=|_top|&gt;Polyglot&lt;/a&gt;</v>
      </c>
      <c r="X331" t="str">
        <f t="shared" si="1320"/>
        <v>&lt;/li&gt;&lt;li&gt;&lt;a href=|http://interlinearbible.org/2_kings/18.htm| title=|Interlinear Bible| target=|_top|&gt;Interlin&lt;/a&gt;</v>
      </c>
      <c r="Y331" t="str">
        <f t="shared" ref="Y331" si="1321">CONCATENATE("&lt;/li&gt;&lt;li&gt;&lt;a href=|http://",Y1191,"/2_kings/18.htm","| ","title=|",Y1190,"| target=|_top|&gt;",Y1192,"&lt;/a&gt;")</f>
        <v>&lt;/li&gt;&lt;li&gt;&lt;a href=|http://bibleoutline.org/2_kings/18.htm| title=|Outline with People and Places List| target=|_top|&gt;Outline&lt;/a&gt;</v>
      </c>
      <c r="Z331" t="str">
        <f t="shared" si="1320"/>
        <v>&lt;/li&gt;&lt;li&gt;&lt;a href=|http://kjvs.scripturetext.com/2_kings/18.htm| title=|King James Bible with Strong's Numbers| target=|_top|&gt;Strong's&lt;/a&gt;</v>
      </c>
      <c r="AA331" t="str">
        <f t="shared" si="1320"/>
        <v>&lt;/li&gt;&lt;li&gt;&lt;a href=|http://childrensbibleonline.com/2_kings/18.htm| title=|The Children's Bible| target=|_top|&gt;Children's&lt;/a&gt;</v>
      </c>
      <c r="AB331" s="2" t="str">
        <f t="shared" si="1320"/>
        <v>&lt;/li&gt;&lt;li&gt;&lt;a href=|http://tsk.scripturetext.com/2_kings/18.htm| title=|Treasury of Scripture Knowledge| target=|_top|&gt;TSK&lt;/a&gt;</v>
      </c>
      <c r="AC331" t="str">
        <f>CONCATENATE("&lt;a href=|http://",AC1191,"/2_kings/18.htm","| ","title=|",AC1190,"| target=|_top|&gt;",AC1192,"&lt;/a&gt;")</f>
        <v>&lt;a href=|http://parallelbible.com/2_kings/18.htm| title=|Parallel Chapters| target=|_top|&gt;PAR&lt;/a&gt;</v>
      </c>
      <c r="AD331" s="2" t="str">
        <f t="shared" ref="AD331:AK331" si="1322">CONCATENATE("&lt;/li&gt;&lt;li&gt;&lt;a href=|http://",AD1191,"/2_kings/18.htm","| ","title=|",AD1190,"| target=|_top|&gt;",AD1192,"&lt;/a&gt;")</f>
        <v>&lt;/li&gt;&lt;li&gt;&lt;a href=|http://gsb.biblecommenter.com/2_kings/18.htm| title=|Geneva Study Bible| target=|_top|&gt;GSB&lt;/a&gt;</v>
      </c>
      <c r="AE331" s="2" t="str">
        <f t="shared" si="1322"/>
        <v>&lt;/li&gt;&lt;li&gt;&lt;a href=|http://jfb.biblecommenter.com/2_kings/18.htm| title=|Jamieson-Fausset-Brown Bible Commentary| target=|_top|&gt;JFB&lt;/a&gt;</v>
      </c>
      <c r="AF331" s="2" t="str">
        <f t="shared" si="1322"/>
        <v>&lt;/li&gt;&lt;li&gt;&lt;a href=|http://kjt.biblecommenter.com/2_kings/18.htm| title=|King James Translators' Notes| target=|_top|&gt;KJT&lt;/a&gt;</v>
      </c>
      <c r="AG331" s="2" t="str">
        <f t="shared" si="1322"/>
        <v>&lt;/li&gt;&lt;li&gt;&lt;a href=|http://mhc.biblecommenter.com/2_kings/18.htm| title=|Matthew Henry's Concise Commentary| target=|_top|&gt;MHC&lt;/a&gt;</v>
      </c>
      <c r="AH331" s="2" t="str">
        <f t="shared" si="1322"/>
        <v>&lt;/li&gt;&lt;li&gt;&lt;a href=|http://sco.biblecommenter.com/2_kings/18.htm| title=|Scofield Reference Notes| target=|_top|&gt;SCO&lt;/a&gt;</v>
      </c>
      <c r="AI331" s="2" t="str">
        <f t="shared" si="1322"/>
        <v>&lt;/li&gt;&lt;li&gt;&lt;a href=|http://wes.biblecommenter.com/2_kings/18.htm| title=|Wesley's Notes on the Bible| target=|_top|&gt;WES&lt;/a&gt;</v>
      </c>
      <c r="AJ331" t="str">
        <f t="shared" si="1322"/>
        <v>&lt;/li&gt;&lt;li&gt;&lt;a href=|http://worldebible.com/2_kings/18.htm| title=|World English Bible| target=|_top|&gt;WEB&lt;/a&gt;</v>
      </c>
      <c r="AK331" t="str">
        <f t="shared" si="1322"/>
        <v>&lt;/li&gt;&lt;li&gt;&lt;a href=|http://yltbible.com/2_kings/18.htm| title=|Young's Literal Translation| target=|_top|&gt;YLT&lt;/a&gt;</v>
      </c>
      <c r="AL331" t="str">
        <f>CONCATENATE("&lt;a href=|http://",AL1191,"/2_kings/18.htm","| ","title=|",AL1190,"| target=|_top|&gt;",AL1192,"&lt;/a&gt;")</f>
        <v>&lt;a href=|http://kjv.us/2_kings/18.htm| title=|American King James Version| target=|_top|&gt;AKJ&lt;/a&gt;</v>
      </c>
      <c r="AM331" t="str">
        <f t="shared" ref="AM331:AN331" si="1323">CONCATENATE("&lt;/li&gt;&lt;li&gt;&lt;a href=|http://",AM1191,"/2_kings/18.htm","| ","title=|",AM1190,"| target=|_top|&gt;",AM1192,"&lt;/a&gt;")</f>
        <v>&lt;/li&gt;&lt;li&gt;&lt;a href=|http://basicenglishbible.com/2_kings/18.htm| title=|Bible in Basic English| target=|_top|&gt;BBE&lt;/a&gt;</v>
      </c>
      <c r="AN331" t="str">
        <f t="shared" si="1323"/>
        <v>&lt;/li&gt;&lt;li&gt;&lt;a href=|http://darbybible.com/2_kings/18.htm| title=|Darby Bible Translation| target=|_top|&gt;DBY&lt;/a&gt;</v>
      </c>
      <c r="AO33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3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3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31" t="str">
        <f>CONCATENATE("&lt;/li&gt;&lt;li&gt;&lt;a href=|http://",AR1191,"/2_kings/18.htm","| ","title=|",AR1190,"| target=|_top|&gt;",AR1192,"&lt;/a&gt;")</f>
        <v>&lt;/li&gt;&lt;li&gt;&lt;a href=|http://websterbible.com/2_kings/18.htm| title=|Webster's Bible Translation| target=|_top|&gt;WBS&lt;/a&gt;</v>
      </c>
      <c r="AS33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31" t="str">
        <f>CONCATENATE("&lt;/li&gt;&lt;li&gt;&lt;a href=|http://",AT1191,"/2_kings/18-1.htm","| ","title=|",AT1190,"| target=|_top|&gt;",AT1192,"&lt;/a&gt;")</f>
        <v>&lt;/li&gt;&lt;li&gt;&lt;a href=|http://biblebrowser.com/2_kings/18-1.htm| title=|Split View| target=|_top|&gt;Split&lt;/a&gt;</v>
      </c>
      <c r="AU331" s="2" t="s">
        <v>1276</v>
      </c>
      <c r="AV331" t="s">
        <v>64</v>
      </c>
    </row>
    <row r="332" spans="1:48">
      <c r="A332" t="s">
        <v>622</v>
      </c>
      <c r="B332" t="s">
        <v>385</v>
      </c>
      <c r="C332" t="s">
        <v>624</v>
      </c>
      <c r="D332" t="s">
        <v>1268</v>
      </c>
      <c r="E332" t="s">
        <v>1277</v>
      </c>
      <c r="F332" t="s">
        <v>1304</v>
      </c>
      <c r="G332" t="s">
        <v>1266</v>
      </c>
      <c r="H332" t="s">
        <v>1305</v>
      </c>
      <c r="I332" t="s">
        <v>1303</v>
      </c>
      <c r="J332" t="s">
        <v>1267</v>
      </c>
      <c r="K332" t="s">
        <v>1275</v>
      </c>
      <c r="L332" s="2" t="s">
        <v>1274</v>
      </c>
      <c r="M332" t="str">
        <f t="shared" ref="M332:AB332" si="1324">CONCATENATE("&lt;/li&gt;&lt;li&gt;&lt;a href=|http://",M1191,"/2_kings/19.htm","| ","title=|",M1190,"| target=|_top|&gt;",M1192,"&lt;/a&gt;")</f>
        <v>&lt;/li&gt;&lt;li&gt;&lt;a href=|http://niv.scripturetext.com/2_kings/19.htm| title=|New International Version| target=|_top|&gt;NIV&lt;/a&gt;</v>
      </c>
      <c r="N332" t="str">
        <f t="shared" si="1324"/>
        <v>&lt;/li&gt;&lt;li&gt;&lt;a href=|http://nlt.scripturetext.com/2_kings/19.htm| title=|New Living Translation| target=|_top|&gt;NLT&lt;/a&gt;</v>
      </c>
      <c r="O332" t="str">
        <f t="shared" si="1324"/>
        <v>&lt;/li&gt;&lt;li&gt;&lt;a href=|http://nasb.scripturetext.com/2_kings/19.htm| title=|New American Standard Bible| target=|_top|&gt;NAS&lt;/a&gt;</v>
      </c>
      <c r="P332" t="str">
        <f t="shared" si="1324"/>
        <v>&lt;/li&gt;&lt;li&gt;&lt;a href=|http://gwt.scripturetext.com/2_kings/19.htm| title=|God's Word Translation| target=|_top|&gt;GWT&lt;/a&gt;</v>
      </c>
      <c r="Q332" t="str">
        <f t="shared" si="1324"/>
        <v>&lt;/li&gt;&lt;li&gt;&lt;a href=|http://kingjbible.com/2_kings/19.htm| title=|King James Bible| target=|_top|&gt;KJV&lt;/a&gt;</v>
      </c>
      <c r="R332" t="str">
        <f t="shared" si="1324"/>
        <v>&lt;/li&gt;&lt;li&gt;&lt;a href=|http://asvbible.com/2_kings/19.htm| title=|American Standard Version| target=|_top|&gt;ASV&lt;/a&gt;</v>
      </c>
      <c r="S332" t="str">
        <f t="shared" si="1324"/>
        <v>&lt;/li&gt;&lt;li&gt;&lt;a href=|http://drb.scripturetext.com/2_kings/19.htm| title=|Douay-Rheims Bible| target=|_top|&gt;DRB&lt;/a&gt;</v>
      </c>
      <c r="T332" t="str">
        <f t="shared" si="1324"/>
        <v>&lt;/li&gt;&lt;li&gt;&lt;a href=|http://erv.scripturetext.com/2_kings/19.htm| title=|English Revised Version| target=|_top|&gt;ERV&lt;/a&gt;</v>
      </c>
      <c r="V332" t="str">
        <f>CONCATENATE("&lt;/li&gt;&lt;li&gt;&lt;a href=|http://",V1191,"/2_kings/19.htm","| ","title=|",V1190,"| target=|_top|&gt;",V1192,"&lt;/a&gt;")</f>
        <v>&lt;/li&gt;&lt;li&gt;&lt;a href=|http://study.interlinearbible.org/2_kings/19.htm| title=|Hebrew Study Bible| target=|_top|&gt;Heb Study&lt;/a&gt;</v>
      </c>
      <c r="W332" t="str">
        <f t="shared" si="1324"/>
        <v>&lt;/li&gt;&lt;li&gt;&lt;a href=|http://apostolic.interlinearbible.org/2_kings/19.htm| title=|Apostolic Bible Polyglot Interlinear| target=|_top|&gt;Polyglot&lt;/a&gt;</v>
      </c>
      <c r="X332" t="str">
        <f t="shared" si="1324"/>
        <v>&lt;/li&gt;&lt;li&gt;&lt;a href=|http://interlinearbible.org/2_kings/19.htm| title=|Interlinear Bible| target=|_top|&gt;Interlin&lt;/a&gt;</v>
      </c>
      <c r="Y332" t="str">
        <f t="shared" ref="Y332" si="1325">CONCATENATE("&lt;/li&gt;&lt;li&gt;&lt;a href=|http://",Y1191,"/2_kings/19.htm","| ","title=|",Y1190,"| target=|_top|&gt;",Y1192,"&lt;/a&gt;")</f>
        <v>&lt;/li&gt;&lt;li&gt;&lt;a href=|http://bibleoutline.org/2_kings/19.htm| title=|Outline with People and Places List| target=|_top|&gt;Outline&lt;/a&gt;</v>
      </c>
      <c r="Z332" t="str">
        <f t="shared" si="1324"/>
        <v>&lt;/li&gt;&lt;li&gt;&lt;a href=|http://kjvs.scripturetext.com/2_kings/19.htm| title=|King James Bible with Strong's Numbers| target=|_top|&gt;Strong's&lt;/a&gt;</v>
      </c>
      <c r="AA332" t="str">
        <f t="shared" si="1324"/>
        <v>&lt;/li&gt;&lt;li&gt;&lt;a href=|http://childrensbibleonline.com/2_kings/19.htm| title=|The Children's Bible| target=|_top|&gt;Children's&lt;/a&gt;</v>
      </c>
      <c r="AB332" s="2" t="str">
        <f t="shared" si="1324"/>
        <v>&lt;/li&gt;&lt;li&gt;&lt;a href=|http://tsk.scripturetext.com/2_kings/19.htm| title=|Treasury of Scripture Knowledge| target=|_top|&gt;TSK&lt;/a&gt;</v>
      </c>
      <c r="AC332" t="str">
        <f>CONCATENATE("&lt;a href=|http://",AC1191,"/2_kings/19.htm","| ","title=|",AC1190,"| target=|_top|&gt;",AC1192,"&lt;/a&gt;")</f>
        <v>&lt;a href=|http://parallelbible.com/2_kings/19.htm| title=|Parallel Chapters| target=|_top|&gt;PAR&lt;/a&gt;</v>
      </c>
      <c r="AD332" s="2" t="str">
        <f t="shared" ref="AD332:AK332" si="1326">CONCATENATE("&lt;/li&gt;&lt;li&gt;&lt;a href=|http://",AD1191,"/2_kings/19.htm","| ","title=|",AD1190,"| target=|_top|&gt;",AD1192,"&lt;/a&gt;")</f>
        <v>&lt;/li&gt;&lt;li&gt;&lt;a href=|http://gsb.biblecommenter.com/2_kings/19.htm| title=|Geneva Study Bible| target=|_top|&gt;GSB&lt;/a&gt;</v>
      </c>
      <c r="AE332" s="2" t="str">
        <f t="shared" si="1326"/>
        <v>&lt;/li&gt;&lt;li&gt;&lt;a href=|http://jfb.biblecommenter.com/2_kings/19.htm| title=|Jamieson-Fausset-Brown Bible Commentary| target=|_top|&gt;JFB&lt;/a&gt;</v>
      </c>
      <c r="AF332" s="2" t="str">
        <f t="shared" si="1326"/>
        <v>&lt;/li&gt;&lt;li&gt;&lt;a href=|http://kjt.biblecommenter.com/2_kings/19.htm| title=|King James Translators' Notes| target=|_top|&gt;KJT&lt;/a&gt;</v>
      </c>
      <c r="AG332" s="2" t="str">
        <f t="shared" si="1326"/>
        <v>&lt;/li&gt;&lt;li&gt;&lt;a href=|http://mhc.biblecommenter.com/2_kings/19.htm| title=|Matthew Henry's Concise Commentary| target=|_top|&gt;MHC&lt;/a&gt;</v>
      </c>
      <c r="AH332" s="2" t="str">
        <f t="shared" si="1326"/>
        <v>&lt;/li&gt;&lt;li&gt;&lt;a href=|http://sco.biblecommenter.com/2_kings/19.htm| title=|Scofield Reference Notes| target=|_top|&gt;SCO&lt;/a&gt;</v>
      </c>
      <c r="AI332" s="2" t="str">
        <f t="shared" si="1326"/>
        <v>&lt;/li&gt;&lt;li&gt;&lt;a href=|http://wes.biblecommenter.com/2_kings/19.htm| title=|Wesley's Notes on the Bible| target=|_top|&gt;WES&lt;/a&gt;</v>
      </c>
      <c r="AJ332" t="str">
        <f t="shared" si="1326"/>
        <v>&lt;/li&gt;&lt;li&gt;&lt;a href=|http://worldebible.com/2_kings/19.htm| title=|World English Bible| target=|_top|&gt;WEB&lt;/a&gt;</v>
      </c>
      <c r="AK332" t="str">
        <f t="shared" si="1326"/>
        <v>&lt;/li&gt;&lt;li&gt;&lt;a href=|http://yltbible.com/2_kings/19.htm| title=|Young's Literal Translation| target=|_top|&gt;YLT&lt;/a&gt;</v>
      </c>
      <c r="AL332" t="str">
        <f>CONCATENATE("&lt;a href=|http://",AL1191,"/2_kings/19.htm","| ","title=|",AL1190,"| target=|_top|&gt;",AL1192,"&lt;/a&gt;")</f>
        <v>&lt;a href=|http://kjv.us/2_kings/19.htm| title=|American King James Version| target=|_top|&gt;AKJ&lt;/a&gt;</v>
      </c>
      <c r="AM332" t="str">
        <f t="shared" ref="AM332:AN332" si="1327">CONCATENATE("&lt;/li&gt;&lt;li&gt;&lt;a href=|http://",AM1191,"/2_kings/19.htm","| ","title=|",AM1190,"| target=|_top|&gt;",AM1192,"&lt;/a&gt;")</f>
        <v>&lt;/li&gt;&lt;li&gt;&lt;a href=|http://basicenglishbible.com/2_kings/19.htm| title=|Bible in Basic English| target=|_top|&gt;BBE&lt;/a&gt;</v>
      </c>
      <c r="AN332" t="str">
        <f t="shared" si="1327"/>
        <v>&lt;/li&gt;&lt;li&gt;&lt;a href=|http://darbybible.com/2_kings/19.htm| title=|Darby Bible Translation| target=|_top|&gt;DBY&lt;/a&gt;</v>
      </c>
      <c r="AO33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3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3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32" t="str">
        <f>CONCATENATE("&lt;/li&gt;&lt;li&gt;&lt;a href=|http://",AR1191,"/2_kings/19.htm","| ","title=|",AR1190,"| target=|_top|&gt;",AR1192,"&lt;/a&gt;")</f>
        <v>&lt;/li&gt;&lt;li&gt;&lt;a href=|http://websterbible.com/2_kings/19.htm| title=|Webster's Bible Translation| target=|_top|&gt;WBS&lt;/a&gt;</v>
      </c>
      <c r="AS33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32" t="str">
        <f>CONCATENATE("&lt;/li&gt;&lt;li&gt;&lt;a href=|http://",AT1191,"/2_kings/19-1.htm","| ","title=|",AT1190,"| target=|_top|&gt;",AT1192,"&lt;/a&gt;")</f>
        <v>&lt;/li&gt;&lt;li&gt;&lt;a href=|http://biblebrowser.com/2_kings/19-1.htm| title=|Split View| target=|_top|&gt;Split&lt;/a&gt;</v>
      </c>
      <c r="AU332" s="2" t="s">
        <v>1276</v>
      </c>
      <c r="AV332" t="s">
        <v>64</v>
      </c>
    </row>
    <row r="333" spans="1:48">
      <c r="A333" t="s">
        <v>622</v>
      </c>
      <c r="B333" t="s">
        <v>386</v>
      </c>
      <c r="C333" t="s">
        <v>624</v>
      </c>
      <c r="D333" t="s">
        <v>1268</v>
      </c>
      <c r="E333" t="s">
        <v>1277</v>
      </c>
      <c r="F333" t="s">
        <v>1304</v>
      </c>
      <c r="G333" t="s">
        <v>1266</v>
      </c>
      <c r="H333" t="s">
        <v>1305</v>
      </c>
      <c r="I333" t="s">
        <v>1303</v>
      </c>
      <c r="J333" t="s">
        <v>1267</v>
      </c>
      <c r="K333" t="s">
        <v>1275</v>
      </c>
      <c r="L333" s="2" t="s">
        <v>1274</v>
      </c>
      <c r="M333" t="str">
        <f t="shared" ref="M333:AB333" si="1328">CONCATENATE("&lt;/li&gt;&lt;li&gt;&lt;a href=|http://",M1191,"/2_kings/20.htm","| ","title=|",M1190,"| target=|_top|&gt;",M1192,"&lt;/a&gt;")</f>
        <v>&lt;/li&gt;&lt;li&gt;&lt;a href=|http://niv.scripturetext.com/2_kings/20.htm| title=|New International Version| target=|_top|&gt;NIV&lt;/a&gt;</v>
      </c>
      <c r="N333" t="str">
        <f t="shared" si="1328"/>
        <v>&lt;/li&gt;&lt;li&gt;&lt;a href=|http://nlt.scripturetext.com/2_kings/20.htm| title=|New Living Translation| target=|_top|&gt;NLT&lt;/a&gt;</v>
      </c>
      <c r="O333" t="str">
        <f t="shared" si="1328"/>
        <v>&lt;/li&gt;&lt;li&gt;&lt;a href=|http://nasb.scripturetext.com/2_kings/20.htm| title=|New American Standard Bible| target=|_top|&gt;NAS&lt;/a&gt;</v>
      </c>
      <c r="P333" t="str">
        <f t="shared" si="1328"/>
        <v>&lt;/li&gt;&lt;li&gt;&lt;a href=|http://gwt.scripturetext.com/2_kings/20.htm| title=|God's Word Translation| target=|_top|&gt;GWT&lt;/a&gt;</v>
      </c>
      <c r="Q333" t="str">
        <f t="shared" si="1328"/>
        <v>&lt;/li&gt;&lt;li&gt;&lt;a href=|http://kingjbible.com/2_kings/20.htm| title=|King James Bible| target=|_top|&gt;KJV&lt;/a&gt;</v>
      </c>
      <c r="R333" t="str">
        <f t="shared" si="1328"/>
        <v>&lt;/li&gt;&lt;li&gt;&lt;a href=|http://asvbible.com/2_kings/20.htm| title=|American Standard Version| target=|_top|&gt;ASV&lt;/a&gt;</v>
      </c>
      <c r="S333" t="str">
        <f t="shared" si="1328"/>
        <v>&lt;/li&gt;&lt;li&gt;&lt;a href=|http://drb.scripturetext.com/2_kings/20.htm| title=|Douay-Rheims Bible| target=|_top|&gt;DRB&lt;/a&gt;</v>
      </c>
      <c r="T333" t="str">
        <f t="shared" si="1328"/>
        <v>&lt;/li&gt;&lt;li&gt;&lt;a href=|http://erv.scripturetext.com/2_kings/20.htm| title=|English Revised Version| target=|_top|&gt;ERV&lt;/a&gt;</v>
      </c>
      <c r="V333" t="str">
        <f>CONCATENATE("&lt;/li&gt;&lt;li&gt;&lt;a href=|http://",V1191,"/2_kings/20.htm","| ","title=|",V1190,"| target=|_top|&gt;",V1192,"&lt;/a&gt;")</f>
        <v>&lt;/li&gt;&lt;li&gt;&lt;a href=|http://study.interlinearbible.org/2_kings/20.htm| title=|Hebrew Study Bible| target=|_top|&gt;Heb Study&lt;/a&gt;</v>
      </c>
      <c r="W333" t="str">
        <f t="shared" si="1328"/>
        <v>&lt;/li&gt;&lt;li&gt;&lt;a href=|http://apostolic.interlinearbible.org/2_kings/20.htm| title=|Apostolic Bible Polyglot Interlinear| target=|_top|&gt;Polyglot&lt;/a&gt;</v>
      </c>
      <c r="X333" t="str">
        <f t="shared" si="1328"/>
        <v>&lt;/li&gt;&lt;li&gt;&lt;a href=|http://interlinearbible.org/2_kings/20.htm| title=|Interlinear Bible| target=|_top|&gt;Interlin&lt;/a&gt;</v>
      </c>
      <c r="Y333" t="str">
        <f t="shared" ref="Y333" si="1329">CONCATENATE("&lt;/li&gt;&lt;li&gt;&lt;a href=|http://",Y1191,"/2_kings/20.htm","| ","title=|",Y1190,"| target=|_top|&gt;",Y1192,"&lt;/a&gt;")</f>
        <v>&lt;/li&gt;&lt;li&gt;&lt;a href=|http://bibleoutline.org/2_kings/20.htm| title=|Outline with People and Places List| target=|_top|&gt;Outline&lt;/a&gt;</v>
      </c>
      <c r="Z333" t="str">
        <f t="shared" si="1328"/>
        <v>&lt;/li&gt;&lt;li&gt;&lt;a href=|http://kjvs.scripturetext.com/2_kings/20.htm| title=|King James Bible with Strong's Numbers| target=|_top|&gt;Strong's&lt;/a&gt;</v>
      </c>
      <c r="AA333" t="str">
        <f t="shared" si="1328"/>
        <v>&lt;/li&gt;&lt;li&gt;&lt;a href=|http://childrensbibleonline.com/2_kings/20.htm| title=|The Children's Bible| target=|_top|&gt;Children's&lt;/a&gt;</v>
      </c>
      <c r="AB333" s="2" t="str">
        <f t="shared" si="1328"/>
        <v>&lt;/li&gt;&lt;li&gt;&lt;a href=|http://tsk.scripturetext.com/2_kings/20.htm| title=|Treasury of Scripture Knowledge| target=|_top|&gt;TSK&lt;/a&gt;</v>
      </c>
      <c r="AC333" t="str">
        <f>CONCATENATE("&lt;a href=|http://",AC1191,"/2_kings/20.htm","| ","title=|",AC1190,"| target=|_top|&gt;",AC1192,"&lt;/a&gt;")</f>
        <v>&lt;a href=|http://parallelbible.com/2_kings/20.htm| title=|Parallel Chapters| target=|_top|&gt;PAR&lt;/a&gt;</v>
      </c>
      <c r="AD333" s="2" t="str">
        <f t="shared" ref="AD333:AK333" si="1330">CONCATENATE("&lt;/li&gt;&lt;li&gt;&lt;a href=|http://",AD1191,"/2_kings/20.htm","| ","title=|",AD1190,"| target=|_top|&gt;",AD1192,"&lt;/a&gt;")</f>
        <v>&lt;/li&gt;&lt;li&gt;&lt;a href=|http://gsb.biblecommenter.com/2_kings/20.htm| title=|Geneva Study Bible| target=|_top|&gt;GSB&lt;/a&gt;</v>
      </c>
      <c r="AE333" s="2" t="str">
        <f t="shared" si="1330"/>
        <v>&lt;/li&gt;&lt;li&gt;&lt;a href=|http://jfb.biblecommenter.com/2_kings/20.htm| title=|Jamieson-Fausset-Brown Bible Commentary| target=|_top|&gt;JFB&lt;/a&gt;</v>
      </c>
      <c r="AF333" s="2" t="str">
        <f t="shared" si="1330"/>
        <v>&lt;/li&gt;&lt;li&gt;&lt;a href=|http://kjt.biblecommenter.com/2_kings/20.htm| title=|King James Translators' Notes| target=|_top|&gt;KJT&lt;/a&gt;</v>
      </c>
      <c r="AG333" s="2" t="str">
        <f t="shared" si="1330"/>
        <v>&lt;/li&gt;&lt;li&gt;&lt;a href=|http://mhc.biblecommenter.com/2_kings/20.htm| title=|Matthew Henry's Concise Commentary| target=|_top|&gt;MHC&lt;/a&gt;</v>
      </c>
      <c r="AH333" s="2" t="str">
        <f t="shared" si="1330"/>
        <v>&lt;/li&gt;&lt;li&gt;&lt;a href=|http://sco.biblecommenter.com/2_kings/20.htm| title=|Scofield Reference Notes| target=|_top|&gt;SCO&lt;/a&gt;</v>
      </c>
      <c r="AI333" s="2" t="str">
        <f t="shared" si="1330"/>
        <v>&lt;/li&gt;&lt;li&gt;&lt;a href=|http://wes.biblecommenter.com/2_kings/20.htm| title=|Wesley's Notes on the Bible| target=|_top|&gt;WES&lt;/a&gt;</v>
      </c>
      <c r="AJ333" t="str">
        <f t="shared" si="1330"/>
        <v>&lt;/li&gt;&lt;li&gt;&lt;a href=|http://worldebible.com/2_kings/20.htm| title=|World English Bible| target=|_top|&gt;WEB&lt;/a&gt;</v>
      </c>
      <c r="AK333" t="str">
        <f t="shared" si="1330"/>
        <v>&lt;/li&gt;&lt;li&gt;&lt;a href=|http://yltbible.com/2_kings/20.htm| title=|Young's Literal Translation| target=|_top|&gt;YLT&lt;/a&gt;</v>
      </c>
      <c r="AL333" t="str">
        <f>CONCATENATE("&lt;a href=|http://",AL1191,"/2_kings/20.htm","| ","title=|",AL1190,"| target=|_top|&gt;",AL1192,"&lt;/a&gt;")</f>
        <v>&lt;a href=|http://kjv.us/2_kings/20.htm| title=|American King James Version| target=|_top|&gt;AKJ&lt;/a&gt;</v>
      </c>
      <c r="AM333" t="str">
        <f t="shared" ref="AM333:AN333" si="1331">CONCATENATE("&lt;/li&gt;&lt;li&gt;&lt;a href=|http://",AM1191,"/2_kings/20.htm","| ","title=|",AM1190,"| target=|_top|&gt;",AM1192,"&lt;/a&gt;")</f>
        <v>&lt;/li&gt;&lt;li&gt;&lt;a href=|http://basicenglishbible.com/2_kings/20.htm| title=|Bible in Basic English| target=|_top|&gt;BBE&lt;/a&gt;</v>
      </c>
      <c r="AN333" t="str">
        <f t="shared" si="1331"/>
        <v>&lt;/li&gt;&lt;li&gt;&lt;a href=|http://darbybible.com/2_kings/20.htm| title=|Darby Bible Translation| target=|_top|&gt;DBY&lt;/a&gt;</v>
      </c>
      <c r="AO33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3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3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33" t="str">
        <f>CONCATENATE("&lt;/li&gt;&lt;li&gt;&lt;a href=|http://",AR1191,"/2_kings/20.htm","| ","title=|",AR1190,"| target=|_top|&gt;",AR1192,"&lt;/a&gt;")</f>
        <v>&lt;/li&gt;&lt;li&gt;&lt;a href=|http://websterbible.com/2_kings/20.htm| title=|Webster's Bible Translation| target=|_top|&gt;WBS&lt;/a&gt;</v>
      </c>
      <c r="AS33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33" t="str">
        <f>CONCATENATE("&lt;/li&gt;&lt;li&gt;&lt;a href=|http://",AT1191,"/2_kings/20-1.htm","| ","title=|",AT1190,"| target=|_top|&gt;",AT1192,"&lt;/a&gt;")</f>
        <v>&lt;/li&gt;&lt;li&gt;&lt;a href=|http://biblebrowser.com/2_kings/20-1.htm| title=|Split View| target=|_top|&gt;Split&lt;/a&gt;</v>
      </c>
      <c r="AU333" s="2" t="s">
        <v>1276</v>
      </c>
      <c r="AV333" t="s">
        <v>64</v>
      </c>
    </row>
    <row r="334" spans="1:48">
      <c r="A334" t="s">
        <v>622</v>
      </c>
      <c r="B334" t="s">
        <v>387</v>
      </c>
      <c r="C334" t="s">
        <v>624</v>
      </c>
      <c r="D334" t="s">
        <v>1268</v>
      </c>
      <c r="E334" t="s">
        <v>1277</v>
      </c>
      <c r="F334" t="s">
        <v>1304</v>
      </c>
      <c r="G334" t="s">
        <v>1266</v>
      </c>
      <c r="H334" t="s">
        <v>1305</v>
      </c>
      <c r="I334" t="s">
        <v>1303</v>
      </c>
      <c r="J334" t="s">
        <v>1267</v>
      </c>
      <c r="K334" t="s">
        <v>1275</v>
      </c>
      <c r="L334" s="2" t="s">
        <v>1274</v>
      </c>
      <c r="M334" t="str">
        <f t="shared" ref="M334:AB334" si="1332">CONCATENATE("&lt;/li&gt;&lt;li&gt;&lt;a href=|http://",M1191,"/2_kings/21.htm","| ","title=|",M1190,"| target=|_top|&gt;",M1192,"&lt;/a&gt;")</f>
        <v>&lt;/li&gt;&lt;li&gt;&lt;a href=|http://niv.scripturetext.com/2_kings/21.htm| title=|New International Version| target=|_top|&gt;NIV&lt;/a&gt;</v>
      </c>
      <c r="N334" t="str">
        <f t="shared" si="1332"/>
        <v>&lt;/li&gt;&lt;li&gt;&lt;a href=|http://nlt.scripturetext.com/2_kings/21.htm| title=|New Living Translation| target=|_top|&gt;NLT&lt;/a&gt;</v>
      </c>
      <c r="O334" t="str">
        <f t="shared" si="1332"/>
        <v>&lt;/li&gt;&lt;li&gt;&lt;a href=|http://nasb.scripturetext.com/2_kings/21.htm| title=|New American Standard Bible| target=|_top|&gt;NAS&lt;/a&gt;</v>
      </c>
      <c r="P334" t="str">
        <f t="shared" si="1332"/>
        <v>&lt;/li&gt;&lt;li&gt;&lt;a href=|http://gwt.scripturetext.com/2_kings/21.htm| title=|God's Word Translation| target=|_top|&gt;GWT&lt;/a&gt;</v>
      </c>
      <c r="Q334" t="str">
        <f t="shared" si="1332"/>
        <v>&lt;/li&gt;&lt;li&gt;&lt;a href=|http://kingjbible.com/2_kings/21.htm| title=|King James Bible| target=|_top|&gt;KJV&lt;/a&gt;</v>
      </c>
      <c r="R334" t="str">
        <f t="shared" si="1332"/>
        <v>&lt;/li&gt;&lt;li&gt;&lt;a href=|http://asvbible.com/2_kings/21.htm| title=|American Standard Version| target=|_top|&gt;ASV&lt;/a&gt;</v>
      </c>
      <c r="S334" t="str">
        <f t="shared" si="1332"/>
        <v>&lt;/li&gt;&lt;li&gt;&lt;a href=|http://drb.scripturetext.com/2_kings/21.htm| title=|Douay-Rheims Bible| target=|_top|&gt;DRB&lt;/a&gt;</v>
      </c>
      <c r="T334" t="str">
        <f t="shared" si="1332"/>
        <v>&lt;/li&gt;&lt;li&gt;&lt;a href=|http://erv.scripturetext.com/2_kings/21.htm| title=|English Revised Version| target=|_top|&gt;ERV&lt;/a&gt;</v>
      </c>
      <c r="V334" t="str">
        <f>CONCATENATE("&lt;/li&gt;&lt;li&gt;&lt;a href=|http://",V1191,"/2_kings/21.htm","| ","title=|",V1190,"| target=|_top|&gt;",V1192,"&lt;/a&gt;")</f>
        <v>&lt;/li&gt;&lt;li&gt;&lt;a href=|http://study.interlinearbible.org/2_kings/21.htm| title=|Hebrew Study Bible| target=|_top|&gt;Heb Study&lt;/a&gt;</v>
      </c>
      <c r="W334" t="str">
        <f t="shared" si="1332"/>
        <v>&lt;/li&gt;&lt;li&gt;&lt;a href=|http://apostolic.interlinearbible.org/2_kings/21.htm| title=|Apostolic Bible Polyglot Interlinear| target=|_top|&gt;Polyglot&lt;/a&gt;</v>
      </c>
      <c r="X334" t="str">
        <f t="shared" si="1332"/>
        <v>&lt;/li&gt;&lt;li&gt;&lt;a href=|http://interlinearbible.org/2_kings/21.htm| title=|Interlinear Bible| target=|_top|&gt;Interlin&lt;/a&gt;</v>
      </c>
      <c r="Y334" t="str">
        <f t="shared" ref="Y334" si="1333">CONCATENATE("&lt;/li&gt;&lt;li&gt;&lt;a href=|http://",Y1191,"/2_kings/21.htm","| ","title=|",Y1190,"| target=|_top|&gt;",Y1192,"&lt;/a&gt;")</f>
        <v>&lt;/li&gt;&lt;li&gt;&lt;a href=|http://bibleoutline.org/2_kings/21.htm| title=|Outline with People and Places List| target=|_top|&gt;Outline&lt;/a&gt;</v>
      </c>
      <c r="Z334" t="str">
        <f t="shared" si="1332"/>
        <v>&lt;/li&gt;&lt;li&gt;&lt;a href=|http://kjvs.scripturetext.com/2_kings/21.htm| title=|King James Bible with Strong's Numbers| target=|_top|&gt;Strong's&lt;/a&gt;</v>
      </c>
      <c r="AA334" t="str">
        <f t="shared" si="1332"/>
        <v>&lt;/li&gt;&lt;li&gt;&lt;a href=|http://childrensbibleonline.com/2_kings/21.htm| title=|The Children's Bible| target=|_top|&gt;Children's&lt;/a&gt;</v>
      </c>
      <c r="AB334" s="2" t="str">
        <f t="shared" si="1332"/>
        <v>&lt;/li&gt;&lt;li&gt;&lt;a href=|http://tsk.scripturetext.com/2_kings/21.htm| title=|Treasury of Scripture Knowledge| target=|_top|&gt;TSK&lt;/a&gt;</v>
      </c>
      <c r="AC334" t="str">
        <f>CONCATENATE("&lt;a href=|http://",AC1191,"/2_kings/21.htm","| ","title=|",AC1190,"| target=|_top|&gt;",AC1192,"&lt;/a&gt;")</f>
        <v>&lt;a href=|http://parallelbible.com/2_kings/21.htm| title=|Parallel Chapters| target=|_top|&gt;PAR&lt;/a&gt;</v>
      </c>
      <c r="AD334" s="2" t="str">
        <f t="shared" ref="AD334:AK334" si="1334">CONCATENATE("&lt;/li&gt;&lt;li&gt;&lt;a href=|http://",AD1191,"/2_kings/21.htm","| ","title=|",AD1190,"| target=|_top|&gt;",AD1192,"&lt;/a&gt;")</f>
        <v>&lt;/li&gt;&lt;li&gt;&lt;a href=|http://gsb.biblecommenter.com/2_kings/21.htm| title=|Geneva Study Bible| target=|_top|&gt;GSB&lt;/a&gt;</v>
      </c>
      <c r="AE334" s="2" t="str">
        <f t="shared" si="1334"/>
        <v>&lt;/li&gt;&lt;li&gt;&lt;a href=|http://jfb.biblecommenter.com/2_kings/21.htm| title=|Jamieson-Fausset-Brown Bible Commentary| target=|_top|&gt;JFB&lt;/a&gt;</v>
      </c>
      <c r="AF334" s="2" t="str">
        <f t="shared" si="1334"/>
        <v>&lt;/li&gt;&lt;li&gt;&lt;a href=|http://kjt.biblecommenter.com/2_kings/21.htm| title=|King James Translators' Notes| target=|_top|&gt;KJT&lt;/a&gt;</v>
      </c>
      <c r="AG334" s="2" t="str">
        <f t="shared" si="1334"/>
        <v>&lt;/li&gt;&lt;li&gt;&lt;a href=|http://mhc.biblecommenter.com/2_kings/21.htm| title=|Matthew Henry's Concise Commentary| target=|_top|&gt;MHC&lt;/a&gt;</v>
      </c>
      <c r="AH334" s="2" t="str">
        <f t="shared" si="1334"/>
        <v>&lt;/li&gt;&lt;li&gt;&lt;a href=|http://sco.biblecommenter.com/2_kings/21.htm| title=|Scofield Reference Notes| target=|_top|&gt;SCO&lt;/a&gt;</v>
      </c>
      <c r="AI334" s="2" t="str">
        <f t="shared" si="1334"/>
        <v>&lt;/li&gt;&lt;li&gt;&lt;a href=|http://wes.biblecommenter.com/2_kings/21.htm| title=|Wesley's Notes on the Bible| target=|_top|&gt;WES&lt;/a&gt;</v>
      </c>
      <c r="AJ334" t="str">
        <f t="shared" si="1334"/>
        <v>&lt;/li&gt;&lt;li&gt;&lt;a href=|http://worldebible.com/2_kings/21.htm| title=|World English Bible| target=|_top|&gt;WEB&lt;/a&gt;</v>
      </c>
      <c r="AK334" t="str">
        <f t="shared" si="1334"/>
        <v>&lt;/li&gt;&lt;li&gt;&lt;a href=|http://yltbible.com/2_kings/21.htm| title=|Young's Literal Translation| target=|_top|&gt;YLT&lt;/a&gt;</v>
      </c>
      <c r="AL334" t="str">
        <f>CONCATENATE("&lt;a href=|http://",AL1191,"/2_kings/21.htm","| ","title=|",AL1190,"| target=|_top|&gt;",AL1192,"&lt;/a&gt;")</f>
        <v>&lt;a href=|http://kjv.us/2_kings/21.htm| title=|American King James Version| target=|_top|&gt;AKJ&lt;/a&gt;</v>
      </c>
      <c r="AM334" t="str">
        <f t="shared" ref="AM334:AN334" si="1335">CONCATENATE("&lt;/li&gt;&lt;li&gt;&lt;a href=|http://",AM1191,"/2_kings/21.htm","| ","title=|",AM1190,"| target=|_top|&gt;",AM1192,"&lt;/a&gt;")</f>
        <v>&lt;/li&gt;&lt;li&gt;&lt;a href=|http://basicenglishbible.com/2_kings/21.htm| title=|Bible in Basic English| target=|_top|&gt;BBE&lt;/a&gt;</v>
      </c>
      <c r="AN334" t="str">
        <f t="shared" si="1335"/>
        <v>&lt;/li&gt;&lt;li&gt;&lt;a href=|http://darbybible.com/2_kings/21.htm| title=|Darby Bible Translation| target=|_top|&gt;DBY&lt;/a&gt;</v>
      </c>
      <c r="AO33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3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3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34" t="str">
        <f>CONCATENATE("&lt;/li&gt;&lt;li&gt;&lt;a href=|http://",AR1191,"/2_kings/21.htm","| ","title=|",AR1190,"| target=|_top|&gt;",AR1192,"&lt;/a&gt;")</f>
        <v>&lt;/li&gt;&lt;li&gt;&lt;a href=|http://websterbible.com/2_kings/21.htm| title=|Webster's Bible Translation| target=|_top|&gt;WBS&lt;/a&gt;</v>
      </c>
      <c r="AS33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34" t="str">
        <f>CONCATENATE("&lt;/li&gt;&lt;li&gt;&lt;a href=|http://",AT1191,"/2_kings/21-1.htm","| ","title=|",AT1190,"| target=|_top|&gt;",AT1192,"&lt;/a&gt;")</f>
        <v>&lt;/li&gt;&lt;li&gt;&lt;a href=|http://biblebrowser.com/2_kings/21-1.htm| title=|Split View| target=|_top|&gt;Split&lt;/a&gt;</v>
      </c>
      <c r="AU334" s="2" t="s">
        <v>1276</v>
      </c>
      <c r="AV334" t="s">
        <v>64</v>
      </c>
    </row>
    <row r="335" spans="1:48">
      <c r="A335" t="s">
        <v>622</v>
      </c>
      <c r="B335" t="s">
        <v>388</v>
      </c>
      <c r="C335" t="s">
        <v>624</v>
      </c>
      <c r="D335" t="s">
        <v>1268</v>
      </c>
      <c r="E335" t="s">
        <v>1277</v>
      </c>
      <c r="F335" t="s">
        <v>1304</v>
      </c>
      <c r="G335" t="s">
        <v>1266</v>
      </c>
      <c r="H335" t="s">
        <v>1305</v>
      </c>
      <c r="I335" t="s">
        <v>1303</v>
      </c>
      <c r="J335" t="s">
        <v>1267</v>
      </c>
      <c r="K335" t="s">
        <v>1275</v>
      </c>
      <c r="L335" s="2" t="s">
        <v>1274</v>
      </c>
      <c r="M335" t="str">
        <f t="shared" ref="M335:AB335" si="1336">CONCATENATE("&lt;/li&gt;&lt;li&gt;&lt;a href=|http://",M1191,"/2_kings/22.htm","| ","title=|",M1190,"| target=|_top|&gt;",M1192,"&lt;/a&gt;")</f>
        <v>&lt;/li&gt;&lt;li&gt;&lt;a href=|http://niv.scripturetext.com/2_kings/22.htm| title=|New International Version| target=|_top|&gt;NIV&lt;/a&gt;</v>
      </c>
      <c r="N335" t="str">
        <f t="shared" si="1336"/>
        <v>&lt;/li&gt;&lt;li&gt;&lt;a href=|http://nlt.scripturetext.com/2_kings/22.htm| title=|New Living Translation| target=|_top|&gt;NLT&lt;/a&gt;</v>
      </c>
      <c r="O335" t="str">
        <f t="shared" si="1336"/>
        <v>&lt;/li&gt;&lt;li&gt;&lt;a href=|http://nasb.scripturetext.com/2_kings/22.htm| title=|New American Standard Bible| target=|_top|&gt;NAS&lt;/a&gt;</v>
      </c>
      <c r="P335" t="str">
        <f t="shared" si="1336"/>
        <v>&lt;/li&gt;&lt;li&gt;&lt;a href=|http://gwt.scripturetext.com/2_kings/22.htm| title=|God's Word Translation| target=|_top|&gt;GWT&lt;/a&gt;</v>
      </c>
      <c r="Q335" t="str">
        <f t="shared" si="1336"/>
        <v>&lt;/li&gt;&lt;li&gt;&lt;a href=|http://kingjbible.com/2_kings/22.htm| title=|King James Bible| target=|_top|&gt;KJV&lt;/a&gt;</v>
      </c>
      <c r="R335" t="str">
        <f t="shared" si="1336"/>
        <v>&lt;/li&gt;&lt;li&gt;&lt;a href=|http://asvbible.com/2_kings/22.htm| title=|American Standard Version| target=|_top|&gt;ASV&lt;/a&gt;</v>
      </c>
      <c r="S335" t="str">
        <f t="shared" si="1336"/>
        <v>&lt;/li&gt;&lt;li&gt;&lt;a href=|http://drb.scripturetext.com/2_kings/22.htm| title=|Douay-Rheims Bible| target=|_top|&gt;DRB&lt;/a&gt;</v>
      </c>
      <c r="T335" t="str">
        <f t="shared" si="1336"/>
        <v>&lt;/li&gt;&lt;li&gt;&lt;a href=|http://erv.scripturetext.com/2_kings/22.htm| title=|English Revised Version| target=|_top|&gt;ERV&lt;/a&gt;</v>
      </c>
      <c r="V335" t="str">
        <f>CONCATENATE("&lt;/li&gt;&lt;li&gt;&lt;a href=|http://",V1191,"/2_kings/22.htm","| ","title=|",V1190,"| target=|_top|&gt;",V1192,"&lt;/a&gt;")</f>
        <v>&lt;/li&gt;&lt;li&gt;&lt;a href=|http://study.interlinearbible.org/2_kings/22.htm| title=|Hebrew Study Bible| target=|_top|&gt;Heb Study&lt;/a&gt;</v>
      </c>
      <c r="W335" t="str">
        <f t="shared" si="1336"/>
        <v>&lt;/li&gt;&lt;li&gt;&lt;a href=|http://apostolic.interlinearbible.org/2_kings/22.htm| title=|Apostolic Bible Polyglot Interlinear| target=|_top|&gt;Polyglot&lt;/a&gt;</v>
      </c>
      <c r="X335" t="str">
        <f t="shared" si="1336"/>
        <v>&lt;/li&gt;&lt;li&gt;&lt;a href=|http://interlinearbible.org/2_kings/22.htm| title=|Interlinear Bible| target=|_top|&gt;Interlin&lt;/a&gt;</v>
      </c>
      <c r="Y335" t="str">
        <f t="shared" ref="Y335" si="1337">CONCATENATE("&lt;/li&gt;&lt;li&gt;&lt;a href=|http://",Y1191,"/2_kings/22.htm","| ","title=|",Y1190,"| target=|_top|&gt;",Y1192,"&lt;/a&gt;")</f>
        <v>&lt;/li&gt;&lt;li&gt;&lt;a href=|http://bibleoutline.org/2_kings/22.htm| title=|Outline with People and Places List| target=|_top|&gt;Outline&lt;/a&gt;</v>
      </c>
      <c r="Z335" t="str">
        <f t="shared" si="1336"/>
        <v>&lt;/li&gt;&lt;li&gt;&lt;a href=|http://kjvs.scripturetext.com/2_kings/22.htm| title=|King James Bible with Strong's Numbers| target=|_top|&gt;Strong's&lt;/a&gt;</v>
      </c>
      <c r="AA335" t="str">
        <f t="shared" si="1336"/>
        <v>&lt;/li&gt;&lt;li&gt;&lt;a href=|http://childrensbibleonline.com/2_kings/22.htm| title=|The Children's Bible| target=|_top|&gt;Children's&lt;/a&gt;</v>
      </c>
      <c r="AB335" s="2" t="str">
        <f t="shared" si="1336"/>
        <v>&lt;/li&gt;&lt;li&gt;&lt;a href=|http://tsk.scripturetext.com/2_kings/22.htm| title=|Treasury of Scripture Knowledge| target=|_top|&gt;TSK&lt;/a&gt;</v>
      </c>
      <c r="AC335" t="str">
        <f>CONCATENATE("&lt;a href=|http://",AC1191,"/2_kings/22.htm","| ","title=|",AC1190,"| target=|_top|&gt;",AC1192,"&lt;/a&gt;")</f>
        <v>&lt;a href=|http://parallelbible.com/2_kings/22.htm| title=|Parallel Chapters| target=|_top|&gt;PAR&lt;/a&gt;</v>
      </c>
      <c r="AD335" s="2" t="str">
        <f t="shared" ref="AD335:AK335" si="1338">CONCATENATE("&lt;/li&gt;&lt;li&gt;&lt;a href=|http://",AD1191,"/2_kings/22.htm","| ","title=|",AD1190,"| target=|_top|&gt;",AD1192,"&lt;/a&gt;")</f>
        <v>&lt;/li&gt;&lt;li&gt;&lt;a href=|http://gsb.biblecommenter.com/2_kings/22.htm| title=|Geneva Study Bible| target=|_top|&gt;GSB&lt;/a&gt;</v>
      </c>
      <c r="AE335" s="2" t="str">
        <f t="shared" si="1338"/>
        <v>&lt;/li&gt;&lt;li&gt;&lt;a href=|http://jfb.biblecommenter.com/2_kings/22.htm| title=|Jamieson-Fausset-Brown Bible Commentary| target=|_top|&gt;JFB&lt;/a&gt;</v>
      </c>
      <c r="AF335" s="2" t="str">
        <f t="shared" si="1338"/>
        <v>&lt;/li&gt;&lt;li&gt;&lt;a href=|http://kjt.biblecommenter.com/2_kings/22.htm| title=|King James Translators' Notes| target=|_top|&gt;KJT&lt;/a&gt;</v>
      </c>
      <c r="AG335" s="2" t="str">
        <f t="shared" si="1338"/>
        <v>&lt;/li&gt;&lt;li&gt;&lt;a href=|http://mhc.biblecommenter.com/2_kings/22.htm| title=|Matthew Henry's Concise Commentary| target=|_top|&gt;MHC&lt;/a&gt;</v>
      </c>
      <c r="AH335" s="2" t="str">
        <f t="shared" si="1338"/>
        <v>&lt;/li&gt;&lt;li&gt;&lt;a href=|http://sco.biblecommenter.com/2_kings/22.htm| title=|Scofield Reference Notes| target=|_top|&gt;SCO&lt;/a&gt;</v>
      </c>
      <c r="AI335" s="2" t="str">
        <f t="shared" si="1338"/>
        <v>&lt;/li&gt;&lt;li&gt;&lt;a href=|http://wes.biblecommenter.com/2_kings/22.htm| title=|Wesley's Notes on the Bible| target=|_top|&gt;WES&lt;/a&gt;</v>
      </c>
      <c r="AJ335" t="str">
        <f t="shared" si="1338"/>
        <v>&lt;/li&gt;&lt;li&gt;&lt;a href=|http://worldebible.com/2_kings/22.htm| title=|World English Bible| target=|_top|&gt;WEB&lt;/a&gt;</v>
      </c>
      <c r="AK335" t="str">
        <f t="shared" si="1338"/>
        <v>&lt;/li&gt;&lt;li&gt;&lt;a href=|http://yltbible.com/2_kings/22.htm| title=|Young's Literal Translation| target=|_top|&gt;YLT&lt;/a&gt;</v>
      </c>
      <c r="AL335" t="str">
        <f>CONCATENATE("&lt;a href=|http://",AL1191,"/2_kings/22.htm","| ","title=|",AL1190,"| target=|_top|&gt;",AL1192,"&lt;/a&gt;")</f>
        <v>&lt;a href=|http://kjv.us/2_kings/22.htm| title=|American King James Version| target=|_top|&gt;AKJ&lt;/a&gt;</v>
      </c>
      <c r="AM335" t="str">
        <f t="shared" ref="AM335:AN335" si="1339">CONCATENATE("&lt;/li&gt;&lt;li&gt;&lt;a href=|http://",AM1191,"/2_kings/22.htm","| ","title=|",AM1190,"| target=|_top|&gt;",AM1192,"&lt;/a&gt;")</f>
        <v>&lt;/li&gt;&lt;li&gt;&lt;a href=|http://basicenglishbible.com/2_kings/22.htm| title=|Bible in Basic English| target=|_top|&gt;BBE&lt;/a&gt;</v>
      </c>
      <c r="AN335" t="str">
        <f t="shared" si="1339"/>
        <v>&lt;/li&gt;&lt;li&gt;&lt;a href=|http://darbybible.com/2_kings/22.htm| title=|Darby Bible Translation| target=|_top|&gt;DBY&lt;/a&gt;</v>
      </c>
      <c r="AO33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3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3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35" t="str">
        <f>CONCATENATE("&lt;/li&gt;&lt;li&gt;&lt;a href=|http://",AR1191,"/2_kings/22.htm","| ","title=|",AR1190,"| target=|_top|&gt;",AR1192,"&lt;/a&gt;")</f>
        <v>&lt;/li&gt;&lt;li&gt;&lt;a href=|http://websterbible.com/2_kings/22.htm| title=|Webster's Bible Translation| target=|_top|&gt;WBS&lt;/a&gt;</v>
      </c>
      <c r="AS33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35" t="str">
        <f>CONCATENATE("&lt;/li&gt;&lt;li&gt;&lt;a href=|http://",AT1191,"/2_kings/22-1.htm","| ","title=|",AT1190,"| target=|_top|&gt;",AT1192,"&lt;/a&gt;")</f>
        <v>&lt;/li&gt;&lt;li&gt;&lt;a href=|http://biblebrowser.com/2_kings/22-1.htm| title=|Split View| target=|_top|&gt;Split&lt;/a&gt;</v>
      </c>
      <c r="AU335" s="2" t="s">
        <v>1276</v>
      </c>
      <c r="AV335" t="s">
        <v>64</v>
      </c>
    </row>
    <row r="336" spans="1:48">
      <c r="A336" t="s">
        <v>622</v>
      </c>
      <c r="B336" t="s">
        <v>389</v>
      </c>
      <c r="C336" t="s">
        <v>624</v>
      </c>
      <c r="D336" t="s">
        <v>1268</v>
      </c>
      <c r="E336" t="s">
        <v>1277</v>
      </c>
      <c r="F336" t="s">
        <v>1304</v>
      </c>
      <c r="G336" t="s">
        <v>1266</v>
      </c>
      <c r="H336" t="s">
        <v>1305</v>
      </c>
      <c r="I336" t="s">
        <v>1303</v>
      </c>
      <c r="J336" t="s">
        <v>1267</v>
      </c>
      <c r="K336" t="s">
        <v>1275</v>
      </c>
      <c r="L336" s="2" t="s">
        <v>1274</v>
      </c>
      <c r="M336" t="str">
        <f t="shared" ref="M336:AB336" si="1340">CONCATENATE("&lt;/li&gt;&lt;li&gt;&lt;a href=|http://",M1191,"/2_kings/23.htm","| ","title=|",M1190,"| target=|_top|&gt;",M1192,"&lt;/a&gt;")</f>
        <v>&lt;/li&gt;&lt;li&gt;&lt;a href=|http://niv.scripturetext.com/2_kings/23.htm| title=|New International Version| target=|_top|&gt;NIV&lt;/a&gt;</v>
      </c>
      <c r="N336" t="str">
        <f t="shared" si="1340"/>
        <v>&lt;/li&gt;&lt;li&gt;&lt;a href=|http://nlt.scripturetext.com/2_kings/23.htm| title=|New Living Translation| target=|_top|&gt;NLT&lt;/a&gt;</v>
      </c>
      <c r="O336" t="str">
        <f t="shared" si="1340"/>
        <v>&lt;/li&gt;&lt;li&gt;&lt;a href=|http://nasb.scripturetext.com/2_kings/23.htm| title=|New American Standard Bible| target=|_top|&gt;NAS&lt;/a&gt;</v>
      </c>
      <c r="P336" t="str">
        <f t="shared" si="1340"/>
        <v>&lt;/li&gt;&lt;li&gt;&lt;a href=|http://gwt.scripturetext.com/2_kings/23.htm| title=|God's Word Translation| target=|_top|&gt;GWT&lt;/a&gt;</v>
      </c>
      <c r="Q336" t="str">
        <f t="shared" si="1340"/>
        <v>&lt;/li&gt;&lt;li&gt;&lt;a href=|http://kingjbible.com/2_kings/23.htm| title=|King James Bible| target=|_top|&gt;KJV&lt;/a&gt;</v>
      </c>
      <c r="R336" t="str">
        <f t="shared" si="1340"/>
        <v>&lt;/li&gt;&lt;li&gt;&lt;a href=|http://asvbible.com/2_kings/23.htm| title=|American Standard Version| target=|_top|&gt;ASV&lt;/a&gt;</v>
      </c>
      <c r="S336" t="str">
        <f t="shared" si="1340"/>
        <v>&lt;/li&gt;&lt;li&gt;&lt;a href=|http://drb.scripturetext.com/2_kings/23.htm| title=|Douay-Rheims Bible| target=|_top|&gt;DRB&lt;/a&gt;</v>
      </c>
      <c r="T336" t="str">
        <f t="shared" si="1340"/>
        <v>&lt;/li&gt;&lt;li&gt;&lt;a href=|http://erv.scripturetext.com/2_kings/23.htm| title=|English Revised Version| target=|_top|&gt;ERV&lt;/a&gt;</v>
      </c>
      <c r="V336" t="str">
        <f>CONCATENATE("&lt;/li&gt;&lt;li&gt;&lt;a href=|http://",V1191,"/2_kings/23.htm","| ","title=|",V1190,"| target=|_top|&gt;",V1192,"&lt;/a&gt;")</f>
        <v>&lt;/li&gt;&lt;li&gt;&lt;a href=|http://study.interlinearbible.org/2_kings/23.htm| title=|Hebrew Study Bible| target=|_top|&gt;Heb Study&lt;/a&gt;</v>
      </c>
      <c r="W336" t="str">
        <f t="shared" si="1340"/>
        <v>&lt;/li&gt;&lt;li&gt;&lt;a href=|http://apostolic.interlinearbible.org/2_kings/23.htm| title=|Apostolic Bible Polyglot Interlinear| target=|_top|&gt;Polyglot&lt;/a&gt;</v>
      </c>
      <c r="X336" t="str">
        <f t="shared" si="1340"/>
        <v>&lt;/li&gt;&lt;li&gt;&lt;a href=|http://interlinearbible.org/2_kings/23.htm| title=|Interlinear Bible| target=|_top|&gt;Interlin&lt;/a&gt;</v>
      </c>
      <c r="Y336" t="str">
        <f t="shared" ref="Y336" si="1341">CONCATENATE("&lt;/li&gt;&lt;li&gt;&lt;a href=|http://",Y1191,"/2_kings/23.htm","| ","title=|",Y1190,"| target=|_top|&gt;",Y1192,"&lt;/a&gt;")</f>
        <v>&lt;/li&gt;&lt;li&gt;&lt;a href=|http://bibleoutline.org/2_kings/23.htm| title=|Outline with People and Places List| target=|_top|&gt;Outline&lt;/a&gt;</v>
      </c>
      <c r="Z336" t="str">
        <f t="shared" si="1340"/>
        <v>&lt;/li&gt;&lt;li&gt;&lt;a href=|http://kjvs.scripturetext.com/2_kings/23.htm| title=|King James Bible with Strong's Numbers| target=|_top|&gt;Strong's&lt;/a&gt;</v>
      </c>
      <c r="AA336" t="str">
        <f t="shared" si="1340"/>
        <v>&lt;/li&gt;&lt;li&gt;&lt;a href=|http://childrensbibleonline.com/2_kings/23.htm| title=|The Children's Bible| target=|_top|&gt;Children's&lt;/a&gt;</v>
      </c>
      <c r="AB336" s="2" t="str">
        <f t="shared" si="1340"/>
        <v>&lt;/li&gt;&lt;li&gt;&lt;a href=|http://tsk.scripturetext.com/2_kings/23.htm| title=|Treasury of Scripture Knowledge| target=|_top|&gt;TSK&lt;/a&gt;</v>
      </c>
      <c r="AC336" t="str">
        <f>CONCATENATE("&lt;a href=|http://",AC1191,"/2_kings/23.htm","| ","title=|",AC1190,"| target=|_top|&gt;",AC1192,"&lt;/a&gt;")</f>
        <v>&lt;a href=|http://parallelbible.com/2_kings/23.htm| title=|Parallel Chapters| target=|_top|&gt;PAR&lt;/a&gt;</v>
      </c>
      <c r="AD336" s="2" t="str">
        <f t="shared" ref="AD336:AK336" si="1342">CONCATENATE("&lt;/li&gt;&lt;li&gt;&lt;a href=|http://",AD1191,"/2_kings/23.htm","| ","title=|",AD1190,"| target=|_top|&gt;",AD1192,"&lt;/a&gt;")</f>
        <v>&lt;/li&gt;&lt;li&gt;&lt;a href=|http://gsb.biblecommenter.com/2_kings/23.htm| title=|Geneva Study Bible| target=|_top|&gt;GSB&lt;/a&gt;</v>
      </c>
      <c r="AE336" s="2" t="str">
        <f t="shared" si="1342"/>
        <v>&lt;/li&gt;&lt;li&gt;&lt;a href=|http://jfb.biblecommenter.com/2_kings/23.htm| title=|Jamieson-Fausset-Brown Bible Commentary| target=|_top|&gt;JFB&lt;/a&gt;</v>
      </c>
      <c r="AF336" s="2" t="str">
        <f t="shared" si="1342"/>
        <v>&lt;/li&gt;&lt;li&gt;&lt;a href=|http://kjt.biblecommenter.com/2_kings/23.htm| title=|King James Translators' Notes| target=|_top|&gt;KJT&lt;/a&gt;</v>
      </c>
      <c r="AG336" s="2" t="str">
        <f t="shared" si="1342"/>
        <v>&lt;/li&gt;&lt;li&gt;&lt;a href=|http://mhc.biblecommenter.com/2_kings/23.htm| title=|Matthew Henry's Concise Commentary| target=|_top|&gt;MHC&lt;/a&gt;</v>
      </c>
      <c r="AH336" s="2" t="str">
        <f t="shared" si="1342"/>
        <v>&lt;/li&gt;&lt;li&gt;&lt;a href=|http://sco.biblecommenter.com/2_kings/23.htm| title=|Scofield Reference Notes| target=|_top|&gt;SCO&lt;/a&gt;</v>
      </c>
      <c r="AI336" s="2" t="str">
        <f t="shared" si="1342"/>
        <v>&lt;/li&gt;&lt;li&gt;&lt;a href=|http://wes.biblecommenter.com/2_kings/23.htm| title=|Wesley's Notes on the Bible| target=|_top|&gt;WES&lt;/a&gt;</v>
      </c>
      <c r="AJ336" t="str">
        <f t="shared" si="1342"/>
        <v>&lt;/li&gt;&lt;li&gt;&lt;a href=|http://worldebible.com/2_kings/23.htm| title=|World English Bible| target=|_top|&gt;WEB&lt;/a&gt;</v>
      </c>
      <c r="AK336" t="str">
        <f t="shared" si="1342"/>
        <v>&lt;/li&gt;&lt;li&gt;&lt;a href=|http://yltbible.com/2_kings/23.htm| title=|Young's Literal Translation| target=|_top|&gt;YLT&lt;/a&gt;</v>
      </c>
      <c r="AL336" t="str">
        <f>CONCATENATE("&lt;a href=|http://",AL1191,"/2_kings/23.htm","| ","title=|",AL1190,"| target=|_top|&gt;",AL1192,"&lt;/a&gt;")</f>
        <v>&lt;a href=|http://kjv.us/2_kings/23.htm| title=|American King James Version| target=|_top|&gt;AKJ&lt;/a&gt;</v>
      </c>
      <c r="AM336" t="str">
        <f t="shared" ref="AM336:AN336" si="1343">CONCATENATE("&lt;/li&gt;&lt;li&gt;&lt;a href=|http://",AM1191,"/2_kings/23.htm","| ","title=|",AM1190,"| target=|_top|&gt;",AM1192,"&lt;/a&gt;")</f>
        <v>&lt;/li&gt;&lt;li&gt;&lt;a href=|http://basicenglishbible.com/2_kings/23.htm| title=|Bible in Basic English| target=|_top|&gt;BBE&lt;/a&gt;</v>
      </c>
      <c r="AN336" t="str">
        <f t="shared" si="1343"/>
        <v>&lt;/li&gt;&lt;li&gt;&lt;a href=|http://darbybible.com/2_kings/23.htm| title=|Darby Bible Translation| target=|_top|&gt;DBY&lt;/a&gt;</v>
      </c>
      <c r="AO33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3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3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36" t="str">
        <f>CONCATENATE("&lt;/li&gt;&lt;li&gt;&lt;a href=|http://",AR1191,"/2_kings/23.htm","| ","title=|",AR1190,"| target=|_top|&gt;",AR1192,"&lt;/a&gt;")</f>
        <v>&lt;/li&gt;&lt;li&gt;&lt;a href=|http://websterbible.com/2_kings/23.htm| title=|Webster's Bible Translation| target=|_top|&gt;WBS&lt;/a&gt;</v>
      </c>
      <c r="AS33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36" t="str">
        <f>CONCATENATE("&lt;/li&gt;&lt;li&gt;&lt;a href=|http://",AT1191,"/2_kings/23-1.htm","| ","title=|",AT1190,"| target=|_top|&gt;",AT1192,"&lt;/a&gt;")</f>
        <v>&lt;/li&gt;&lt;li&gt;&lt;a href=|http://biblebrowser.com/2_kings/23-1.htm| title=|Split View| target=|_top|&gt;Split&lt;/a&gt;</v>
      </c>
      <c r="AU336" s="2" t="s">
        <v>1276</v>
      </c>
      <c r="AV336" t="s">
        <v>64</v>
      </c>
    </row>
    <row r="337" spans="1:48">
      <c r="A337" t="s">
        <v>622</v>
      </c>
      <c r="B337" t="s">
        <v>390</v>
      </c>
      <c r="C337" t="s">
        <v>624</v>
      </c>
      <c r="D337" t="s">
        <v>1268</v>
      </c>
      <c r="E337" t="s">
        <v>1277</v>
      </c>
      <c r="F337" t="s">
        <v>1304</v>
      </c>
      <c r="G337" t="s">
        <v>1266</v>
      </c>
      <c r="H337" t="s">
        <v>1305</v>
      </c>
      <c r="I337" t="s">
        <v>1303</v>
      </c>
      <c r="J337" t="s">
        <v>1267</v>
      </c>
      <c r="K337" t="s">
        <v>1275</v>
      </c>
      <c r="L337" s="2" t="s">
        <v>1274</v>
      </c>
      <c r="M337" t="str">
        <f t="shared" ref="M337:AB337" si="1344">CONCATENATE("&lt;/li&gt;&lt;li&gt;&lt;a href=|http://",M1191,"/2_kings/24.htm","| ","title=|",M1190,"| target=|_top|&gt;",M1192,"&lt;/a&gt;")</f>
        <v>&lt;/li&gt;&lt;li&gt;&lt;a href=|http://niv.scripturetext.com/2_kings/24.htm| title=|New International Version| target=|_top|&gt;NIV&lt;/a&gt;</v>
      </c>
      <c r="N337" t="str">
        <f t="shared" si="1344"/>
        <v>&lt;/li&gt;&lt;li&gt;&lt;a href=|http://nlt.scripturetext.com/2_kings/24.htm| title=|New Living Translation| target=|_top|&gt;NLT&lt;/a&gt;</v>
      </c>
      <c r="O337" t="str">
        <f t="shared" si="1344"/>
        <v>&lt;/li&gt;&lt;li&gt;&lt;a href=|http://nasb.scripturetext.com/2_kings/24.htm| title=|New American Standard Bible| target=|_top|&gt;NAS&lt;/a&gt;</v>
      </c>
      <c r="P337" t="str">
        <f t="shared" si="1344"/>
        <v>&lt;/li&gt;&lt;li&gt;&lt;a href=|http://gwt.scripturetext.com/2_kings/24.htm| title=|God's Word Translation| target=|_top|&gt;GWT&lt;/a&gt;</v>
      </c>
      <c r="Q337" t="str">
        <f t="shared" si="1344"/>
        <v>&lt;/li&gt;&lt;li&gt;&lt;a href=|http://kingjbible.com/2_kings/24.htm| title=|King James Bible| target=|_top|&gt;KJV&lt;/a&gt;</v>
      </c>
      <c r="R337" t="str">
        <f t="shared" si="1344"/>
        <v>&lt;/li&gt;&lt;li&gt;&lt;a href=|http://asvbible.com/2_kings/24.htm| title=|American Standard Version| target=|_top|&gt;ASV&lt;/a&gt;</v>
      </c>
      <c r="S337" t="str">
        <f t="shared" si="1344"/>
        <v>&lt;/li&gt;&lt;li&gt;&lt;a href=|http://drb.scripturetext.com/2_kings/24.htm| title=|Douay-Rheims Bible| target=|_top|&gt;DRB&lt;/a&gt;</v>
      </c>
      <c r="T337" t="str">
        <f t="shared" si="1344"/>
        <v>&lt;/li&gt;&lt;li&gt;&lt;a href=|http://erv.scripturetext.com/2_kings/24.htm| title=|English Revised Version| target=|_top|&gt;ERV&lt;/a&gt;</v>
      </c>
      <c r="V337" t="str">
        <f>CONCATENATE("&lt;/li&gt;&lt;li&gt;&lt;a href=|http://",V1191,"/2_kings/24.htm","| ","title=|",V1190,"| target=|_top|&gt;",V1192,"&lt;/a&gt;")</f>
        <v>&lt;/li&gt;&lt;li&gt;&lt;a href=|http://study.interlinearbible.org/2_kings/24.htm| title=|Hebrew Study Bible| target=|_top|&gt;Heb Study&lt;/a&gt;</v>
      </c>
      <c r="W337" t="str">
        <f t="shared" si="1344"/>
        <v>&lt;/li&gt;&lt;li&gt;&lt;a href=|http://apostolic.interlinearbible.org/2_kings/24.htm| title=|Apostolic Bible Polyglot Interlinear| target=|_top|&gt;Polyglot&lt;/a&gt;</v>
      </c>
      <c r="X337" t="str">
        <f t="shared" si="1344"/>
        <v>&lt;/li&gt;&lt;li&gt;&lt;a href=|http://interlinearbible.org/2_kings/24.htm| title=|Interlinear Bible| target=|_top|&gt;Interlin&lt;/a&gt;</v>
      </c>
      <c r="Y337" t="str">
        <f t="shared" ref="Y337" si="1345">CONCATENATE("&lt;/li&gt;&lt;li&gt;&lt;a href=|http://",Y1191,"/2_kings/24.htm","| ","title=|",Y1190,"| target=|_top|&gt;",Y1192,"&lt;/a&gt;")</f>
        <v>&lt;/li&gt;&lt;li&gt;&lt;a href=|http://bibleoutline.org/2_kings/24.htm| title=|Outline with People and Places List| target=|_top|&gt;Outline&lt;/a&gt;</v>
      </c>
      <c r="Z337" t="str">
        <f t="shared" si="1344"/>
        <v>&lt;/li&gt;&lt;li&gt;&lt;a href=|http://kjvs.scripturetext.com/2_kings/24.htm| title=|King James Bible with Strong's Numbers| target=|_top|&gt;Strong's&lt;/a&gt;</v>
      </c>
      <c r="AA337" t="str">
        <f t="shared" si="1344"/>
        <v>&lt;/li&gt;&lt;li&gt;&lt;a href=|http://childrensbibleonline.com/2_kings/24.htm| title=|The Children's Bible| target=|_top|&gt;Children's&lt;/a&gt;</v>
      </c>
      <c r="AB337" s="2" t="str">
        <f t="shared" si="1344"/>
        <v>&lt;/li&gt;&lt;li&gt;&lt;a href=|http://tsk.scripturetext.com/2_kings/24.htm| title=|Treasury of Scripture Knowledge| target=|_top|&gt;TSK&lt;/a&gt;</v>
      </c>
      <c r="AC337" t="str">
        <f>CONCATENATE("&lt;a href=|http://",AC1191,"/2_kings/24.htm","| ","title=|",AC1190,"| target=|_top|&gt;",AC1192,"&lt;/a&gt;")</f>
        <v>&lt;a href=|http://parallelbible.com/2_kings/24.htm| title=|Parallel Chapters| target=|_top|&gt;PAR&lt;/a&gt;</v>
      </c>
      <c r="AD337" s="2" t="str">
        <f t="shared" ref="AD337:AK337" si="1346">CONCATENATE("&lt;/li&gt;&lt;li&gt;&lt;a href=|http://",AD1191,"/2_kings/24.htm","| ","title=|",AD1190,"| target=|_top|&gt;",AD1192,"&lt;/a&gt;")</f>
        <v>&lt;/li&gt;&lt;li&gt;&lt;a href=|http://gsb.biblecommenter.com/2_kings/24.htm| title=|Geneva Study Bible| target=|_top|&gt;GSB&lt;/a&gt;</v>
      </c>
      <c r="AE337" s="2" t="str">
        <f t="shared" si="1346"/>
        <v>&lt;/li&gt;&lt;li&gt;&lt;a href=|http://jfb.biblecommenter.com/2_kings/24.htm| title=|Jamieson-Fausset-Brown Bible Commentary| target=|_top|&gt;JFB&lt;/a&gt;</v>
      </c>
      <c r="AF337" s="2" t="str">
        <f t="shared" si="1346"/>
        <v>&lt;/li&gt;&lt;li&gt;&lt;a href=|http://kjt.biblecommenter.com/2_kings/24.htm| title=|King James Translators' Notes| target=|_top|&gt;KJT&lt;/a&gt;</v>
      </c>
      <c r="AG337" s="2" t="str">
        <f t="shared" si="1346"/>
        <v>&lt;/li&gt;&lt;li&gt;&lt;a href=|http://mhc.biblecommenter.com/2_kings/24.htm| title=|Matthew Henry's Concise Commentary| target=|_top|&gt;MHC&lt;/a&gt;</v>
      </c>
      <c r="AH337" s="2" t="str">
        <f t="shared" si="1346"/>
        <v>&lt;/li&gt;&lt;li&gt;&lt;a href=|http://sco.biblecommenter.com/2_kings/24.htm| title=|Scofield Reference Notes| target=|_top|&gt;SCO&lt;/a&gt;</v>
      </c>
      <c r="AI337" s="2" t="str">
        <f t="shared" si="1346"/>
        <v>&lt;/li&gt;&lt;li&gt;&lt;a href=|http://wes.biblecommenter.com/2_kings/24.htm| title=|Wesley's Notes on the Bible| target=|_top|&gt;WES&lt;/a&gt;</v>
      </c>
      <c r="AJ337" t="str">
        <f t="shared" si="1346"/>
        <v>&lt;/li&gt;&lt;li&gt;&lt;a href=|http://worldebible.com/2_kings/24.htm| title=|World English Bible| target=|_top|&gt;WEB&lt;/a&gt;</v>
      </c>
      <c r="AK337" t="str">
        <f t="shared" si="1346"/>
        <v>&lt;/li&gt;&lt;li&gt;&lt;a href=|http://yltbible.com/2_kings/24.htm| title=|Young's Literal Translation| target=|_top|&gt;YLT&lt;/a&gt;</v>
      </c>
      <c r="AL337" t="str">
        <f>CONCATENATE("&lt;a href=|http://",AL1191,"/2_kings/24.htm","| ","title=|",AL1190,"| target=|_top|&gt;",AL1192,"&lt;/a&gt;")</f>
        <v>&lt;a href=|http://kjv.us/2_kings/24.htm| title=|American King James Version| target=|_top|&gt;AKJ&lt;/a&gt;</v>
      </c>
      <c r="AM337" t="str">
        <f t="shared" ref="AM337:AN337" si="1347">CONCATENATE("&lt;/li&gt;&lt;li&gt;&lt;a href=|http://",AM1191,"/2_kings/24.htm","| ","title=|",AM1190,"| target=|_top|&gt;",AM1192,"&lt;/a&gt;")</f>
        <v>&lt;/li&gt;&lt;li&gt;&lt;a href=|http://basicenglishbible.com/2_kings/24.htm| title=|Bible in Basic English| target=|_top|&gt;BBE&lt;/a&gt;</v>
      </c>
      <c r="AN337" t="str">
        <f t="shared" si="1347"/>
        <v>&lt;/li&gt;&lt;li&gt;&lt;a href=|http://darbybible.com/2_kings/24.htm| title=|Darby Bible Translation| target=|_top|&gt;DBY&lt;/a&gt;</v>
      </c>
      <c r="AO33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3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3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37" t="str">
        <f>CONCATENATE("&lt;/li&gt;&lt;li&gt;&lt;a href=|http://",AR1191,"/2_kings/24.htm","| ","title=|",AR1190,"| target=|_top|&gt;",AR1192,"&lt;/a&gt;")</f>
        <v>&lt;/li&gt;&lt;li&gt;&lt;a href=|http://websterbible.com/2_kings/24.htm| title=|Webster's Bible Translation| target=|_top|&gt;WBS&lt;/a&gt;</v>
      </c>
      <c r="AS33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37" t="str">
        <f>CONCATENATE("&lt;/li&gt;&lt;li&gt;&lt;a href=|http://",AT1191,"/2_kings/24-1.htm","| ","title=|",AT1190,"| target=|_top|&gt;",AT1192,"&lt;/a&gt;")</f>
        <v>&lt;/li&gt;&lt;li&gt;&lt;a href=|http://biblebrowser.com/2_kings/24-1.htm| title=|Split View| target=|_top|&gt;Split&lt;/a&gt;</v>
      </c>
      <c r="AU337" s="2" t="s">
        <v>1276</v>
      </c>
      <c r="AV337" t="s">
        <v>64</v>
      </c>
    </row>
    <row r="338" spans="1:48">
      <c r="A338" t="s">
        <v>622</v>
      </c>
      <c r="B338" t="s">
        <v>391</v>
      </c>
      <c r="C338" t="s">
        <v>624</v>
      </c>
      <c r="D338" t="s">
        <v>1268</v>
      </c>
      <c r="E338" t="s">
        <v>1277</v>
      </c>
      <c r="F338" t="s">
        <v>1304</v>
      </c>
      <c r="G338" t="s">
        <v>1266</v>
      </c>
      <c r="H338" t="s">
        <v>1305</v>
      </c>
      <c r="I338" t="s">
        <v>1303</v>
      </c>
      <c r="J338" t="s">
        <v>1267</v>
      </c>
      <c r="K338" t="s">
        <v>1275</v>
      </c>
      <c r="L338" s="2" t="s">
        <v>1274</v>
      </c>
      <c r="M338" t="str">
        <f t="shared" ref="M338:AB338" si="1348">CONCATENATE("&lt;/li&gt;&lt;li&gt;&lt;a href=|http://",M1191,"/2_kings/25.htm","| ","title=|",M1190,"| target=|_top|&gt;",M1192,"&lt;/a&gt;")</f>
        <v>&lt;/li&gt;&lt;li&gt;&lt;a href=|http://niv.scripturetext.com/2_kings/25.htm| title=|New International Version| target=|_top|&gt;NIV&lt;/a&gt;</v>
      </c>
      <c r="N338" t="str">
        <f t="shared" si="1348"/>
        <v>&lt;/li&gt;&lt;li&gt;&lt;a href=|http://nlt.scripturetext.com/2_kings/25.htm| title=|New Living Translation| target=|_top|&gt;NLT&lt;/a&gt;</v>
      </c>
      <c r="O338" t="str">
        <f t="shared" si="1348"/>
        <v>&lt;/li&gt;&lt;li&gt;&lt;a href=|http://nasb.scripturetext.com/2_kings/25.htm| title=|New American Standard Bible| target=|_top|&gt;NAS&lt;/a&gt;</v>
      </c>
      <c r="P338" t="str">
        <f t="shared" si="1348"/>
        <v>&lt;/li&gt;&lt;li&gt;&lt;a href=|http://gwt.scripturetext.com/2_kings/25.htm| title=|God's Word Translation| target=|_top|&gt;GWT&lt;/a&gt;</v>
      </c>
      <c r="Q338" t="str">
        <f t="shared" si="1348"/>
        <v>&lt;/li&gt;&lt;li&gt;&lt;a href=|http://kingjbible.com/2_kings/25.htm| title=|King James Bible| target=|_top|&gt;KJV&lt;/a&gt;</v>
      </c>
      <c r="R338" t="str">
        <f t="shared" si="1348"/>
        <v>&lt;/li&gt;&lt;li&gt;&lt;a href=|http://asvbible.com/2_kings/25.htm| title=|American Standard Version| target=|_top|&gt;ASV&lt;/a&gt;</v>
      </c>
      <c r="S338" t="str">
        <f t="shared" si="1348"/>
        <v>&lt;/li&gt;&lt;li&gt;&lt;a href=|http://drb.scripturetext.com/2_kings/25.htm| title=|Douay-Rheims Bible| target=|_top|&gt;DRB&lt;/a&gt;</v>
      </c>
      <c r="T338" t="str">
        <f t="shared" si="1348"/>
        <v>&lt;/li&gt;&lt;li&gt;&lt;a href=|http://erv.scripturetext.com/2_kings/25.htm| title=|English Revised Version| target=|_top|&gt;ERV&lt;/a&gt;</v>
      </c>
      <c r="V338" t="str">
        <f>CONCATENATE("&lt;/li&gt;&lt;li&gt;&lt;a href=|http://",V1191,"/2_kings/25.htm","| ","title=|",V1190,"| target=|_top|&gt;",V1192,"&lt;/a&gt;")</f>
        <v>&lt;/li&gt;&lt;li&gt;&lt;a href=|http://study.interlinearbible.org/2_kings/25.htm| title=|Hebrew Study Bible| target=|_top|&gt;Heb Study&lt;/a&gt;</v>
      </c>
      <c r="W338" t="str">
        <f t="shared" si="1348"/>
        <v>&lt;/li&gt;&lt;li&gt;&lt;a href=|http://apostolic.interlinearbible.org/2_kings/25.htm| title=|Apostolic Bible Polyglot Interlinear| target=|_top|&gt;Polyglot&lt;/a&gt;</v>
      </c>
      <c r="X338" t="str">
        <f t="shared" si="1348"/>
        <v>&lt;/li&gt;&lt;li&gt;&lt;a href=|http://interlinearbible.org/2_kings/25.htm| title=|Interlinear Bible| target=|_top|&gt;Interlin&lt;/a&gt;</v>
      </c>
      <c r="Y338" t="str">
        <f t="shared" ref="Y338" si="1349">CONCATENATE("&lt;/li&gt;&lt;li&gt;&lt;a href=|http://",Y1191,"/2_kings/25.htm","| ","title=|",Y1190,"| target=|_top|&gt;",Y1192,"&lt;/a&gt;")</f>
        <v>&lt;/li&gt;&lt;li&gt;&lt;a href=|http://bibleoutline.org/2_kings/25.htm| title=|Outline with People and Places List| target=|_top|&gt;Outline&lt;/a&gt;</v>
      </c>
      <c r="Z338" t="str">
        <f t="shared" si="1348"/>
        <v>&lt;/li&gt;&lt;li&gt;&lt;a href=|http://kjvs.scripturetext.com/2_kings/25.htm| title=|King James Bible with Strong's Numbers| target=|_top|&gt;Strong's&lt;/a&gt;</v>
      </c>
      <c r="AA338" t="str">
        <f t="shared" si="1348"/>
        <v>&lt;/li&gt;&lt;li&gt;&lt;a href=|http://childrensbibleonline.com/2_kings/25.htm| title=|The Children's Bible| target=|_top|&gt;Children's&lt;/a&gt;</v>
      </c>
      <c r="AB338" s="2" t="str">
        <f t="shared" si="1348"/>
        <v>&lt;/li&gt;&lt;li&gt;&lt;a href=|http://tsk.scripturetext.com/2_kings/25.htm| title=|Treasury of Scripture Knowledge| target=|_top|&gt;TSK&lt;/a&gt;</v>
      </c>
      <c r="AC338" t="str">
        <f>CONCATENATE("&lt;a href=|http://",AC1191,"/2_kings/25.htm","| ","title=|",AC1190,"| target=|_top|&gt;",AC1192,"&lt;/a&gt;")</f>
        <v>&lt;a href=|http://parallelbible.com/2_kings/25.htm| title=|Parallel Chapters| target=|_top|&gt;PAR&lt;/a&gt;</v>
      </c>
      <c r="AD338" s="2" t="str">
        <f t="shared" ref="AD338:AK338" si="1350">CONCATENATE("&lt;/li&gt;&lt;li&gt;&lt;a href=|http://",AD1191,"/2_kings/25.htm","| ","title=|",AD1190,"| target=|_top|&gt;",AD1192,"&lt;/a&gt;")</f>
        <v>&lt;/li&gt;&lt;li&gt;&lt;a href=|http://gsb.biblecommenter.com/2_kings/25.htm| title=|Geneva Study Bible| target=|_top|&gt;GSB&lt;/a&gt;</v>
      </c>
      <c r="AE338" s="2" t="str">
        <f t="shared" si="1350"/>
        <v>&lt;/li&gt;&lt;li&gt;&lt;a href=|http://jfb.biblecommenter.com/2_kings/25.htm| title=|Jamieson-Fausset-Brown Bible Commentary| target=|_top|&gt;JFB&lt;/a&gt;</v>
      </c>
      <c r="AF338" s="2" t="str">
        <f t="shared" si="1350"/>
        <v>&lt;/li&gt;&lt;li&gt;&lt;a href=|http://kjt.biblecommenter.com/2_kings/25.htm| title=|King James Translators' Notes| target=|_top|&gt;KJT&lt;/a&gt;</v>
      </c>
      <c r="AG338" s="2" t="str">
        <f t="shared" si="1350"/>
        <v>&lt;/li&gt;&lt;li&gt;&lt;a href=|http://mhc.biblecommenter.com/2_kings/25.htm| title=|Matthew Henry's Concise Commentary| target=|_top|&gt;MHC&lt;/a&gt;</v>
      </c>
      <c r="AH338" s="2" t="str">
        <f t="shared" si="1350"/>
        <v>&lt;/li&gt;&lt;li&gt;&lt;a href=|http://sco.biblecommenter.com/2_kings/25.htm| title=|Scofield Reference Notes| target=|_top|&gt;SCO&lt;/a&gt;</v>
      </c>
      <c r="AI338" s="2" t="str">
        <f t="shared" si="1350"/>
        <v>&lt;/li&gt;&lt;li&gt;&lt;a href=|http://wes.biblecommenter.com/2_kings/25.htm| title=|Wesley's Notes on the Bible| target=|_top|&gt;WES&lt;/a&gt;</v>
      </c>
      <c r="AJ338" t="str">
        <f t="shared" si="1350"/>
        <v>&lt;/li&gt;&lt;li&gt;&lt;a href=|http://worldebible.com/2_kings/25.htm| title=|World English Bible| target=|_top|&gt;WEB&lt;/a&gt;</v>
      </c>
      <c r="AK338" t="str">
        <f t="shared" si="1350"/>
        <v>&lt;/li&gt;&lt;li&gt;&lt;a href=|http://yltbible.com/2_kings/25.htm| title=|Young's Literal Translation| target=|_top|&gt;YLT&lt;/a&gt;</v>
      </c>
      <c r="AL338" t="str">
        <f>CONCATENATE("&lt;a href=|http://",AL1191,"/2_kings/25.htm","| ","title=|",AL1190,"| target=|_top|&gt;",AL1192,"&lt;/a&gt;")</f>
        <v>&lt;a href=|http://kjv.us/2_kings/25.htm| title=|American King James Version| target=|_top|&gt;AKJ&lt;/a&gt;</v>
      </c>
      <c r="AM338" t="str">
        <f t="shared" ref="AM338:AN338" si="1351">CONCATENATE("&lt;/li&gt;&lt;li&gt;&lt;a href=|http://",AM1191,"/2_kings/25.htm","| ","title=|",AM1190,"| target=|_top|&gt;",AM1192,"&lt;/a&gt;")</f>
        <v>&lt;/li&gt;&lt;li&gt;&lt;a href=|http://basicenglishbible.com/2_kings/25.htm| title=|Bible in Basic English| target=|_top|&gt;BBE&lt;/a&gt;</v>
      </c>
      <c r="AN338" t="str">
        <f t="shared" si="1351"/>
        <v>&lt;/li&gt;&lt;li&gt;&lt;a href=|http://darbybible.com/2_kings/25.htm| title=|Darby Bible Translation| target=|_top|&gt;DBY&lt;/a&gt;</v>
      </c>
      <c r="AO33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3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3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38" t="str">
        <f>CONCATENATE("&lt;/li&gt;&lt;li&gt;&lt;a href=|http://",AR1191,"/2_kings/25.htm","| ","title=|",AR1190,"| target=|_top|&gt;",AR1192,"&lt;/a&gt;")</f>
        <v>&lt;/li&gt;&lt;li&gt;&lt;a href=|http://websterbible.com/2_kings/25.htm| title=|Webster's Bible Translation| target=|_top|&gt;WBS&lt;/a&gt;</v>
      </c>
      <c r="AS33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38" t="str">
        <f>CONCATENATE("&lt;/li&gt;&lt;li&gt;&lt;a href=|http://",AT1191,"/2_kings/25-1.htm","| ","title=|",AT1190,"| target=|_top|&gt;",AT1192,"&lt;/a&gt;")</f>
        <v>&lt;/li&gt;&lt;li&gt;&lt;a href=|http://biblebrowser.com/2_kings/25-1.htm| title=|Split View| target=|_top|&gt;Split&lt;/a&gt;</v>
      </c>
      <c r="AU338" s="2" t="s">
        <v>1276</v>
      </c>
      <c r="AV338" t="s">
        <v>64</v>
      </c>
    </row>
    <row r="339" spans="1:48">
      <c r="A339" t="s">
        <v>622</v>
      </c>
      <c r="B339" t="s">
        <v>392</v>
      </c>
      <c r="C339" t="s">
        <v>624</v>
      </c>
      <c r="D339" t="s">
        <v>1268</v>
      </c>
      <c r="E339" t="s">
        <v>1277</v>
      </c>
      <c r="F339" t="s">
        <v>1304</v>
      </c>
      <c r="G339" t="s">
        <v>1266</v>
      </c>
      <c r="H339" t="s">
        <v>1305</v>
      </c>
      <c r="I339" t="s">
        <v>1303</v>
      </c>
      <c r="J339" t="s">
        <v>1267</v>
      </c>
      <c r="K339" t="s">
        <v>1275</v>
      </c>
      <c r="L339" s="2" t="s">
        <v>1274</v>
      </c>
      <c r="M339" t="str">
        <f t="shared" ref="M339:AB339" si="1352">CONCATENATE("&lt;/li&gt;&lt;li&gt;&lt;a href=|http://",M1191,"/1_chronicles/1.htm","| ","title=|",M1190,"| target=|_top|&gt;",M1192,"&lt;/a&gt;")</f>
        <v>&lt;/li&gt;&lt;li&gt;&lt;a href=|http://niv.scripturetext.com/1_chronicles/1.htm| title=|New International Version| target=|_top|&gt;NIV&lt;/a&gt;</v>
      </c>
      <c r="N339" t="str">
        <f t="shared" si="1352"/>
        <v>&lt;/li&gt;&lt;li&gt;&lt;a href=|http://nlt.scripturetext.com/1_chronicles/1.htm| title=|New Living Translation| target=|_top|&gt;NLT&lt;/a&gt;</v>
      </c>
      <c r="O339" t="str">
        <f t="shared" si="1352"/>
        <v>&lt;/li&gt;&lt;li&gt;&lt;a href=|http://nasb.scripturetext.com/1_chronicles/1.htm| title=|New American Standard Bible| target=|_top|&gt;NAS&lt;/a&gt;</v>
      </c>
      <c r="P339" t="str">
        <f t="shared" si="1352"/>
        <v>&lt;/li&gt;&lt;li&gt;&lt;a href=|http://gwt.scripturetext.com/1_chronicles/1.htm| title=|God's Word Translation| target=|_top|&gt;GWT&lt;/a&gt;</v>
      </c>
      <c r="Q339" t="str">
        <f t="shared" si="1352"/>
        <v>&lt;/li&gt;&lt;li&gt;&lt;a href=|http://kingjbible.com/1_chronicles/1.htm| title=|King James Bible| target=|_top|&gt;KJV&lt;/a&gt;</v>
      </c>
      <c r="R339" t="str">
        <f t="shared" si="1352"/>
        <v>&lt;/li&gt;&lt;li&gt;&lt;a href=|http://asvbible.com/1_chronicles/1.htm| title=|American Standard Version| target=|_top|&gt;ASV&lt;/a&gt;</v>
      </c>
      <c r="S339" t="str">
        <f t="shared" si="1352"/>
        <v>&lt;/li&gt;&lt;li&gt;&lt;a href=|http://drb.scripturetext.com/1_chronicles/1.htm| title=|Douay-Rheims Bible| target=|_top|&gt;DRB&lt;/a&gt;</v>
      </c>
      <c r="T339" t="str">
        <f t="shared" si="1352"/>
        <v>&lt;/li&gt;&lt;li&gt;&lt;a href=|http://erv.scripturetext.com/1_chronicles/1.htm| title=|English Revised Version| target=|_top|&gt;ERV&lt;/a&gt;</v>
      </c>
      <c r="V339" t="str">
        <f>CONCATENATE("&lt;/li&gt;&lt;li&gt;&lt;a href=|http://",V1191,"/1_chronicles/1.htm","| ","title=|",V1190,"| target=|_top|&gt;",V1192,"&lt;/a&gt;")</f>
        <v>&lt;/li&gt;&lt;li&gt;&lt;a href=|http://study.interlinearbible.org/1_chronicles/1.htm| title=|Hebrew Study Bible| target=|_top|&gt;Heb Study&lt;/a&gt;</v>
      </c>
      <c r="W339" t="str">
        <f t="shared" si="1352"/>
        <v>&lt;/li&gt;&lt;li&gt;&lt;a href=|http://apostolic.interlinearbible.org/1_chronicles/1.htm| title=|Apostolic Bible Polyglot Interlinear| target=|_top|&gt;Polyglot&lt;/a&gt;</v>
      </c>
      <c r="X339" t="str">
        <f t="shared" si="1352"/>
        <v>&lt;/li&gt;&lt;li&gt;&lt;a href=|http://interlinearbible.org/1_chronicles/1.htm| title=|Interlinear Bible| target=|_top|&gt;Interlin&lt;/a&gt;</v>
      </c>
      <c r="Y339" t="str">
        <f t="shared" ref="Y339" si="1353">CONCATENATE("&lt;/li&gt;&lt;li&gt;&lt;a href=|http://",Y1191,"/1_chronicles/1.htm","| ","title=|",Y1190,"| target=|_top|&gt;",Y1192,"&lt;/a&gt;")</f>
        <v>&lt;/li&gt;&lt;li&gt;&lt;a href=|http://bibleoutline.org/1_chronicles/1.htm| title=|Outline with People and Places List| target=|_top|&gt;Outline&lt;/a&gt;</v>
      </c>
      <c r="Z339" t="str">
        <f t="shared" si="1352"/>
        <v>&lt;/li&gt;&lt;li&gt;&lt;a href=|http://kjvs.scripturetext.com/1_chronicles/1.htm| title=|King James Bible with Strong's Numbers| target=|_top|&gt;Strong's&lt;/a&gt;</v>
      </c>
      <c r="AA339" t="str">
        <f t="shared" si="1352"/>
        <v>&lt;/li&gt;&lt;li&gt;&lt;a href=|http://childrensbibleonline.com/1_chronicles/1.htm| title=|The Children's Bible| target=|_top|&gt;Children's&lt;/a&gt;</v>
      </c>
      <c r="AB339" s="2" t="str">
        <f t="shared" si="1352"/>
        <v>&lt;/li&gt;&lt;li&gt;&lt;a href=|http://tsk.scripturetext.com/1_chronicles/1.htm| title=|Treasury of Scripture Knowledge| target=|_top|&gt;TSK&lt;/a&gt;</v>
      </c>
      <c r="AC339" t="str">
        <f>CONCATENATE("&lt;a href=|http://",AC1191,"/1_chronicles/1.htm","| ","title=|",AC1190,"| target=|_top|&gt;",AC1192,"&lt;/a&gt;")</f>
        <v>&lt;a href=|http://parallelbible.com/1_chronicles/1.htm| title=|Parallel Chapters| target=|_top|&gt;PAR&lt;/a&gt;</v>
      </c>
      <c r="AD339" s="2" t="str">
        <f t="shared" ref="AD339:AK339" si="1354">CONCATENATE("&lt;/li&gt;&lt;li&gt;&lt;a href=|http://",AD1191,"/1_chronicles/1.htm","| ","title=|",AD1190,"| target=|_top|&gt;",AD1192,"&lt;/a&gt;")</f>
        <v>&lt;/li&gt;&lt;li&gt;&lt;a href=|http://gsb.biblecommenter.com/1_chronicles/1.htm| title=|Geneva Study Bible| target=|_top|&gt;GSB&lt;/a&gt;</v>
      </c>
      <c r="AE339" s="2" t="str">
        <f t="shared" si="1354"/>
        <v>&lt;/li&gt;&lt;li&gt;&lt;a href=|http://jfb.biblecommenter.com/1_chronicles/1.htm| title=|Jamieson-Fausset-Brown Bible Commentary| target=|_top|&gt;JFB&lt;/a&gt;</v>
      </c>
      <c r="AF339" s="2" t="str">
        <f t="shared" si="1354"/>
        <v>&lt;/li&gt;&lt;li&gt;&lt;a href=|http://kjt.biblecommenter.com/1_chronicles/1.htm| title=|King James Translators' Notes| target=|_top|&gt;KJT&lt;/a&gt;</v>
      </c>
      <c r="AG339" s="2" t="str">
        <f t="shared" si="1354"/>
        <v>&lt;/li&gt;&lt;li&gt;&lt;a href=|http://mhc.biblecommenter.com/1_chronicles/1.htm| title=|Matthew Henry's Concise Commentary| target=|_top|&gt;MHC&lt;/a&gt;</v>
      </c>
      <c r="AH339" s="2" t="str">
        <f t="shared" si="1354"/>
        <v>&lt;/li&gt;&lt;li&gt;&lt;a href=|http://sco.biblecommenter.com/1_chronicles/1.htm| title=|Scofield Reference Notes| target=|_top|&gt;SCO&lt;/a&gt;</v>
      </c>
      <c r="AI339" s="2" t="str">
        <f t="shared" si="1354"/>
        <v>&lt;/li&gt;&lt;li&gt;&lt;a href=|http://wes.biblecommenter.com/1_chronicles/1.htm| title=|Wesley's Notes on the Bible| target=|_top|&gt;WES&lt;/a&gt;</v>
      </c>
      <c r="AJ339" t="str">
        <f t="shared" si="1354"/>
        <v>&lt;/li&gt;&lt;li&gt;&lt;a href=|http://worldebible.com/1_chronicles/1.htm| title=|World English Bible| target=|_top|&gt;WEB&lt;/a&gt;</v>
      </c>
      <c r="AK339" t="str">
        <f t="shared" si="1354"/>
        <v>&lt;/li&gt;&lt;li&gt;&lt;a href=|http://yltbible.com/1_chronicles/1.htm| title=|Young's Literal Translation| target=|_top|&gt;YLT&lt;/a&gt;</v>
      </c>
      <c r="AL339" t="str">
        <f>CONCATENATE("&lt;a href=|http://",AL1191,"/1_chronicles/1.htm","| ","title=|",AL1190,"| target=|_top|&gt;",AL1192,"&lt;/a&gt;")</f>
        <v>&lt;a href=|http://kjv.us/1_chronicles/1.htm| title=|American King James Version| target=|_top|&gt;AKJ&lt;/a&gt;</v>
      </c>
      <c r="AM339" t="str">
        <f t="shared" ref="AM339:AN339" si="1355">CONCATENATE("&lt;/li&gt;&lt;li&gt;&lt;a href=|http://",AM1191,"/1_chronicles/1.htm","| ","title=|",AM1190,"| target=|_top|&gt;",AM1192,"&lt;/a&gt;")</f>
        <v>&lt;/li&gt;&lt;li&gt;&lt;a href=|http://basicenglishbible.com/1_chronicles/1.htm| title=|Bible in Basic English| target=|_top|&gt;BBE&lt;/a&gt;</v>
      </c>
      <c r="AN339" t="str">
        <f t="shared" si="1355"/>
        <v>&lt;/li&gt;&lt;li&gt;&lt;a href=|http://darbybible.com/1_chronicles/1.htm| title=|Darby Bible Translation| target=|_top|&gt;DBY&lt;/a&gt;</v>
      </c>
      <c r="AO33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3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3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39" t="str">
        <f>CONCATENATE("&lt;/li&gt;&lt;li&gt;&lt;a href=|http://",AR1191,"/1_chronicles/1.htm","| ","title=|",AR1190,"| target=|_top|&gt;",AR1192,"&lt;/a&gt;")</f>
        <v>&lt;/li&gt;&lt;li&gt;&lt;a href=|http://websterbible.com/1_chronicles/1.htm| title=|Webster's Bible Translation| target=|_top|&gt;WBS&lt;/a&gt;</v>
      </c>
      <c r="AS33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39" t="str">
        <f>CONCATENATE("&lt;/li&gt;&lt;li&gt;&lt;a href=|http://",AT1191,"/1_chronicles/1-1.htm","| ","title=|",AT1190,"| target=|_top|&gt;",AT1192,"&lt;/a&gt;")</f>
        <v>&lt;/li&gt;&lt;li&gt;&lt;a href=|http://biblebrowser.com/1_chronicles/1-1.htm| title=|Split View| target=|_top|&gt;Split&lt;/a&gt;</v>
      </c>
      <c r="AU339" s="2" t="s">
        <v>1276</v>
      </c>
      <c r="AV339" t="s">
        <v>64</v>
      </c>
    </row>
    <row r="340" spans="1:48">
      <c r="A340" t="s">
        <v>622</v>
      </c>
      <c r="B340" t="s">
        <v>393</v>
      </c>
      <c r="C340" t="s">
        <v>624</v>
      </c>
      <c r="D340" t="s">
        <v>1268</v>
      </c>
      <c r="E340" t="s">
        <v>1277</v>
      </c>
      <c r="F340" t="s">
        <v>1304</v>
      </c>
      <c r="G340" t="s">
        <v>1266</v>
      </c>
      <c r="H340" t="s">
        <v>1305</v>
      </c>
      <c r="I340" t="s">
        <v>1303</v>
      </c>
      <c r="J340" t="s">
        <v>1267</v>
      </c>
      <c r="K340" t="s">
        <v>1275</v>
      </c>
      <c r="L340" s="2" t="s">
        <v>1274</v>
      </c>
      <c r="M340" t="str">
        <f t="shared" ref="M340:AB340" si="1356">CONCATENATE("&lt;/li&gt;&lt;li&gt;&lt;a href=|http://",M1191,"/1_chronicles/2.htm","| ","title=|",M1190,"| target=|_top|&gt;",M1192,"&lt;/a&gt;")</f>
        <v>&lt;/li&gt;&lt;li&gt;&lt;a href=|http://niv.scripturetext.com/1_chronicles/2.htm| title=|New International Version| target=|_top|&gt;NIV&lt;/a&gt;</v>
      </c>
      <c r="N340" t="str">
        <f t="shared" si="1356"/>
        <v>&lt;/li&gt;&lt;li&gt;&lt;a href=|http://nlt.scripturetext.com/1_chronicles/2.htm| title=|New Living Translation| target=|_top|&gt;NLT&lt;/a&gt;</v>
      </c>
      <c r="O340" t="str">
        <f t="shared" si="1356"/>
        <v>&lt;/li&gt;&lt;li&gt;&lt;a href=|http://nasb.scripturetext.com/1_chronicles/2.htm| title=|New American Standard Bible| target=|_top|&gt;NAS&lt;/a&gt;</v>
      </c>
      <c r="P340" t="str">
        <f t="shared" si="1356"/>
        <v>&lt;/li&gt;&lt;li&gt;&lt;a href=|http://gwt.scripturetext.com/1_chronicles/2.htm| title=|God's Word Translation| target=|_top|&gt;GWT&lt;/a&gt;</v>
      </c>
      <c r="Q340" t="str">
        <f t="shared" si="1356"/>
        <v>&lt;/li&gt;&lt;li&gt;&lt;a href=|http://kingjbible.com/1_chronicles/2.htm| title=|King James Bible| target=|_top|&gt;KJV&lt;/a&gt;</v>
      </c>
      <c r="R340" t="str">
        <f t="shared" si="1356"/>
        <v>&lt;/li&gt;&lt;li&gt;&lt;a href=|http://asvbible.com/1_chronicles/2.htm| title=|American Standard Version| target=|_top|&gt;ASV&lt;/a&gt;</v>
      </c>
      <c r="S340" t="str">
        <f t="shared" si="1356"/>
        <v>&lt;/li&gt;&lt;li&gt;&lt;a href=|http://drb.scripturetext.com/1_chronicles/2.htm| title=|Douay-Rheims Bible| target=|_top|&gt;DRB&lt;/a&gt;</v>
      </c>
      <c r="T340" t="str">
        <f t="shared" si="1356"/>
        <v>&lt;/li&gt;&lt;li&gt;&lt;a href=|http://erv.scripturetext.com/1_chronicles/2.htm| title=|English Revised Version| target=|_top|&gt;ERV&lt;/a&gt;</v>
      </c>
      <c r="V340" t="str">
        <f>CONCATENATE("&lt;/li&gt;&lt;li&gt;&lt;a href=|http://",V1191,"/1_chronicles/2.htm","| ","title=|",V1190,"| target=|_top|&gt;",V1192,"&lt;/a&gt;")</f>
        <v>&lt;/li&gt;&lt;li&gt;&lt;a href=|http://study.interlinearbible.org/1_chronicles/2.htm| title=|Hebrew Study Bible| target=|_top|&gt;Heb Study&lt;/a&gt;</v>
      </c>
      <c r="W340" t="str">
        <f t="shared" si="1356"/>
        <v>&lt;/li&gt;&lt;li&gt;&lt;a href=|http://apostolic.interlinearbible.org/1_chronicles/2.htm| title=|Apostolic Bible Polyglot Interlinear| target=|_top|&gt;Polyglot&lt;/a&gt;</v>
      </c>
      <c r="X340" t="str">
        <f t="shared" si="1356"/>
        <v>&lt;/li&gt;&lt;li&gt;&lt;a href=|http://interlinearbible.org/1_chronicles/2.htm| title=|Interlinear Bible| target=|_top|&gt;Interlin&lt;/a&gt;</v>
      </c>
      <c r="Y340" t="str">
        <f t="shared" ref="Y340" si="1357">CONCATENATE("&lt;/li&gt;&lt;li&gt;&lt;a href=|http://",Y1191,"/1_chronicles/2.htm","| ","title=|",Y1190,"| target=|_top|&gt;",Y1192,"&lt;/a&gt;")</f>
        <v>&lt;/li&gt;&lt;li&gt;&lt;a href=|http://bibleoutline.org/1_chronicles/2.htm| title=|Outline with People and Places List| target=|_top|&gt;Outline&lt;/a&gt;</v>
      </c>
      <c r="Z340" t="str">
        <f t="shared" si="1356"/>
        <v>&lt;/li&gt;&lt;li&gt;&lt;a href=|http://kjvs.scripturetext.com/1_chronicles/2.htm| title=|King James Bible with Strong's Numbers| target=|_top|&gt;Strong's&lt;/a&gt;</v>
      </c>
      <c r="AA340" t="str">
        <f t="shared" si="1356"/>
        <v>&lt;/li&gt;&lt;li&gt;&lt;a href=|http://childrensbibleonline.com/1_chronicles/2.htm| title=|The Children's Bible| target=|_top|&gt;Children's&lt;/a&gt;</v>
      </c>
      <c r="AB340" s="2" t="str">
        <f t="shared" si="1356"/>
        <v>&lt;/li&gt;&lt;li&gt;&lt;a href=|http://tsk.scripturetext.com/1_chronicles/2.htm| title=|Treasury of Scripture Knowledge| target=|_top|&gt;TSK&lt;/a&gt;</v>
      </c>
      <c r="AC340" t="str">
        <f>CONCATENATE("&lt;a href=|http://",AC1191,"/1_chronicles/2.htm","| ","title=|",AC1190,"| target=|_top|&gt;",AC1192,"&lt;/a&gt;")</f>
        <v>&lt;a href=|http://parallelbible.com/1_chronicles/2.htm| title=|Parallel Chapters| target=|_top|&gt;PAR&lt;/a&gt;</v>
      </c>
      <c r="AD340" s="2" t="str">
        <f t="shared" ref="AD340:AK340" si="1358">CONCATENATE("&lt;/li&gt;&lt;li&gt;&lt;a href=|http://",AD1191,"/1_chronicles/2.htm","| ","title=|",AD1190,"| target=|_top|&gt;",AD1192,"&lt;/a&gt;")</f>
        <v>&lt;/li&gt;&lt;li&gt;&lt;a href=|http://gsb.biblecommenter.com/1_chronicles/2.htm| title=|Geneva Study Bible| target=|_top|&gt;GSB&lt;/a&gt;</v>
      </c>
      <c r="AE340" s="2" t="str">
        <f t="shared" si="1358"/>
        <v>&lt;/li&gt;&lt;li&gt;&lt;a href=|http://jfb.biblecommenter.com/1_chronicles/2.htm| title=|Jamieson-Fausset-Brown Bible Commentary| target=|_top|&gt;JFB&lt;/a&gt;</v>
      </c>
      <c r="AF340" s="2" t="str">
        <f t="shared" si="1358"/>
        <v>&lt;/li&gt;&lt;li&gt;&lt;a href=|http://kjt.biblecommenter.com/1_chronicles/2.htm| title=|King James Translators' Notes| target=|_top|&gt;KJT&lt;/a&gt;</v>
      </c>
      <c r="AG340" s="2" t="str">
        <f t="shared" si="1358"/>
        <v>&lt;/li&gt;&lt;li&gt;&lt;a href=|http://mhc.biblecommenter.com/1_chronicles/2.htm| title=|Matthew Henry's Concise Commentary| target=|_top|&gt;MHC&lt;/a&gt;</v>
      </c>
      <c r="AH340" s="2" t="str">
        <f t="shared" si="1358"/>
        <v>&lt;/li&gt;&lt;li&gt;&lt;a href=|http://sco.biblecommenter.com/1_chronicles/2.htm| title=|Scofield Reference Notes| target=|_top|&gt;SCO&lt;/a&gt;</v>
      </c>
      <c r="AI340" s="2" t="str">
        <f t="shared" si="1358"/>
        <v>&lt;/li&gt;&lt;li&gt;&lt;a href=|http://wes.biblecommenter.com/1_chronicles/2.htm| title=|Wesley's Notes on the Bible| target=|_top|&gt;WES&lt;/a&gt;</v>
      </c>
      <c r="AJ340" t="str">
        <f t="shared" si="1358"/>
        <v>&lt;/li&gt;&lt;li&gt;&lt;a href=|http://worldebible.com/1_chronicles/2.htm| title=|World English Bible| target=|_top|&gt;WEB&lt;/a&gt;</v>
      </c>
      <c r="AK340" t="str">
        <f t="shared" si="1358"/>
        <v>&lt;/li&gt;&lt;li&gt;&lt;a href=|http://yltbible.com/1_chronicles/2.htm| title=|Young's Literal Translation| target=|_top|&gt;YLT&lt;/a&gt;</v>
      </c>
      <c r="AL340" t="str">
        <f>CONCATENATE("&lt;a href=|http://",AL1191,"/1_chronicles/2.htm","| ","title=|",AL1190,"| target=|_top|&gt;",AL1192,"&lt;/a&gt;")</f>
        <v>&lt;a href=|http://kjv.us/1_chronicles/2.htm| title=|American King James Version| target=|_top|&gt;AKJ&lt;/a&gt;</v>
      </c>
      <c r="AM340" t="str">
        <f t="shared" ref="AM340:AN340" si="1359">CONCATENATE("&lt;/li&gt;&lt;li&gt;&lt;a href=|http://",AM1191,"/1_chronicles/2.htm","| ","title=|",AM1190,"| target=|_top|&gt;",AM1192,"&lt;/a&gt;")</f>
        <v>&lt;/li&gt;&lt;li&gt;&lt;a href=|http://basicenglishbible.com/1_chronicles/2.htm| title=|Bible in Basic English| target=|_top|&gt;BBE&lt;/a&gt;</v>
      </c>
      <c r="AN340" t="str">
        <f t="shared" si="1359"/>
        <v>&lt;/li&gt;&lt;li&gt;&lt;a href=|http://darbybible.com/1_chronicles/2.htm| title=|Darby Bible Translation| target=|_top|&gt;DBY&lt;/a&gt;</v>
      </c>
      <c r="AO34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4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4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40" t="str">
        <f>CONCATENATE("&lt;/li&gt;&lt;li&gt;&lt;a href=|http://",AR1191,"/1_chronicles/2.htm","| ","title=|",AR1190,"| target=|_top|&gt;",AR1192,"&lt;/a&gt;")</f>
        <v>&lt;/li&gt;&lt;li&gt;&lt;a href=|http://websterbible.com/1_chronicles/2.htm| title=|Webster's Bible Translation| target=|_top|&gt;WBS&lt;/a&gt;</v>
      </c>
      <c r="AS34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40" t="str">
        <f>CONCATENATE("&lt;/li&gt;&lt;li&gt;&lt;a href=|http://",AT1191,"/1_chronicles/2-1.htm","| ","title=|",AT1190,"| target=|_top|&gt;",AT1192,"&lt;/a&gt;")</f>
        <v>&lt;/li&gt;&lt;li&gt;&lt;a href=|http://biblebrowser.com/1_chronicles/2-1.htm| title=|Split View| target=|_top|&gt;Split&lt;/a&gt;</v>
      </c>
      <c r="AU340" s="2" t="s">
        <v>1276</v>
      </c>
      <c r="AV340" t="s">
        <v>64</v>
      </c>
    </row>
    <row r="341" spans="1:48">
      <c r="A341" t="s">
        <v>622</v>
      </c>
      <c r="B341" t="s">
        <v>394</v>
      </c>
      <c r="C341" t="s">
        <v>624</v>
      </c>
      <c r="D341" t="s">
        <v>1268</v>
      </c>
      <c r="E341" t="s">
        <v>1277</v>
      </c>
      <c r="F341" t="s">
        <v>1304</v>
      </c>
      <c r="G341" t="s">
        <v>1266</v>
      </c>
      <c r="H341" t="s">
        <v>1305</v>
      </c>
      <c r="I341" t="s">
        <v>1303</v>
      </c>
      <c r="J341" t="s">
        <v>1267</v>
      </c>
      <c r="K341" t="s">
        <v>1275</v>
      </c>
      <c r="L341" s="2" t="s">
        <v>1274</v>
      </c>
      <c r="M341" t="str">
        <f t="shared" ref="M341:AB341" si="1360">CONCATENATE("&lt;/li&gt;&lt;li&gt;&lt;a href=|http://",M1191,"/1_chronicles/3.htm","| ","title=|",M1190,"| target=|_top|&gt;",M1192,"&lt;/a&gt;")</f>
        <v>&lt;/li&gt;&lt;li&gt;&lt;a href=|http://niv.scripturetext.com/1_chronicles/3.htm| title=|New International Version| target=|_top|&gt;NIV&lt;/a&gt;</v>
      </c>
      <c r="N341" t="str">
        <f t="shared" si="1360"/>
        <v>&lt;/li&gt;&lt;li&gt;&lt;a href=|http://nlt.scripturetext.com/1_chronicles/3.htm| title=|New Living Translation| target=|_top|&gt;NLT&lt;/a&gt;</v>
      </c>
      <c r="O341" t="str">
        <f t="shared" si="1360"/>
        <v>&lt;/li&gt;&lt;li&gt;&lt;a href=|http://nasb.scripturetext.com/1_chronicles/3.htm| title=|New American Standard Bible| target=|_top|&gt;NAS&lt;/a&gt;</v>
      </c>
      <c r="P341" t="str">
        <f t="shared" si="1360"/>
        <v>&lt;/li&gt;&lt;li&gt;&lt;a href=|http://gwt.scripturetext.com/1_chronicles/3.htm| title=|God's Word Translation| target=|_top|&gt;GWT&lt;/a&gt;</v>
      </c>
      <c r="Q341" t="str">
        <f t="shared" si="1360"/>
        <v>&lt;/li&gt;&lt;li&gt;&lt;a href=|http://kingjbible.com/1_chronicles/3.htm| title=|King James Bible| target=|_top|&gt;KJV&lt;/a&gt;</v>
      </c>
      <c r="R341" t="str">
        <f t="shared" si="1360"/>
        <v>&lt;/li&gt;&lt;li&gt;&lt;a href=|http://asvbible.com/1_chronicles/3.htm| title=|American Standard Version| target=|_top|&gt;ASV&lt;/a&gt;</v>
      </c>
      <c r="S341" t="str">
        <f t="shared" si="1360"/>
        <v>&lt;/li&gt;&lt;li&gt;&lt;a href=|http://drb.scripturetext.com/1_chronicles/3.htm| title=|Douay-Rheims Bible| target=|_top|&gt;DRB&lt;/a&gt;</v>
      </c>
      <c r="T341" t="str">
        <f t="shared" si="1360"/>
        <v>&lt;/li&gt;&lt;li&gt;&lt;a href=|http://erv.scripturetext.com/1_chronicles/3.htm| title=|English Revised Version| target=|_top|&gt;ERV&lt;/a&gt;</v>
      </c>
      <c r="V341" t="str">
        <f>CONCATENATE("&lt;/li&gt;&lt;li&gt;&lt;a href=|http://",V1191,"/1_chronicles/3.htm","| ","title=|",V1190,"| target=|_top|&gt;",V1192,"&lt;/a&gt;")</f>
        <v>&lt;/li&gt;&lt;li&gt;&lt;a href=|http://study.interlinearbible.org/1_chronicles/3.htm| title=|Hebrew Study Bible| target=|_top|&gt;Heb Study&lt;/a&gt;</v>
      </c>
      <c r="W341" t="str">
        <f t="shared" si="1360"/>
        <v>&lt;/li&gt;&lt;li&gt;&lt;a href=|http://apostolic.interlinearbible.org/1_chronicles/3.htm| title=|Apostolic Bible Polyglot Interlinear| target=|_top|&gt;Polyglot&lt;/a&gt;</v>
      </c>
      <c r="X341" t="str">
        <f t="shared" si="1360"/>
        <v>&lt;/li&gt;&lt;li&gt;&lt;a href=|http://interlinearbible.org/1_chronicles/3.htm| title=|Interlinear Bible| target=|_top|&gt;Interlin&lt;/a&gt;</v>
      </c>
      <c r="Y341" t="str">
        <f t="shared" ref="Y341" si="1361">CONCATENATE("&lt;/li&gt;&lt;li&gt;&lt;a href=|http://",Y1191,"/1_chronicles/3.htm","| ","title=|",Y1190,"| target=|_top|&gt;",Y1192,"&lt;/a&gt;")</f>
        <v>&lt;/li&gt;&lt;li&gt;&lt;a href=|http://bibleoutline.org/1_chronicles/3.htm| title=|Outline with People and Places List| target=|_top|&gt;Outline&lt;/a&gt;</v>
      </c>
      <c r="Z341" t="str">
        <f t="shared" si="1360"/>
        <v>&lt;/li&gt;&lt;li&gt;&lt;a href=|http://kjvs.scripturetext.com/1_chronicles/3.htm| title=|King James Bible with Strong's Numbers| target=|_top|&gt;Strong's&lt;/a&gt;</v>
      </c>
      <c r="AA341" t="str">
        <f t="shared" si="1360"/>
        <v>&lt;/li&gt;&lt;li&gt;&lt;a href=|http://childrensbibleonline.com/1_chronicles/3.htm| title=|The Children's Bible| target=|_top|&gt;Children's&lt;/a&gt;</v>
      </c>
      <c r="AB341" s="2" t="str">
        <f t="shared" si="1360"/>
        <v>&lt;/li&gt;&lt;li&gt;&lt;a href=|http://tsk.scripturetext.com/1_chronicles/3.htm| title=|Treasury of Scripture Knowledge| target=|_top|&gt;TSK&lt;/a&gt;</v>
      </c>
      <c r="AC341" t="str">
        <f>CONCATENATE("&lt;a href=|http://",AC1191,"/1_chronicles/3.htm","| ","title=|",AC1190,"| target=|_top|&gt;",AC1192,"&lt;/a&gt;")</f>
        <v>&lt;a href=|http://parallelbible.com/1_chronicles/3.htm| title=|Parallel Chapters| target=|_top|&gt;PAR&lt;/a&gt;</v>
      </c>
      <c r="AD341" s="2" t="str">
        <f t="shared" ref="AD341:AK341" si="1362">CONCATENATE("&lt;/li&gt;&lt;li&gt;&lt;a href=|http://",AD1191,"/1_chronicles/3.htm","| ","title=|",AD1190,"| target=|_top|&gt;",AD1192,"&lt;/a&gt;")</f>
        <v>&lt;/li&gt;&lt;li&gt;&lt;a href=|http://gsb.biblecommenter.com/1_chronicles/3.htm| title=|Geneva Study Bible| target=|_top|&gt;GSB&lt;/a&gt;</v>
      </c>
      <c r="AE341" s="2" t="str">
        <f t="shared" si="1362"/>
        <v>&lt;/li&gt;&lt;li&gt;&lt;a href=|http://jfb.biblecommenter.com/1_chronicles/3.htm| title=|Jamieson-Fausset-Brown Bible Commentary| target=|_top|&gt;JFB&lt;/a&gt;</v>
      </c>
      <c r="AF341" s="2" t="str">
        <f t="shared" si="1362"/>
        <v>&lt;/li&gt;&lt;li&gt;&lt;a href=|http://kjt.biblecommenter.com/1_chronicles/3.htm| title=|King James Translators' Notes| target=|_top|&gt;KJT&lt;/a&gt;</v>
      </c>
      <c r="AG341" s="2" t="str">
        <f t="shared" si="1362"/>
        <v>&lt;/li&gt;&lt;li&gt;&lt;a href=|http://mhc.biblecommenter.com/1_chronicles/3.htm| title=|Matthew Henry's Concise Commentary| target=|_top|&gt;MHC&lt;/a&gt;</v>
      </c>
      <c r="AH341" s="2" t="str">
        <f t="shared" si="1362"/>
        <v>&lt;/li&gt;&lt;li&gt;&lt;a href=|http://sco.biblecommenter.com/1_chronicles/3.htm| title=|Scofield Reference Notes| target=|_top|&gt;SCO&lt;/a&gt;</v>
      </c>
      <c r="AI341" s="2" t="str">
        <f t="shared" si="1362"/>
        <v>&lt;/li&gt;&lt;li&gt;&lt;a href=|http://wes.biblecommenter.com/1_chronicles/3.htm| title=|Wesley's Notes on the Bible| target=|_top|&gt;WES&lt;/a&gt;</v>
      </c>
      <c r="AJ341" t="str">
        <f t="shared" si="1362"/>
        <v>&lt;/li&gt;&lt;li&gt;&lt;a href=|http://worldebible.com/1_chronicles/3.htm| title=|World English Bible| target=|_top|&gt;WEB&lt;/a&gt;</v>
      </c>
      <c r="AK341" t="str">
        <f t="shared" si="1362"/>
        <v>&lt;/li&gt;&lt;li&gt;&lt;a href=|http://yltbible.com/1_chronicles/3.htm| title=|Young's Literal Translation| target=|_top|&gt;YLT&lt;/a&gt;</v>
      </c>
      <c r="AL341" t="str">
        <f>CONCATENATE("&lt;a href=|http://",AL1191,"/1_chronicles/3.htm","| ","title=|",AL1190,"| target=|_top|&gt;",AL1192,"&lt;/a&gt;")</f>
        <v>&lt;a href=|http://kjv.us/1_chronicles/3.htm| title=|American King James Version| target=|_top|&gt;AKJ&lt;/a&gt;</v>
      </c>
      <c r="AM341" t="str">
        <f t="shared" ref="AM341:AN341" si="1363">CONCATENATE("&lt;/li&gt;&lt;li&gt;&lt;a href=|http://",AM1191,"/1_chronicles/3.htm","| ","title=|",AM1190,"| target=|_top|&gt;",AM1192,"&lt;/a&gt;")</f>
        <v>&lt;/li&gt;&lt;li&gt;&lt;a href=|http://basicenglishbible.com/1_chronicles/3.htm| title=|Bible in Basic English| target=|_top|&gt;BBE&lt;/a&gt;</v>
      </c>
      <c r="AN341" t="str">
        <f t="shared" si="1363"/>
        <v>&lt;/li&gt;&lt;li&gt;&lt;a href=|http://darbybible.com/1_chronicles/3.htm| title=|Darby Bible Translation| target=|_top|&gt;DBY&lt;/a&gt;</v>
      </c>
      <c r="AO34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4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4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41" t="str">
        <f>CONCATENATE("&lt;/li&gt;&lt;li&gt;&lt;a href=|http://",AR1191,"/1_chronicles/3.htm","| ","title=|",AR1190,"| target=|_top|&gt;",AR1192,"&lt;/a&gt;")</f>
        <v>&lt;/li&gt;&lt;li&gt;&lt;a href=|http://websterbible.com/1_chronicles/3.htm| title=|Webster's Bible Translation| target=|_top|&gt;WBS&lt;/a&gt;</v>
      </c>
      <c r="AS34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41" t="str">
        <f>CONCATENATE("&lt;/li&gt;&lt;li&gt;&lt;a href=|http://",AT1191,"/1_chronicles/3-1.htm","| ","title=|",AT1190,"| target=|_top|&gt;",AT1192,"&lt;/a&gt;")</f>
        <v>&lt;/li&gt;&lt;li&gt;&lt;a href=|http://biblebrowser.com/1_chronicles/3-1.htm| title=|Split View| target=|_top|&gt;Split&lt;/a&gt;</v>
      </c>
      <c r="AU341" s="2" t="s">
        <v>1276</v>
      </c>
      <c r="AV341" t="s">
        <v>64</v>
      </c>
    </row>
    <row r="342" spans="1:48">
      <c r="A342" t="s">
        <v>622</v>
      </c>
      <c r="B342" t="s">
        <v>395</v>
      </c>
      <c r="C342" t="s">
        <v>624</v>
      </c>
      <c r="D342" t="s">
        <v>1268</v>
      </c>
      <c r="E342" t="s">
        <v>1277</v>
      </c>
      <c r="F342" t="s">
        <v>1304</v>
      </c>
      <c r="G342" t="s">
        <v>1266</v>
      </c>
      <c r="H342" t="s">
        <v>1305</v>
      </c>
      <c r="I342" t="s">
        <v>1303</v>
      </c>
      <c r="J342" t="s">
        <v>1267</v>
      </c>
      <c r="K342" t="s">
        <v>1275</v>
      </c>
      <c r="L342" s="2" t="s">
        <v>1274</v>
      </c>
      <c r="M342" t="str">
        <f t="shared" ref="M342:AB342" si="1364">CONCATENATE("&lt;/li&gt;&lt;li&gt;&lt;a href=|http://",M1191,"/1_chronicles/4.htm","| ","title=|",M1190,"| target=|_top|&gt;",M1192,"&lt;/a&gt;")</f>
        <v>&lt;/li&gt;&lt;li&gt;&lt;a href=|http://niv.scripturetext.com/1_chronicles/4.htm| title=|New International Version| target=|_top|&gt;NIV&lt;/a&gt;</v>
      </c>
      <c r="N342" t="str">
        <f t="shared" si="1364"/>
        <v>&lt;/li&gt;&lt;li&gt;&lt;a href=|http://nlt.scripturetext.com/1_chronicles/4.htm| title=|New Living Translation| target=|_top|&gt;NLT&lt;/a&gt;</v>
      </c>
      <c r="O342" t="str">
        <f t="shared" si="1364"/>
        <v>&lt;/li&gt;&lt;li&gt;&lt;a href=|http://nasb.scripturetext.com/1_chronicles/4.htm| title=|New American Standard Bible| target=|_top|&gt;NAS&lt;/a&gt;</v>
      </c>
      <c r="P342" t="str">
        <f t="shared" si="1364"/>
        <v>&lt;/li&gt;&lt;li&gt;&lt;a href=|http://gwt.scripturetext.com/1_chronicles/4.htm| title=|God's Word Translation| target=|_top|&gt;GWT&lt;/a&gt;</v>
      </c>
      <c r="Q342" t="str">
        <f t="shared" si="1364"/>
        <v>&lt;/li&gt;&lt;li&gt;&lt;a href=|http://kingjbible.com/1_chronicles/4.htm| title=|King James Bible| target=|_top|&gt;KJV&lt;/a&gt;</v>
      </c>
      <c r="R342" t="str">
        <f t="shared" si="1364"/>
        <v>&lt;/li&gt;&lt;li&gt;&lt;a href=|http://asvbible.com/1_chronicles/4.htm| title=|American Standard Version| target=|_top|&gt;ASV&lt;/a&gt;</v>
      </c>
      <c r="S342" t="str">
        <f t="shared" si="1364"/>
        <v>&lt;/li&gt;&lt;li&gt;&lt;a href=|http://drb.scripturetext.com/1_chronicles/4.htm| title=|Douay-Rheims Bible| target=|_top|&gt;DRB&lt;/a&gt;</v>
      </c>
      <c r="T342" t="str">
        <f t="shared" si="1364"/>
        <v>&lt;/li&gt;&lt;li&gt;&lt;a href=|http://erv.scripturetext.com/1_chronicles/4.htm| title=|English Revised Version| target=|_top|&gt;ERV&lt;/a&gt;</v>
      </c>
      <c r="V342" t="str">
        <f>CONCATENATE("&lt;/li&gt;&lt;li&gt;&lt;a href=|http://",V1191,"/1_chronicles/4.htm","| ","title=|",V1190,"| target=|_top|&gt;",V1192,"&lt;/a&gt;")</f>
        <v>&lt;/li&gt;&lt;li&gt;&lt;a href=|http://study.interlinearbible.org/1_chronicles/4.htm| title=|Hebrew Study Bible| target=|_top|&gt;Heb Study&lt;/a&gt;</v>
      </c>
      <c r="W342" t="str">
        <f t="shared" si="1364"/>
        <v>&lt;/li&gt;&lt;li&gt;&lt;a href=|http://apostolic.interlinearbible.org/1_chronicles/4.htm| title=|Apostolic Bible Polyglot Interlinear| target=|_top|&gt;Polyglot&lt;/a&gt;</v>
      </c>
      <c r="X342" t="str">
        <f t="shared" si="1364"/>
        <v>&lt;/li&gt;&lt;li&gt;&lt;a href=|http://interlinearbible.org/1_chronicles/4.htm| title=|Interlinear Bible| target=|_top|&gt;Interlin&lt;/a&gt;</v>
      </c>
      <c r="Y342" t="str">
        <f t="shared" ref="Y342" si="1365">CONCATENATE("&lt;/li&gt;&lt;li&gt;&lt;a href=|http://",Y1191,"/1_chronicles/4.htm","| ","title=|",Y1190,"| target=|_top|&gt;",Y1192,"&lt;/a&gt;")</f>
        <v>&lt;/li&gt;&lt;li&gt;&lt;a href=|http://bibleoutline.org/1_chronicles/4.htm| title=|Outline with People and Places List| target=|_top|&gt;Outline&lt;/a&gt;</v>
      </c>
      <c r="Z342" t="str">
        <f t="shared" si="1364"/>
        <v>&lt;/li&gt;&lt;li&gt;&lt;a href=|http://kjvs.scripturetext.com/1_chronicles/4.htm| title=|King James Bible with Strong's Numbers| target=|_top|&gt;Strong's&lt;/a&gt;</v>
      </c>
      <c r="AA342" t="str">
        <f t="shared" si="1364"/>
        <v>&lt;/li&gt;&lt;li&gt;&lt;a href=|http://childrensbibleonline.com/1_chronicles/4.htm| title=|The Children's Bible| target=|_top|&gt;Children's&lt;/a&gt;</v>
      </c>
      <c r="AB342" s="2" t="str">
        <f t="shared" si="1364"/>
        <v>&lt;/li&gt;&lt;li&gt;&lt;a href=|http://tsk.scripturetext.com/1_chronicles/4.htm| title=|Treasury of Scripture Knowledge| target=|_top|&gt;TSK&lt;/a&gt;</v>
      </c>
      <c r="AC342" t="str">
        <f>CONCATENATE("&lt;a href=|http://",AC1191,"/1_chronicles/4.htm","| ","title=|",AC1190,"| target=|_top|&gt;",AC1192,"&lt;/a&gt;")</f>
        <v>&lt;a href=|http://parallelbible.com/1_chronicles/4.htm| title=|Parallel Chapters| target=|_top|&gt;PAR&lt;/a&gt;</v>
      </c>
      <c r="AD342" s="2" t="str">
        <f t="shared" ref="AD342:AK342" si="1366">CONCATENATE("&lt;/li&gt;&lt;li&gt;&lt;a href=|http://",AD1191,"/1_chronicles/4.htm","| ","title=|",AD1190,"| target=|_top|&gt;",AD1192,"&lt;/a&gt;")</f>
        <v>&lt;/li&gt;&lt;li&gt;&lt;a href=|http://gsb.biblecommenter.com/1_chronicles/4.htm| title=|Geneva Study Bible| target=|_top|&gt;GSB&lt;/a&gt;</v>
      </c>
      <c r="AE342" s="2" t="str">
        <f t="shared" si="1366"/>
        <v>&lt;/li&gt;&lt;li&gt;&lt;a href=|http://jfb.biblecommenter.com/1_chronicles/4.htm| title=|Jamieson-Fausset-Brown Bible Commentary| target=|_top|&gt;JFB&lt;/a&gt;</v>
      </c>
      <c r="AF342" s="2" t="str">
        <f t="shared" si="1366"/>
        <v>&lt;/li&gt;&lt;li&gt;&lt;a href=|http://kjt.biblecommenter.com/1_chronicles/4.htm| title=|King James Translators' Notes| target=|_top|&gt;KJT&lt;/a&gt;</v>
      </c>
      <c r="AG342" s="2" t="str">
        <f t="shared" si="1366"/>
        <v>&lt;/li&gt;&lt;li&gt;&lt;a href=|http://mhc.biblecommenter.com/1_chronicles/4.htm| title=|Matthew Henry's Concise Commentary| target=|_top|&gt;MHC&lt;/a&gt;</v>
      </c>
      <c r="AH342" s="2" t="str">
        <f t="shared" si="1366"/>
        <v>&lt;/li&gt;&lt;li&gt;&lt;a href=|http://sco.biblecommenter.com/1_chronicles/4.htm| title=|Scofield Reference Notes| target=|_top|&gt;SCO&lt;/a&gt;</v>
      </c>
      <c r="AI342" s="2" t="str">
        <f t="shared" si="1366"/>
        <v>&lt;/li&gt;&lt;li&gt;&lt;a href=|http://wes.biblecommenter.com/1_chronicles/4.htm| title=|Wesley's Notes on the Bible| target=|_top|&gt;WES&lt;/a&gt;</v>
      </c>
      <c r="AJ342" t="str">
        <f t="shared" si="1366"/>
        <v>&lt;/li&gt;&lt;li&gt;&lt;a href=|http://worldebible.com/1_chronicles/4.htm| title=|World English Bible| target=|_top|&gt;WEB&lt;/a&gt;</v>
      </c>
      <c r="AK342" t="str">
        <f t="shared" si="1366"/>
        <v>&lt;/li&gt;&lt;li&gt;&lt;a href=|http://yltbible.com/1_chronicles/4.htm| title=|Young's Literal Translation| target=|_top|&gt;YLT&lt;/a&gt;</v>
      </c>
      <c r="AL342" t="str">
        <f>CONCATENATE("&lt;a href=|http://",AL1191,"/1_chronicles/4.htm","| ","title=|",AL1190,"| target=|_top|&gt;",AL1192,"&lt;/a&gt;")</f>
        <v>&lt;a href=|http://kjv.us/1_chronicles/4.htm| title=|American King James Version| target=|_top|&gt;AKJ&lt;/a&gt;</v>
      </c>
      <c r="AM342" t="str">
        <f t="shared" ref="AM342:AN342" si="1367">CONCATENATE("&lt;/li&gt;&lt;li&gt;&lt;a href=|http://",AM1191,"/1_chronicles/4.htm","| ","title=|",AM1190,"| target=|_top|&gt;",AM1192,"&lt;/a&gt;")</f>
        <v>&lt;/li&gt;&lt;li&gt;&lt;a href=|http://basicenglishbible.com/1_chronicles/4.htm| title=|Bible in Basic English| target=|_top|&gt;BBE&lt;/a&gt;</v>
      </c>
      <c r="AN342" t="str">
        <f t="shared" si="1367"/>
        <v>&lt;/li&gt;&lt;li&gt;&lt;a href=|http://darbybible.com/1_chronicles/4.htm| title=|Darby Bible Translation| target=|_top|&gt;DBY&lt;/a&gt;</v>
      </c>
      <c r="AO34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4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4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42" t="str">
        <f>CONCATENATE("&lt;/li&gt;&lt;li&gt;&lt;a href=|http://",AR1191,"/1_chronicles/4.htm","| ","title=|",AR1190,"| target=|_top|&gt;",AR1192,"&lt;/a&gt;")</f>
        <v>&lt;/li&gt;&lt;li&gt;&lt;a href=|http://websterbible.com/1_chronicles/4.htm| title=|Webster's Bible Translation| target=|_top|&gt;WBS&lt;/a&gt;</v>
      </c>
      <c r="AS34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42" t="str">
        <f>CONCATENATE("&lt;/li&gt;&lt;li&gt;&lt;a href=|http://",AT1191,"/1_chronicles/4-1.htm","| ","title=|",AT1190,"| target=|_top|&gt;",AT1192,"&lt;/a&gt;")</f>
        <v>&lt;/li&gt;&lt;li&gt;&lt;a href=|http://biblebrowser.com/1_chronicles/4-1.htm| title=|Split View| target=|_top|&gt;Split&lt;/a&gt;</v>
      </c>
      <c r="AU342" s="2" t="s">
        <v>1276</v>
      </c>
      <c r="AV342" t="s">
        <v>64</v>
      </c>
    </row>
    <row r="343" spans="1:48">
      <c r="A343" t="s">
        <v>622</v>
      </c>
      <c r="B343" t="s">
        <v>396</v>
      </c>
      <c r="C343" t="s">
        <v>624</v>
      </c>
      <c r="D343" t="s">
        <v>1268</v>
      </c>
      <c r="E343" t="s">
        <v>1277</v>
      </c>
      <c r="F343" t="s">
        <v>1304</v>
      </c>
      <c r="G343" t="s">
        <v>1266</v>
      </c>
      <c r="H343" t="s">
        <v>1305</v>
      </c>
      <c r="I343" t="s">
        <v>1303</v>
      </c>
      <c r="J343" t="s">
        <v>1267</v>
      </c>
      <c r="K343" t="s">
        <v>1275</v>
      </c>
      <c r="L343" s="2" t="s">
        <v>1274</v>
      </c>
      <c r="M343" t="str">
        <f t="shared" ref="M343:AB343" si="1368">CONCATENATE("&lt;/li&gt;&lt;li&gt;&lt;a href=|http://",M1191,"/1_chronicles/5.htm","| ","title=|",M1190,"| target=|_top|&gt;",M1192,"&lt;/a&gt;")</f>
        <v>&lt;/li&gt;&lt;li&gt;&lt;a href=|http://niv.scripturetext.com/1_chronicles/5.htm| title=|New International Version| target=|_top|&gt;NIV&lt;/a&gt;</v>
      </c>
      <c r="N343" t="str">
        <f t="shared" si="1368"/>
        <v>&lt;/li&gt;&lt;li&gt;&lt;a href=|http://nlt.scripturetext.com/1_chronicles/5.htm| title=|New Living Translation| target=|_top|&gt;NLT&lt;/a&gt;</v>
      </c>
      <c r="O343" t="str">
        <f t="shared" si="1368"/>
        <v>&lt;/li&gt;&lt;li&gt;&lt;a href=|http://nasb.scripturetext.com/1_chronicles/5.htm| title=|New American Standard Bible| target=|_top|&gt;NAS&lt;/a&gt;</v>
      </c>
      <c r="P343" t="str">
        <f t="shared" si="1368"/>
        <v>&lt;/li&gt;&lt;li&gt;&lt;a href=|http://gwt.scripturetext.com/1_chronicles/5.htm| title=|God's Word Translation| target=|_top|&gt;GWT&lt;/a&gt;</v>
      </c>
      <c r="Q343" t="str">
        <f t="shared" si="1368"/>
        <v>&lt;/li&gt;&lt;li&gt;&lt;a href=|http://kingjbible.com/1_chronicles/5.htm| title=|King James Bible| target=|_top|&gt;KJV&lt;/a&gt;</v>
      </c>
      <c r="R343" t="str">
        <f t="shared" si="1368"/>
        <v>&lt;/li&gt;&lt;li&gt;&lt;a href=|http://asvbible.com/1_chronicles/5.htm| title=|American Standard Version| target=|_top|&gt;ASV&lt;/a&gt;</v>
      </c>
      <c r="S343" t="str">
        <f t="shared" si="1368"/>
        <v>&lt;/li&gt;&lt;li&gt;&lt;a href=|http://drb.scripturetext.com/1_chronicles/5.htm| title=|Douay-Rheims Bible| target=|_top|&gt;DRB&lt;/a&gt;</v>
      </c>
      <c r="T343" t="str">
        <f t="shared" si="1368"/>
        <v>&lt;/li&gt;&lt;li&gt;&lt;a href=|http://erv.scripturetext.com/1_chronicles/5.htm| title=|English Revised Version| target=|_top|&gt;ERV&lt;/a&gt;</v>
      </c>
      <c r="V343" t="str">
        <f>CONCATENATE("&lt;/li&gt;&lt;li&gt;&lt;a href=|http://",V1191,"/1_chronicles/5.htm","| ","title=|",V1190,"| target=|_top|&gt;",V1192,"&lt;/a&gt;")</f>
        <v>&lt;/li&gt;&lt;li&gt;&lt;a href=|http://study.interlinearbible.org/1_chronicles/5.htm| title=|Hebrew Study Bible| target=|_top|&gt;Heb Study&lt;/a&gt;</v>
      </c>
      <c r="W343" t="str">
        <f t="shared" si="1368"/>
        <v>&lt;/li&gt;&lt;li&gt;&lt;a href=|http://apostolic.interlinearbible.org/1_chronicles/5.htm| title=|Apostolic Bible Polyglot Interlinear| target=|_top|&gt;Polyglot&lt;/a&gt;</v>
      </c>
      <c r="X343" t="str">
        <f t="shared" si="1368"/>
        <v>&lt;/li&gt;&lt;li&gt;&lt;a href=|http://interlinearbible.org/1_chronicles/5.htm| title=|Interlinear Bible| target=|_top|&gt;Interlin&lt;/a&gt;</v>
      </c>
      <c r="Y343" t="str">
        <f t="shared" ref="Y343" si="1369">CONCATENATE("&lt;/li&gt;&lt;li&gt;&lt;a href=|http://",Y1191,"/1_chronicles/5.htm","| ","title=|",Y1190,"| target=|_top|&gt;",Y1192,"&lt;/a&gt;")</f>
        <v>&lt;/li&gt;&lt;li&gt;&lt;a href=|http://bibleoutline.org/1_chronicles/5.htm| title=|Outline with People and Places List| target=|_top|&gt;Outline&lt;/a&gt;</v>
      </c>
      <c r="Z343" t="str">
        <f t="shared" si="1368"/>
        <v>&lt;/li&gt;&lt;li&gt;&lt;a href=|http://kjvs.scripturetext.com/1_chronicles/5.htm| title=|King James Bible with Strong's Numbers| target=|_top|&gt;Strong's&lt;/a&gt;</v>
      </c>
      <c r="AA343" t="str">
        <f t="shared" si="1368"/>
        <v>&lt;/li&gt;&lt;li&gt;&lt;a href=|http://childrensbibleonline.com/1_chronicles/5.htm| title=|The Children's Bible| target=|_top|&gt;Children's&lt;/a&gt;</v>
      </c>
      <c r="AB343" s="2" t="str">
        <f t="shared" si="1368"/>
        <v>&lt;/li&gt;&lt;li&gt;&lt;a href=|http://tsk.scripturetext.com/1_chronicles/5.htm| title=|Treasury of Scripture Knowledge| target=|_top|&gt;TSK&lt;/a&gt;</v>
      </c>
      <c r="AC343" t="str">
        <f>CONCATENATE("&lt;a href=|http://",AC1191,"/1_chronicles/5.htm","| ","title=|",AC1190,"| target=|_top|&gt;",AC1192,"&lt;/a&gt;")</f>
        <v>&lt;a href=|http://parallelbible.com/1_chronicles/5.htm| title=|Parallel Chapters| target=|_top|&gt;PAR&lt;/a&gt;</v>
      </c>
      <c r="AD343" s="2" t="str">
        <f t="shared" ref="AD343:AK343" si="1370">CONCATENATE("&lt;/li&gt;&lt;li&gt;&lt;a href=|http://",AD1191,"/1_chronicles/5.htm","| ","title=|",AD1190,"| target=|_top|&gt;",AD1192,"&lt;/a&gt;")</f>
        <v>&lt;/li&gt;&lt;li&gt;&lt;a href=|http://gsb.biblecommenter.com/1_chronicles/5.htm| title=|Geneva Study Bible| target=|_top|&gt;GSB&lt;/a&gt;</v>
      </c>
      <c r="AE343" s="2" t="str">
        <f t="shared" si="1370"/>
        <v>&lt;/li&gt;&lt;li&gt;&lt;a href=|http://jfb.biblecommenter.com/1_chronicles/5.htm| title=|Jamieson-Fausset-Brown Bible Commentary| target=|_top|&gt;JFB&lt;/a&gt;</v>
      </c>
      <c r="AF343" s="2" t="str">
        <f t="shared" si="1370"/>
        <v>&lt;/li&gt;&lt;li&gt;&lt;a href=|http://kjt.biblecommenter.com/1_chronicles/5.htm| title=|King James Translators' Notes| target=|_top|&gt;KJT&lt;/a&gt;</v>
      </c>
      <c r="AG343" s="2" t="str">
        <f t="shared" si="1370"/>
        <v>&lt;/li&gt;&lt;li&gt;&lt;a href=|http://mhc.biblecommenter.com/1_chronicles/5.htm| title=|Matthew Henry's Concise Commentary| target=|_top|&gt;MHC&lt;/a&gt;</v>
      </c>
      <c r="AH343" s="2" t="str">
        <f t="shared" si="1370"/>
        <v>&lt;/li&gt;&lt;li&gt;&lt;a href=|http://sco.biblecommenter.com/1_chronicles/5.htm| title=|Scofield Reference Notes| target=|_top|&gt;SCO&lt;/a&gt;</v>
      </c>
      <c r="AI343" s="2" t="str">
        <f t="shared" si="1370"/>
        <v>&lt;/li&gt;&lt;li&gt;&lt;a href=|http://wes.biblecommenter.com/1_chronicles/5.htm| title=|Wesley's Notes on the Bible| target=|_top|&gt;WES&lt;/a&gt;</v>
      </c>
      <c r="AJ343" t="str">
        <f t="shared" si="1370"/>
        <v>&lt;/li&gt;&lt;li&gt;&lt;a href=|http://worldebible.com/1_chronicles/5.htm| title=|World English Bible| target=|_top|&gt;WEB&lt;/a&gt;</v>
      </c>
      <c r="AK343" t="str">
        <f t="shared" si="1370"/>
        <v>&lt;/li&gt;&lt;li&gt;&lt;a href=|http://yltbible.com/1_chronicles/5.htm| title=|Young's Literal Translation| target=|_top|&gt;YLT&lt;/a&gt;</v>
      </c>
      <c r="AL343" t="str">
        <f>CONCATENATE("&lt;a href=|http://",AL1191,"/1_chronicles/5.htm","| ","title=|",AL1190,"| target=|_top|&gt;",AL1192,"&lt;/a&gt;")</f>
        <v>&lt;a href=|http://kjv.us/1_chronicles/5.htm| title=|American King James Version| target=|_top|&gt;AKJ&lt;/a&gt;</v>
      </c>
      <c r="AM343" t="str">
        <f t="shared" ref="AM343:AN343" si="1371">CONCATENATE("&lt;/li&gt;&lt;li&gt;&lt;a href=|http://",AM1191,"/1_chronicles/5.htm","| ","title=|",AM1190,"| target=|_top|&gt;",AM1192,"&lt;/a&gt;")</f>
        <v>&lt;/li&gt;&lt;li&gt;&lt;a href=|http://basicenglishbible.com/1_chronicles/5.htm| title=|Bible in Basic English| target=|_top|&gt;BBE&lt;/a&gt;</v>
      </c>
      <c r="AN343" t="str">
        <f t="shared" si="1371"/>
        <v>&lt;/li&gt;&lt;li&gt;&lt;a href=|http://darbybible.com/1_chronicles/5.htm| title=|Darby Bible Translation| target=|_top|&gt;DBY&lt;/a&gt;</v>
      </c>
      <c r="AO34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4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4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43" t="str">
        <f>CONCATENATE("&lt;/li&gt;&lt;li&gt;&lt;a href=|http://",AR1191,"/1_chronicles/5.htm","| ","title=|",AR1190,"| target=|_top|&gt;",AR1192,"&lt;/a&gt;")</f>
        <v>&lt;/li&gt;&lt;li&gt;&lt;a href=|http://websterbible.com/1_chronicles/5.htm| title=|Webster's Bible Translation| target=|_top|&gt;WBS&lt;/a&gt;</v>
      </c>
      <c r="AS34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43" t="str">
        <f>CONCATENATE("&lt;/li&gt;&lt;li&gt;&lt;a href=|http://",AT1191,"/1_chronicles/5-1.htm","| ","title=|",AT1190,"| target=|_top|&gt;",AT1192,"&lt;/a&gt;")</f>
        <v>&lt;/li&gt;&lt;li&gt;&lt;a href=|http://biblebrowser.com/1_chronicles/5-1.htm| title=|Split View| target=|_top|&gt;Split&lt;/a&gt;</v>
      </c>
      <c r="AU343" s="2" t="s">
        <v>1276</v>
      </c>
      <c r="AV343" t="s">
        <v>64</v>
      </c>
    </row>
    <row r="344" spans="1:48">
      <c r="A344" t="s">
        <v>622</v>
      </c>
      <c r="B344" t="s">
        <v>397</v>
      </c>
      <c r="C344" t="s">
        <v>624</v>
      </c>
      <c r="D344" t="s">
        <v>1268</v>
      </c>
      <c r="E344" t="s">
        <v>1277</v>
      </c>
      <c r="F344" t="s">
        <v>1304</v>
      </c>
      <c r="G344" t="s">
        <v>1266</v>
      </c>
      <c r="H344" t="s">
        <v>1305</v>
      </c>
      <c r="I344" t="s">
        <v>1303</v>
      </c>
      <c r="J344" t="s">
        <v>1267</v>
      </c>
      <c r="K344" t="s">
        <v>1275</v>
      </c>
      <c r="L344" s="2" t="s">
        <v>1274</v>
      </c>
      <c r="M344" t="str">
        <f t="shared" ref="M344:AB344" si="1372">CONCATENATE("&lt;/li&gt;&lt;li&gt;&lt;a href=|http://",M1191,"/1_chronicles/6.htm","| ","title=|",M1190,"| target=|_top|&gt;",M1192,"&lt;/a&gt;")</f>
        <v>&lt;/li&gt;&lt;li&gt;&lt;a href=|http://niv.scripturetext.com/1_chronicles/6.htm| title=|New International Version| target=|_top|&gt;NIV&lt;/a&gt;</v>
      </c>
      <c r="N344" t="str">
        <f t="shared" si="1372"/>
        <v>&lt;/li&gt;&lt;li&gt;&lt;a href=|http://nlt.scripturetext.com/1_chronicles/6.htm| title=|New Living Translation| target=|_top|&gt;NLT&lt;/a&gt;</v>
      </c>
      <c r="O344" t="str">
        <f t="shared" si="1372"/>
        <v>&lt;/li&gt;&lt;li&gt;&lt;a href=|http://nasb.scripturetext.com/1_chronicles/6.htm| title=|New American Standard Bible| target=|_top|&gt;NAS&lt;/a&gt;</v>
      </c>
      <c r="P344" t="str">
        <f t="shared" si="1372"/>
        <v>&lt;/li&gt;&lt;li&gt;&lt;a href=|http://gwt.scripturetext.com/1_chronicles/6.htm| title=|God's Word Translation| target=|_top|&gt;GWT&lt;/a&gt;</v>
      </c>
      <c r="Q344" t="str">
        <f t="shared" si="1372"/>
        <v>&lt;/li&gt;&lt;li&gt;&lt;a href=|http://kingjbible.com/1_chronicles/6.htm| title=|King James Bible| target=|_top|&gt;KJV&lt;/a&gt;</v>
      </c>
      <c r="R344" t="str">
        <f t="shared" si="1372"/>
        <v>&lt;/li&gt;&lt;li&gt;&lt;a href=|http://asvbible.com/1_chronicles/6.htm| title=|American Standard Version| target=|_top|&gt;ASV&lt;/a&gt;</v>
      </c>
      <c r="S344" t="str">
        <f t="shared" si="1372"/>
        <v>&lt;/li&gt;&lt;li&gt;&lt;a href=|http://drb.scripturetext.com/1_chronicles/6.htm| title=|Douay-Rheims Bible| target=|_top|&gt;DRB&lt;/a&gt;</v>
      </c>
      <c r="T344" t="str">
        <f t="shared" si="1372"/>
        <v>&lt;/li&gt;&lt;li&gt;&lt;a href=|http://erv.scripturetext.com/1_chronicles/6.htm| title=|English Revised Version| target=|_top|&gt;ERV&lt;/a&gt;</v>
      </c>
      <c r="V344" t="str">
        <f>CONCATENATE("&lt;/li&gt;&lt;li&gt;&lt;a href=|http://",V1191,"/1_chronicles/6.htm","| ","title=|",V1190,"| target=|_top|&gt;",V1192,"&lt;/a&gt;")</f>
        <v>&lt;/li&gt;&lt;li&gt;&lt;a href=|http://study.interlinearbible.org/1_chronicles/6.htm| title=|Hebrew Study Bible| target=|_top|&gt;Heb Study&lt;/a&gt;</v>
      </c>
      <c r="W344" t="str">
        <f t="shared" si="1372"/>
        <v>&lt;/li&gt;&lt;li&gt;&lt;a href=|http://apostolic.interlinearbible.org/1_chronicles/6.htm| title=|Apostolic Bible Polyglot Interlinear| target=|_top|&gt;Polyglot&lt;/a&gt;</v>
      </c>
      <c r="X344" t="str">
        <f t="shared" si="1372"/>
        <v>&lt;/li&gt;&lt;li&gt;&lt;a href=|http://interlinearbible.org/1_chronicles/6.htm| title=|Interlinear Bible| target=|_top|&gt;Interlin&lt;/a&gt;</v>
      </c>
      <c r="Y344" t="str">
        <f t="shared" ref="Y344" si="1373">CONCATENATE("&lt;/li&gt;&lt;li&gt;&lt;a href=|http://",Y1191,"/1_chronicles/6.htm","| ","title=|",Y1190,"| target=|_top|&gt;",Y1192,"&lt;/a&gt;")</f>
        <v>&lt;/li&gt;&lt;li&gt;&lt;a href=|http://bibleoutline.org/1_chronicles/6.htm| title=|Outline with People and Places List| target=|_top|&gt;Outline&lt;/a&gt;</v>
      </c>
      <c r="Z344" t="str">
        <f t="shared" si="1372"/>
        <v>&lt;/li&gt;&lt;li&gt;&lt;a href=|http://kjvs.scripturetext.com/1_chronicles/6.htm| title=|King James Bible with Strong's Numbers| target=|_top|&gt;Strong's&lt;/a&gt;</v>
      </c>
      <c r="AA344" t="str">
        <f t="shared" si="1372"/>
        <v>&lt;/li&gt;&lt;li&gt;&lt;a href=|http://childrensbibleonline.com/1_chronicles/6.htm| title=|The Children's Bible| target=|_top|&gt;Children's&lt;/a&gt;</v>
      </c>
      <c r="AB344" s="2" t="str">
        <f t="shared" si="1372"/>
        <v>&lt;/li&gt;&lt;li&gt;&lt;a href=|http://tsk.scripturetext.com/1_chronicles/6.htm| title=|Treasury of Scripture Knowledge| target=|_top|&gt;TSK&lt;/a&gt;</v>
      </c>
      <c r="AC344" t="str">
        <f>CONCATENATE("&lt;a href=|http://",AC1191,"/1_chronicles/6.htm","| ","title=|",AC1190,"| target=|_top|&gt;",AC1192,"&lt;/a&gt;")</f>
        <v>&lt;a href=|http://parallelbible.com/1_chronicles/6.htm| title=|Parallel Chapters| target=|_top|&gt;PAR&lt;/a&gt;</v>
      </c>
      <c r="AD344" s="2" t="str">
        <f t="shared" ref="AD344:AK344" si="1374">CONCATENATE("&lt;/li&gt;&lt;li&gt;&lt;a href=|http://",AD1191,"/1_chronicles/6.htm","| ","title=|",AD1190,"| target=|_top|&gt;",AD1192,"&lt;/a&gt;")</f>
        <v>&lt;/li&gt;&lt;li&gt;&lt;a href=|http://gsb.biblecommenter.com/1_chronicles/6.htm| title=|Geneva Study Bible| target=|_top|&gt;GSB&lt;/a&gt;</v>
      </c>
      <c r="AE344" s="2" t="str">
        <f t="shared" si="1374"/>
        <v>&lt;/li&gt;&lt;li&gt;&lt;a href=|http://jfb.biblecommenter.com/1_chronicles/6.htm| title=|Jamieson-Fausset-Brown Bible Commentary| target=|_top|&gt;JFB&lt;/a&gt;</v>
      </c>
      <c r="AF344" s="2" t="str">
        <f t="shared" si="1374"/>
        <v>&lt;/li&gt;&lt;li&gt;&lt;a href=|http://kjt.biblecommenter.com/1_chronicles/6.htm| title=|King James Translators' Notes| target=|_top|&gt;KJT&lt;/a&gt;</v>
      </c>
      <c r="AG344" s="2" t="str">
        <f t="shared" si="1374"/>
        <v>&lt;/li&gt;&lt;li&gt;&lt;a href=|http://mhc.biblecommenter.com/1_chronicles/6.htm| title=|Matthew Henry's Concise Commentary| target=|_top|&gt;MHC&lt;/a&gt;</v>
      </c>
      <c r="AH344" s="2" t="str">
        <f t="shared" si="1374"/>
        <v>&lt;/li&gt;&lt;li&gt;&lt;a href=|http://sco.biblecommenter.com/1_chronicles/6.htm| title=|Scofield Reference Notes| target=|_top|&gt;SCO&lt;/a&gt;</v>
      </c>
      <c r="AI344" s="2" t="str">
        <f t="shared" si="1374"/>
        <v>&lt;/li&gt;&lt;li&gt;&lt;a href=|http://wes.biblecommenter.com/1_chronicles/6.htm| title=|Wesley's Notes on the Bible| target=|_top|&gt;WES&lt;/a&gt;</v>
      </c>
      <c r="AJ344" t="str">
        <f t="shared" si="1374"/>
        <v>&lt;/li&gt;&lt;li&gt;&lt;a href=|http://worldebible.com/1_chronicles/6.htm| title=|World English Bible| target=|_top|&gt;WEB&lt;/a&gt;</v>
      </c>
      <c r="AK344" t="str">
        <f t="shared" si="1374"/>
        <v>&lt;/li&gt;&lt;li&gt;&lt;a href=|http://yltbible.com/1_chronicles/6.htm| title=|Young's Literal Translation| target=|_top|&gt;YLT&lt;/a&gt;</v>
      </c>
      <c r="AL344" t="str">
        <f>CONCATENATE("&lt;a href=|http://",AL1191,"/1_chronicles/6.htm","| ","title=|",AL1190,"| target=|_top|&gt;",AL1192,"&lt;/a&gt;")</f>
        <v>&lt;a href=|http://kjv.us/1_chronicles/6.htm| title=|American King James Version| target=|_top|&gt;AKJ&lt;/a&gt;</v>
      </c>
      <c r="AM344" t="str">
        <f t="shared" ref="AM344:AN344" si="1375">CONCATENATE("&lt;/li&gt;&lt;li&gt;&lt;a href=|http://",AM1191,"/1_chronicles/6.htm","| ","title=|",AM1190,"| target=|_top|&gt;",AM1192,"&lt;/a&gt;")</f>
        <v>&lt;/li&gt;&lt;li&gt;&lt;a href=|http://basicenglishbible.com/1_chronicles/6.htm| title=|Bible in Basic English| target=|_top|&gt;BBE&lt;/a&gt;</v>
      </c>
      <c r="AN344" t="str">
        <f t="shared" si="1375"/>
        <v>&lt;/li&gt;&lt;li&gt;&lt;a href=|http://darbybible.com/1_chronicles/6.htm| title=|Darby Bible Translation| target=|_top|&gt;DBY&lt;/a&gt;</v>
      </c>
      <c r="AO34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4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4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44" t="str">
        <f>CONCATENATE("&lt;/li&gt;&lt;li&gt;&lt;a href=|http://",AR1191,"/1_chronicles/6.htm","| ","title=|",AR1190,"| target=|_top|&gt;",AR1192,"&lt;/a&gt;")</f>
        <v>&lt;/li&gt;&lt;li&gt;&lt;a href=|http://websterbible.com/1_chronicles/6.htm| title=|Webster's Bible Translation| target=|_top|&gt;WBS&lt;/a&gt;</v>
      </c>
      <c r="AS34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44" t="str">
        <f>CONCATENATE("&lt;/li&gt;&lt;li&gt;&lt;a href=|http://",AT1191,"/1_chronicles/6-1.htm","| ","title=|",AT1190,"| target=|_top|&gt;",AT1192,"&lt;/a&gt;")</f>
        <v>&lt;/li&gt;&lt;li&gt;&lt;a href=|http://biblebrowser.com/1_chronicles/6-1.htm| title=|Split View| target=|_top|&gt;Split&lt;/a&gt;</v>
      </c>
      <c r="AU344" s="2" t="s">
        <v>1276</v>
      </c>
      <c r="AV344" t="s">
        <v>64</v>
      </c>
    </row>
    <row r="345" spans="1:48">
      <c r="A345" t="s">
        <v>622</v>
      </c>
      <c r="B345" t="s">
        <v>398</v>
      </c>
      <c r="C345" t="s">
        <v>624</v>
      </c>
      <c r="D345" t="s">
        <v>1268</v>
      </c>
      <c r="E345" t="s">
        <v>1277</v>
      </c>
      <c r="F345" t="s">
        <v>1304</v>
      </c>
      <c r="G345" t="s">
        <v>1266</v>
      </c>
      <c r="H345" t="s">
        <v>1305</v>
      </c>
      <c r="I345" t="s">
        <v>1303</v>
      </c>
      <c r="J345" t="s">
        <v>1267</v>
      </c>
      <c r="K345" t="s">
        <v>1275</v>
      </c>
      <c r="L345" s="2" t="s">
        <v>1274</v>
      </c>
      <c r="M345" t="str">
        <f t="shared" ref="M345:AB345" si="1376">CONCATENATE("&lt;/li&gt;&lt;li&gt;&lt;a href=|http://",M1191,"/1_chronicles/7.htm","| ","title=|",M1190,"| target=|_top|&gt;",M1192,"&lt;/a&gt;")</f>
        <v>&lt;/li&gt;&lt;li&gt;&lt;a href=|http://niv.scripturetext.com/1_chronicles/7.htm| title=|New International Version| target=|_top|&gt;NIV&lt;/a&gt;</v>
      </c>
      <c r="N345" t="str">
        <f t="shared" si="1376"/>
        <v>&lt;/li&gt;&lt;li&gt;&lt;a href=|http://nlt.scripturetext.com/1_chronicles/7.htm| title=|New Living Translation| target=|_top|&gt;NLT&lt;/a&gt;</v>
      </c>
      <c r="O345" t="str">
        <f t="shared" si="1376"/>
        <v>&lt;/li&gt;&lt;li&gt;&lt;a href=|http://nasb.scripturetext.com/1_chronicles/7.htm| title=|New American Standard Bible| target=|_top|&gt;NAS&lt;/a&gt;</v>
      </c>
      <c r="P345" t="str">
        <f t="shared" si="1376"/>
        <v>&lt;/li&gt;&lt;li&gt;&lt;a href=|http://gwt.scripturetext.com/1_chronicles/7.htm| title=|God's Word Translation| target=|_top|&gt;GWT&lt;/a&gt;</v>
      </c>
      <c r="Q345" t="str">
        <f t="shared" si="1376"/>
        <v>&lt;/li&gt;&lt;li&gt;&lt;a href=|http://kingjbible.com/1_chronicles/7.htm| title=|King James Bible| target=|_top|&gt;KJV&lt;/a&gt;</v>
      </c>
      <c r="R345" t="str">
        <f t="shared" si="1376"/>
        <v>&lt;/li&gt;&lt;li&gt;&lt;a href=|http://asvbible.com/1_chronicles/7.htm| title=|American Standard Version| target=|_top|&gt;ASV&lt;/a&gt;</v>
      </c>
      <c r="S345" t="str">
        <f t="shared" si="1376"/>
        <v>&lt;/li&gt;&lt;li&gt;&lt;a href=|http://drb.scripturetext.com/1_chronicles/7.htm| title=|Douay-Rheims Bible| target=|_top|&gt;DRB&lt;/a&gt;</v>
      </c>
      <c r="T345" t="str">
        <f t="shared" si="1376"/>
        <v>&lt;/li&gt;&lt;li&gt;&lt;a href=|http://erv.scripturetext.com/1_chronicles/7.htm| title=|English Revised Version| target=|_top|&gt;ERV&lt;/a&gt;</v>
      </c>
      <c r="V345" t="str">
        <f>CONCATENATE("&lt;/li&gt;&lt;li&gt;&lt;a href=|http://",V1191,"/1_chronicles/7.htm","| ","title=|",V1190,"| target=|_top|&gt;",V1192,"&lt;/a&gt;")</f>
        <v>&lt;/li&gt;&lt;li&gt;&lt;a href=|http://study.interlinearbible.org/1_chronicles/7.htm| title=|Hebrew Study Bible| target=|_top|&gt;Heb Study&lt;/a&gt;</v>
      </c>
      <c r="W345" t="str">
        <f t="shared" si="1376"/>
        <v>&lt;/li&gt;&lt;li&gt;&lt;a href=|http://apostolic.interlinearbible.org/1_chronicles/7.htm| title=|Apostolic Bible Polyglot Interlinear| target=|_top|&gt;Polyglot&lt;/a&gt;</v>
      </c>
      <c r="X345" t="str">
        <f t="shared" si="1376"/>
        <v>&lt;/li&gt;&lt;li&gt;&lt;a href=|http://interlinearbible.org/1_chronicles/7.htm| title=|Interlinear Bible| target=|_top|&gt;Interlin&lt;/a&gt;</v>
      </c>
      <c r="Y345" t="str">
        <f t="shared" ref="Y345" si="1377">CONCATENATE("&lt;/li&gt;&lt;li&gt;&lt;a href=|http://",Y1191,"/1_chronicles/7.htm","| ","title=|",Y1190,"| target=|_top|&gt;",Y1192,"&lt;/a&gt;")</f>
        <v>&lt;/li&gt;&lt;li&gt;&lt;a href=|http://bibleoutline.org/1_chronicles/7.htm| title=|Outline with People and Places List| target=|_top|&gt;Outline&lt;/a&gt;</v>
      </c>
      <c r="Z345" t="str">
        <f t="shared" si="1376"/>
        <v>&lt;/li&gt;&lt;li&gt;&lt;a href=|http://kjvs.scripturetext.com/1_chronicles/7.htm| title=|King James Bible with Strong's Numbers| target=|_top|&gt;Strong's&lt;/a&gt;</v>
      </c>
      <c r="AA345" t="str">
        <f t="shared" si="1376"/>
        <v>&lt;/li&gt;&lt;li&gt;&lt;a href=|http://childrensbibleonline.com/1_chronicles/7.htm| title=|The Children's Bible| target=|_top|&gt;Children's&lt;/a&gt;</v>
      </c>
      <c r="AB345" s="2" t="str">
        <f t="shared" si="1376"/>
        <v>&lt;/li&gt;&lt;li&gt;&lt;a href=|http://tsk.scripturetext.com/1_chronicles/7.htm| title=|Treasury of Scripture Knowledge| target=|_top|&gt;TSK&lt;/a&gt;</v>
      </c>
      <c r="AC345" t="str">
        <f>CONCATENATE("&lt;a href=|http://",AC1191,"/1_chronicles/7.htm","| ","title=|",AC1190,"| target=|_top|&gt;",AC1192,"&lt;/a&gt;")</f>
        <v>&lt;a href=|http://parallelbible.com/1_chronicles/7.htm| title=|Parallel Chapters| target=|_top|&gt;PAR&lt;/a&gt;</v>
      </c>
      <c r="AD345" s="2" t="str">
        <f t="shared" ref="AD345:AK345" si="1378">CONCATENATE("&lt;/li&gt;&lt;li&gt;&lt;a href=|http://",AD1191,"/1_chronicles/7.htm","| ","title=|",AD1190,"| target=|_top|&gt;",AD1192,"&lt;/a&gt;")</f>
        <v>&lt;/li&gt;&lt;li&gt;&lt;a href=|http://gsb.biblecommenter.com/1_chronicles/7.htm| title=|Geneva Study Bible| target=|_top|&gt;GSB&lt;/a&gt;</v>
      </c>
      <c r="AE345" s="2" t="str">
        <f t="shared" si="1378"/>
        <v>&lt;/li&gt;&lt;li&gt;&lt;a href=|http://jfb.biblecommenter.com/1_chronicles/7.htm| title=|Jamieson-Fausset-Brown Bible Commentary| target=|_top|&gt;JFB&lt;/a&gt;</v>
      </c>
      <c r="AF345" s="2" t="str">
        <f t="shared" si="1378"/>
        <v>&lt;/li&gt;&lt;li&gt;&lt;a href=|http://kjt.biblecommenter.com/1_chronicles/7.htm| title=|King James Translators' Notes| target=|_top|&gt;KJT&lt;/a&gt;</v>
      </c>
      <c r="AG345" s="2" t="str">
        <f t="shared" si="1378"/>
        <v>&lt;/li&gt;&lt;li&gt;&lt;a href=|http://mhc.biblecommenter.com/1_chronicles/7.htm| title=|Matthew Henry's Concise Commentary| target=|_top|&gt;MHC&lt;/a&gt;</v>
      </c>
      <c r="AH345" s="2" t="str">
        <f t="shared" si="1378"/>
        <v>&lt;/li&gt;&lt;li&gt;&lt;a href=|http://sco.biblecommenter.com/1_chronicles/7.htm| title=|Scofield Reference Notes| target=|_top|&gt;SCO&lt;/a&gt;</v>
      </c>
      <c r="AI345" s="2" t="str">
        <f t="shared" si="1378"/>
        <v>&lt;/li&gt;&lt;li&gt;&lt;a href=|http://wes.biblecommenter.com/1_chronicles/7.htm| title=|Wesley's Notes on the Bible| target=|_top|&gt;WES&lt;/a&gt;</v>
      </c>
      <c r="AJ345" t="str">
        <f t="shared" si="1378"/>
        <v>&lt;/li&gt;&lt;li&gt;&lt;a href=|http://worldebible.com/1_chronicles/7.htm| title=|World English Bible| target=|_top|&gt;WEB&lt;/a&gt;</v>
      </c>
      <c r="AK345" t="str">
        <f t="shared" si="1378"/>
        <v>&lt;/li&gt;&lt;li&gt;&lt;a href=|http://yltbible.com/1_chronicles/7.htm| title=|Young's Literal Translation| target=|_top|&gt;YLT&lt;/a&gt;</v>
      </c>
      <c r="AL345" t="str">
        <f>CONCATENATE("&lt;a href=|http://",AL1191,"/1_chronicles/7.htm","| ","title=|",AL1190,"| target=|_top|&gt;",AL1192,"&lt;/a&gt;")</f>
        <v>&lt;a href=|http://kjv.us/1_chronicles/7.htm| title=|American King James Version| target=|_top|&gt;AKJ&lt;/a&gt;</v>
      </c>
      <c r="AM345" t="str">
        <f t="shared" ref="AM345:AN345" si="1379">CONCATENATE("&lt;/li&gt;&lt;li&gt;&lt;a href=|http://",AM1191,"/1_chronicles/7.htm","| ","title=|",AM1190,"| target=|_top|&gt;",AM1192,"&lt;/a&gt;")</f>
        <v>&lt;/li&gt;&lt;li&gt;&lt;a href=|http://basicenglishbible.com/1_chronicles/7.htm| title=|Bible in Basic English| target=|_top|&gt;BBE&lt;/a&gt;</v>
      </c>
      <c r="AN345" t="str">
        <f t="shared" si="1379"/>
        <v>&lt;/li&gt;&lt;li&gt;&lt;a href=|http://darbybible.com/1_chronicles/7.htm| title=|Darby Bible Translation| target=|_top|&gt;DBY&lt;/a&gt;</v>
      </c>
      <c r="AO34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4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4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45" t="str">
        <f>CONCATENATE("&lt;/li&gt;&lt;li&gt;&lt;a href=|http://",AR1191,"/1_chronicles/7.htm","| ","title=|",AR1190,"| target=|_top|&gt;",AR1192,"&lt;/a&gt;")</f>
        <v>&lt;/li&gt;&lt;li&gt;&lt;a href=|http://websterbible.com/1_chronicles/7.htm| title=|Webster's Bible Translation| target=|_top|&gt;WBS&lt;/a&gt;</v>
      </c>
      <c r="AS34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45" t="str">
        <f>CONCATENATE("&lt;/li&gt;&lt;li&gt;&lt;a href=|http://",AT1191,"/1_chronicles/7-1.htm","| ","title=|",AT1190,"| target=|_top|&gt;",AT1192,"&lt;/a&gt;")</f>
        <v>&lt;/li&gt;&lt;li&gt;&lt;a href=|http://biblebrowser.com/1_chronicles/7-1.htm| title=|Split View| target=|_top|&gt;Split&lt;/a&gt;</v>
      </c>
      <c r="AU345" s="2" t="s">
        <v>1276</v>
      </c>
      <c r="AV345" t="s">
        <v>64</v>
      </c>
    </row>
    <row r="346" spans="1:48">
      <c r="A346" t="s">
        <v>622</v>
      </c>
      <c r="B346" t="s">
        <v>399</v>
      </c>
      <c r="C346" t="s">
        <v>624</v>
      </c>
      <c r="D346" t="s">
        <v>1268</v>
      </c>
      <c r="E346" t="s">
        <v>1277</v>
      </c>
      <c r="F346" t="s">
        <v>1304</v>
      </c>
      <c r="G346" t="s">
        <v>1266</v>
      </c>
      <c r="H346" t="s">
        <v>1305</v>
      </c>
      <c r="I346" t="s">
        <v>1303</v>
      </c>
      <c r="J346" t="s">
        <v>1267</v>
      </c>
      <c r="K346" t="s">
        <v>1275</v>
      </c>
      <c r="L346" s="2" t="s">
        <v>1274</v>
      </c>
      <c r="M346" t="str">
        <f t="shared" ref="M346:AB346" si="1380">CONCATENATE("&lt;/li&gt;&lt;li&gt;&lt;a href=|http://",M1191,"/1_chronicles/8.htm","| ","title=|",M1190,"| target=|_top|&gt;",M1192,"&lt;/a&gt;")</f>
        <v>&lt;/li&gt;&lt;li&gt;&lt;a href=|http://niv.scripturetext.com/1_chronicles/8.htm| title=|New International Version| target=|_top|&gt;NIV&lt;/a&gt;</v>
      </c>
      <c r="N346" t="str">
        <f t="shared" si="1380"/>
        <v>&lt;/li&gt;&lt;li&gt;&lt;a href=|http://nlt.scripturetext.com/1_chronicles/8.htm| title=|New Living Translation| target=|_top|&gt;NLT&lt;/a&gt;</v>
      </c>
      <c r="O346" t="str">
        <f t="shared" si="1380"/>
        <v>&lt;/li&gt;&lt;li&gt;&lt;a href=|http://nasb.scripturetext.com/1_chronicles/8.htm| title=|New American Standard Bible| target=|_top|&gt;NAS&lt;/a&gt;</v>
      </c>
      <c r="P346" t="str">
        <f t="shared" si="1380"/>
        <v>&lt;/li&gt;&lt;li&gt;&lt;a href=|http://gwt.scripturetext.com/1_chronicles/8.htm| title=|God's Word Translation| target=|_top|&gt;GWT&lt;/a&gt;</v>
      </c>
      <c r="Q346" t="str">
        <f t="shared" si="1380"/>
        <v>&lt;/li&gt;&lt;li&gt;&lt;a href=|http://kingjbible.com/1_chronicles/8.htm| title=|King James Bible| target=|_top|&gt;KJV&lt;/a&gt;</v>
      </c>
      <c r="R346" t="str">
        <f t="shared" si="1380"/>
        <v>&lt;/li&gt;&lt;li&gt;&lt;a href=|http://asvbible.com/1_chronicles/8.htm| title=|American Standard Version| target=|_top|&gt;ASV&lt;/a&gt;</v>
      </c>
      <c r="S346" t="str">
        <f t="shared" si="1380"/>
        <v>&lt;/li&gt;&lt;li&gt;&lt;a href=|http://drb.scripturetext.com/1_chronicles/8.htm| title=|Douay-Rheims Bible| target=|_top|&gt;DRB&lt;/a&gt;</v>
      </c>
      <c r="T346" t="str">
        <f t="shared" si="1380"/>
        <v>&lt;/li&gt;&lt;li&gt;&lt;a href=|http://erv.scripturetext.com/1_chronicles/8.htm| title=|English Revised Version| target=|_top|&gt;ERV&lt;/a&gt;</v>
      </c>
      <c r="V346" t="str">
        <f>CONCATENATE("&lt;/li&gt;&lt;li&gt;&lt;a href=|http://",V1191,"/1_chronicles/8.htm","| ","title=|",V1190,"| target=|_top|&gt;",V1192,"&lt;/a&gt;")</f>
        <v>&lt;/li&gt;&lt;li&gt;&lt;a href=|http://study.interlinearbible.org/1_chronicles/8.htm| title=|Hebrew Study Bible| target=|_top|&gt;Heb Study&lt;/a&gt;</v>
      </c>
      <c r="W346" t="str">
        <f t="shared" si="1380"/>
        <v>&lt;/li&gt;&lt;li&gt;&lt;a href=|http://apostolic.interlinearbible.org/1_chronicles/8.htm| title=|Apostolic Bible Polyglot Interlinear| target=|_top|&gt;Polyglot&lt;/a&gt;</v>
      </c>
      <c r="X346" t="str">
        <f t="shared" si="1380"/>
        <v>&lt;/li&gt;&lt;li&gt;&lt;a href=|http://interlinearbible.org/1_chronicles/8.htm| title=|Interlinear Bible| target=|_top|&gt;Interlin&lt;/a&gt;</v>
      </c>
      <c r="Y346" t="str">
        <f t="shared" ref="Y346" si="1381">CONCATENATE("&lt;/li&gt;&lt;li&gt;&lt;a href=|http://",Y1191,"/1_chronicles/8.htm","| ","title=|",Y1190,"| target=|_top|&gt;",Y1192,"&lt;/a&gt;")</f>
        <v>&lt;/li&gt;&lt;li&gt;&lt;a href=|http://bibleoutline.org/1_chronicles/8.htm| title=|Outline with People and Places List| target=|_top|&gt;Outline&lt;/a&gt;</v>
      </c>
      <c r="Z346" t="str">
        <f t="shared" si="1380"/>
        <v>&lt;/li&gt;&lt;li&gt;&lt;a href=|http://kjvs.scripturetext.com/1_chronicles/8.htm| title=|King James Bible with Strong's Numbers| target=|_top|&gt;Strong's&lt;/a&gt;</v>
      </c>
      <c r="AA346" t="str">
        <f t="shared" si="1380"/>
        <v>&lt;/li&gt;&lt;li&gt;&lt;a href=|http://childrensbibleonline.com/1_chronicles/8.htm| title=|The Children's Bible| target=|_top|&gt;Children's&lt;/a&gt;</v>
      </c>
      <c r="AB346" s="2" t="str">
        <f t="shared" si="1380"/>
        <v>&lt;/li&gt;&lt;li&gt;&lt;a href=|http://tsk.scripturetext.com/1_chronicles/8.htm| title=|Treasury of Scripture Knowledge| target=|_top|&gt;TSK&lt;/a&gt;</v>
      </c>
      <c r="AC346" t="str">
        <f>CONCATENATE("&lt;a href=|http://",AC1191,"/1_chronicles/8.htm","| ","title=|",AC1190,"| target=|_top|&gt;",AC1192,"&lt;/a&gt;")</f>
        <v>&lt;a href=|http://parallelbible.com/1_chronicles/8.htm| title=|Parallel Chapters| target=|_top|&gt;PAR&lt;/a&gt;</v>
      </c>
      <c r="AD346" s="2" t="str">
        <f t="shared" ref="AD346:AK346" si="1382">CONCATENATE("&lt;/li&gt;&lt;li&gt;&lt;a href=|http://",AD1191,"/1_chronicles/8.htm","| ","title=|",AD1190,"| target=|_top|&gt;",AD1192,"&lt;/a&gt;")</f>
        <v>&lt;/li&gt;&lt;li&gt;&lt;a href=|http://gsb.biblecommenter.com/1_chronicles/8.htm| title=|Geneva Study Bible| target=|_top|&gt;GSB&lt;/a&gt;</v>
      </c>
      <c r="AE346" s="2" t="str">
        <f t="shared" si="1382"/>
        <v>&lt;/li&gt;&lt;li&gt;&lt;a href=|http://jfb.biblecommenter.com/1_chronicles/8.htm| title=|Jamieson-Fausset-Brown Bible Commentary| target=|_top|&gt;JFB&lt;/a&gt;</v>
      </c>
      <c r="AF346" s="2" t="str">
        <f t="shared" si="1382"/>
        <v>&lt;/li&gt;&lt;li&gt;&lt;a href=|http://kjt.biblecommenter.com/1_chronicles/8.htm| title=|King James Translators' Notes| target=|_top|&gt;KJT&lt;/a&gt;</v>
      </c>
      <c r="AG346" s="2" t="str">
        <f t="shared" si="1382"/>
        <v>&lt;/li&gt;&lt;li&gt;&lt;a href=|http://mhc.biblecommenter.com/1_chronicles/8.htm| title=|Matthew Henry's Concise Commentary| target=|_top|&gt;MHC&lt;/a&gt;</v>
      </c>
      <c r="AH346" s="2" t="str">
        <f t="shared" si="1382"/>
        <v>&lt;/li&gt;&lt;li&gt;&lt;a href=|http://sco.biblecommenter.com/1_chronicles/8.htm| title=|Scofield Reference Notes| target=|_top|&gt;SCO&lt;/a&gt;</v>
      </c>
      <c r="AI346" s="2" t="str">
        <f t="shared" si="1382"/>
        <v>&lt;/li&gt;&lt;li&gt;&lt;a href=|http://wes.biblecommenter.com/1_chronicles/8.htm| title=|Wesley's Notes on the Bible| target=|_top|&gt;WES&lt;/a&gt;</v>
      </c>
      <c r="AJ346" t="str">
        <f t="shared" si="1382"/>
        <v>&lt;/li&gt;&lt;li&gt;&lt;a href=|http://worldebible.com/1_chronicles/8.htm| title=|World English Bible| target=|_top|&gt;WEB&lt;/a&gt;</v>
      </c>
      <c r="AK346" t="str">
        <f t="shared" si="1382"/>
        <v>&lt;/li&gt;&lt;li&gt;&lt;a href=|http://yltbible.com/1_chronicles/8.htm| title=|Young's Literal Translation| target=|_top|&gt;YLT&lt;/a&gt;</v>
      </c>
      <c r="AL346" t="str">
        <f>CONCATENATE("&lt;a href=|http://",AL1191,"/1_chronicles/8.htm","| ","title=|",AL1190,"| target=|_top|&gt;",AL1192,"&lt;/a&gt;")</f>
        <v>&lt;a href=|http://kjv.us/1_chronicles/8.htm| title=|American King James Version| target=|_top|&gt;AKJ&lt;/a&gt;</v>
      </c>
      <c r="AM346" t="str">
        <f t="shared" ref="AM346:AN346" si="1383">CONCATENATE("&lt;/li&gt;&lt;li&gt;&lt;a href=|http://",AM1191,"/1_chronicles/8.htm","| ","title=|",AM1190,"| target=|_top|&gt;",AM1192,"&lt;/a&gt;")</f>
        <v>&lt;/li&gt;&lt;li&gt;&lt;a href=|http://basicenglishbible.com/1_chronicles/8.htm| title=|Bible in Basic English| target=|_top|&gt;BBE&lt;/a&gt;</v>
      </c>
      <c r="AN346" t="str">
        <f t="shared" si="1383"/>
        <v>&lt;/li&gt;&lt;li&gt;&lt;a href=|http://darbybible.com/1_chronicles/8.htm| title=|Darby Bible Translation| target=|_top|&gt;DBY&lt;/a&gt;</v>
      </c>
      <c r="AO34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4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4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46" t="str">
        <f>CONCATENATE("&lt;/li&gt;&lt;li&gt;&lt;a href=|http://",AR1191,"/1_chronicles/8.htm","| ","title=|",AR1190,"| target=|_top|&gt;",AR1192,"&lt;/a&gt;")</f>
        <v>&lt;/li&gt;&lt;li&gt;&lt;a href=|http://websterbible.com/1_chronicles/8.htm| title=|Webster's Bible Translation| target=|_top|&gt;WBS&lt;/a&gt;</v>
      </c>
      <c r="AS34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46" t="str">
        <f>CONCATENATE("&lt;/li&gt;&lt;li&gt;&lt;a href=|http://",AT1191,"/1_chronicles/8-1.htm","| ","title=|",AT1190,"| target=|_top|&gt;",AT1192,"&lt;/a&gt;")</f>
        <v>&lt;/li&gt;&lt;li&gt;&lt;a href=|http://biblebrowser.com/1_chronicles/8-1.htm| title=|Split View| target=|_top|&gt;Split&lt;/a&gt;</v>
      </c>
      <c r="AU346" s="2" t="s">
        <v>1276</v>
      </c>
      <c r="AV346" t="s">
        <v>64</v>
      </c>
    </row>
    <row r="347" spans="1:48">
      <c r="A347" t="s">
        <v>622</v>
      </c>
      <c r="B347" t="s">
        <v>400</v>
      </c>
      <c r="C347" t="s">
        <v>624</v>
      </c>
      <c r="D347" t="s">
        <v>1268</v>
      </c>
      <c r="E347" t="s">
        <v>1277</v>
      </c>
      <c r="F347" t="s">
        <v>1304</v>
      </c>
      <c r="G347" t="s">
        <v>1266</v>
      </c>
      <c r="H347" t="s">
        <v>1305</v>
      </c>
      <c r="I347" t="s">
        <v>1303</v>
      </c>
      <c r="J347" t="s">
        <v>1267</v>
      </c>
      <c r="K347" t="s">
        <v>1275</v>
      </c>
      <c r="L347" s="2" t="s">
        <v>1274</v>
      </c>
      <c r="M347" t="str">
        <f t="shared" ref="M347:AB347" si="1384">CONCATENATE("&lt;/li&gt;&lt;li&gt;&lt;a href=|http://",M1191,"/1_chronicles/9.htm","| ","title=|",M1190,"| target=|_top|&gt;",M1192,"&lt;/a&gt;")</f>
        <v>&lt;/li&gt;&lt;li&gt;&lt;a href=|http://niv.scripturetext.com/1_chronicles/9.htm| title=|New International Version| target=|_top|&gt;NIV&lt;/a&gt;</v>
      </c>
      <c r="N347" t="str">
        <f t="shared" si="1384"/>
        <v>&lt;/li&gt;&lt;li&gt;&lt;a href=|http://nlt.scripturetext.com/1_chronicles/9.htm| title=|New Living Translation| target=|_top|&gt;NLT&lt;/a&gt;</v>
      </c>
      <c r="O347" t="str">
        <f t="shared" si="1384"/>
        <v>&lt;/li&gt;&lt;li&gt;&lt;a href=|http://nasb.scripturetext.com/1_chronicles/9.htm| title=|New American Standard Bible| target=|_top|&gt;NAS&lt;/a&gt;</v>
      </c>
      <c r="P347" t="str">
        <f t="shared" si="1384"/>
        <v>&lt;/li&gt;&lt;li&gt;&lt;a href=|http://gwt.scripturetext.com/1_chronicles/9.htm| title=|God's Word Translation| target=|_top|&gt;GWT&lt;/a&gt;</v>
      </c>
      <c r="Q347" t="str">
        <f t="shared" si="1384"/>
        <v>&lt;/li&gt;&lt;li&gt;&lt;a href=|http://kingjbible.com/1_chronicles/9.htm| title=|King James Bible| target=|_top|&gt;KJV&lt;/a&gt;</v>
      </c>
      <c r="R347" t="str">
        <f t="shared" si="1384"/>
        <v>&lt;/li&gt;&lt;li&gt;&lt;a href=|http://asvbible.com/1_chronicles/9.htm| title=|American Standard Version| target=|_top|&gt;ASV&lt;/a&gt;</v>
      </c>
      <c r="S347" t="str">
        <f t="shared" si="1384"/>
        <v>&lt;/li&gt;&lt;li&gt;&lt;a href=|http://drb.scripturetext.com/1_chronicles/9.htm| title=|Douay-Rheims Bible| target=|_top|&gt;DRB&lt;/a&gt;</v>
      </c>
      <c r="T347" t="str">
        <f t="shared" si="1384"/>
        <v>&lt;/li&gt;&lt;li&gt;&lt;a href=|http://erv.scripturetext.com/1_chronicles/9.htm| title=|English Revised Version| target=|_top|&gt;ERV&lt;/a&gt;</v>
      </c>
      <c r="V347" t="str">
        <f>CONCATENATE("&lt;/li&gt;&lt;li&gt;&lt;a href=|http://",V1191,"/1_chronicles/9.htm","| ","title=|",V1190,"| target=|_top|&gt;",V1192,"&lt;/a&gt;")</f>
        <v>&lt;/li&gt;&lt;li&gt;&lt;a href=|http://study.interlinearbible.org/1_chronicles/9.htm| title=|Hebrew Study Bible| target=|_top|&gt;Heb Study&lt;/a&gt;</v>
      </c>
      <c r="W347" t="str">
        <f t="shared" si="1384"/>
        <v>&lt;/li&gt;&lt;li&gt;&lt;a href=|http://apostolic.interlinearbible.org/1_chronicles/9.htm| title=|Apostolic Bible Polyglot Interlinear| target=|_top|&gt;Polyglot&lt;/a&gt;</v>
      </c>
      <c r="X347" t="str">
        <f t="shared" si="1384"/>
        <v>&lt;/li&gt;&lt;li&gt;&lt;a href=|http://interlinearbible.org/1_chronicles/9.htm| title=|Interlinear Bible| target=|_top|&gt;Interlin&lt;/a&gt;</v>
      </c>
      <c r="Y347" t="str">
        <f t="shared" ref="Y347" si="1385">CONCATENATE("&lt;/li&gt;&lt;li&gt;&lt;a href=|http://",Y1191,"/1_chronicles/9.htm","| ","title=|",Y1190,"| target=|_top|&gt;",Y1192,"&lt;/a&gt;")</f>
        <v>&lt;/li&gt;&lt;li&gt;&lt;a href=|http://bibleoutline.org/1_chronicles/9.htm| title=|Outline with People and Places List| target=|_top|&gt;Outline&lt;/a&gt;</v>
      </c>
      <c r="Z347" t="str">
        <f t="shared" si="1384"/>
        <v>&lt;/li&gt;&lt;li&gt;&lt;a href=|http://kjvs.scripturetext.com/1_chronicles/9.htm| title=|King James Bible with Strong's Numbers| target=|_top|&gt;Strong's&lt;/a&gt;</v>
      </c>
      <c r="AA347" t="str">
        <f t="shared" si="1384"/>
        <v>&lt;/li&gt;&lt;li&gt;&lt;a href=|http://childrensbibleonline.com/1_chronicles/9.htm| title=|The Children's Bible| target=|_top|&gt;Children's&lt;/a&gt;</v>
      </c>
      <c r="AB347" s="2" t="str">
        <f t="shared" si="1384"/>
        <v>&lt;/li&gt;&lt;li&gt;&lt;a href=|http://tsk.scripturetext.com/1_chronicles/9.htm| title=|Treasury of Scripture Knowledge| target=|_top|&gt;TSK&lt;/a&gt;</v>
      </c>
      <c r="AC347" t="str">
        <f>CONCATENATE("&lt;a href=|http://",AC1191,"/1_chronicles/9.htm","| ","title=|",AC1190,"| target=|_top|&gt;",AC1192,"&lt;/a&gt;")</f>
        <v>&lt;a href=|http://parallelbible.com/1_chronicles/9.htm| title=|Parallel Chapters| target=|_top|&gt;PAR&lt;/a&gt;</v>
      </c>
      <c r="AD347" s="2" t="str">
        <f t="shared" ref="AD347:AK347" si="1386">CONCATENATE("&lt;/li&gt;&lt;li&gt;&lt;a href=|http://",AD1191,"/1_chronicles/9.htm","| ","title=|",AD1190,"| target=|_top|&gt;",AD1192,"&lt;/a&gt;")</f>
        <v>&lt;/li&gt;&lt;li&gt;&lt;a href=|http://gsb.biblecommenter.com/1_chronicles/9.htm| title=|Geneva Study Bible| target=|_top|&gt;GSB&lt;/a&gt;</v>
      </c>
      <c r="AE347" s="2" t="str">
        <f t="shared" si="1386"/>
        <v>&lt;/li&gt;&lt;li&gt;&lt;a href=|http://jfb.biblecommenter.com/1_chronicles/9.htm| title=|Jamieson-Fausset-Brown Bible Commentary| target=|_top|&gt;JFB&lt;/a&gt;</v>
      </c>
      <c r="AF347" s="2" t="str">
        <f t="shared" si="1386"/>
        <v>&lt;/li&gt;&lt;li&gt;&lt;a href=|http://kjt.biblecommenter.com/1_chronicles/9.htm| title=|King James Translators' Notes| target=|_top|&gt;KJT&lt;/a&gt;</v>
      </c>
      <c r="AG347" s="2" t="str">
        <f t="shared" si="1386"/>
        <v>&lt;/li&gt;&lt;li&gt;&lt;a href=|http://mhc.biblecommenter.com/1_chronicles/9.htm| title=|Matthew Henry's Concise Commentary| target=|_top|&gt;MHC&lt;/a&gt;</v>
      </c>
      <c r="AH347" s="2" t="str">
        <f t="shared" si="1386"/>
        <v>&lt;/li&gt;&lt;li&gt;&lt;a href=|http://sco.biblecommenter.com/1_chronicles/9.htm| title=|Scofield Reference Notes| target=|_top|&gt;SCO&lt;/a&gt;</v>
      </c>
      <c r="AI347" s="2" t="str">
        <f t="shared" si="1386"/>
        <v>&lt;/li&gt;&lt;li&gt;&lt;a href=|http://wes.biblecommenter.com/1_chronicles/9.htm| title=|Wesley's Notes on the Bible| target=|_top|&gt;WES&lt;/a&gt;</v>
      </c>
      <c r="AJ347" t="str">
        <f t="shared" si="1386"/>
        <v>&lt;/li&gt;&lt;li&gt;&lt;a href=|http://worldebible.com/1_chronicles/9.htm| title=|World English Bible| target=|_top|&gt;WEB&lt;/a&gt;</v>
      </c>
      <c r="AK347" t="str">
        <f t="shared" si="1386"/>
        <v>&lt;/li&gt;&lt;li&gt;&lt;a href=|http://yltbible.com/1_chronicles/9.htm| title=|Young's Literal Translation| target=|_top|&gt;YLT&lt;/a&gt;</v>
      </c>
      <c r="AL347" t="str">
        <f>CONCATENATE("&lt;a href=|http://",AL1191,"/1_chronicles/9.htm","| ","title=|",AL1190,"| target=|_top|&gt;",AL1192,"&lt;/a&gt;")</f>
        <v>&lt;a href=|http://kjv.us/1_chronicles/9.htm| title=|American King James Version| target=|_top|&gt;AKJ&lt;/a&gt;</v>
      </c>
      <c r="AM347" t="str">
        <f t="shared" ref="AM347:AN347" si="1387">CONCATENATE("&lt;/li&gt;&lt;li&gt;&lt;a href=|http://",AM1191,"/1_chronicles/9.htm","| ","title=|",AM1190,"| target=|_top|&gt;",AM1192,"&lt;/a&gt;")</f>
        <v>&lt;/li&gt;&lt;li&gt;&lt;a href=|http://basicenglishbible.com/1_chronicles/9.htm| title=|Bible in Basic English| target=|_top|&gt;BBE&lt;/a&gt;</v>
      </c>
      <c r="AN347" t="str">
        <f t="shared" si="1387"/>
        <v>&lt;/li&gt;&lt;li&gt;&lt;a href=|http://darbybible.com/1_chronicles/9.htm| title=|Darby Bible Translation| target=|_top|&gt;DBY&lt;/a&gt;</v>
      </c>
      <c r="AO34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4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4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47" t="str">
        <f>CONCATENATE("&lt;/li&gt;&lt;li&gt;&lt;a href=|http://",AR1191,"/1_chronicles/9.htm","| ","title=|",AR1190,"| target=|_top|&gt;",AR1192,"&lt;/a&gt;")</f>
        <v>&lt;/li&gt;&lt;li&gt;&lt;a href=|http://websterbible.com/1_chronicles/9.htm| title=|Webster's Bible Translation| target=|_top|&gt;WBS&lt;/a&gt;</v>
      </c>
      <c r="AS34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47" t="str">
        <f>CONCATENATE("&lt;/li&gt;&lt;li&gt;&lt;a href=|http://",AT1191,"/1_chronicles/9-1.htm","| ","title=|",AT1190,"| target=|_top|&gt;",AT1192,"&lt;/a&gt;")</f>
        <v>&lt;/li&gt;&lt;li&gt;&lt;a href=|http://biblebrowser.com/1_chronicles/9-1.htm| title=|Split View| target=|_top|&gt;Split&lt;/a&gt;</v>
      </c>
      <c r="AU347" s="2" t="s">
        <v>1276</v>
      </c>
      <c r="AV347" t="s">
        <v>64</v>
      </c>
    </row>
    <row r="348" spans="1:48">
      <c r="A348" t="s">
        <v>622</v>
      </c>
      <c r="B348" t="s">
        <v>401</v>
      </c>
      <c r="C348" t="s">
        <v>624</v>
      </c>
      <c r="D348" t="s">
        <v>1268</v>
      </c>
      <c r="E348" t="s">
        <v>1277</v>
      </c>
      <c r="F348" t="s">
        <v>1304</v>
      </c>
      <c r="G348" t="s">
        <v>1266</v>
      </c>
      <c r="H348" t="s">
        <v>1305</v>
      </c>
      <c r="I348" t="s">
        <v>1303</v>
      </c>
      <c r="J348" t="s">
        <v>1267</v>
      </c>
      <c r="K348" t="s">
        <v>1275</v>
      </c>
      <c r="L348" s="2" t="s">
        <v>1274</v>
      </c>
      <c r="M348" t="str">
        <f t="shared" ref="M348:AB348" si="1388">CONCATENATE("&lt;/li&gt;&lt;li&gt;&lt;a href=|http://",M1191,"/1_chronicles/10.htm","| ","title=|",M1190,"| target=|_top|&gt;",M1192,"&lt;/a&gt;")</f>
        <v>&lt;/li&gt;&lt;li&gt;&lt;a href=|http://niv.scripturetext.com/1_chronicles/10.htm| title=|New International Version| target=|_top|&gt;NIV&lt;/a&gt;</v>
      </c>
      <c r="N348" t="str">
        <f t="shared" si="1388"/>
        <v>&lt;/li&gt;&lt;li&gt;&lt;a href=|http://nlt.scripturetext.com/1_chronicles/10.htm| title=|New Living Translation| target=|_top|&gt;NLT&lt;/a&gt;</v>
      </c>
      <c r="O348" t="str">
        <f t="shared" si="1388"/>
        <v>&lt;/li&gt;&lt;li&gt;&lt;a href=|http://nasb.scripturetext.com/1_chronicles/10.htm| title=|New American Standard Bible| target=|_top|&gt;NAS&lt;/a&gt;</v>
      </c>
      <c r="P348" t="str">
        <f t="shared" si="1388"/>
        <v>&lt;/li&gt;&lt;li&gt;&lt;a href=|http://gwt.scripturetext.com/1_chronicles/10.htm| title=|God's Word Translation| target=|_top|&gt;GWT&lt;/a&gt;</v>
      </c>
      <c r="Q348" t="str">
        <f t="shared" si="1388"/>
        <v>&lt;/li&gt;&lt;li&gt;&lt;a href=|http://kingjbible.com/1_chronicles/10.htm| title=|King James Bible| target=|_top|&gt;KJV&lt;/a&gt;</v>
      </c>
      <c r="R348" t="str">
        <f t="shared" si="1388"/>
        <v>&lt;/li&gt;&lt;li&gt;&lt;a href=|http://asvbible.com/1_chronicles/10.htm| title=|American Standard Version| target=|_top|&gt;ASV&lt;/a&gt;</v>
      </c>
      <c r="S348" t="str">
        <f t="shared" si="1388"/>
        <v>&lt;/li&gt;&lt;li&gt;&lt;a href=|http://drb.scripturetext.com/1_chronicles/10.htm| title=|Douay-Rheims Bible| target=|_top|&gt;DRB&lt;/a&gt;</v>
      </c>
      <c r="T348" t="str">
        <f t="shared" si="1388"/>
        <v>&lt;/li&gt;&lt;li&gt;&lt;a href=|http://erv.scripturetext.com/1_chronicles/10.htm| title=|English Revised Version| target=|_top|&gt;ERV&lt;/a&gt;</v>
      </c>
      <c r="V348" t="str">
        <f>CONCATENATE("&lt;/li&gt;&lt;li&gt;&lt;a href=|http://",V1191,"/1_chronicles/10.htm","| ","title=|",V1190,"| target=|_top|&gt;",V1192,"&lt;/a&gt;")</f>
        <v>&lt;/li&gt;&lt;li&gt;&lt;a href=|http://study.interlinearbible.org/1_chronicles/10.htm| title=|Hebrew Study Bible| target=|_top|&gt;Heb Study&lt;/a&gt;</v>
      </c>
      <c r="W348" t="str">
        <f t="shared" si="1388"/>
        <v>&lt;/li&gt;&lt;li&gt;&lt;a href=|http://apostolic.interlinearbible.org/1_chronicles/10.htm| title=|Apostolic Bible Polyglot Interlinear| target=|_top|&gt;Polyglot&lt;/a&gt;</v>
      </c>
      <c r="X348" t="str">
        <f t="shared" si="1388"/>
        <v>&lt;/li&gt;&lt;li&gt;&lt;a href=|http://interlinearbible.org/1_chronicles/10.htm| title=|Interlinear Bible| target=|_top|&gt;Interlin&lt;/a&gt;</v>
      </c>
      <c r="Y348" t="str">
        <f t="shared" ref="Y348" si="1389">CONCATENATE("&lt;/li&gt;&lt;li&gt;&lt;a href=|http://",Y1191,"/1_chronicles/10.htm","| ","title=|",Y1190,"| target=|_top|&gt;",Y1192,"&lt;/a&gt;")</f>
        <v>&lt;/li&gt;&lt;li&gt;&lt;a href=|http://bibleoutline.org/1_chronicles/10.htm| title=|Outline with People and Places List| target=|_top|&gt;Outline&lt;/a&gt;</v>
      </c>
      <c r="Z348" t="str">
        <f t="shared" si="1388"/>
        <v>&lt;/li&gt;&lt;li&gt;&lt;a href=|http://kjvs.scripturetext.com/1_chronicles/10.htm| title=|King James Bible with Strong's Numbers| target=|_top|&gt;Strong's&lt;/a&gt;</v>
      </c>
      <c r="AA348" t="str">
        <f t="shared" si="1388"/>
        <v>&lt;/li&gt;&lt;li&gt;&lt;a href=|http://childrensbibleonline.com/1_chronicles/10.htm| title=|The Children's Bible| target=|_top|&gt;Children's&lt;/a&gt;</v>
      </c>
      <c r="AB348" s="2" t="str">
        <f t="shared" si="1388"/>
        <v>&lt;/li&gt;&lt;li&gt;&lt;a href=|http://tsk.scripturetext.com/1_chronicles/10.htm| title=|Treasury of Scripture Knowledge| target=|_top|&gt;TSK&lt;/a&gt;</v>
      </c>
      <c r="AC348" t="str">
        <f>CONCATENATE("&lt;a href=|http://",AC1191,"/1_chronicles/10.htm","| ","title=|",AC1190,"| target=|_top|&gt;",AC1192,"&lt;/a&gt;")</f>
        <v>&lt;a href=|http://parallelbible.com/1_chronicles/10.htm| title=|Parallel Chapters| target=|_top|&gt;PAR&lt;/a&gt;</v>
      </c>
      <c r="AD348" s="2" t="str">
        <f t="shared" ref="AD348:AK348" si="1390">CONCATENATE("&lt;/li&gt;&lt;li&gt;&lt;a href=|http://",AD1191,"/1_chronicles/10.htm","| ","title=|",AD1190,"| target=|_top|&gt;",AD1192,"&lt;/a&gt;")</f>
        <v>&lt;/li&gt;&lt;li&gt;&lt;a href=|http://gsb.biblecommenter.com/1_chronicles/10.htm| title=|Geneva Study Bible| target=|_top|&gt;GSB&lt;/a&gt;</v>
      </c>
      <c r="AE348" s="2" t="str">
        <f t="shared" si="1390"/>
        <v>&lt;/li&gt;&lt;li&gt;&lt;a href=|http://jfb.biblecommenter.com/1_chronicles/10.htm| title=|Jamieson-Fausset-Brown Bible Commentary| target=|_top|&gt;JFB&lt;/a&gt;</v>
      </c>
      <c r="AF348" s="2" t="str">
        <f t="shared" si="1390"/>
        <v>&lt;/li&gt;&lt;li&gt;&lt;a href=|http://kjt.biblecommenter.com/1_chronicles/10.htm| title=|King James Translators' Notes| target=|_top|&gt;KJT&lt;/a&gt;</v>
      </c>
      <c r="AG348" s="2" t="str">
        <f t="shared" si="1390"/>
        <v>&lt;/li&gt;&lt;li&gt;&lt;a href=|http://mhc.biblecommenter.com/1_chronicles/10.htm| title=|Matthew Henry's Concise Commentary| target=|_top|&gt;MHC&lt;/a&gt;</v>
      </c>
      <c r="AH348" s="2" t="str">
        <f t="shared" si="1390"/>
        <v>&lt;/li&gt;&lt;li&gt;&lt;a href=|http://sco.biblecommenter.com/1_chronicles/10.htm| title=|Scofield Reference Notes| target=|_top|&gt;SCO&lt;/a&gt;</v>
      </c>
      <c r="AI348" s="2" t="str">
        <f t="shared" si="1390"/>
        <v>&lt;/li&gt;&lt;li&gt;&lt;a href=|http://wes.biblecommenter.com/1_chronicles/10.htm| title=|Wesley's Notes on the Bible| target=|_top|&gt;WES&lt;/a&gt;</v>
      </c>
      <c r="AJ348" t="str">
        <f t="shared" si="1390"/>
        <v>&lt;/li&gt;&lt;li&gt;&lt;a href=|http://worldebible.com/1_chronicles/10.htm| title=|World English Bible| target=|_top|&gt;WEB&lt;/a&gt;</v>
      </c>
      <c r="AK348" t="str">
        <f t="shared" si="1390"/>
        <v>&lt;/li&gt;&lt;li&gt;&lt;a href=|http://yltbible.com/1_chronicles/10.htm| title=|Young's Literal Translation| target=|_top|&gt;YLT&lt;/a&gt;</v>
      </c>
      <c r="AL348" t="str">
        <f>CONCATENATE("&lt;a href=|http://",AL1191,"/1_chronicles/10.htm","| ","title=|",AL1190,"| target=|_top|&gt;",AL1192,"&lt;/a&gt;")</f>
        <v>&lt;a href=|http://kjv.us/1_chronicles/10.htm| title=|American King James Version| target=|_top|&gt;AKJ&lt;/a&gt;</v>
      </c>
      <c r="AM348" t="str">
        <f t="shared" ref="AM348:AN348" si="1391">CONCATENATE("&lt;/li&gt;&lt;li&gt;&lt;a href=|http://",AM1191,"/1_chronicles/10.htm","| ","title=|",AM1190,"| target=|_top|&gt;",AM1192,"&lt;/a&gt;")</f>
        <v>&lt;/li&gt;&lt;li&gt;&lt;a href=|http://basicenglishbible.com/1_chronicles/10.htm| title=|Bible in Basic English| target=|_top|&gt;BBE&lt;/a&gt;</v>
      </c>
      <c r="AN348" t="str">
        <f t="shared" si="1391"/>
        <v>&lt;/li&gt;&lt;li&gt;&lt;a href=|http://darbybible.com/1_chronicles/10.htm| title=|Darby Bible Translation| target=|_top|&gt;DBY&lt;/a&gt;</v>
      </c>
      <c r="AO34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4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4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48" t="str">
        <f>CONCATENATE("&lt;/li&gt;&lt;li&gt;&lt;a href=|http://",AR1191,"/1_chronicles/10.htm","| ","title=|",AR1190,"| target=|_top|&gt;",AR1192,"&lt;/a&gt;")</f>
        <v>&lt;/li&gt;&lt;li&gt;&lt;a href=|http://websterbible.com/1_chronicles/10.htm| title=|Webster's Bible Translation| target=|_top|&gt;WBS&lt;/a&gt;</v>
      </c>
      <c r="AS34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48" t="str">
        <f>CONCATENATE("&lt;/li&gt;&lt;li&gt;&lt;a href=|http://",AT1191,"/1_chronicles/10-1.htm","| ","title=|",AT1190,"| target=|_top|&gt;",AT1192,"&lt;/a&gt;")</f>
        <v>&lt;/li&gt;&lt;li&gt;&lt;a href=|http://biblebrowser.com/1_chronicles/10-1.htm| title=|Split View| target=|_top|&gt;Split&lt;/a&gt;</v>
      </c>
      <c r="AU348" s="2" t="s">
        <v>1276</v>
      </c>
      <c r="AV348" t="s">
        <v>64</v>
      </c>
    </row>
    <row r="349" spans="1:48">
      <c r="A349" t="s">
        <v>622</v>
      </c>
      <c r="B349" t="s">
        <v>402</v>
      </c>
      <c r="C349" t="s">
        <v>624</v>
      </c>
      <c r="D349" t="s">
        <v>1268</v>
      </c>
      <c r="E349" t="s">
        <v>1277</v>
      </c>
      <c r="F349" t="s">
        <v>1304</v>
      </c>
      <c r="G349" t="s">
        <v>1266</v>
      </c>
      <c r="H349" t="s">
        <v>1305</v>
      </c>
      <c r="I349" t="s">
        <v>1303</v>
      </c>
      <c r="J349" t="s">
        <v>1267</v>
      </c>
      <c r="K349" t="s">
        <v>1275</v>
      </c>
      <c r="L349" s="2" t="s">
        <v>1274</v>
      </c>
      <c r="M349" t="str">
        <f t="shared" ref="M349:AB349" si="1392">CONCATENATE("&lt;/li&gt;&lt;li&gt;&lt;a href=|http://",M1191,"/1_chronicles/11.htm","| ","title=|",M1190,"| target=|_top|&gt;",M1192,"&lt;/a&gt;")</f>
        <v>&lt;/li&gt;&lt;li&gt;&lt;a href=|http://niv.scripturetext.com/1_chronicles/11.htm| title=|New International Version| target=|_top|&gt;NIV&lt;/a&gt;</v>
      </c>
      <c r="N349" t="str">
        <f t="shared" si="1392"/>
        <v>&lt;/li&gt;&lt;li&gt;&lt;a href=|http://nlt.scripturetext.com/1_chronicles/11.htm| title=|New Living Translation| target=|_top|&gt;NLT&lt;/a&gt;</v>
      </c>
      <c r="O349" t="str">
        <f t="shared" si="1392"/>
        <v>&lt;/li&gt;&lt;li&gt;&lt;a href=|http://nasb.scripturetext.com/1_chronicles/11.htm| title=|New American Standard Bible| target=|_top|&gt;NAS&lt;/a&gt;</v>
      </c>
      <c r="P349" t="str">
        <f t="shared" si="1392"/>
        <v>&lt;/li&gt;&lt;li&gt;&lt;a href=|http://gwt.scripturetext.com/1_chronicles/11.htm| title=|God's Word Translation| target=|_top|&gt;GWT&lt;/a&gt;</v>
      </c>
      <c r="Q349" t="str">
        <f t="shared" si="1392"/>
        <v>&lt;/li&gt;&lt;li&gt;&lt;a href=|http://kingjbible.com/1_chronicles/11.htm| title=|King James Bible| target=|_top|&gt;KJV&lt;/a&gt;</v>
      </c>
      <c r="R349" t="str">
        <f t="shared" si="1392"/>
        <v>&lt;/li&gt;&lt;li&gt;&lt;a href=|http://asvbible.com/1_chronicles/11.htm| title=|American Standard Version| target=|_top|&gt;ASV&lt;/a&gt;</v>
      </c>
      <c r="S349" t="str">
        <f t="shared" si="1392"/>
        <v>&lt;/li&gt;&lt;li&gt;&lt;a href=|http://drb.scripturetext.com/1_chronicles/11.htm| title=|Douay-Rheims Bible| target=|_top|&gt;DRB&lt;/a&gt;</v>
      </c>
      <c r="T349" t="str">
        <f t="shared" si="1392"/>
        <v>&lt;/li&gt;&lt;li&gt;&lt;a href=|http://erv.scripturetext.com/1_chronicles/11.htm| title=|English Revised Version| target=|_top|&gt;ERV&lt;/a&gt;</v>
      </c>
      <c r="V349" t="str">
        <f>CONCATENATE("&lt;/li&gt;&lt;li&gt;&lt;a href=|http://",V1191,"/1_chronicles/11.htm","| ","title=|",V1190,"| target=|_top|&gt;",V1192,"&lt;/a&gt;")</f>
        <v>&lt;/li&gt;&lt;li&gt;&lt;a href=|http://study.interlinearbible.org/1_chronicles/11.htm| title=|Hebrew Study Bible| target=|_top|&gt;Heb Study&lt;/a&gt;</v>
      </c>
      <c r="W349" t="str">
        <f t="shared" si="1392"/>
        <v>&lt;/li&gt;&lt;li&gt;&lt;a href=|http://apostolic.interlinearbible.org/1_chronicles/11.htm| title=|Apostolic Bible Polyglot Interlinear| target=|_top|&gt;Polyglot&lt;/a&gt;</v>
      </c>
      <c r="X349" t="str">
        <f t="shared" si="1392"/>
        <v>&lt;/li&gt;&lt;li&gt;&lt;a href=|http://interlinearbible.org/1_chronicles/11.htm| title=|Interlinear Bible| target=|_top|&gt;Interlin&lt;/a&gt;</v>
      </c>
      <c r="Y349" t="str">
        <f t="shared" ref="Y349" si="1393">CONCATENATE("&lt;/li&gt;&lt;li&gt;&lt;a href=|http://",Y1191,"/1_chronicles/11.htm","| ","title=|",Y1190,"| target=|_top|&gt;",Y1192,"&lt;/a&gt;")</f>
        <v>&lt;/li&gt;&lt;li&gt;&lt;a href=|http://bibleoutline.org/1_chronicles/11.htm| title=|Outline with People and Places List| target=|_top|&gt;Outline&lt;/a&gt;</v>
      </c>
      <c r="Z349" t="str">
        <f t="shared" si="1392"/>
        <v>&lt;/li&gt;&lt;li&gt;&lt;a href=|http://kjvs.scripturetext.com/1_chronicles/11.htm| title=|King James Bible with Strong's Numbers| target=|_top|&gt;Strong's&lt;/a&gt;</v>
      </c>
      <c r="AA349" t="str">
        <f t="shared" si="1392"/>
        <v>&lt;/li&gt;&lt;li&gt;&lt;a href=|http://childrensbibleonline.com/1_chronicles/11.htm| title=|The Children's Bible| target=|_top|&gt;Children's&lt;/a&gt;</v>
      </c>
      <c r="AB349" s="2" t="str">
        <f t="shared" si="1392"/>
        <v>&lt;/li&gt;&lt;li&gt;&lt;a href=|http://tsk.scripturetext.com/1_chronicles/11.htm| title=|Treasury of Scripture Knowledge| target=|_top|&gt;TSK&lt;/a&gt;</v>
      </c>
      <c r="AC349" t="str">
        <f>CONCATENATE("&lt;a href=|http://",AC1191,"/1_chronicles/11.htm","| ","title=|",AC1190,"| target=|_top|&gt;",AC1192,"&lt;/a&gt;")</f>
        <v>&lt;a href=|http://parallelbible.com/1_chronicles/11.htm| title=|Parallel Chapters| target=|_top|&gt;PAR&lt;/a&gt;</v>
      </c>
      <c r="AD349" s="2" t="str">
        <f t="shared" ref="AD349:AK349" si="1394">CONCATENATE("&lt;/li&gt;&lt;li&gt;&lt;a href=|http://",AD1191,"/1_chronicles/11.htm","| ","title=|",AD1190,"| target=|_top|&gt;",AD1192,"&lt;/a&gt;")</f>
        <v>&lt;/li&gt;&lt;li&gt;&lt;a href=|http://gsb.biblecommenter.com/1_chronicles/11.htm| title=|Geneva Study Bible| target=|_top|&gt;GSB&lt;/a&gt;</v>
      </c>
      <c r="AE349" s="2" t="str">
        <f t="shared" si="1394"/>
        <v>&lt;/li&gt;&lt;li&gt;&lt;a href=|http://jfb.biblecommenter.com/1_chronicles/11.htm| title=|Jamieson-Fausset-Brown Bible Commentary| target=|_top|&gt;JFB&lt;/a&gt;</v>
      </c>
      <c r="AF349" s="2" t="str">
        <f t="shared" si="1394"/>
        <v>&lt;/li&gt;&lt;li&gt;&lt;a href=|http://kjt.biblecommenter.com/1_chronicles/11.htm| title=|King James Translators' Notes| target=|_top|&gt;KJT&lt;/a&gt;</v>
      </c>
      <c r="AG349" s="2" t="str">
        <f t="shared" si="1394"/>
        <v>&lt;/li&gt;&lt;li&gt;&lt;a href=|http://mhc.biblecommenter.com/1_chronicles/11.htm| title=|Matthew Henry's Concise Commentary| target=|_top|&gt;MHC&lt;/a&gt;</v>
      </c>
      <c r="AH349" s="2" t="str">
        <f t="shared" si="1394"/>
        <v>&lt;/li&gt;&lt;li&gt;&lt;a href=|http://sco.biblecommenter.com/1_chronicles/11.htm| title=|Scofield Reference Notes| target=|_top|&gt;SCO&lt;/a&gt;</v>
      </c>
      <c r="AI349" s="2" t="str">
        <f t="shared" si="1394"/>
        <v>&lt;/li&gt;&lt;li&gt;&lt;a href=|http://wes.biblecommenter.com/1_chronicles/11.htm| title=|Wesley's Notes on the Bible| target=|_top|&gt;WES&lt;/a&gt;</v>
      </c>
      <c r="AJ349" t="str">
        <f t="shared" si="1394"/>
        <v>&lt;/li&gt;&lt;li&gt;&lt;a href=|http://worldebible.com/1_chronicles/11.htm| title=|World English Bible| target=|_top|&gt;WEB&lt;/a&gt;</v>
      </c>
      <c r="AK349" t="str">
        <f t="shared" si="1394"/>
        <v>&lt;/li&gt;&lt;li&gt;&lt;a href=|http://yltbible.com/1_chronicles/11.htm| title=|Young's Literal Translation| target=|_top|&gt;YLT&lt;/a&gt;</v>
      </c>
      <c r="AL349" t="str">
        <f>CONCATENATE("&lt;a href=|http://",AL1191,"/1_chronicles/11.htm","| ","title=|",AL1190,"| target=|_top|&gt;",AL1192,"&lt;/a&gt;")</f>
        <v>&lt;a href=|http://kjv.us/1_chronicles/11.htm| title=|American King James Version| target=|_top|&gt;AKJ&lt;/a&gt;</v>
      </c>
      <c r="AM349" t="str">
        <f t="shared" ref="AM349:AN349" si="1395">CONCATENATE("&lt;/li&gt;&lt;li&gt;&lt;a href=|http://",AM1191,"/1_chronicles/11.htm","| ","title=|",AM1190,"| target=|_top|&gt;",AM1192,"&lt;/a&gt;")</f>
        <v>&lt;/li&gt;&lt;li&gt;&lt;a href=|http://basicenglishbible.com/1_chronicles/11.htm| title=|Bible in Basic English| target=|_top|&gt;BBE&lt;/a&gt;</v>
      </c>
      <c r="AN349" t="str">
        <f t="shared" si="1395"/>
        <v>&lt;/li&gt;&lt;li&gt;&lt;a href=|http://darbybible.com/1_chronicles/11.htm| title=|Darby Bible Translation| target=|_top|&gt;DBY&lt;/a&gt;</v>
      </c>
      <c r="AO34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4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4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49" t="str">
        <f>CONCATENATE("&lt;/li&gt;&lt;li&gt;&lt;a href=|http://",AR1191,"/1_chronicles/11.htm","| ","title=|",AR1190,"| target=|_top|&gt;",AR1192,"&lt;/a&gt;")</f>
        <v>&lt;/li&gt;&lt;li&gt;&lt;a href=|http://websterbible.com/1_chronicles/11.htm| title=|Webster's Bible Translation| target=|_top|&gt;WBS&lt;/a&gt;</v>
      </c>
      <c r="AS34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49" t="str">
        <f>CONCATENATE("&lt;/li&gt;&lt;li&gt;&lt;a href=|http://",AT1191,"/1_chronicles/11-1.htm","| ","title=|",AT1190,"| target=|_top|&gt;",AT1192,"&lt;/a&gt;")</f>
        <v>&lt;/li&gt;&lt;li&gt;&lt;a href=|http://biblebrowser.com/1_chronicles/11-1.htm| title=|Split View| target=|_top|&gt;Split&lt;/a&gt;</v>
      </c>
      <c r="AU349" s="2" t="s">
        <v>1276</v>
      </c>
      <c r="AV349" t="s">
        <v>64</v>
      </c>
    </row>
    <row r="350" spans="1:48">
      <c r="A350" t="s">
        <v>622</v>
      </c>
      <c r="B350" t="s">
        <v>403</v>
      </c>
      <c r="C350" t="s">
        <v>624</v>
      </c>
      <c r="D350" t="s">
        <v>1268</v>
      </c>
      <c r="E350" t="s">
        <v>1277</v>
      </c>
      <c r="F350" t="s">
        <v>1304</v>
      </c>
      <c r="G350" t="s">
        <v>1266</v>
      </c>
      <c r="H350" t="s">
        <v>1305</v>
      </c>
      <c r="I350" t="s">
        <v>1303</v>
      </c>
      <c r="J350" t="s">
        <v>1267</v>
      </c>
      <c r="K350" t="s">
        <v>1275</v>
      </c>
      <c r="L350" s="2" t="s">
        <v>1274</v>
      </c>
      <c r="M350" t="str">
        <f t="shared" ref="M350:AB350" si="1396">CONCATENATE("&lt;/li&gt;&lt;li&gt;&lt;a href=|http://",M1191,"/1_chronicles/12.htm","| ","title=|",M1190,"| target=|_top|&gt;",M1192,"&lt;/a&gt;")</f>
        <v>&lt;/li&gt;&lt;li&gt;&lt;a href=|http://niv.scripturetext.com/1_chronicles/12.htm| title=|New International Version| target=|_top|&gt;NIV&lt;/a&gt;</v>
      </c>
      <c r="N350" t="str">
        <f t="shared" si="1396"/>
        <v>&lt;/li&gt;&lt;li&gt;&lt;a href=|http://nlt.scripturetext.com/1_chronicles/12.htm| title=|New Living Translation| target=|_top|&gt;NLT&lt;/a&gt;</v>
      </c>
      <c r="O350" t="str">
        <f t="shared" si="1396"/>
        <v>&lt;/li&gt;&lt;li&gt;&lt;a href=|http://nasb.scripturetext.com/1_chronicles/12.htm| title=|New American Standard Bible| target=|_top|&gt;NAS&lt;/a&gt;</v>
      </c>
      <c r="P350" t="str">
        <f t="shared" si="1396"/>
        <v>&lt;/li&gt;&lt;li&gt;&lt;a href=|http://gwt.scripturetext.com/1_chronicles/12.htm| title=|God's Word Translation| target=|_top|&gt;GWT&lt;/a&gt;</v>
      </c>
      <c r="Q350" t="str">
        <f t="shared" si="1396"/>
        <v>&lt;/li&gt;&lt;li&gt;&lt;a href=|http://kingjbible.com/1_chronicles/12.htm| title=|King James Bible| target=|_top|&gt;KJV&lt;/a&gt;</v>
      </c>
      <c r="R350" t="str">
        <f t="shared" si="1396"/>
        <v>&lt;/li&gt;&lt;li&gt;&lt;a href=|http://asvbible.com/1_chronicles/12.htm| title=|American Standard Version| target=|_top|&gt;ASV&lt;/a&gt;</v>
      </c>
      <c r="S350" t="str">
        <f t="shared" si="1396"/>
        <v>&lt;/li&gt;&lt;li&gt;&lt;a href=|http://drb.scripturetext.com/1_chronicles/12.htm| title=|Douay-Rheims Bible| target=|_top|&gt;DRB&lt;/a&gt;</v>
      </c>
      <c r="T350" t="str">
        <f t="shared" si="1396"/>
        <v>&lt;/li&gt;&lt;li&gt;&lt;a href=|http://erv.scripturetext.com/1_chronicles/12.htm| title=|English Revised Version| target=|_top|&gt;ERV&lt;/a&gt;</v>
      </c>
      <c r="V350" t="str">
        <f>CONCATENATE("&lt;/li&gt;&lt;li&gt;&lt;a href=|http://",V1191,"/1_chronicles/12.htm","| ","title=|",V1190,"| target=|_top|&gt;",V1192,"&lt;/a&gt;")</f>
        <v>&lt;/li&gt;&lt;li&gt;&lt;a href=|http://study.interlinearbible.org/1_chronicles/12.htm| title=|Hebrew Study Bible| target=|_top|&gt;Heb Study&lt;/a&gt;</v>
      </c>
      <c r="W350" t="str">
        <f t="shared" si="1396"/>
        <v>&lt;/li&gt;&lt;li&gt;&lt;a href=|http://apostolic.interlinearbible.org/1_chronicles/12.htm| title=|Apostolic Bible Polyglot Interlinear| target=|_top|&gt;Polyglot&lt;/a&gt;</v>
      </c>
      <c r="X350" t="str">
        <f t="shared" si="1396"/>
        <v>&lt;/li&gt;&lt;li&gt;&lt;a href=|http://interlinearbible.org/1_chronicles/12.htm| title=|Interlinear Bible| target=|_top|&gt;Interlin&lt;/a&gt;</v>
      </c>
      <c r="Y350" t="str">
        <f t="shared" ref="Y350" si="1397">CONCATENATE("&lt;/li&gt;&lt;li&gt;&lt;a href=|http://",Y1191,"/1_chronicles/12.htm","| ","title=|",Y1190,"| target=|_top|&gt;",Y1192,"&lt;/a&gt;")</f>
        <v>&lt;/li&gt;&lt;li&gt;&lt;a href=|http://bibleoutline.org/1_chronicles/12.htm| title=|Outline with People and Places List| target=|_top|&gt;Outline&lt;/a&gt;</v>
      </c>
      <c r="Z350" t="str">
        <f t="shared" si="1396"/>
        <v>&lt;/li&gt;&lt;li&gt;&lt;a href=|http://kjvs.scripturetext.com/1_chronicles/12.htm| title=|King James Bible with Strong's Numbers| target=|_top|&gt;Strong's&lt;/a&gt;</v>
      </c>
      <c r="AA350" t="str">
        <f t="shared" si="1396"/>
        <v>&lt;/li&gt;&lt;li&gt;&lt;a href=|http://childrensbibleonline.com/1_chronicles/12.htm| title=|The Children's Bible| target=|_top|&gt;Children's&lt;/a&gt;</v>
      </c>
      <c r="AB350" s="2" t="str">
        <f t="shared" si="1396"/>
        <v>&lt;/li&gt;&lt;li&gt;&lt;a href=|http://tsk.scripturetext.com/1_chronicles/12.htm| title=|Treasury of Scripture Knowledge| target=|_top|&gt;TSK&lt;/a&gt;</v>
      </c>
      <c r="AC350" t="str">
        <f>CONCATENATE("&lt;a href=|http://",AC1191,"/1_chronicles/12.htm","| ","title=|",AC1190,"| target=|_top|&gt;",AC1192,"&lt;/a&gt;")</f>
        <v>&lt;a href=|http://parallelbible.com/1_chronicles/12.htm| title=|Parallel Chapters| target=|_top|&gt;PAR&lt;/a&gt;</v>
      </c>
      <c r="AD350" s="2" t="str">
        <f t="shared" ref="AD350:AK350" si="1398">CONCATENATE("&lt;/li&gt;&lt;li&gt;&lt;a href=|http://",AD1191,"/1_chronicles/12.htm","| ","title=|",AD1190,"| target=|_top|&gt;",AD1192,"&lt;/a&gt;")</f>
        <v>&lt;/li&gt;&lt;li&gt;&lt;a href=|http://gsb.biblecommenter.com/1_chronicles/12.htm| title=|Geneva Study Bible| target=|_top|&gt;GSB&lt;/a&gt;</v>
      </c>
      <c r="AE350" s="2" t="str">
        <f t="shared" si="1398"/>
        <v>&lt;/li&gt;&lt;li&gt;&lt;a href=|http://jfb.biblecommenter.com/1_chronicles/12.htm| title=|Jamieson-Fausset-Brown Bible Commentary| target=|_top|&gt;JFB&lt;/a&gt;</v>
      </c>
      <c r="AF350" s="2" t="str">
        <f t="shared" si="1398"/>
        <v>&lt;/li&gt;&lt;li&gt;&lt;a href=|http://kjt.biblecommenter.com/1_chronicles/12.htm| title=|King James Translators' Notes| target=|_top|&gt;KJT&lt;/a&gt;</v>
      </c>
      <c r="AG350" s="2" t="str">
        <f t="shared" si="1398"/>
        <v>&lt;/li&gt;&lt;li&gt;&lt;a href=|http://mhc.biblecommenter.com/1_chronicles/12.htm| title=|Matthew Henry's Concise Commentary| target=|_top|&gt;MHC&lt;/a&gt;</v>
      </c>
      <c r="AH350" s="2" t="str">
        <f t="shared" si="1398"/>
        <v>&lt;/li&gt;&lt;li&gt;&lt;a href=|http://sco.biblecommenter.com/1_chronicles/12.htm| title=|Scofield Reference Notes| target=|_top|&gt;SCO&lt;/a&gt;</v>
      </c>
      <c r="AI350" s="2" t="str">
        <f t="shared" si="1398"/>
        <v>&lt;/li&gt;&lt;li&gt;&lt;a href=|http://wes.biblecommenter.com/1_chronicles/12.htm| title=|Wesley's Notes on the Bible| target=|_top|&gt;WES&lt;/a&gt;</v>
      </c>
      <c r="AJ350" t="str">
        <f t="shared" si="1398"/>
        <v>&lt;/li&gt;&lt;li&gt;&lt;a href=|http://worldebible.com/1_chronicles/12.htm| title=|World English Bible| target=|_top|&gt;WEB&lt;/a&gt;</v>
      </c>
      <c r="AK350" t="str">
        <f t="shared" si="1398"/>
        <v>&lt;/li&gt;&lt;li&gt;&lt;a href=|http://yltbible.com/1_chronicles/12.htm| title=|Young's Literal Translation| target=|_top|&gt;YLT&lt;/a&gt;</v>
      </c>
      <c r="AL350" t="str">
        <f>CONCATENATE("&lt;a href=|http://",AL1191,"/1_chronicles/12.htm","| ","title=|",AL1190,"| target=|_top|&gt;",AL1192,"&lt;/a&gt;")</f>
        <v>&lt;a href=|http://kjv.us/1_chronicles/12.htm| title=|American King James Version| target=|_top|&gt;AKJ&lt;/a&gt;</v>
      </c>
      <c r="AM350" t="str">
        <f t="shared" ref="AM350:AN350" si="1399">CONCATENATE("&lt;/li&gt;&lt;li&gt;&lt;a href=|http://",AM1191,"/1_chronicles/12.htm","| ","title=|",AM1190,"| target=|_top|&gt;",AM1192,"&lt;/a&gt;")</f>
        <v>&lt;/li&gt;&lt;li&gt;&lt;a href=|http://basicenglishbible.com/1_chronicles/12.htm| title=|Bible in Basic English| target=|_top|&gt;BBE&lt;/a&gt;</v>
      </c>
      <c r="AN350" t="str">
        <f t="shared" si="1399"/>
        <v>&lt;/li&gt;&lt;li&gt;&lt;a href=|http://darbybible.com/1_chronicles/12.htm| title=|Darby Bible Translation| target=|_top|&gt;DBY&lt;/a&gt;</v>
      </c>
      <c r="AO35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5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5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50" t="str">
        <f>CONCATENATE("&lt;/li&gt;&lt;li&gt;&lt;a href=|http://",AR1191,"/1_chronicles/12.htm","| ","title=|",AR1190,"| target=|_top|&gt;",AR1192,"&lt;/a&gt;")</f>
        <v>&lt;/li&gt;&lt;li&gt;&lt;a href=|http://websterbible.com/1_chronicles/12.htm| title=|Webster's Bible Translation| target=|_top|&gt;WBS&lt;/a&gt;</v>
      </c>
      <c r="AS35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50" t="str">
        <f>CONCATENATE("&lt;/li&gt;&lt;li&gt;&lt;a href=|http://",AT1191,"/1_chronicles/12-1.htm","| ","title=|",AT1190,"| target=|_top|&gt;",AT1192,"&lt;/a&gt;")</f>
        <v>&lt;/li&gt;&lt;li&gt;&lt;a href=|http://biblebrowser.com/1_chronicles/12-1.htm| title=|Split View| target=|_top|&gt;Split&lt;/a&gt;</v>
      </c>
      <c r="AU350" s="2" t="s">
        <v>1276</v>
      </c>
      <c r="AV350" t="s">
        <v>64</v>
      </c>
    </row>
    <row r="351" spans="1:48">
      <c r="A351" t="s">
        <v>622</v>
      </c>
      <c r="B351" t="s">
        <v>404</v>
      </c>
      <c r="C351" t="s">
        <v>624</v>
      </c>
      <c r="D351" t="s">
        <v>1268</v>
      </c>
      <c r="E351" t="s">
        <v>1277</v>
      </c>
      <c r="F351" t="s">
        <v>1304</v>
      </c>
      <c r="G351" t="s">
        <v>1266</v>
      </c>
      <c r="H351" t="s">
        <v>1305</v>
      </c>
      <c r="I351" t="s">
        <v>1303</v>
      </c>
      <c r="J351" t="s">
        <v>1267</v>
      </c>
      <c r="K351" t="s">
        <v>1275</v>
      </c>
      <c r="L351" s="2" t="s">
        <v>1274</v>
      </c>
      <c r="M351" t="str">
        <f t="shared" ref="M351:AB351" si="1400">CONCATENATE("&lt;/li&gt;&lt;li&gt;&lt;a href=|http://",M1191,"/1_chronicles/13.htm","| ","title=|",M1190,"| target=|_top|&gt;",M1192,"&lt;/a&gt;")</f>
        <v>&lt;/li&gt;&lt;li&gt;&lt;a href=|http://niv.scripturetext.com/1_chronicles/13.htm| title=|New International Version| target=|_top|&gt;NIV&lt;/a&gt;</v>
      </c>
      <c r="N351" t="str">
        <f t="shared" si="1400"/>
        <v>&lt;/li&gt;&lt;li&gt;&lt;a href=|http://nlt.scripturetext.com/1_chronicles/13.htm| title=|New Living Translation| target=|_top|&gt;NLT&lt;/a&gt;</v>
      </c>
      <c r="O351" t="str">
        <f t="shared" si="1400"/>
        <v>&lt;/li&gt;&lt;li&gt;&lt;a href=|http://nasb.scripturetext.com/1_chronicles/13.htm| title=|New American Standard Bible| target=|_top|&gt;NAS&lt;/a&gt;</v>
      </c>
      <c r="P351" t="str">
        <f t="shared" si="1400"/>
        <v>&lt;/li&gt;&lt;li&gt;&lt;a href=|http://gwt.scripturetext.com/1_chronicles/13.htm| title=|God's Word Translation| target=|_top|&gt;GWT&lt;/a&gt;</v>
      </c>
      <c r="Q351" t="str">
        <f t="shared" si="1400"/>
        <v>&lt;/li&gt;&lt;li&gt;&lt;a href=|http://kingjbible.com/1_chronicles/13.htm| title=|King James Bible| target=|_top|&gt;KJV&lt;/a&gt;</v>
      </c>
      <c r="R351" t="str">
        <f t="shared" si="1400"/>
        <v>&lt;/li&gt;&lt;li&gt;&lt;a href=|http://asvbible.com/1_chronicles/13.htm| title=|American Standard Version| target=|_top|&gt;ASV&lt;/a&gt;</v>
      </c>
      <c r="S351" t="str">
        <f t="shared" si="1400"/>
        <v>&lt;/li&gt;&lt;li&gt;&lt;a href=|http://drb.scripturetext.com/1_chronicles/13.htm| title=|Douay-Rheims Bible| target=|_top|&gt;DRB&lt;/a&gt;</v>
      </c>
      <c r="T351" t="str">
        <f t="shared" si="1400"/>
        <v>&lt;/li&gt;&lt;li&gt;&lt;a href=|http://erv.scripturetext.com/1_chronicles/13.htm| title=|English Revised Version| target=|_top|&gt;ERV&lt;/a&gt;</v>
      </c>
      <c r="V351" t="str">
        <f>CONCATENATE("&lt;/li&gt;&lt;li&gt;&lt;a href=|http://",V1191,"/1_chronicles/13.htm","| ","title=|",V1190,"| target=|_top|&gt;",V1192,"&lt;/a&gt;")</f>
        <v>&lt;/li&gt;&lt;li&gt;&lt;a href=|http://study.interlinearbible.org/1_chronicles/13.htm| title=|Hebrew Study Bible| target=|_top|&gt;Heb Study&lt;/a&gt;</v>
      </c>
      <c r="W351" t="str">
        <f t="shared" si="1400"/>
        <v>&lt;/li&gt;&lt;li&gt;&lt;a href=|http://apostolic.interlinearbible.org/1_chronicles/13.htm| title=|Apostolic Bible Polyglot Interlinear| target=|_top|&gt;Polyglot&lt;/a&gt;</v>
      </c>
      <c r="X351" t="str">
        <f t="shared" si="1400"/>
        <v>&lt;/li&gt;&lt;li&gt;&lt;a href=|http://interlinearbible.org/1_chronicles/13.htm| title=|Interlinear Bible| target=|_top|&gt;Interlin&lt;/a&gt;</v>
      </c>
      <c r="Y351" t="str">
        <f t="shared" ref="Y351" si="1401">CONCATENATE("&lt;/li&gt;&lt;li&gt;&lt;a href=|http://",Y1191,"/1_chronicles/13.htm","| ","title=|",Y1190,"| target=|_top|&gt;",Y1192,"&lt;/a&gt;")</f>
        <v>&lt;/li&gt;&lt;li&gt;&lt;a href=|http://bibleoutline.org/1_chronicles/13.htm| title=|Outline with People and Places List| target=|_top|&gt;Outline&lt;/a&gt;</v>
      </c>
      <c r="Z351" t="str">
        <f t="shared" si="1400"/>
        <v>&lt;/li&gt;&lt;li&gt;&lt;a href=|http://kjvs.scripturetext.com/1_chronicles/13.htm| title=|King James Bible with Strong's Numbers| target=|_top|&gt;Strong's&lt;/a&gt;</v>
      </c>
      <c r="AA351" t="str">
        <f t="shared" si="1400"/>
        <v>&lt;/li&gt;&lt;li&gt;&lt;a href=|http://childrensbibleonline.com/1_chronicles/13.htm| title=|The Children's Bible| target=|_top|&gt;Children's&lt;/a&gt;</v>
      </c>
      <c r="AB351" s="2" t="str">
        <f t="shared" si="1400"/>
        <v>&lt;/li&gt;&lt;li&gt;&lt;a href=|http://tsk.scripturetext.com/1_chronicles/13.htm| title=|Treasury of Scripture Knowledge| target=|_top|&gt;TSK&lt;/a&gt;</v>
      </c>
      <c r="AC351" t="str">
        <f>CONCATENATE("&lt;a href=|http://",AC1191,"/1_chronicles/13.htm","| ","title=|",AC1190,"| target=|_top|&gt;",AC1192,"&lt;/a&gt;")</f>
        <v>&lt;a href=|http://parallelbible.com/1_chronicles/13.htm| title=|Parallel Chapters| target=|_top|&gt;PAR&lt;/a&gt;</v>
      </c>
      <c r="AD351" s="2" t="str">
        <f t="shared" ref="AD351:AK351" si="1402">CONCATENATE("&lt;/li&gt;&lt;li&gt;&lt;a href=|http://",AD1191,"/1_chronicles/13.htm","| ","title=|",AD1190,"| target=|_top|&gt;",AD1192,"&lt;/a&gt;")</f>
        <v>&lt;/li&gt;&lt;li&gt;&lt;a href=|http://gsb.biblecommenter.com/1_chronicles/13.htm| title=|Geneva Study Bible| target=|_top|&gt;GSB&lt;/a&gt;</v>
      </c>
      <c r="AE351" s="2" t="str">
        <f t="shared" si="1402"/>
        <v>&lt;/li&gt;&lt;li&gt;&lt;a href=|http://jfb.biblecommenter.com/1_chronicles/13.htm| title=|Jamieson-Fausset-Brown Bible Commentary| target=|_top|&gt;JFB&lt;/a&gt;</v>
      </c>
      <c r="AF351" s="2" t="str">
        <f t="shared" si="1402"/>
        <v>&lt;/li&gt;&lt;li&gt;&lt;a href=|http://kjt.biblecommenter.com/1_chronicles/13.htm| title=|King James Translators' Notes| target=|_top|&gt;KJT&lt;/a&gt;</v>
      </c>
      <c r="AG351" s="2" t="str">
        <f t="shared" si="1402"/>
        <v>&lt;/li&gt;&lt;li&gt;&lt;a href=|http://mhc.biblecommenter.com/1_chronicles/13.htm| title=|Matthew Henry's Concise Commentary| target=|_top|&gt;MHC&lt;/a&gt;</v>
      </c>
      <c r="AH351" s="2" t="str">
        <f t="shared" si="1402"/>
        <v>&lt;/li&gt;&lt;li&gt;&lt;a href=|http://sco.biblecommenter.com/1_chronicles/13.htm| title=|Scofield Reference Notes| target=|_top|&gt;SCO&lt;/a&gt;</v>
      </c>
      <c r="AI351" s="2" t="str">
        <f t="shared" si="1402"/>
        <v>&lt;/li&gt;&lt;li&gt;&lt;a href=|http://wes.biblecommenter.com/1_chronicles/13.htm| title=|Wesley's Notes on the Bible| target=|_top|&gt;WES&lt;/a&gt;</v>
      </c>
      <c r="AJ351" t="str">
        <f t="shared" si="1402"/>
        <v>&lt;/li&gt;&lt;li&gt;&lt;a href=|http://worldebible.com/1_chronicles/13.htm| title=|World English Bible| target=|_top|&gt;WEB&lt;/a&gt;</v>
      </c>
      <c r="AK351" t="str">
        <f t="shared" si="1402"/>
        <v>&lt;/li&gt;&lt;li&gt;&lt;a href=|http://yltbible.com/1_chronicles/13.htm| title=|Young's Literal Translation| target=|_top|&gt;YLT&lt;/a&gt;</v>
      </c>
      <c r="AL351" t="str">
        <f>CONCATENATE("&lt;a href=|http://",AL1191,"/1_chronicles/13.htm","| ","title=|",AL1190,"| target=|_top|&gt;",AL1192,"&lt;/a&gt;")</f>
        <v>&lt;a href=|http://kjv.us/1_chronicles/13.htm| title=|American King James Version| target=|_top|&gt;AKJ&lt;/a&gt;</v>
      </c>
      <c r="AM351" t="str">
        <f t="shared" ref="AM351:AN351" si="1403">CONCATENATE("&lt;/li&gt;&lt;li&gt;&lt;a href=|http://",AM1191,"/1_chronicles/13.htm","| ","title=|",AM1190,"| target=|_top|&gt;",AM1192,"&lt;/a&gt;")</f>
        <v>&lt;/li&gt;&lt;li&gt;&lt;a href=|http://basicenglishbible.com/1_chronicles/13.htm| title=|Bible in Basic English| target=|_top|&gt;BBE&lt;/a&gt;</v>
      </c>
      <c r="AN351" t="str">
        <f t="shared" si="1403"/>
        <v>&lt;/li&gt;&lt;li&gt;&lt;a href=|http://darbybible.com/1_chronicles/13.htm| title=|Darby Bible Translation| target=|_top|&gt;DBY&lt;/a&gt;</v>
      </c>
      <c r="AO35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5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5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51" t="str">
        <f>CONCATENATE("&lt;/li&gt;&lt;li&gt;&lt;a href=|http://",AR1191,"/1_chronicles/13.htm","| ","title=|",AR1190,"| target=|_top|&gt;",AR1192,"&lt;/a&gt;")</f>
        <v>&lt;/li&gt;&lt;li&gt;&lt;a href=|http://websterbible.com/1_chronicles/13.htm| title=|Webster's Bible Translation| target=|_top|&gt;WBS&lt;/a&gt;</v>
      </c>
      <c r="AS35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51" t="str">
        <f>CONCATENATE("&lt;/li&gt;&lt;li&gt;&lt;a href=|http://",AT1191,"/1_chronicles/13-1.htm","| ","title=|",AT1190,"| target=|_top|&gt;",AT1192,"&lt;/a&gt;")</f>
        <v>&lt;/li&gt;&lt;li&gt;&lt;a href=|http://biblebrowser.com/1_chronicles/13-1.htm| title=|Split View| target=|_top|&gt;Split&lt;/a&gt;</v>
      </c>
      <c r="AU351" s="2" t="s">
        <v>1276</v>
      </c>
      <c r="AV351" t="s">
        <v>64</v>
      </c>
    </row>
    <row r="352" spans="1:48">
      <c r="A352" t="s">
        <v>622</v>
      </c>
      <c r="B352" t="s">
        <v>405</v>
      </c>
      <c r="C352" t="s">
        <v>624</v>
      </c>
      <c r="D352" t="s">
        <v>1268</v>
      </c>
      <c r="E352" t="s">
        <v>1277</v>
      </c>
      <c r="F352" t="s">
        <v>1304</v>
      </c>
      <c r="G352" t="s">
        <v>1266</v>
      </c>
      <c r="H352" t="s">
        <v>1305</v>
      </c>
      <c r="I352" t="s">
        <v>1303</v>
      </c>
      <c r="J352" t="s">
        <v>1267</v>
      </c>
      <c r="K352" t="s">
        <v>1275</v>
      </c>
      <c r="L352" s="2" t="s">
        <v>1274</v>
      </c>
      <c r="M352" t="str">
        <f t="shared" ref="M352:AB352" si="1404">CONCATENATE("&lt;/li&gt;&lt;li&gt;&lt;a href=|http://",M1191,"/1_chronicles/14.htm","| ","title=|",M1190,"| target=|_top|&gt;",M1192,"&lt;/a&gt;")</f>
        <v>&lt;/li&gt;&lt;li&gt;&lt;a href=|http://niv.scripturetext.com/1_chronicles/14.htm| title=|New International Version| target=|_top|&gt;NIV&lt;/a&gt;</v>
      </c>
      <c r="N352" t="str">
        <f t="shared" si="1404"/>
        <v>&lt;/li&gt;&lt;li&gt;&lt;a href=|http://nlt.scripturetext.com/1_chronicles/14.htm| title=|New Living Translation| target=|_top|&gt;NLT&lt;/a&gt;</v>
      </c>
      <c r="O352" t="str">
        <f t="shared" si="1404"/>
        <v>&lt;/li&gt;&lt;li&gt;&lt;a href=|http://nasb.scripturetext.com/1_chronicles/14.htm| title=|New American Standard Bible| target=|_top|&gt;NAS&lt;/a&gt;</v>
      </c>
      <c r="P352" t="str">
        <f t="shared" si="1404"/>
        <v>&lt;/li&gt;&lt;li&gt;&lt;a href=|http://gwt.scripturetext.com/1_chronicles/14.htm| title=|God's Word Translation| target=|_top|&gt;GWT&lt;/a&gt;</v>
      </c>
      <c r="Q352" t="str">
        <f t="shared" si="1404"/>
        <v>&lt;/li&gt;&lt;li&gt;&lt;a href=|http://kingjbible.com/1_chronicles/14.htm| title=|King James Bible| target=|_top|&gt;KJV&lt;/a&gt;</v>
      </c>
      <c r="R352" t="str">
        <f t="shared" si="1404"/>
        <v>&lt;/li&gt;&lt;li&gt;&lt;a href=|http://asvbible.com/1_chronicles/14.htm| title=|American Standard Version| target=|_top|&gt;ASV&lt;/a&gt;</v>
      </c>
      <c r="S352" t="str">
        <f t="shared" si="1404"/>
        <v>&lt;/li&gt;&lt;li&gt;&lt;a href=|http://drb.scripturetext.com/1_chronicles/14.htm| title=|Douay-Rheims Bible| target=|_top|&gt;DRB&lt;/a&gt;</v>
      </c>
      <c r="T352" t="str">
        <f t="shared" si="1404"/>
        <v>&lt;/li&gt;&lt;li&gt;&lt;a href=|http://erv.scripturetext.com/1_chronicles/14.htm| title=|English Revised Version| target=|_top|&gt;ERV&lt;/a&gt;</v>
      </c>
      <c r="V352" t="str">
        <f>CONCATENATE("&lt;/li&gt;&lt;li&gt;&lt;a href=|http://",V1191,"/1_chronicles/14.htm","| ","title=|",V1190,"| target=|_top|&gt;",V1192,"&lt;/a&gt;")</f>
        <v>&lt;/li&gt;&lt;li&gt;&lt;a href=|http://study.interlinearbible.org/1_chronicles/14.htm| title=|Hebrew Study Bible| target=|_top|&gt;Heb Study&lt;/a&gt;</v>
      </c>
      <c r="W352" t="str">
        <f t="shared" si="1404"/>
        <v>&lt;/li&gt;&lt;li&gt;&lt;a href=|http://apostolic.interlinearbible.org/1_chronicles/14.htm| title=|Apostolic Bible Polyglot Interlinear| target=|_top|&gt;Polyglot&lt;/a&gt;</v>
      </c>
      <c r="X352" t="str">
        <f t="shared" si="1404"/>
        <v>&lt;/li&gt;&lt;li&gt;&lt;a href=|http://interlinearbible.org/1_chronicles/14.htm| title=|Interlinear Bible| target=|_top|&gt;Interlin&lt;/a&gt;</v>
      </c>
      <c r="Y352" t="str">
        <f t="shared" ref="Y352" si="1405">CONCATENATE("&lt;/li&gt;&lt;li&gt;&lt;a href=|http://",Y1191,"/1_chronicles/14.htm","| ","title=|",Y1190,"| target=|_top|&gt;",Y1192,"&lt;/a&gt;")</f>
        <v>&lt;/li&gt;&lt;li&gt;&lt;a href=|http://bibleoutline.org/1_chronicles/14.htm| title=|Outline with People and Places List| target=|_top|&gt;Outline&lt;/a&gt;</v>
      </c>
      <c r="Z352" t="str">
        <f t="shared" si="1404"/>
        <v>&lt;/li&gt;&lt;li&gt;&lt;a href=|http://kjvs.scripturetext.com/1_chronicles/14.htm| title=|King James Bible with Strong's Numbers| target=|_top|&gt;Strong's&lt;/a&gt;</v>
      </c>
      <c r="AA352" t="str">
        <f t="shared" si="1404"/>
        <v>&lt;/li&gt;&lt;li&gt;&lt;a href=|http://childrensbibleonline.com/1_chronicles/14.htm| title=|The Children's Bible| target=|_top|&gt;Children's&lt;/a&gt;</v>
      </c>
      <c r="AB352" s="2" t="str">
        <f t="shared" si="1404"/>
        <v>&lt;/li&gt;&lt;li&gt;&lt;a href=|http://tsk.scripturetext.com/1_chronicles/14.htm| title=|Treasury of Scripture Knowledge| target=|_top|&gt;TSK&lt;/a&gt;</v>
      </c>
      <c r="AC352" t="str">
        <f>CONCATENATE("&lt;a href=|http://",AC1191,"/1_chronicles/14.htm","| ","title=|",AC1190,"| target=|_top|&gt;",AC1192,"&lt;/a&gt;")</f>
        <v>&lt;a href=|http://parallelbible.com/1_chronicles/14.htm| title=|Parallel Chapters| target=|_top|&gt;PAR&lt;/a&gt;</v>
      </c>
      <c r="AD352" s="2" t="str">
        <f t="shared" ref="AD352:AK352" si="1406">CONCATENATE("&lt;/li&gt;&lt;li&gt;&lt;a href=|http://",AD1191,"/1_chronicles/14.htm","| ","title=|",AD1190,"| target=|_top|&gt;",AD1192,"&lt;/a&gt;")</f>
        <v>&lt;/li&gt;&lt;li&gt;&lt;a href=|http://gsb.biblecommenter.com/1_chronicles/14.htm| title=|Geneva Study Bible| target=|_top|&gt;GSB&lt;/a&gt;</v>
      </c>
      <c r="AE352" s="2" t="str">
        <f t="shared" si="1406"/>
        <v>&lt;/li&gt;&lt;li&gt;&lt;a href=|http://jfb.biblecommenter.com/1_chronicles/14.htm| title=|Jamieson-Fausset-Brown Bible Commentary| target=|_top|&gt;JFB&lt;/a&gt;</v>
      </c>
      <c r="AF352" s="2" t="str">
        <f t="shared" si="1406"/>
        <v>&lt;/li&gt;&lt;li&gt;&lt;a href=|http://kjt.biblecommenter.com/1_chronicles/14.htm| title=|King James Translators' Notes| target=|_top|&gt;KJT&lt;/a&gt;</v>
      </c>
      <c r="AG352" s="2" t="str">
        <f t="shared" si="1406"/>
        <v>&lt;/li&gt;&lt;li&gt;&lt;a href=|http://mhc.biblecommenter.com/1_chronicles/14.htm| title=|Matthew Henry's Concise Commentary| target=|_top|&gt;MHC&lt;/a&gt;</v>
      </c>
      <c r="AH352" s="2" t="str">
        <f t="shared" si="1406"/>
        <v>&lt;/li&gt;&lt;li&gt;&lt;a href=|http://sco.biblecommenter.com/1_chronicles/14.htm| title=|Scofield Reference Notes| target=|_top|&gt;SCO&lt;/a&gt;</v>
      </c>
      <c r="AI352" s="2" t="str">
        <f t="shared" si="1406"/>
        <v>&lt;/li&gt;&lt;li&gt;&lt;a href=|http://wes.biblecommenter.com/1_chronicles/14.htm| title=|Wesley's Notes on the Bible| target=|_top|&gt;WES&lt;/a&gt;</v>
      </c>
      <c r="AJ352" t="str">
        <f t="shared" si="1406"/>
        <v>&lt;/li&gt;&lt;li&gt;&lt;a href=|http://worldebible.com/1_chronicles/14.htm| title=|World English Bible| target=|_top|&gt;WEB&lt;/a&gt;</v>
      </c>
      <c r="AK352" t="str">
        <f t="shared" si="1406"/>
        <v>&lt;/li&gt;&lt;li&gt;&lt;a href=|http://yltbible.com/1_chronicles/14.htm| title=|Young's Literal Translation| target=|_top|&gt;YLT&lt;/a&gt;</v>
      </c>
      <c r="AL352" t="str">
        <f>CONCATENATE("&lt;a href=|http://",AL1191,"/1_chronicles/14.htm","| ","title=|",AL1190,"| target=|_top|&gt;",AL1192,"&lt;/a&gt;")</f>
        <v>&lt;a href=|http://kjv.us/1_chronicles/14.htm| title=|American King James Version| target=|_top|&gt;AKJ&lt;/a&gt;</v>
      </c>
      <c r="AM352" t="str">
        <f t="shared" ref="AM352:AN352" si="1407">CONCATENATE("&lt;/li&gt;&lt;li&gt;&lt;a href=|http://",AM1191,"/1_chronicles/14.htm","| ","title=|",AM1190,"| target=|_top|&gt;",AM1192,"&lt;/a&gt;")</f>
        <v>&lt;/li&gt;&lt;li&gt;&lt;a href=|http://basicenglishbible.com/1_chronicles/14.htm| title=|Bible in Basic English| target=|_top|&gt;BBE&lt;/a&gt;</v>
      </c>
      <c r="AN352" t="str">
        <f t="shared" si="1407"/>
        <v>&lt;/li&gt;&lt;li&gt;&lt;a href=|http://darbybible.com/1_chronicles/14.htm| title=|Darby Bible Translation| target=|_top|&gt;DBY&lt;/a&gt;</v>
      </c>
      <c r="AO35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5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5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52" t="str">
        <f>CONCATENATE("&lt;/li&gt;&lt;li&gt;&lt;a href=|http://",AR1191,"/1_chronicles/14.htm","| ","title=|",AR1190,"| target=|_top|&gt;",AR1192,"&lt;/a&gt;")</f>
        <v>&lt;/li&gt;&lt;li&gt;&lt;a href=|http://websterbible.com/1_chronicles/14.htm| title=|Webster's Bible Translation| target=|_top|&gt;WBS&lt;/a&gt;</v>
      </c>
      <c r="AS35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52" t="str">
        <f>CONCATENATE("&lt;/li&gt;&lt;li&gt;&lt;a href=|http://",AT1191,"/1_chronicles/14-1.htm","| ","title=|",AT1190,"| target=|_top|&gt;",AT1192,"&lt;/a&gt;")</f>
        <v>&lt;/li&gt;&lt;li&gt;&lt;a href=|http://biblebrowser.com/1_chronicles/14-1.htm| title=|Split View| target=|_top|&gt;Split&lt;/a&gt;</v>
      </c>
      <c r="AU352" s="2" t="s">
        <v>1276</v>
      </c>
      <c r="AV352" t="s">
        <v>64</v>
      </c>
    </row>
    <row r="353" spans="1:48">
      <c r="A353" t="s">
        <v>622</v>
      </c>
      <c r="B353" t="s">
        <v>406</v>
      </c>
      <c r="C353" t="s">
        <v>624</v>
      </c>
      <c r="D353" t="s">
        <v>1268</v>
      </c>
      <c r="E353" t="s">
        <v>1277</v>
      </c>
      <c r="F353" t="s">
        <v>1304</v>
      </c>
      <c r="G353" t="s">
        <v>1266</v>
      </c>
      <c r="H353" t="s">
        <v>1305</v>
      </c>
      <c r="I353" t="s">
        <v>1303</v>
      </c>
      <c r="J353" t="s">
        <v>1267</v>
      </c>
      <c r="K353" t="s">
        <v>1275</v>
      </c>
      <c r="L353" s="2" t="s">
        <v>1274</v>
      </c>
      <c r="M353" t="str">
        <f t="shared" ref="M353:AB353" si="1408">CONCATENATE("&lt;/li&gt;&lt;li&gt;&lt;a href=|http://",M1191,"/1_chronicles/15.htm","| ","title=|",M1190,"| target=|_top|&gt;",M1192,"&lt;/a&gt;")</f>
        <v>&lt;/li&gt;&lt;li&gt;&lt;a href=|http://niv.scripturetext.com/1_chronicles/15.htm| title=|New International Version| target=|_top|&gt;NIV&lt;/a&gt;</v>
      </c>
      <c r="N353" t="str">
        <f t="shared" si="1408"/>
        <v>&lt;/li&gt;&lt;li&gt;&lt;a href=|http://nlt.scripturetext.com/1_chronicles/15.htm| title=|New Living Translation| target=|_top|&gt;NLT&lt;/a&gt;</v>
      </c>
      <c r="O353" t="str">
        <f t="shared" si="1408"/>
        <v>&lt;/li&gt;&lt;li&gt;&lt;a href=|http://nasb.scripturetext.com/1_chronicles/15.htm| title=|New American Standard Bible| target=|_top|&gt;NAS&lt;/a&gt;</v>
      </c>
      <c r="P353" t="str">
        <f t="shared" si="1408"/>
        <v>&lt;/li&gt;&lt;li&gt;&lt;a href=|http://gwt.scripturetext.com/1_chronicles/15.htm| title=|God's Word Translation| target=|_top|&gt;GWT&lt;/a&gt;</v>
      </c>
      <c r="Q353" t="str">
        <f t="shared" si="1408"/>
        <v>&lt;/li&gt;&lt;li&gt;&lt;a href=|http://kingjbible.com/1_chronicles/15.htm| title=|King James Bible| target=|_top|&gt;KJV&lt;/a&gt;</v>
      </c>
      <c r="R353" t="str">
        <f t="shared" si="1408"/>
        <v>&lt;/li&gt;&lt;li&gt;&lt;a href=|http://asvbible.com/1_chronicles/15.htm| title=|American Standard Version| target=|_top|&gt;ASV&lt;/a&gt;</v>
      </c>
      <c r="S353" t="str">
        <f t="shared" si="1408"/>
        <v>&lt;/li&gt;&lt;li&gt;&lt;a href=|http://drb.scripturetext.com/1_chronicles/15.htm| title=|Douay-Rheims Bible| target=|_top|&gt;DRB&lt;/a&gt;</v>
      </c>
      <c r="T353" t="str">
        <f t="shared" si="1408"/>
        <v>&lt;/li&gt;&lt;li&gt;&lt;a href=|http://erv.scripturetext.com/1_chronicles/15.htm| title=|English Revised Version| target=|_top|&gt;ERV&lt;/a&gt;</v>
      </c>
      <c r="V353" t="str">
        <f>CONCATENATE("&lt;/li&gt;&lt;li&gt;&lt;a href=|http://",V1191,"/1_chronicles/15.htm","| ","title=|",V1190,"| target=|_top|&gt;",V1192,"&lt;/a&gt;")</f>
        <v>&lt;/li&gt;&lt;li&gt;&lt;a href=|http://study.interlinearbible.org/1_chronicles/15.htm| title=|Hebrew Study Bible| target=|_top|&gt;Heb Study&lt;/a&gt;</v>
      </c>
      <c r="W353" t="str">
        <f t="shared" si="1408"/>
        <v>&lt;/li&gt;&lt;li&gt;&lt;a href=|http://apostolic.interlinearbible.org/1_chronicles/15.htm| title=|Apostolic Bible Polyglot Interlinear| target=|_top|&gt;Polyglot&lt;/a&gt;</v>
      </c>
      <c r="X353" t="str">
        <f t="shared" si="1408"/>
        <v>&lt;/li&gt;&lt;li&gt;&lt;a href=|http://interlinearbible.org/1_chronicles/15.htm| title=|Interlinear Bible| target=|_top|&gt;Interlin&lt;/a&gt;</v>
      </c>
      <c r="Y353" t="str">
        <f t="shared" ref="Y353" si="1409">CONCATENATE("&lt;/li&gt;&lt;li&gt;&lt;a href=|http://",Y1191,"/1_chronicles/15.htm","| ","title=|",Y1190,"| target=|_top|&gt;",Y1192,"&lt;/a&gt;")</f>
        <v>&lt;/li&gt;&lt;li&gt;&lt;a href=|http://bibleoutline.org/1_chronicles/15.htm| title=|Outline with People and Places List| target=|_top|&gt;Outline&lt;/a&gt;</v>
      </c>
      <c r="Z353" t="str">
        <f t="shared" si="1408"/>
        <v>&lt;/li&gt;&lt;li&gt;&lt;a href=|http://kjvs.scripturetext.com/1_chronicles/15.htm| title=|King James Bible with Strong's Numbers| target=|_top|&gt;Strong's&lt;/a&gt;</v>
      </c>
      <c r="AA353" t="str">
        <f t="shared" si="1408"/>
        <v>&lt;/li&gt;&lt;li&gt;&lt;a href=|http://childrensbibleonline.com/1_chronicles/15.htm| title=|The Children's Bible| target=|_top|&gt;Children's&lt;/a&gt;</v>
      </c>
      <c r="AB353" s="2" t="str">
        <f t="shared" si="1408"/>
        <v>&lt;/li&gt;&lt;li&gt;&lt;a href=|http://tsk.scripturetext.com/1_chronicles/15.htm| title=|Treasury of Scripture Knowledge| target=|_top|&gt;TSK&lt;/a&gt;</v>
      </c>
      <c r="AC353" t="str">
        <f>CONCATENATE("&lt;a href=|http://",AC1191,"/1_chronicles/15.htm","| ","title=|",AC1190,"| target=|_top|&gt;",AC1192,"&lt;/a&gt;")</f>
        <v>&lt;a href=|http://parallelbible.com/1_chronicles/15.htm| title=|Parallel Chapters| target=|_top|&gt;PAR&lt;/a&gt;</v>
      </c>
      <c r="AD353" s="2" t="str">
        <f t="shared" ref="AD353:AK353" si="1410">CONCATENATE("&lt;/li&gt;&lt;li&gt;&lt;a href=|http://",AD1191,"/1_chronicles/15.htm","| ","title=|",AD1190,"| target=|_top|&gt;",AD1192,"&lt;/a&gt;")</f>
        <v>&lt;/li&gt;&lt;li&gt;&lt;a href=|http://gsb.biblecommenter.com/1_chronicles/15.htm| title=|Geneva Study Bible| target=|_top|&gt;GSB&lt;/a&gt;</v>
      </c>
      <c r="AE353" s="2" t="str">
        <f t="shared" si="1410"/>
        <v>&lt;/li&gt;&lt;li&gt;&lt;a href=|http://jfb.biblecommenter.com/1_chronicles/15.htm| title=|Jamieson-Fausset-Brown Bible Commentary| target=|_top|&gt;JFB&lt;/a&gt;</v>
      </c>
      <c r="AF353" s="2" t="str">
        <f t="shared" si="1410"/>
        <v>&lt;/li&gt;&lt;li&gt;&lt;a href=|http://kjt.biblecommenter.com/1_chronicles/15.htm| title=|King James Translators' Notes| target=|_top|&gt;KJT&lt;/a&gt;</v>
      </c>
      <c r="AG353" s="2" t="str">
        <f t="shared" si="1410"/>
        <v>&lt;/li&gt;&lt;li&gt;&lt;a href=|http://mhc.biblecommenter.com/1_chronicles/15.htm| title=|Matthew Henry's Concise Commentary| target=|_top|&gt;MHC&lt;/a&gt;</v>
      </c>
      <c r="AH353" s="2" t="str">
        <f t="shared" si="1410"/>
        <v>&lt;/li&gt;&lt;li&gt;&lt;a href=|http://sco.biblecommenter.com/1_chronicles/15.htm| title=|Scofield Reference Notes| target=|_top|&gt;SCO&lt;/a&gt;</v>
      </c>
      <c r="AI353" s="2" t="str">
        <f t="shared" si="1410"/>
        <v>&lt;/li&gt;&lt;li&gt;&lt;a href=|http://wes.biblecommenter.com/1_chronicles/15.htm| title=|Wesley's Notes on the Bible| target=|_top|&gt;WES&lt;/a&gt;</v>
      </c>
      <c r="AJ353" t="str">
        <f t="shared" si="1410"/>
        <v>&lt;/li&gt;&lt;li&gt;&lt;a href=|http://worldebible.com/1_chronicles/15.htm| title=|World English Bible| target=|_top|&gt;WEB&lt;/a&gt;</v>
      </c>
      <c r="AK353" t="str">
        <f t="shared" si="1410"/>
        <v>&lt;/li&gt;&lt;li&gt;&lt;a href=|http://yltbible.com/1_chronicles/15.htm| title=|Young's Literal Translation| target=|_top|&gt;YLT&lt;/a&gt;</v>
      </c>
      <c r="AL353" t="str">
        <f>CONCATENATE("&lt;a href=|http://",AL1191,"/1_chronicles/15.htm","| ","title=|",AL1190,"| target=|_top|&gt;",AL1192,"&lt;/a&gt;")</f>
        <v>&lt;a href=|http://kjv.us/1_chronicles/15.htm| title=|American King James Version| target=|_top|&gt;AKJ&lt;/a&gt;</v>
      </c>
      <c r="AM353" t="str">
        <f t="shared" ref="AM353:AN353" si="1411">CONCATENATE("&lt;/li&gt;&lt;li&gt;&lt;a href=|http://",AM1191,"/1_chronicles/15.htm","| ","title=|",AM1190,"| target=|_top|&gt;",AM1192,"&lt;/a&gt;")</f>
        <v>&lt;/li&gt;&lt;li&gt;&lt;a href=|http://basicenglishbible.com/1_chronicles/15.htm| title=|Bible in Basic English| target=|_top|&gt;BBE&lt;/a&gt;</v>
      </c>
      <c r="AN353" t="str">
        <f t="shared" si="1411"/>
        <v>&lt;/li&gt;&lt;li&gt;&lt;a href=|http://darbybible.com/1_chronicles/15.htm| title=|Darby Bible Translation| target=|_top|&gt;DBY&lt;/a&gt;</v>
      </c>
      <c r="AO35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5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5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53" t="str">
        <f>CONCATENATE("&lt;/li&gt;&lt;li&gt;&lt;a href=|http://",AR1191,"/1_chronicles/15.htm","| ","title=|",AR1190,"| target=|_top|&gt;",AR1192,"&lt;/a&gt;")</f>
        <v>&lt;/li&gt;&lt;li&gt;&lt;a href=|http://websterbible.com/1_chronicles/15.htm| title=|Webster's Bible Translation| target=|_top|&gt;WBS&lt;/a&gt;</v>
      </c>
      <c r="AS35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53" t="str">
        <f>CONCATENATE("&lt;/li&gt;&lt;li&gt;&lt;a href=|http://",AT1191,"/1_chronicles/15-1.htm","| ","title=|",AT1190,"| target=|_top|&gt;",AT1192,"&lt;/a&gt;")</f>
        <v>&lt;/li&gt;&lt;li&gt;&lt;a href=|http://biblebrowser.com/1_chronicles/15-1.htm| title=|Split View| target=|_top|&gt;Split&lt;/a&gt;</v>
      </c>
      <c r="AU353" s="2" t="s">
        <v>1276</v>
      </c>
      <c r="AV353" t="s">
        <v>64</v>
      </c>
    </row>
    <row r="354" spans="1:48">
      <c r="A354" t="s">
        <v>622</v>
      </c>
      <c r="B354" t="s">
        <v>407</v>
      </c>
      <c r="C354" t="s">
        <v>624</v>
      </c>
      <c r="D354" t="s">
        <v>1268</v>
      </c>
      <c r="E354" t="s">
        <v>1277</v>
      </c>
      <c r="F354" t="s">
        <v>1304</v>
      </c>
      <c r="G354" t="s">
        <v>1266</v>
      </c>
      <c r="H354" t="s">
        <v>1305</v>
      </c>
      <c r="I354" t="s">
        <v>1303</v>
      </c>
      <c r="J354" t="s">
        <v>1267</v>
      </c>
      <c r="K354" t="s">
        <v>1275</v>
      </c>
      <c r="L354" s="2" t="s">
        <v>1274</v>
      </c>
      <c r="M354" t="str">
        <f t="shared" ref="M354:AB354" si="1412">CONCATENATE("&lt;/li&gt;&lt;li&gt;&lt;a href=|http://",M1191,"/1_chronicles/16.htm","| ","title=|",M1190,"| target=|_top|&gt;",M1192,"&lt;/a&gt;")</f>
        <v>&lt;/li&gt;&lt;li&gt;&lt;a href=|http://niv.scripturetext.com/1_chronicles/16.htm| title=|New International Version| target=|_top|&gt;NIV&lt;/a&gt;</v>
      </c>
      <c r="N354" t="str">
        <f t="shared" si="1412"/>
        <v>&lt;/li&gt;&lt;li&gt;&lt;a href=|http://nlt.scripturetext.com/1_chronicles/16.htm| title=|New Living Translation| target=|_top|&gt;NLT&lt;/a&gt;</v>
      </c>
      <c r="O354" t="str">
        <f t="shared" si="1412"/>
        <v>&lt;/li&gt;&lt;li&gt;&lt;a href=|http://nasb.scripturetext.com/1_chronicles/16.htm| title=|New American Standard Bible| target=|_top|&gt;NAS&lt;/a&gt;</v>
      </c>
      <c r="P354" t="str">
        <f t="shared" si="1412"/>
        <v>&lt;/li&gt;&lt;li&gt;&lt;a href=|http://gwt.scripturetext.com/1_chronicles/16.htm| title=|God's Word Translation| target=|_top|&gt;GWT&lt;/a&gt;</v>
      </c>
      <c r="Q354" t="str">
        <f t="shared" si="1412"/>
        <v>&lt;/li&gt;&lt;li&gt;&lt;a href=|http://kingjbible.com/1_chronicles/16.htm| title=|King James Bible| target=|_top|&gt;KJV&lt;/a&gt;</v>
      </c>
      <c r="R354" t="str">
        <f t="shared" si="1412"/>
        <v>&lt;/li&gt;&lt;li&gt;&lt;a href=|http://asvbible.com/1_chronicles/16.htm| title=|American Standard Version| target=|_top|&gt;ASV&lt;/a&gt;</v>
      </c>
      <c r="S354" t="str">
        <f t="shared" si="1412"/>
        <v>&lt;/li&gt;&lt;li&gt;&lt;a href=|http://drb.scripturetext.com/1_chronicles/16.htm| title=|Douay-Rheims Bible| target=|_top|&gt;DRB&lt;/a&gt;</v>
      </c>
      <c r="T354" t="str">
        <f t="shared" si="1412"/>
        <v>&lt;/li&gt;&lt;li&gt;&lt;a href=|http://erv.scripturetext.com/1_chronicles/16.htm| title=|English Revised Version| target=|_top|&gt;ERV&lt;/a&gt;</v>
      </c>
      <c r="V354" t="str">
        <f>CONCATENATE("&lt;/li&gt;&lt;li&gt;&lt;a href=|http://",V1191,"/1_chronicles/16.htm","| ","title=|",V1190,"| target=|_top|&gt;",V1192,"&lt;/a&gt;")</f>
        <v>&lt;/li&gt;&lt;li&gt;&lt;a href=|http://study.interlinearbible.org/1_chronicles/16.htm| title=|Hebrew Study Bible| target=|_top|&gt;Heb Study&lt;/a&gt;</v>
      </c>
      <c r="W354" t="str">
        <f t="shared" si="1412"/>
        <v>&lt;/li&gt;&lt;li&gt;&lt;a href=|http://apostolic.interlinearbible.org/1_chronicles/16.htm| title=|Apostolic Bible Polyglot Interlinear| target=|_top|&gt;Polyglot&lt;/a&gt;</v>
      </c>
      <c r="X354" t="str">
        <f t="shared" si="1412"/>
        <v>&lt;/li&gt;&lt;li&gt;&lt;a href=|http://interlinearbible.org/1_chronicles/16.htm| title=|Interlinear Bible| target=|_top|&gt;Interlin&lt;/a&gt;</v>
      </c>
      <c r="Y354" t="str">
        <f t="shared" ref="Y354" si="1413">CONCATENATE("&lt;/li&gt;&lt;li&gt;&lt;a href=|http://",Y1191,"/1_chronicles/16.htm","| ","title=|",Y1190,"| target=|_top|&gt;",Y1192,"&lt;/a&gt;")</f>
        <v>&lt;/li&gt;&lt;li&gt;&lt;a href=|http://bibleoutline.org/1_chronicles/16.htm| title=|Outline with People and Places List| target=|_top|&gt;Outline&lt;/a&gt;</v>
      </c>
      <c r="Z354" t="str">
        <f t="shared" si="1412"/>
        <v>&lt;/li&gt;&lt;li&gt;&lt;a href=|http://kjvs.scripturetext.com/1_chronicles/16.htm| title=|King James Bible with Strong's Numbers| target=|_top|&gt;Strong's&lt;/a&gt;</v>
      </c>
      <c r="AA354" t="str">
        <f t="shared" si="1412"/>
        <v>&lt;/li&gt;&lt;li&gt;&lt;a href=|http://childrensbibleonline.com/1_chronicles/16.htm| title=|The Children's Bible| target=|_top|&gt;Children's&lt;/a&gt;</v>
      </c>
      <c r="AB354" s="2" t="str">
        <f t="shared" si="1412"/>
        <v>&lt;/li&gt;&lt;li&gt;&lt;a href=|http://tsk.scripturetext.com/1_chronicles/16.htm| title=|Treasury of Scripture Knowledge| target=|_top|&gt;TSK&lt;/a&gt;</v>
      </c>
      <c r="AC354" t="str">
        <f>CONCATENATE("&lt;a href=|http://",AC1191,"/1_chronicles/16.htm","| ","title=|",AC1190,"| target=|_top|&gt;",AC1192,"&lt;/a&gt;")</f>
        <v>&lt;a href=|http://parallelbible.com/1_chronicles/16.htm| title=|Parallel Chapters| target=|_top|&gt;PAR&lt;/a&gt;</v>
      </c>
      <c r="AD354" s="2" t="str">
        <f t="shared" ref="AD354:AK354" si="1414">CONCATENATE("&lt;/li&gt;&lt;li&gt;&lt;a href=|http://",AD1191,"/1_chronicles/16.htm","| ","title=|",AD1190,"| target=|_top|&gt;",AD1192,"&lt;/a&gt;")</f>
        <v>&lt;/li&gt;&lt;li&gt;&lt;a href=|http://gsb.biblecommenter.com/1_chronicles/16.htm| title=|Geneva Study Bible| target=|_top|&gt;GSB&lt;/a&gt;</v>
      </c>
      <c r="AE354" s="2" t="str">
        <f t="shared" si="1414"/>
        <v>&lt;/li&gt;&lt;li&gt;&lt;a href=|http://jfb.biblecommenter.com/1_chronicles/16.htm| title=|Jamieson-Fausset-Brown Bible Commentary| target=|_top|&gt;JFB&lt;/a&gt;</v>
      </c>
      <c r="AF354" s="2" t="str">
        <f t="shared" si="1414"/>
        <v>&lt;/li&gt;&lt;li&gt;&lt;a href=|http://kjt.biblecommenter.com/1_chronicles/16.htm| title=|King James Translators' Notes| target=|_top|&gt;KJT&lt;/a&gt;</v>
      </c>
      <c r="AG354" s="2" t="str">
        <f t="shared" si="1414"/>
        <v>&lt;/li&gt;&lt;li&gt;&lt;a href=|http://mhc.biblecommenter.com/1_chronicles/16.htm| title=|Matthew Henry's Concise Commentary| target=|_top|&gt;MHC&lt;/a&gt;</v>
      </c>
      <c r="AH354" s="2" t="str">
        <f t="shared" si="1414"/>
        <v>&lt;/li&gt;&lt;li&gt;&lt;a href=|http://sco.biblecommenter.com/1_chronicles/16.htm| title=|Scofield Reference Notes| target=|_top|&gt;SCO&lt;/a&gt;</v>
      </c>
      <c r="AI354" s="2" t="str">
        <f t="shared" si="1414"/>
        <v>&lt;/li&gt;&lt;li&gt;&lt;a href=|http://wes.biblecommenter.com/1_chronicles/16.htm| title=|Wesley's Notes on the Bible| target=|_top|&gt;WES&lt;/a&gt;</v>
      </c>
      <c r="AJ354" t="str">
        <f t="shared" si="1414"/>
        <v>&lt;/li&gt;&lt;li&gt;&lt;a href=|http://worldebible.com/1_chronicles/16.htm| title=|World English Bible| target=|_top|&gt;WEB&lt;/a&gt;</v>
      </c>
      <c r="AK354" t="str">
        <f t="shared" si="1414"/>
        <v>&lt;/li&gt;&lt;li&gt;&lt;a href=|http://yltbible.com/1_chronicles/16.htm| title=|Young's Literal Translation| target=|_top|&gt;YLT&lt;/a&gt;</v>
      </c>
      <c r="AL354" t="str">
        <f>CONCATENATE("&lt;a href=|http://",AL1191,"/1_chronicles/16.htm","| ","title=|",AL1190,"| target=|_top|&gt;",AL1192,"&lt;/a&gt;")</f>
        <v>&lt;a href=|http://kjv.us/1_chronicles/16.htm| title=|American King James Version| target=|_top|&gt;AKJ&lt;/a&gt;</v>
      </c>
      <c r="AM354" t="str">
        <f t="shared" ref="AM354:AN354" si="1415">CONCATENATE("&lt;/li&gt;&lt;li&gt;&lt;a href=|http://",AM1191,"/1_chronicles/16.htm","| ","title=|",AM1190,"| target=|_top|&gt;",AM1192,"&lt;/a&gt;")</f>
        <v>&lt;/li&gt;&lt;li&gt;&lt;a href=|http://basicenglishbible.com/1_chronicles/16.htm| title=|Bible in Basic English| target=|_top|&gt;BBE&lt;/a&gt;</v>
      </c>
      <c r="AN354" t="str">
        <f t="shared" si="1415"/>
        <v>&lt;/li&gt;&lt;li&gt;&lt;a href=|http://darbybible.com/1_chronicles/16.htm| title=|Darby Bible Translation| target=|_top|&gt;DBY&lt;/a&gt;</v>
      </c>
      <c r="AO35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5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5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54" t="str">
        <f>CONCATENATE("&lt;/li&gt;&lt;li&gt;&lt;a href=|http://",AR1191,"/1_chronicles/16.htm","| ","title=|",AR1190,"| target=|_top|&gt;",AR1192,"&lt;/a&gt;")</f>
        <v>&lt;/li&gt;&lt;li&gt;&lt;a href=|http://websterbible.com/1_chronicles/16.htm| title=|Webster's Bible Translation| target=|_top|&gt;WBS&lt;/a&gt;</v>
      </c>
      <c r="AS35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54" t="str">
        <f>CONCATENATE("&lt;/li&gt;&lt;li&gt;&lt;a href=|http://",AT1191,"/1_chronicles/16-1.htm","| ","title=|",AT1190,"| target=|_top|&gt;",AT1192,"&lt;/a&gt;")</f>
        <v>&lt;/li&gt;&lt;li&gt;&lt;a href=|http://biblebrowser.com/1_chronicles/16-1.htm| title=|Split View| target=|_top|&gt;Split&lt;/a&gt;</v>
      </c>
      <c r="AU354" s="2" t="s">
        <v>1276</v>
      </c>
      <c r="AV354" t="s">
        <v>64</v>
      </c>
    </row>
    <row r="355" spans="1:48">
      <c r="A355" t="s">
        <v>622</v>
      </c>
      <c r="B355" t="s">
        <v>408</v>
      </c>
      <c r="C355" t="s">
        <v>624</v>
      </c>
      <c r="D355" t="s">
        <v>1268</v>
      </c>
      <c r="E355" t="s">
        <v>1277</v>
      </c>
      <c r="F355" t="s">
        <v>1304</v>
      </c>
      <c r="G355" t="s">
        <v>1266</v>
      </c>
      <c r="H355" t="s">
        <v>1305</v>
      </c>
      <c r="I355" t="s">
        <v>1303</v>
      </c>
      <c r="J355" t="s">
        <v>1267</v>
      </c>
      <c r="K355" t="s">
        <v>1275</v>
      </c>
      <c r="L355" s="2" t="s">
        <v>1274</v>
      </c>
      <c r="M355" t="str">
        <f t="shared" ref="M355:AB355" si="1416">CONCATENATE("&lt;/li&gt;&lt;li&gt;&lt;a href=|http://",M1191,"/1_chronicles/17.htm","| ","title=|",M1190,"| target=|_top|&gt;",M1192,"&lt;/a&gt;")</f>
        <v>&lt;/li&gt;&lt;li&gt;&lt;a href=|http://niv.scripturetext.com/1_chronicles/17.htm| title=|New International Version| target=|_top|&gt;NIV&lt;/a&gt;</v>
      </c>
      <c r="N355" t="str">
        <f t="shared" si="1416"/>
        <v>&lt;/li&gt;&lt;li&gt;&lt;a href=|http://nlt.scripturetext.com/1_chronicles/17.htm| title=|New Living Translation| target=|_top|&gt;NLT&lt;/a&gt;</v>
      </c>
      <c r="O355" t="str">
        <f t="shared" si="1416"/>
        <v>&lt;/li&gt;&lt;li&gt;&lt;a href=|http://nasb.scripturetext.com/1_chronicles/17.htm| title=|New American Standard Bible| target=|_top|&gt;NAS&lt;/a&gt;</v>
      </c>
      <c r="P355" t="str">
        <f t="shared" si="1416"/>
        <v>&lt;/li&gt;&lt;li&gt;&lt;a href=|http://gwt.scripturetext.com/1_chronicles/17.htm| title=|God's Word Translation| target=|_top|&gt;GWT&lt;/a&gt;</v>
      </c>
      <c r="Q355" t="str">
        <f t="shared" si="1416"/>
        <v>&lt;/li&gt;&lt;li&gt;&lt;a href=|http://kingjbible.com/1_chronicles/17.htm| title=|King James Bible| target=|_top|&gt;KJV&lt;/a&gt;</v>
      </c>
      <c r="R355" t="str">
        <f t="shared" si="1416"/>
        <v>&lt;/li&gt;&lt;li&gt;&lt;a href=|http://asvbible.com/1_chronicles/17.htm| title=|American Standard Version| target=|_top|&gt;ASV&lt;/a&gt;</v>
      </c>
      <c r="S355" t="str">
        <f t="shared" si="1416"/>
        <v>&lt;/li&gt;&lt;li&gt;&lt;a href=|http://drb.scripturetext.com/1_chronicles/17.htm| title=|Douay-Rheims Bible| target=|_top|&gt;DRB&lt;/a&gt;</v>
      </c>
      <c r="T355" t="str">
        <f t="shared" si="1416"/>
        <v>&lt;/li&gt;&lt;li&gt;&lt;a href=|http://erv.scripturetext.com/1_chronicles/17.htm| title=|English Revised Version| target=|_top|&gt;ERV&lt;/a&gt;</v>
      </c>
      <c r="V355" t="str">
        <f>CONCATENATE("&lt;/li&gt;&lt;li&gt;&lt;a href=|http://",V1191,"/1_chronicles/17.htm","| ","title=|",V1190,"| target=|_top|&gt;",V1192,"&lt;/a&gt;")</f>
        <v>&lt;/li&gt;&lt;li&gt;&lt;a href=|http://study.interlinearbible.org/1_chronicles/17.htm| title=|Hebrew Study Bible| target=|_top|&gt;Heb Study&lt;/a&gt;</v>
      </c>
      <c r="W355" t="str">
        <f t="shared" si="1416"/>
        <v>&lt;/li&gt;&lt;li&gt;&lt;a href=|http://apostolic.interlinearbible.org/1_chronicles/17.htm| title=|Apostolic Bible Polyglot Interlinear| target=|_top|&gt;Polyglot&lt;/a&gt;</v>
      </c>
      <c r="X355" t="str">
        <f t="shared" si="1416"/>
        <v>&lt;/li&gt;&lt;li&gt;&lt;a href=|http://interlinearbible.org/1_chronicles/17.htm| title=|Interlinear Bible| target=|_top|&gt;Interlin&lt;/a&gt;</v>
      </c>
      <c r="Y355" t="str">
        <f t="shared" ref="Y355" si="1417">CONCATENATE("&lt;/li&gt;&lt;li&gt;&lt;a href=|http://",Y1191,"/1_chronicles/17.htm","| ","title=|",Y1190,"| target=|_top|&gt;",Y1192,"&lt;/a&gt;")</f>
        <v>&lt;/li&gt;&lt;li&gt;&lt;a href=|http://bibleoutline.org/1_chronicles/17.htm| title=|Outline with People and Places List| target=|_top|&gt;Outline&lt;/a&gt;</v>
      </c>
      <c r="Z355" t="str">
        <f t="shared" si="1416"/>
        <v>&lt;/li&gt;&lt;li&gt;&lt;a href=|http://kjvs.scripturetext.com/1_chronicles/17.htm| title=|King James Bible with Strong's Numbers| target=|_top|&gt;Strong's&lt;/a&gt;</v>
      </c>
      <c r="AA355" t="str">
        <f t="shared" si="1416"/>
        <v>&lt;/li&gt;&lt;li&gt;&lt;a href=|http://childrensbibleonline.com/1_chronicles/17.htm| title=|The Children's Bible| target=|_top|&gt;Children's&lt;/a&gt;</v>
      </c>
      <c r="AB355" s="2" t="str">
        <f t="shared" si="1416"/>
        <v>&lt;/li&gt;&lt;li&gt;&lt;a href=|http://tsk.scripturetext.com/1_chronicles/17.htm| title=|Treasury of Scripture Knowledge| target=|_top|&gt;TSK&lt;/a&gt;</v>
      </c>
      <c r="AC355" t="str">
        <f>CONCATENATE("&lt;a href=|http://",AC1191,"/1_chronicles/17.htm","| ","title=|",AC1190,"| target=|_top|&gt;",AC1192,"&lt;/a&gt;")</f>
        <v>&lt;a href=|http://parallelbible.com/1_chronicles/17.htm| title=|Parallel Chapters| target=|_top|&gt;PAR&lt;/a&gt;</v>
      </c>
      <c r="AD355" s="2" t="str">
        <f t="shared" ref="AD355:AK355" si="1418">CONCATENATE("&lt;/li&gt;&lt;li&gt;&lt;a href=|http://",AD1191,"/1_chronicles/17.htm","| ","title=|",AD1190,"| target=|_top|&gt;",AD1192,"&lt;/a&gt;")</f>
        <v>&lt;/li&gt;&lt;li&gt;&lt;a href=|http://gsb.biblecommenter.com/1_chronicles/17.htm| title=|Geneva Study Bible| target=|_top|&gt;GSB&lt;/a&gt;</v>
      </c>
      <c r="AE355" s="2" t="str">
        <f t="shared" si="1418"/>
        <v>&lt;/li&gt;&lt;li&gt;&lt;a href=|http://jfb.biblecommenter.com/1_chronicles/17.htm| title=|Jamieson-Fausset-Brown Bible Commentary| target=|_top|&gt;JFB&lt;/a&gt;</v>
      </c>
      <c r="AF355" s="2" t="str">
        <f t="shared" si="1418"/>
        <v>&lt;/li&gt;&lt;li&gt;&lt;a href=|http://kjt.biblecommenter.com/1_chronicles/17.htm| title=|King James Translators' Notes| target=|_top|&gt;KJT&lt;/a&gt;</v>
      </c>
      <c r="AG355" s="2" t="str">
        <f t="shared" si="1418"/>
        <v>&lt;/li&gt;&lt;li&gt;&lt;a href=|http://mhc.biblecommenter.com/1_chronicles/17.htm| title=|Matthew Henry's Concise Commentary| target=|_top|&gt;MHC&lt;/a&gt;</v>
      </c>
      <c r="AH355" s="2" t="str">
        <f t="shared" si="1418"/>
        <v>&lt;/li&gt;&lt;li&gt;&lt;a href=|http://sco.biblecommenter.com/1_chronicles/17.htm| title=|Scofield Reference Notes| target=|_top|&gt;SCO&lt;/a&gt;</v>
      </c>
      <c r="AI355" s="2" t="str">
        <f t="shared" si="1418"/>
        <v>&lt;/li&gt;&lt;li&gt;&lt;a href=|http://wes.biblecommenter.com/1_chronicles/17.htm| title=|Wesley's Notes on the Bible| target=|_top|&gt;WES&lt;/a&gt;</v>
      </c>
      <c r="AJ355" t="str">
        <f t="shared" si="1418"/>
        <v>&lt;/li&gt;&lt;li&gt;&lt;a href=|http://worldebible.com/1_chronicles/17.htm| title=|World English Bible| target=|_top|&gt;WEB&lt;/a&gt;</v>
      </c>
      <c r="AK355" t="str">
        <f t="shared" si="1418"/>
        <v>&lt;/li&gt;&lt;li&gt;&lt;a href=|http://yltbible.com/1_chronicles/17.htm| title=|Young's Literal Translation| target=|_top|&gt;YLT&lt;/a&gt;</v>
      </c>
      <c r="AL355" t="str">
        <f>CONCATENATE("&lt;a href=|http://",AL1191,"/1_chronicles/17.htm","| ","title=|",AL1190,"| target=|_top|&gt;",AL1192,"&lt;/a&gt;")</f>
        <v>&lt;a href=|http://kjv.us/1_chronicles/17.htm| title=|American King James Version| target=|_top|&gt;AKJ&lt;/a&gt;</v>
      </c>
      <c r="AM355" t="str">
        <f t="shared" ref="AM355:AN355" si="1419">CONCATENATE("&lt;/li&gt;&lt;li&gt;&lt;a href=|http://",AM1191,"/1_chronicles/17.htm","| ","title=|",AM1190,"| target=|_top|&gt;",AM1192,"&lt;/a&gt;")</f>
        <v>&lt;/li&gt;&lt;li&gt;&lt;a href=|http://basicenglishbible.com/1_chronicles/17.htm| title=|Bible in Basic English| target=|_top|&gt;BBE&lt;/a&gt;</v>
      </c>
      <c r="AN355" t="str">
        <f t="shared" si="1419"/>
        <v>&lt;/li&gt;&lt;li&gt;&lt;a href=|http://darbybible.com/1_chronicles/17.htm| title=|Darby Bible Translation| target=|_top|&gt;DBY&lt;/a&gt;</v>
      </c>
      <c r="AO35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5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5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55" t="str">
        <f>CONCATENATE("&lt;/li&gt;&lt;li&gt;&lt;a href=|http://",AR1191,"/1_chronicles/17.htm","| ","title=|",AR1190,"| target=|_top|&gt;",AR1192,"&lt;/a&gt;")</f>
        <v>&lt;/li&gt;&lt;li&gt;&lt;a href=|http://websterbible.com/1_chronicles/17.htm| title=|Webster's Bible Translation| target=|_top|&gt;WBS&lt;/a&gt;</v>
      </c>
      <c r="AS35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55" t="str">
        <f>CONCATENATE("&lt;/li&gt;&lt;li&gt;&lt;a href=|http://",AT1191,"/1_chronicles/17-1.htm","| ","title=|",AT1190,"| target=|_top|&gt;",AT1192,"&lt;/a&gt;")</f>
        <v>&lt;/li&gt;&lt;li&gt;&lt;a href=|http://biblebrowser.com/1_chronicles/17-1.htm| title=|Split View| target=|_top|&gt;Split&lt;/a&gt;</v>
      </c>
      <c r="AU355" s="2" t="s">
        <v>1276</v>
      </c>
      <c r="AV355" t="s">
        <v>64</v>
      </c>
    </row>
    <row r="356" spans="1:48">
      <c r="A356" t="s">
        <v>622</v>
      </c>
      <c r="B356" t="s">
        <v>409</v>
      </c>
      <c r="C356" t="s">
        <v>624</v>
      </c>
      <c r="D356" t="s">
        <v>1268</v>
      </c>
      <c r="E356" t="s">
        <v>1277</v>
      </c>
      <c r="F356" t="s">
        <v>1304</v>
      </c>
      <c r="G356" t="s">
        <v>1266</v>
      </c>
      <c r="H356" t="s">
        <v>1305</v>
      </c>
      <c r="I356" t="s">
        <v>1303</v>
      </c>
      <c r="J356" t="s">
        <v>1267</v>
      </c>
      <c r="K356" t="s">
        <v>1275</v>
      </c>
      <c r="L356" s="2" t="s">
        <v>1274</v>
      </c>
      <c r="M356" t="str">
        <f t="shared" ref="M356:AB356" si="1420">CONCATENATE("&lt;/li&gt;&lt;li&gt;&lt;a href=|http://",M1191,"/1_chronicles/18.htm","| ","title=|",M1190,"| target=|_top|&gt;",M1192,"&lt;/a&gt;")</f>
        <v>&lt;/li&gt;&lt;li&gt;&lt;a href=|http://niv.scripturetext.com/1_chronicles/18.htm| title=|New International Version| target=|_top|&gt;NIV&lt;/a&gt;</v>
      </c>
      <c r="N356" t="str">
        <f t="shared" si="1420"/>
        <v>&lt;/li&gt;&lt;li&gt;&lt;a href=|http://nlt.scripturetext.com/1_chronicles/18.htm| title=|New Living Translation| target=|_top|&gt;NLT&lt;/a&gt;</v>
      </c>
      <c r="O356" t="str">
        <f t="shared" si="1420"/>
        <v>&lt;/li&gt;&lt;li&gt;&lt;a href=|http://nasb.scripturetext.com/1_chronicles/18.htm| title=|New American Standard Bible| target=|_top|&gt;NAS&lt;/a&gt;</v>
      </c>
      <c r="P356" t="str">
        <f t="shared" si="1420"/>
        <v>&lt;/li&gt;&lt;li&gt;&lt;a href=|http://gwt.scripturetext.com/1_chronicles/18.htm| title=|God's Word Translation| target=|_top|&gt;GWT&lt;/a&gt;</v>
      </c>
      <c r="Q356" t="str">
        <f t="shared" si="1420"/>
        <v>&lt;/li&gt;&lt;li&gt;&lt;a href=|http://kingjbible.com/1_chronicles/18.htm| title=|King James Bible| target=|_top|&gt;KJV&lt;/a&gt;</v>
      </c>
      <c r="R356" t="str">
        <f t="shared" si="1420"/>
        <v>&lt;/li&gt;&lt;li&gt;&lt;a href=|http://asvbible.com/1_chronicles/18.htm| title=|American Standard Version| target=|_top|&gt;ASV&lt;/a&gt;</v>
      </c>
      <c r="S356" t="str">
        <f t="shared" si="1420"/>
        <v>&lt;/li&gt;&lt;li&gt;&lt;a href=|http://drb.scripturetext.com/1_chronicles/18.htm| title=|Douay-Rheims Bible| target=|_top|&gt;DRB&lt;/a&gt;</v>
      </c>
      <c r="T356" t="str">
        <f t="shared" si="1420"/>
        <v>&lt;/li&gt;&lt;li&gt;&lt;a href=|http://erv.scripturetext.com/1_chronicles/18.htm| title=|English Revised Version| target=|_top|&gt;ERV&lt;/a&gt;</v>
      </c>
      <c r="V356" t="str">
        <f>CONCATENATE("&lt;/li&gt;&lt;li&gt;&lt;a href=|http://",V1191,"/1_chronicles/18.htm","| ","title=|",V1190,"| target=|_top|&gt;",V1192,"&lt;/a&gt;")</f>
        <v>&lt;/li&gt;&lt;li&gt;&lt;a href=|http://study.interlinearbible.org/1_chronicles/18.htm| title=|Hebrew Study Bible| target=|_top|&gt;Heb Study&lt;/a&gt;</v>
      </c>
      <c r="W356" t="str">
        <f t="shared" si="1420"/>
        <v>&lt;/li&gt;&lt;li&gt;&lt;a href=|http://apostolic.interlinearbible.org/1_chronicles/18.htm| title=|Apostolic Bible Polyglot Interlinear| target=|_top|&gt;Polyglot&lt;/a&gt;</v>
      </c>
      <c r="X356" t="str">
        <f t="shared" si="1420"/>
        <v>&lt;/li&gt;&lt;li&gt;&lt;a href=|http://interlinearbible.org/1_chronicles/18.htm| title=|Interlinear Bible| target=|_top|&gt;Interlin&lt;/a&gt;</v>
      </c>
      <c r="Y356" t="str">
        <f t="shared" ref="Y356" si="1421">CONCATENATE("&lt;/li&gt;&lt;li&gt;&lt;a href=|http://",Y1191,"/1_chronicles/18.htm","| ","title=|",Y1190,"| target=|_top|&gt;",Y1192,"&lt;/a&gt;")</f>
        <v>&lt;/li&gt;&lt;li&gt;&lt;a href=|http://bibleoutline.org/1_chronicles/18.htm| title=|Outline with People and Places List| target=|_top|&gt;Outline&lt;/a&gt;</v>
      </c>
      <c r="Z356" t="str">
        <f t="shared" si="1420"/>
        <v>&lt;/li&gt;&lt;li&gt;&lt;a href=|http://kjvs.scripturetext.com/1_chronicles/18.htm| title=|King James Bible with Strong's Numbers| target=|_top|&gt;Strong's&lt;/a&gt;</v>
      </c>
      <c r="AA356" t="str">
        <f t="shared" si="1420"/>
        <v>&lt;/li&gt;&lt;li&gt;&lt;a href=|http://childrensbibleonline.com/1_chronicles/18.htm| title=|The Children's Bible| target=|_top|&gt;Children's&lt;/a&gt;</v>
      </c>
      <c r="AB356" s="2" t="str">
        <f t="shared" si="1420"/>
        <v>&lt;/li&gt;&lt;li&gt;&lt;a href=|http://tsk.scripturetext.com/1_chronicles/18.htm| title=|Treasury of Scripture Knowledge| target=|_top|&gt;TSK&lt;/a&gt;</v>
      </c>
      <c r="AC356" t="str">
        <f>CONCATENATE("&lt;a href=|http://",AC1191,"/1_chronicles/18.htm","| ","title=|",AC1190,"| target=|_top|&gt;",AC1192,"&lt;/a&gt;")</f>
        <v>&lt;a href=|http://parallelbible.com/1_chronicles/18.htm| title=|Parallel Chapters| target=|_top|&gt;PAR&lt;/a&gt;</v>
      </c>
      <c r="AD356" s="2" t="str">
        <f t="shared" ref="AD356:AK356" si="1422">CONCATENATE("&lt;/li&gt;&lt;li&gt;&lt;a href=|http://",AD1191,"/1_chronicles/18.htm","| ","title=|",AD1190,"| target=|_top|&gt;",AD1192,"&lt;/a&gt;")</f>
        <v>&lt;/li&gt;&lt;li&gt;&lt;a href=|http://gsb.biblecommenter.com/1_chronicles/18.htm| title=|Geneva Study Bible| target=|_top|&gt;GSB&lt;/a&gt;</v>
      </c>
      <c r="AE356" s="2" t="str">
        <f t="shared" si="1422"/>
        <v>&lt;/li&gt;&lt;li&gt;&lt;a href=|http://jfb.biblecommenter.com/1_chronicles/18.htm| title=|Jamieson-Fausset-Brown Bible Commentary| target=|_top|&gt;JFB&lt;/a&gt;</v>
      </c>
      <c r="AF356" s="2" t="str">
        <f t="shared" si="1422"/>
        <v>&lt;/li&gt;&lt;li&gt;&lt;a href=|http://kjt.biblecommenter.com/1_chronicles/18.htm| title=|King James Translators' Notes| target=|_top|&gt;KJT&lt;/a&gt;</v>
      </c>
      <c r="AG356" s="2" t="str">
        <f t="shared" si="1422"/>
        <v>&lt;/li&gt;&lt;li&gt;&lt;a href=|http://mhc.biblecommenter.com/1_chronicles/18.htm| title=|Matthew Henry's Concise Commentary| target=|_top|&gt;MHC&lt;/a&gt;</v>
      </c>
      <c r="AH356" s="2" t="str">
        <f t="shared" si="1422"/>
        <v>&lt;/li&gt;&lt;li&gt;&lt;a href=|http://sco.biblecommenter.com/1_chronicles/18.htm| title=|Scofield Reference Notes| target=|_top|&gt;SCO&lt;/a&gt;</v>
      </c>
      <c r="AI356" s="2" t="str">
        <f t="shared" si="1422"/>
        <v>&lt;/li&gt;&lt;li&gt;&lt;a href=|http://wes.biblecommenter.com/1_chronicles/18.htm| title=|Wesley's Notes on the Bible| target=|_top|&gt;WES&lt;/a&gt;</v>
      </c>
      <c r="AJ356" t="str">
        <f t="shared" si="1422"/>
        <v>&lt;/li&gt;&lt;li&gt;&lt;a href=|http://worldebible.com/1_chronicles/18.htm| title=|World English Bible| target=|_top|&gt;WEB&lt;/a&gt;</v>
      </c>
      <c r="AK356" t="str">
        <f t="shared" si="1422"/>
        <v>&lt;/li&gt;&lt;li&gt;&lt;a href=|http://yltbible.com/1_chronicles/18.htm| title=|Young's Literal Translation| target=|_top|&gt;YLT&lt;/a&gt;</v>
      </c>
      <c r="AL356" t="str">
        <f>CONCATENATE("&lt;a href=|http://",AL1191,"/1_chronicles/18.htm","| ","title=|",AL1190,"| target=|_top|&gt;",AL1192,"&lt;/a&gt;")</f>
        <v>&lt;a href=|http://kjv.us/1_chronicles/18.htm| title=|American King James Version| target=|_top|&gt;AKJ&lt;/a&gt;</v>
      </c>
      <c r="AM356" t="str">
        <f t="shared" ref="AM356:AN356" si="1423">CONCATENATE("&lt;/li&gt;&lt;li&gt;&lt;a href=|http://",AM1191,"/1_chronicles/18.htm","| ","title=|",AM1190,"| target=|_top|&gt;",AM1192,"&lt;/a&gt;")</f>
        <v>&lt;/li&gt;&lt;li&gt;&lt;a href=|http://basicenglishbible.com/1_chronicles/18.htm| title=|Bible in Basic English| target=|_top|&gt;BBE&lt;/a&gt;</v>
      </c>
      <c r="AN356" t="str">
        <f t="shared" si="1423"/>
        <v>&lt;/li&gt;&lt;li&gt;&lt;a href=|http://darbybible.com/1_chronicles/18.htm| title=|Darby Bible Translation| target=|_top|&gt;DBY&lt;/a&gt;</v>
      </c>
      <c r="AO35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5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5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56" t="str">
        <f>CONCATENATE("&lt;/li&gt;&lt;li&gt;&lt;a href=|http://",AR1191,"/1_chronicles/18.htm","| ","title=|",AR1190,"| target=|_top|&gt;",AR1192,"&lt;/a&gt;")</f>
        <v>&lt;/li&gt;&lt;li&gt;&lt;a href=|http://websterbible.com/1_chronicles/18.htm| title=|Webster's Bible Translation| target=|_top|&gt;WBS&lt;/a&gt;</v>
      </c>
      <c r="AS35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56" t="str">
        <f>CONCATENATE("&lt;/li&gt;&lt;li&gt;&lt;a href=|http://",AT1191,"/1_chronicles/18-1.htm","| ","title=|",AT1190,"| target=|_top|&gt;",AT1192,"&lt;/a&gt;")</f>
        <v>&lt;/li&gt;&lt;li&gt;&lt;a href=|http://biblebrowser.com/1_chronicles/18-1.htm| title=|Split View| target=|_top|&gt;Split&lt;/a&gt;</v>
      </c>
      <c r="AU356" s="2" t="s">
        <v>1276</v>
      </c>
      <c r="AV356" t="s">
        <v>64</v>
      </c>
    </row>
    <row r="357" spans="1:48">
      <c r="A357" t="s">
        <v>622</v>
      </c>
      <c r="B357" t="s">
        <v>410</v>
      </c>
      <c r="C357" t="s">
        <v>624</v>
      </c>
      <c r="D357" t="s">
        <v>1268</v>
      </c>
      <c r="E357" t="s">
        <v>1277</v>
      </c>
      <c r="F357" t="s">
        <v>1304</v>
      </c>
      <c r="G357" t="s">
        <v>1266</v>
      </c>
      <c r="H357" t="s">
        <v>1305</v>
      </c>
      <c r="I357" t="s">
        <v>1303</v>
      </c>
      <c r="J357" t="s">
        <v>1267</v>
      </c>
      <c r="K357" t="s">
        <v>1275</v>
      </c>
      <c r="L357" s="2" t="s">
        <v>1274</v>
      </c>
      <c r="M357" t="str">
        <f t="shared" ref="M357:AB357" si="1424">CONCATENATE("&lt;/li&gt;&lt;li&gt;&lt;a href=|http://",M1191,"/1_chronicles/19.htm","| ","title=|",M1190,"| target=|_top|&gt;",M1192,"&lt;/a&gt;")</f>
        <v>&lt;/li&gt;&lt;li&gt;&lt;a href=|http://niv.scripturetext.com/1_chronicles/19.htm| title=|New International Version| target=|_top|&gt;NIV&lt;/a&gt;</v>
      </c>
      <c r="N357" t="str">
        <f t="shared" si="1424"/>
        <v>&lt;/li&gt;&lt;li&gt;&lt;a href=|http://nlt.scripturetext.com/1_chronicles/19.htm| title=|New Living Translation| target=|_top|&gt;NLT&lt;/a&gt;</v>
      </c>
      <c r="O357" t="str">
        <f t="shared" si="1424"/>
        <v>&lt;/li&gt;&lt;li&gt;&lt;a href=|http://nasb.scripturetext.com/1_chronicles/19.htm| title=|New American Standard Bible| target=|_top|&gt;NAS&lt;/a&gt;</v>
      </c>
      <c r="P357" t="str">
        <f t="shared" si="1424"/>
        <v>&lt;/li&gt;&lt;li&gt;&lt;a href=|http://gwt.scripturetext.com/1_chronicles/19.htm| title=|God's Word Translation| target=|_top|&gt;GWT&lt;/a&gt;</v>
      </c>
      <c r="Q357" t="str">
        <f t="shared" si="1424"/>
        <v>&lt;/li&gt;&lt;li&gt;&lt;a href=|http://kingjbible.com/1_chronicles/19.htm| title=|King James Bible| target=|_top|&gt;KJV&lt;/a&gt;</v>
      </c>
      <c r="R357" t="str">
        <f t="shared" si="1424"/>
        <v>&lt;/li&gt;&lt;li&gt;&lt;a href=|http://asvbible.com/1_chronicles/19.htm| title=|American Standard Version| target=|_top|&gt;ASV&lt;/a&gt;</v>
      </c>
      <c r="S357" t="str">
        <f t="shared" si="1424"/>
        <v>&lt;/li&gt;&lt;li&gt;&lt;a href=|http://drb.scripturetext.com/1_chronicles/19.htm| title=|Douay-Rheims Bible| target=|_top|&gt;DRB&lt;/a&gt;</v>
      </c>
      <c r="T357" t="str">
        <f t="shared" si="1424"/>
        <v>&lt;/li&gt;&lt;li&gt;&lt;a href=|http://erv.scripturetext.com/1_chronicles/19.htm| title=|English Revised Version| target=|_top|&gt;ERV&lt;/a&gt;</v>
      </c>
      <c r="V357" t="str">
        <f>CONCATENATE("&lt;/li&gt;&lt;li&gt;&lt;a href=|http://",V1191,"/1_chronicles/19.htm","| ","title=|",V1190,"| target=|_top|&gt;",V1192,"&lt;/a&gt;")</f>
        <v>&lt;/li&gt;&lt;li&gt;&lt;a href=|http://study.interlinearbible.org/1_chronicles/19.htm| title=|Hebrew Study Bible| target=|_top|&gt;Heb Study&lt;/a&gt;</v>
      </c>
      <c r="W357" t="str">
        <f t="shared" si="1424"/>
        <v>&lt;/li&gt;&lt;li&gt;&lt;a href=|http://apostolic.interlinearbible.org/1_chronicles/19.htm| title=|Apostolic Bible Polyglot Interlinear| target=|_top|&gt;Polyglot&lt;/a&gt;</v>
      </c>
      <c r="X357" t="str">
        <f t="shared" si="1424"/>
        <v>&lt;/li&gt;&lt;li&gt;&lt;a href=|http://interlinearbible.org/1_chronicles/19.htm| title=|Interlinear Bible| target=|_top|&gt;Interlin&lt;/a&gt;</v>
      </c>
      <c r="Y357" t="str">
        <f t="shared" ref="Y357" si="1425">CONCATENATE("&lt;/li&gt;&lt;li&gt;&lt;a href=|http://",Y1191,"/1_chronicles/19.htm","| ","title=|",Y1190,"| target=|_top|&gt;",Y1192,"&lt;/a&gt;")</f>
        <v>&lt;/li&gt;&lt;li&gt;&lt;a href=|http://bibleoutline.org/1_chronicles/19.htm| title=|Outline with People and Places List| target=|_top|&gt;Outline&lt;/a&gt;</v>
      </c>
      <c r="Z357" t="str">
        <f t="shared" si="1424"/>
        <v>&lt;/li&gt;&lt;li&gt;&lt;a href=|http://kjvs.scripturetext.com/1_chronicles/19.htm| title=|King James Bible with Strong's Numbers| target=|_top|&gt;Strong's&lt;/a&gt;</v>
      </c>
      <c r="AA357" t="str">
        <f t="shared" si="1424"/>
        <v>&lt;/li&gt;&lt;li&gt;&lt;a href=|http://childrensbibleonline.com/1_chronicles/19.htm| title=|The Children's Bible| target=|_top|&gt;Children's&lt;/a&gt;</v>
      </c>
      <c r="AB357" s="2" t="str">
        <f t="shared" si="1424"/>
        <v>&lt;/li&gt;&lt;li&gt;&lt;a href=|http://tsk.scripturetext.com/1_chronicles/19.htm| title=|Treasury of Scripture Knowledge| target=|_top|&gt;TSK&lt;/a&gt;</v>
      </c>
      <c r="AC357" t="str">
        <f>CONCATENATE("&lt;a href=|http://",AC1191,"/1_chronicles/19.htm","| ","title=|",AC1190,"| target=|_top|&gt;",AC1192,"&lt;/a&gt;")</f>
        <v>&lt;a href=|http://parallelbible.com/1_chronicles/19.htm| title=|Parallel Chapters| target=|_top|&gt;PAR&lt;/a&gt;</v>
      </c>
      <c r="AD357" s="2" t="str">
        <f t="shared" ref="AD357:AK357" si="1426">CONCATENATE("&lt;/li&gt;&lt;li&gt;&lt;a href=|http://",AD1191,"/1_chronicles/19.htm","| ","title=|",AD1190,"| target=|_top|&gt;",AD1192,"&lt;/a&gt;")</f>
        <v>&lt;/li&gt;&lt;li&gt;&lt;a href=|http://gsb.biblecommenter.com/1_chronicles/19.htm| title=|Geneva Study Bible| target=|_top|&gt;GSB&lt;/a&gt;</v>
      </c>
      <c r="AE357" s="2" t="str">
        <f t="shared" si="1426"/>
        <v>&lt;/li&gt;&lt;li&gt;&lt;a href=|http://jfb.biblecommenter.com/1_chronicles/19.htm| title=|Jamieson-Fausset-Brown Bible Commentary| target=|_top|&gt;JFB&lt;/a&gt;</v>
      </c>
      <c r="AF357" s="2" t="str">
        <f t="shared" si="1426"/>
        <v>&lt;/li&gt;&lt;li&gt;&lt;a href=|http://kjt.biblecommenter.com/1_chronicles/19.htm| title=|King James Translators' Notes| target=|_top|&gt;KJT&lt;/a&gt;</v>
      </c>
      <c r="AG357" s="2" t="str">
        <f t="shared" si="1426"/>
        <v>&lt;/li&gt;&lt;li&gt;&lt;a href=|http://mhc.biblecommenter.com/1_chronicles/19.htm| title=|Matthew Henry's Concise Commentary| target=|_top|&gt;MHC&lt;/a&gt;</v>
      </c>
      <c r="AH357" s="2" t="str">
        <f t="shared" si="1426"/>
        <v>&lt;/li&gt;&lt;li&gt;&lt;a href=|http://sco.biblecommenter.com/1_chronicles/19.htm| title=|Scofield Reference Notes| target=|_top|&gt;SCO&lt;/a&gt;</v>
      </c>
      <c r="AI357" s="2" t="str">
        <f t="shared" si="1426"/>
        <v>&lt;/li&gt;&lt;li&gt;&lt;a href=|http://wes.biblecommenter.com/1_chronicles/19.htm| title=|Wesley's Notes on the Bible| target=|_top|&gt;WES&lt;/a&gt;</v>
      </c>
      <c r="AJ357" t="str">
        <f t="shared" si="1426"/>
        <v>&lt;/li&gt;&lt;li&gt;&lt;a href=|http://worldebible.com/1_chronicles/19.htm| title=|World English Bible| target=|_top|&gt;WEB&lt;/a&gt;</v>
      </c>
      <c r="AK357" t="str">
        <f t="shared" si="1426"/>
        <v>&lt;/li&gt;&lt;li&gt;&lt;a href=|http://yltbible.com/1_chronicles/19.htm| title=|Young's Literal Translation| target=|_top|&gt;YLT&lt;/a&gt;</v>
      </c>
      <c r="AL357" t="str">
        <f>CONCATENATE("&lt;a href=|http://",AL1191,"/1_chronicles/19.htm","| ","title=|",AL1190,"| target=|_top|&gt;",AL1192,"&lt;/a&gt;")</f>
        <v>&lt;a href=|http://kjv.us/1_chronicles/19.htm| title=|American King James Version| target=|_top|&gt;AKJ&lt;/a&gt;</v>
      </c>
      <c r="AM357" t="str">
        <f t="shared" ref="AM357:AN357" si="1427">CONCATENATE("&lt;/li&gt;&lt;li&gt;&lt;a href=|http://",AM1191,"/1_chronicles/19.htm","| ","title=|",AM1190,"| target=|_top|&gt;",AM1192,"&lt;/a&gt;")</f>
        <v>&lt;/li&gt;&lt;li&gt;&lt;a href=|http://basicenglishbible.com/1_chronicles/19.htm| title=|Bible in Basic English| target=|_top|&gt;BBE&lt;/a&gt;</v>
      </c>
      <c r="AN357" t="str">
        <f t="shared" si="1427"/>
        <v>&lt;/li&gt;&lt;li&gt;&lt;a href=|http://darbybible.com/1_chronicles/19.htm| title=|Darby Bible Translation| target=|_top|&gt;DBY&lt;/a&gt;</v>
      </c>
      <c r="AO35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5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5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57" t="str">
        <f>CONCATENATE("&lt;/li&gt;&lt;li&gt;&lt;a href=|http://",AR1191,"/1_chronicles/19.htm","| ","title=|",AR1190,"| target=|_top|&gt;",AR1192,"&lt;/a&gt;")</f>
        <v>&lt;/li&gt;&lt;li&gt;&lt;a href=|http://websterbible.com/1_chronicles/19.htm| title=|Webster's Bible Translation| target=|_top|&gt;WBS&lt;/a&gt;</v>
      </c>
      <c r="AS35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57" t="str">
        <f>CONCATENATE("&lt;/li&gt;&lt;li&gt;&lt;a href=|http://",AT1191,"/1_chronicles/19-1.htm","| ","title=|",AT1190,"| target=|_top|&gt;",AT1192,"&lt;/a&gt;")</f>
        <v>&lt;/li&gt;&lt;li&gt;&lt;a href=|http://biblebrowser.com/1_chronicles/19-1.htm| title=|Split View| target=|_top|&gt;Split&lt;/a&gt;</v>
      </c>
      <c r="AU357" s="2" t="s">
        <v>1276</v>
      </c>
      <c r="AV357" t="s">
        <v>64</v>
      </c>
    </row>
    <row r="358" spans="1:48">
      <c r="A358" t="s">
        <v>622</v>
      </c>
      <c r="B358" t="s">
        <v>411</v>
      </c>
      <c r="C358" t="s">
        <v>624</v>
      </c>
      <c r="D358" t="s">
        <v>1268</v>
      </c>
      <c r="E358" t="s">
        <v>1277</v>
      </c>
      <c r="F358" t="s">
        <v>1304</v>
      </c>
      <c r="G358" t="s">
        <v>1266</v>
      </c>
      <c r="H358" t="s">
        <v>1305</v>
      </c>
      <c r="I358" t="s">
        <v>1303</v>
      </c>
      <c r="J358" t="s">
        <v>1267</v>
      </c>
      <c r="K358" t="s">
        <v>1275</v>
      </c>
      <c r="L358" s="2" t="s">
        <v>1274</v>
      </c>
      <c r="M358" t="str">
        <f t="shared" ref="M358:AB358" si="1428">CONCATENATE("&lt;/li&gt;&lt;li&gt;&lt;a href=|http://",M1191,"/1_chronicles/20.htm","| ","title=|",M1190,"| target=|_top|&gt;",M1192,"&lt;/a&gt;")</f>
        <v>&lt;/li&gt;&lt;li&gt;&lt;a href=|http://niv.scripturetext.com/1_chronicles/20.htm| title=|New International Version| target=|_top|&gt;NIV&lt;/a&gt;</v>
      </c>
      <c r="N358" t="str">
        <f t="shared" si="1428"/>
        <v>&lt;/li&gt;&lt;li&gt;&lt;a href=|http://nlt.scripturetext.com/1_chronicles/20.htm| title=|New Living Translation| target=|_top|&gt;NLT&lt;/a&gt;</v>
      </c>
      <c r="O358" t="str">
        <f t="shared" si="1428"/>
        <v>&lt;/li&gt;&lt;li&gt;&lt;a href=|http://nasb.scripturetext.com/1_chronicles/20.htm| title=|New American Standard Bible| target=|_top|&gt;NAS&lt;/a&gt;</v>
      </c>
      <c r="P358" t="str">
        <f t="shared" si="1428"/>
        <v>&lt;/li&gt;&lt;li&gt;&lt;a href=|http://gwt.scripturetext.com/1_chronicles/20.htm| title=|God's Word Translation| target=|_top|&gt;GWT&lt;/a&gt;</v>
      </c>
      <c r="Q358" t="str">
        <f t="shared" si="1428"/>
        <v>&lt;/li&gt;&lt;li&gt;&lt;a href=|http://kingjbible.com/1_chronicles/20.htm| title=|King James Bible| target=|_top|&gt;KJV&lt;/a&gt;</v>
      </c>
      <c r="R358" t="str">
        <f t="shared" si="1428"/>
        <v>&lt;/li&gt;&lt;li&gt;&lt;a href=|http://asvbible.com/1_chronicles/20.htm| title=|American Standard Version| target=|_top|&gt;ASV&lt;/a&gt;</v>
      </c>
      <c r="S358" t="str">
        <f t="shared" si="1428"/>
        <v>&lt;/li&gt;&lt;li&gt;&lt;a href=|http://drb.scripturetext.com/1_chronicles/20.htm| title=|Douay-Rheims Bible| target=|_top|&gt;DRB&lt;/a&gt;</v>
      </c>
      <c r="T358" t="str">
        <f t="shared" si="1428"/>
        <v>&lt;/li&gt;&lt;li&gt;&lt;a href=|http://erv.scripturetext.com/1_chronicles/20.htm| title=|English Revised Version| target=|_top|&gt;ERV&lt;/a&gt;</v>
      </c>
      <c r="V358" t="str">
        <f>CONCATENATE("&lt;/li&gt;&lt;li&gt;&lt;a href=|http://",V1191,"/1_chronicles/20.htm","| ","title=|",V1190,"| target=|_top|&gt;",V1192,"&lt;/a&gt;")</f>
        <v>&lt;/li&gt;&lt;li&gt;&lt;a href=|http://study.interlinearbible.org/1_chronicles/20.htm| title=|Hebrew Study Bible| target=|_top|&gt;Heb Study&lt;/a&gt;</v>
      </c>
      <c r="W358" t="str">
        <f t="shared" si="1428"/>
        <v>&lt;/li&gt;&lt;li&gt;&lt;a href=|http://apostolic.interlinearbible.org/1_chronicles/20.htm| title=|Apostolic Bible Polyglot Interlinear| target=|_top|&gt;Polyglot&lt;/a&gt;</v>
      </c>
      <c r="X358" t="str">
        <f t="shared" si="1428"/>
        <v>&lt;/li&gt;&lt;li&gt;&lt;a href=|http://interlinearbible.org/1_chronicles/20.htm| title=|Interlinear Bible| target=|_top|&gt;Interlin&lt;/a&gt;</v>
      </c>
      <c r="Y358" t="str">
        <f t="shared" ref="Y358" si="1429">CONCATENATE("&lt;/li&gt;&lt;li&gt;&lt;a href=|http://",Y1191,"/1_chronicles/20.htm","| ","title=|",Y1190,"| target=|_top|&gt;",Y1192,"&lt;/a&gt;")</f>
        <v>&lt;/li&gt;&lt;li&gt;&lt;a href=|http://bibleoutline.org/1_chronicles/20.htm| title=|Outline with People and Places List| target=|_top|&gt;Outline&lt;/a&gt;</v>
      </c>
      <c r="Z358" t="str">
        <f t="shared" si="1428"/>
        <v>&lt;/li&gt;&lt;li&gt;&lt;a href=|http://kjvs.scripturetext.com/1_chronicles/20.htm| title=|King James Bible with Strong's Numbers| target=|_top|&gt;Strong's&lt;/a&gt;</v>
      </c>
      <c r="AA358" t="str">
        <f t="shared" si="1428"/>
        <v>&lt;/li&gt;&lt;li&gt;&lt;a href=|http://childrensbibleonline.com/1_chronicles/20.htm| title=|The Children's Bible| target=|_top|&gt;Children's&lt;/a&gt;</v>
      </c>
      <c r="AB358" s="2" t="str">
        <f t="shared" si="1428"/>
        <v>&lt;/li&gt;&lt;li&gt;&lt;a href=|http://tsk.scripturetext.com/1_chronicles/20.htm| title=|Treasury of Scripture Knowledge| target=|_top|&gt;TSK&lt;/a&gt;</v>
      </c>
      <c r="AC358" t="str">
        <f>CONCATENATE("&lt;a href=|http://",AC1191,"/1_chronicles/20.htm","| ","title=|",AC1190,"| target=|_top|&gt;",AC1192,"&lt;/a&gt;")</f>
        <v>&lt;a href=|http://parallelbible.com/1_chronicles/20.htm| title=|Parallel Chapters| target=|_top|&gt;PAR&lt;/a&gt;</v>
      </c>
      <c r="AD358" s="2" t="str">
        <f t="shared" ref="AD358:AK358" si="1430">CONCATENATE("&lt;/li&gt;&lt;li&gt;&lt;a href=|http://",AD1191,"/1_chronicles/20.htm","| ","title=|",AD1190,"| target=|_top|&gt;",AD1192,"&lt;/a&gt;")</f>
        <v>&lt;/li&gt;&lt;li&gt;&lt;a href=|http://gsb.biblecommenter.com/1_chronicles/20.htm| title=|Geneva Study Bible| target=|_top|&gt;GSB&lt;/a&gt;</v>
      </c>
      <c r="AE358" s="2" t="str">
        <f t="shared" si="1430"/>
        <v>&lt;/li&gt;&lt;li&gt;&lt;a href=|http://jfb.biblecommenter.com/1_chronicles/20.htm| title=|Jamieson-Fausset-Brown Bible Commentary| target=|_top|&gt;JFB&lt;/a&gt;</v>
      </c>
      <c r="AF358" s="2" t="str">
        <f t="shared" si="1430"/>
        <v>&lt;/li&gt;&lt;li&gt;&lt;a href=|http://kjt.biblecommenter.com/1_chronicles/20.htm| title=|King James Translators' Notes| target=|_top|&gt;KJT&lt;/a&gt;</v>
      </c>
      <c r="AG358" s="2" t="str">
        <f t="shared" si="1430"/>
        <v>&lt;/li&gt;&lt;li&gt;&lt;a href=|http://mhc.biblecommenter.com/1_chronicles/20.htm| title=|Matthew Henry's Concise Commentary| target=|_top|&gt;MHC&lt;/a&gt;</v>
      </c>
      <c r="AH358" s="2" t="str">
        <f t="shared" si="1430"/>
        <v>&lt;/li&gt;&lt;li&gt;&lt;a href=|http://sco.biblecommenter.com/1_chronicles/20.htm| title=|Scofield Reference Notes| target=|_top|&gt;SCO&lt;/a&gt;</v>
      </c>
      <c r="AI358" s="2" t="str">
        <f t="shared" si="1430"/>
        <v>&lt;/li&gt;&lt;li&gt;&lt;a href=|http://wes.biblecommenter.com/1_chronicles/20.htm| title=|Wesley's Notes on the Bible| target=|_top|&gt;WES&lt;/a&gt;</v>
      </c>
      <c r="AJ358" t="str">
        <f t="shared" si="1430"/>
        <v>&lt;/li&gt;&lt;li&gt;&lt;a href=|http://worldebible.com/1_chronicles/20.htm| title=|World English Bible| target=|_top|&gt;WEB&lt;/a&gt;</v>
      </c>
      <c r="AK358" t="str">
        <f t="shared" si="1430"/>
        <v>&lt;/li&gt;&lt;li&gt;&lt;a href=|http://yltbible.com/1_chronicles/20.htm| title=|Young's Literal Translation| target=|_top|&gt;YLT&lt;/a&gt;</v>
      </c>
      <c r="AL358" t="str">
        <f>CONCATENATE("&lt;a href=|http://",AL1191,"/1_chronicles/20.htm","| ","title=|",AL1190,"| target=|_top|&gt;",AL1192,"&lt;/a&gt;")</f>
        <v>&lt;a href=|http://kjv.us/1_chronicles/20.htm| title=|American King James Version| target=|_top|&gt;AKJ&lt;/a&gt;</v>
      </c>
      <c r="AM358" t="str">
        <f t="shared" ref="AM358:AN358" si="1431">CONCATENATE("&lt;/li&gt;&lt;li&gt;&lt;a href=|http://",AM1191,"/1_chronicles/20.htm","| ","title=|",AM1190,"| target=|_top|&gt;",AM1192,"&lt;/a&gt;")</f>
        <v>&lt;/li&gt;&lt;li&gt;&lt;a href=|http://basicenglishbible.com/1_chronicles/20.htm| title=|Bible in Basic English| target=|_top|&gt;BBE&lt;/a&gt;</v>
      </c>
      <c r="AN358" t="str">
        <f t="shared" si="1431"/>
        <v>&lt;/li&gt;&lt;li&gt;&lt;a href=|http://darbybible.com/1_chronicles/20.htm| title=|Darby Bible Translation| target=|_top|&gt;DBY&lt;/a&gt;</v>
      </c>
      <c r="AO35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5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5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58" t="str">
        <f>CONCATENATE("&lt;/li&gt;&lt;li&gt;&lt;a href=|http://",AR1191,"/1_chronicles/20.htm","| ","title=|",AR1190,"| target=|_top|&gt;",AR1192,"&lt;/a&gt;")</f>
        <v>&lt;/li&gt;&lt;li&gt;&lt;a href=|http://websterbible.com/1_chronicles/20.htm| title=|Webster's Bible Translation| target=|_top|&gt;WBS&lt;/a&gt;</v>
      </c>
      <c r="AS35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58" t="str">
        <f>CONCATENATE("&lt;/li&gt;&lt;li&gt;&lt;a href=|http://",AT1191,"/1_chronicles/20-1.htm","| ","title=|",AT1190,"| target=|_top|&gt;",AT1192,"&lt;/a&gt;")</f>
        <v>&lt;/li&gt;&lt;li&gt;&lt;a href=|http://biblebrowser.com/1_chronicles/20-1.htm| title=|Split View| target=|_top|&gt;Split&lt;/a&gt;</v>
      </c>
      <c r="AU358" s="2" t="s">
        <v>1276</v>
      </c>
      <c r="AV358" t="s">
        <v>64</v>
      </c>
    </row>
    <row r="359" spans="1:48">
      <c r="A359" t="s">
        <v>622</v>
      </c>
      <c r="B359" t="s">
        <v>412</v>
      </c>
      <c r="C359" t="s">
        <v>624</v>
      </c>
      <c r="D359" t="s">
        <v>1268</v>
      </c>
      <c r="E359" t="s">
        <v>1277</v>
      </c>
      <c r="F359" t="s">
        <v>1304</v>
      </c>
      <c r="G359" t="s">
        <v>1266</v>
      </c>
      <c r="H359" t="s">
        <v>1305</v>
      </c>
      <c r="I359" t="s">
        <v>1303</v>
      </c>
      <c r="J359" t="s">
        <v>1267</v>
      </c>
      <c r="K359" t="s">
        <v>1275</v>
      </c>
      <c r="L359" s="2" t="s">
        <v>1274</v>
      </c>
      <c r="M359" t="str">
        <f t="shared" ref="M359:AB359" si="1432">CONCATENATE("&lt;/li&gt;&lt;li&gt;&lt;a href=|http://",M1191,"/1_chronicles/21.htm","| ","title=|",M1190,"| target=|_top|&gt;",M1192,"&lt;/a&gt;")</f>
        <v>&lt;/li&gt;&lt;li&gt;&lt;a href=|http://niv.scripturetext.com/1_chronicles/21.htm| title=|New International Version| target=|_top|&gt;NIV&lt;/a&gt;</v>
      </c>
      <c r="N359" t="str">
        <f t="shared" si="1432"/>
        <v>&lt;/li&gt;&lt;li&gt;&lt;a href=|http://nlt.scripturetext.com/1_chronicles/21.htm| title=|New Living Translation| target=|_top|&gt;NLT&lt;/a&gt;</v>
      </c>
      <c r="O359" t="str">
        <f t="shared" si="1432"/>
        <v>&lt;/li&gt;&lt;li&gt;&lt;a href=|http://nasb.scripturetext.com/1_chronicles/21.htm| title=|New American Standard Bible| target=|_top|&gt;NAS&lt;/a&gt;</v>
      </c>
      <c r="P359" t="str">
        <f t="shared" si="1432"/>
        <v>&lt;/li&gt;&lt;li&gt;&lt;a href=|http://gwt.scripturetext.com/1_chronicles/21.htm| title=|God's Word Translation| target=|_top|&gt;GWT&lt;/a&gt;</v>
      </c>
      <c r="Q359" t="str">
        <f t="shared" si="1432"/>
        <v>&lt;/li&gt;&lt;li&gt;&lt;a href=|http://kingjbible.com/1_chronicles/21.htm| title=|King James Bible| target=|_top|&gt;KJV&lt;/a&gt;</v>
      </c>
      <c r="R359" t="str">
        <f t="shared" si="1432"/>
        <v>&lt;/li&gt;&lt;li&gt;&lt;a href=|http://asvbible.com/1_chronicles/21.htm| title=|American Standard Version| target=|_top|&gt;ASV&lt;/a&gt;</v>
      </c>
      <c r="S359" t="str">
        <f t="shared" si="1432"/>
        <v>&lt;/li&gt;&lt;li&gt;&lt;a href=|http://drb.scripturetext.com/1_chronicles/21.htm| title=|Douay-Rheims Bible| target=|_top|&gt;DRB&lt;/a&gt;</v>
      </c>
      <c r="T359" t="str">
        <f t="shared" si="1432"/>
        <v>&lt;/li&gt;&lt;li&gt;&lt;a href=|http://erv.scripturetext.com/1_chronicles/21.htm| title=|English Revised Version| target=|_top|&gt;ERV&lt;/a&gt;</v>
      </c>
      <c r="V359" t="str">
        <f>CONCATENATE("&lt;/li&gt;&lt;li&gt;&lt;a href=|http://",V1191,"/1_chronicles/21.htm","| ","title=|",V1190,"| target=|_top|&gt;",V1192,"&lt;/a&gt;")</f>
        <v>&lt;/li&gt;&lt;li&gt;&lt;a href=|http://study.interlinearbible.org/1_chronicles/21.htm| title=|Hebrew Study Bible| target=|_top|&gt;Heb Study&lt;/a&gt;</v>
      </c>
      <c r="W359" t="str">
        <f t="shared" si="1432"/>
        <v>&lt;/li&gt;&lt;li&gt;&lt;a href=|http://apostolic.interlinearbible.org/1_chronicles/21.htm| title=|Apostolic Bible Polyglot Interlinear| target=|_top|&gt;Polyglot&lt;/a&gt;</v>
      </c>
      <c r="X359" t="str">
        <f t="shared" si="1432"/>
        <v>&lt;/li&gt;&lt;li&gt;&lt;a href=|http://interlinearbible.org/1_chronicles/21.htm| title=|Interlinear Bible| target=|_top|&gt;Interlin&lt;/a&gt;</v>
      </c>
      <c r="Y359" t="str">
        <f t="shared" ref="Y359" si="1433">CONCATENATE("&lt;/li&gt;&lt;li&gt;&lt;a href=|http://",Y1191,"/1_chronicles/21.htm","| ","title=|",Y1190,"| target=|_top|&gt;",Y1192,"&lt;/a&gt;")</f>
        <v>&lt;/li&gt;&lt;li&gt;&lt;a href=|http://bibleoutline.org/1_chronicles/21.htm| title=|Outline with People and Places List| target=|_top|&gt;Outline&lt;/a&gt;</v>
      </c>
      <c r="Z359" t="str">
        <f t="shared" si="1432"/>
        <v>&lt;/li&gt;&lt;li&gt;&lt;a href=|http://kjvs.scripturetext.com/1_chronicles/21.htm| title=|King James Bible with Strong's Numbers| target=|_top|&gt;Strong's&lt;/a&gt;</v>
      </c>
      <c r="AA359" t="str">
        <f t="shared" si="1432"/>
        <v>&lt;/li&gt;&lt;li&gt;&lt;a href=|http://childrensbibleonline.com/1_chronicles/21.htm| title=|The Children's Bible| target=|_top|&gt;Children's&lt;/a&gt;</v>
      </c>
      <c r="AB359" s="2" t="str">
        <f t="shared" si="1432"/>
        <v>&lt;/li&gt;&lt;li&gt;&lt;a href=|http://tsk.scripturetext.com/1_chronicles/21.htm| title=|Treasury of Scripture Knowledge| target=|_top|&gt;TSK&lt;/a&gt;</v>
      </c>
      <c r="AC359" t="str">
        <f>CONCATENATE("&lt;a href=|http://",AC1191,"/1_chronicles/21.htm","| ","title=|",AC1190,"| target=|_top|&gt;",AC1192,"&lt;/a&gt;")</f>
        <v>&lt;a href=|http://parallelbible.com/1_chronicles/21.htm| title=|Parallel Chapters| target=|_top|&gt;PAR&lt;/a&gt;</v>
      </c>
      <c r="AD359" s="2" t="str">
        <f t="shared" ref="AD359:AK359" si="1434">CONCATENATE("&lt;/li&gt;&lt;li&gt;&lt;a href=|http://",AD1191,"/1_chronicles/21.htm","| ","title=|",AD1190,"| target=|_top|&gt;",AD1192,"&lt;/a&gt;")</f>
        <v>&lt;/li&gt;&lt;li&gt;&lt;a href=|http://gsb.biblecommenter.com/1_chronicles/21.htm| title=|Geneva Study Bible| target=|_top|&gt;GSB&lt;/a&gt;</v>
      </c>
      <c r="AE359" s="2" t="str">
        <f t="shared" si="1434"/>
        <v>&lt;/li&gt;&lt;li&gt;&lt;a href=|http://jfb.biblecommenter.com/1_chronicles/21.htm| title=|Jamieson-Fausset-Brown Bible Commentary| target=|_top|&gt;JFB&lt;/a&gt;</v>
      </c>
      <c r="AF359" s="2" t="str">
        <f t="shared" si="1434"/>
        <v>&lt;/li&gt;&lt;li&gt;&lt;a href=|http://kjt.biblecommenter.com/1_chronicles/21.htm| title=|King James Translators' Notes| target=|_top|&gt;KJT&lt;/a&gt;</v>
      </c>
      <c r="AG359" s="2" t="str">
        <f t="shared" si="1434"/>
        <v>&lt;/li&gt;&lt;li&gt;&lt;a href=|http://mhc.biblecommenter.com/1_chronicles/21.htm| title=|Matthew Henry's Concise Commentary| target=|_top|&gt;MHC&lt;/a&gt;</v>
      </c>
      <c r="AH359" s="2" t="str">
        <f t="shared" si="1434"/>
        <v>&lt;/li&gt;&lt;li&gt;&lt;a href=|http://sco.biblecommenter.com/1_chronicles/21.htm| title=|Scofield Reference Notes| target=|_top|&gt;SCO&lt;/a&gt;</v>
      </c>
      <c r="AI359" s="2" t="str">
        <f t="shared" si="1434"/>
        <v>&lt;/li&gt;&lt;li&gt;&lt;a href=|http://wes.biblecommenter.com/1_chronicles/21.htm| title=|Wesley's Notes on the Bible| target=|_top|&gt;WES&lt;/a&gt;</v>
      </c>
      <c r="AJ359" t="str">
        <f t="shared" si="1434"/>
        <v>&lt;/li&gt;&lt;li&gt;&lt;a href=|http://worldebible.com/1_chronicles/21.htm| title=|World English Bible| target=|_top|&gt;WEB&lt;/a&gt;</v>
      </c>
      <c r="AK359" t="str">
        <f t="shared" si="1434"/>
        <v>&lt;/li&gt;&lt;li&gt;&lt;a href=|http://yltbible.com/1_chronicles/21.htm| title=|Young's Literal Translation| target=|_top|&gt;YLT&lt;/a&gt;</v>
      </c>
      <c r="AL359" t="str">
        <f>CONCATENATE("&lt;a href=|http://",AL1191,"/1_chronicles/21.htm","| ","title=|",AL1190,"| target=|_top|&gt;",AL1192,"&lt;/a&gt;")</f>
        <v>&lt;a href=|http://kjv.us/1_chronicles/21.htm| title=|American King James Version| target=|_top|&gt;AKJ&lt;/a&gt;</v>
      </c>
      <c r="AM359" t="str">
        <f t="shared" ref="AM359:AN359" si="1435">CONCATENATE("&lt;/li&gt;&lt;li&gt;&lt;a href=|http://",AM1191,"/1_chronicles/21.htm","| ","title=|",AM1190,"| target=|_top|&gt;",AM1192,"&lt;/a&gt;")</f>
        <v>&lt;/li&gt;&lt;li&gt;&lt;a href=|http://basicenglishbible.com/1_chronicles/21.htm| title=|Bible in Basic English| target=|_top|&gt;BBE&lt;/a&gt;</v>
      </c>
      <c r="AN359" t="str">
        <f t="shared" si="1435"/>
        <v>&lt;/li&gt;&lt;li&gt;&lt;a href=|http://darbybible.com/1_chronicles/21.htm| title=|Darby Bible Translation| target=|_top|&gt;DBY&lt;/a&gt;</v>
      </c>
      <c r="AO35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5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5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59" t="str">
        <f>CONCATENATE("&lt;/li&gt;&lt;li&gt;&lt;a href=|http://",AR1191,"/1_chronicles/21.htm","| ","title=|",AR1190,"| target=|_top|&gt;",AR1192,"&lt;/a&gt;")</f>
        <v>&lt;/li&gt;&lt;li&gt;&lt;a href=|http://websterbible.com/1_chronicles/21.htm| title=|Webster's Bible Translation| target=|_top|&gt;WBS&lt;/a&gt;</v>
      </c>
      <c r="AS35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59" t="str">
        <f>CONCATENATE("&lt;/li&gt;&lt;li&gt;&lt;a href=|http://",AT1191,"/1_chronicles/21-1.htm","| ","title=|",AT1190,"| target=|_top|&gt;",AT1192,"&lt;/a&gt;")</f>
        <v>&lt;/li&gt;&lt;li&gt;&lt;a href=|http://biblebrowser.com/1_chronicles/21-1.htm| title=|Split View| target=|_top|&gt;Split&lt;/a&gt;</v>
      </c>
      <c r="AU359" s="2" t="s">
        <v>1276</v>
      </c>
      <c r="AV359" t="s">
        <v>64</v>
      </c>
    </row>
    <row r="360" spans="1:48">
      <c r="A360" t="s">
        <v>622</v>
      </c>
      <c r="B360" t="s">
        <v>413</v>
      </c>
      <c r="C360" t="s">
        <v>624</v>
      </c>
      <c r="D360" t="s">
        <v>1268</v>
      </c>
      <c r="E360" t="s">
        <v>1277</v>
      </c>
      <c r="F360" t="s">
        <v>1304</v>
      </c>
      <c r="G360" t="s">
        <v>1266</v>
      </c>
      <c r="H360" t="s">
        <v>1305</v>
      </c>
      <c r="I360" t="s">
        <v>1303</v>
      </c>
      <c r="J360" t="s">
        <v>1267</v>
      </c>
      <c r="K360" t="s">
        <v>1275</v>
      </c>
      <c r="L360" s="2" t="s">
        <v>1274</v>
      </c>
      <c r="M360" t="str">
        <f t="shared" ref="M360:AB360" si="1436">CONCATENATE("&lt;/li&gt;&lt;li&gt;&lt;a href=|http://",M1191,"/1_chronicles/22.htm","| ","title=|",M1190,"| target=|_top|&gt;",M1192,"&lt;/a&gt;")</f>
        <v>&lt;/li&gt;&lt;li&gt;&lt;a href=|http://niv.scripturetext.com/1_chronicles/22.htm| title=|New International Version| target=|_top|&gt;NIV&lt;/a&gt;</v>
      </c>
      <c r="N360" t="str">
        <f t="shared" si="1436"/>
        <v>&lt;/li&gt;&lt;li&gt;&lt;a href=|http://nlt.scripturetext.com/1_chronicles/22.htm| title=|New Living Translation| target=|_top|&gt;NLT&lt;/a&gt;</v>
      </c>
      <c r="O360" t="str">
        <f t="shared" si="1436"/>
        <v>&lt;/li&gt;&lt;li&gt;&lt;a href=|http://nasb.scripturetext.com/1_chronicles/22.htm| title=|New American Standard Bible| target=|_top|&gt;NAS&lt;/a&gt;</v>
      </c>
      <c r="P360" t="str">
        <f t="shared" si="1436"/>
        <v>&lt;/li&gt;&lt;li&gt;&lt;a href=|http://gwt.scripturetext.com/1_chronicles/22.htm| title=|God's Word Translation| target=|_top|&gt;GWT&lt;/a&gt;</v>
      </c>
      <c r="Q360" t="str">
        <f t="shared" si="1436"/>
        <v>&lt;/li&gt;&lt;li&gt;&lt;a href=|http://kingjbible.com/1_chronicles/22.htm| title=|King James Bible| target=|_top|&gt;KJV&lt;/a&gt;</v>
      </c>
      <c r="R360" t="str">
        <f t="shared" si="1436"/>
        <v>&lt;/li&gt;&lt;li&gt;&lt;a href=|http://asvbible.com/1_chronicles/22.htm| title=|American Standard Version| target=|_top|&gt;ASV&lt;/a&gt;</v>
      </c>
      <c r="S360" t="str">
        <f t="shared" si="1436"/>
        <v>&lt;/li&gt;&lt;li&gt;&lt;a href=|http://drb.scripturetext.com/1_chronicles/22.htm| title=|Douay-Rheims Bible| target=|_top|&gt;DRB&lt;/a&gt;</v>
      </c>
      <c r="T360" t="str">
        <f t="shared" si="1436"/>
        <v>&lt;/li&gt;&lt;li&gt;&lt;a href=|http://erv.scripturetext.com/1_chronicles/22.htm| title=|English Revised Version| target=|_top|&gt;ERV&lt;/a&gt;</v>
      </c>
      <c r="V360" t="str">
        <f>CONCATENATE("&lt;/li&gt;&lt;li&gt;&lt;a href=|http://",V1191,"/1_chronicles/22.htm","| ","title=|",V1190,"| target=|_top|&gt;",V1192,"&lt;/a&gt;")</f>
        <v>&lt;/li&gt;&lt;li&gt;&lt;a href=|http://study.interlinearbible.org/1_chronicles/22.htm| title=|Hebrew Study Bible| target=|_top|&gt;Heb Study&lt;/a&gt;</v>
      </c>
      <c r="W360" t="str">
        <f t="shared" si="1436"/>
        <v>&lt;/li&gt;&lt;li&gt;&lt;a href=|http://apostolic.interlinearbible.org/1_chronicles/22.htm| title=|Apostolic Bible Polyglot Interlinear| target=|_top|&gt;Polyglot&lt;/a&gt;</v>
      </c>
      <c r="X360" t="str">
        <f t="shared" si="1436"/>
        <v>&lt;/li&gt;&lt;li&gt;&lt;a href=|http://interlinearbible.org/1_chronicles/22.htm| title=|Interlinear Bible| target=|_top|&gt;Interlin&lt;/a&gt;</v>
      </c>
      <c r="Y360" t="str">
        <f t="shared" ref="Y360" si="1437">CONCATENATE("&lt;/li&gt;&lt;li&gt;&lt;a href=|http://",Y1191,"/1_chronicles/22.htm","| ","title=|",Y1190,"| target=|_top|&gt;",Y1192,"&lt;/a&gt;")</f>
        <v>&lt;/li&gt;&lt;li&gt;&lt;a href=|http://bibleoutline.org/1_chronicles/22.htm| title=|Outline with People and Places List| target=|_top|&gt;Outline&lt;/a&gt;</v>
      </c>
      <c r="Z360" t="str">
        <f t="shared" si="1436"/>
        <v>&lt;/li&gt;&lt;li&gt;&lt;a href=|http://kjvs.scripturetext.com/1_chronicles/22.htm| title=|King James Bible with Strong's Numbers| target=|_top|&gt;Strong's&lt;/a&gt;</v>
      </c>
      <c r="AA360" t="str">
        <f t="shared" si="1436"/>
        <v>&lt;/li&gt;&lt;li&gt;&lt;a href=|http://childrensbibleonline.com/1_chronicles/22.htm| title=|The Children's Bible| target=|_top|&gt;Children's&lt;/a&gt;</v>
      </c>
      <c r="AB360" s="2" t="str">
        <f t="shared" si="1436"/>
        <v>&lt;/li&gt;&lt;li&gt;&lt;a href=|http://tsk.scripturetext.com/1_chronicles/22.htm| title=|Treasury of Scripture Knowledge| target=|_top|&gt;TSK&lt;/a&gt;</v>
      </c>
      <c r="AC360" t="str">
        <f>CONCATENATE("&lt;a href=|http://",AC1191,"/1_chronicles/22.htm","| ","title=|",AC1190,"| target=|_top|&gt;",AC1192,"&lt;/a&gt;")</f>
        <v>&lt;a href=|http://parallelbible.com/1_chronicles/22.htm| title=|Parallel Chapters| target=|_top|&gt;PAR&lt;/a&gt;</v>
      </c>
      <c r="AD360" s="2" t="str">
        <f t="shared" ref="AD360:AK360" si="1438">CONCATENATE("&lt;/li&gt;&lt;li&gt;&lt;a href=|http://",AD1191,"/1_chronicles/22.htm","| ","title=|",AD1190,"| target=|_top|&gt;",AD1192,"&lt;/a&gt;")</f>
        <v>&lt;/li&gt;&lt;li&gt;&lt;a href=|http://gsb.biblecommenter.com/1_chronicles/22.htm| title=|Geneva Study Bible| target=|_top|&gt;GSB&lt;/a&gt;</v>
      </c>
      <c r="AE360" s="2" t="str">
        <f t="shared" si="1438"/>
        <v>&lt;/li&gt;&lt;li&gt;&lt;a href=|http://jfb.biblecommenter.com/1_chronicles/22.htm| title=|Jamieson-Fausset-Brown Bible Commentary| target=|_top|&gt;JFB&lt;/a&gt;</v>
      </c>
      <c r="AF360" s="2" t="str">
        <f t="shared" si="1438"/>
        <v>&lt;/li&gt;&lt;li&gt;&lt;a href=|http://kjt.biblecommenter.com/1_chronicles/22.htm| title=|King James Translators' Notes| target=|_top|&gt;KJT&lt;/a&gt;</v>
      </c>
      <c r="AG360" s="2" t="str">
        <f t="shared" si="1438"/>
        <v>&lt;/li&gt;&lt;li&gt;&lt;a href=|http://mhc.biblecommenter.com/1_chronicles/22.htm| title=|Matthew Henry's Concise Commentary| target=|_top|&gt;MHC&lt;/a&gt;</v>
      </c>
      <c r="AH360" s="2" t="str">
        <f t="shared" si="1438"/>
        <v>&lt;/li&gt;&lt;li&gt;&lt;a href=|http://sco.biblecommenter.com/1_chronicles/22.htm| title=|Scofield Reference Notes| target=|_top|&gt;SCO&lt;/a&gt;</v>
      </c>
      <c r="AI360" s="2" t="str">
        <f t="shared" si="1438"/>
        <v>&lt;/li&gt;&lt;li&gt;&lt;a href=|http://wes.biblecommenter.com/1_chronicles/22.htm| title=|Wesley's Notes on the Bible| target=|_top|&gt;WES&lt;/a&gt;</v>
      </c>
      <c r="AJ360" t="str">
        <f t="shared" si="1438"/>
        <v>&lt;/li&gt;&lt;li&gt;&lt;a href=|http://worldebible.com/1_chronicles/22.htm| title=|World English Bible| target=|_top|&gt;WEB&lt;/a&gt;</v>
      </c>
      <c r="AK360" t="str">
        <f t="shared" si="1438"/>
        <v>&lt;/li&gt;&lt;li&gt;&lt;a href=|http://yltbible.com/1_chronicles/22.htm| title=|Young's Literal Translation| target=|_top|&gt;YLT&lt;/a&gt;</v>
      </c>
      <c r="AL360" t="str">
        <f>CONCATENATE("&lt;a href=|http://",AL1191,"/1_chronicles/22.htm","| ","title=|",AL1190,"| target=|_top|&gt;",AL1192,"&lt;/a&gt;")</f>
        <v>&lt;a href=|http://kjv.us/1_chronicles/22.htm| title=|American King James Version| target=|_top|&gt;AKJ&lt;/a&gt;</v>
      </c>
      <c r="AM360" t="str">
        <f t="shared" ref="AM360:AN360" si="1439">CONCATENATE("&lt;/li&gt;&lt;li&gt;&lt;a href=|http://",AM1191,"/1_chronicles/22.htm","| ","title=|",AM1190,"| target=|_top|&gt;",AM1192,"&lt;/a&gt;")</f>
        <v>&lt;/li&gt;&lt;li&gt;&lt;a href=|http://basicenglishbible.com/1_chronicles/22.htm| title=|Bible in Basic English| target=|_top|&gt;BBE&lt;/a&gt;</v>
      </c>
      <c r="AN360" t="str">
        <f t="shared" si="1439"/>
        <v>&lt;/li&gt;&lt;li&gt;&lt;a href=|http://darbybible.com/1_chronicles/22.htm| title=|Darby Bible Translation| target=|_top|&gt;DBY&lt;/a&gt;</v>
      </c>
      <c r="AO36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6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6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60" t="str">
        <f>CONCATENATE("&lt;/li&gt;&lt;li&gt;&lt;a href=|http://",AR1191,"/1_chronicles/22.htm","| ","title=|",AR1190,"| target=|_top|&gt;",AR1192,"&lt;/a&gt;")</f>
        <v>&lt;/li&gt;&lt;li&gt;&lt;a href=|http://websterbible.com/1_chronicles/22.htm| title=|Webster's Bible Translation| target=|_top|&gt;WBS&lt;/a&gt;</v>
      </c>
      <c r="AS36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60" t="str">
        <f>CONCATENATE("&lt;/li&gt;&lt;li&gt;&lt;a href=|http://",AT1191,"/1_chronicles/22-1.htm","| ","title=|",AT1190,"| target=|_top|&gt;",AT1192,"&lt;/a&gt;")</f>
        <v>&lt;/li&gt;&lt;li&gt;&lt;a href=|http://biblebrowser.com/1_chronicles/22-1.htm| title=|Split View| target=|_top|&gt;Split&lt;/a&gt;</v>
      </c>
      <c r="AU360" s="2" t="s">
        <v>1276</v>
      </c>
      <c r="AV360" t="s">
        <v>64</v>
      </c>
    </row>
    <row r="361" spans="1:48">
      <c r="A361" t="s">
        <v>622</v>
      </c>
      <c r="B361" t="s">
        <v>414</v>
      </c>
      <c r="C361" t="s">
        <v>624</v>
      </c>
      <c r="D361" t="s">
        <v>1268</v>
      </c>
      <c r="E361" t="s">
        <v>1277</v>
      </c>
      <c r="F361" t="s">
        <v>1304</v>
      </c>
      <c r="G361" t="s">
        <v>1266</v>
      </c>
      <c r="H361" t="s">
        <v>1305</v>
      </c>
      <c r="I361" t="s">
        <v>1303</v>
      </c>
      <c r="J361" t="s">
        <v>1267</v>
      </c>
      <c r="K361" t="s">
        <v>1275</v>
      </c>
      <c r="L361" s="2" t="s">
        <v>1274</v>
      </c>
      <c r="M361" t="str">
        <f t="shared" ref="M361:AB361" si="1440">CONCATENATE("&lt;/li&gt;&lt;li&gt;&lt;a href=|http://",M1191,"/1_chronicles/23.htm","| ","title=|",M1190,"| target=|_top|&gt;",M1192,"&lt;/a&gt;")</f>
        <v>&lt;/li&gt;&lt;li&gt;&lt;a href=|http://niv.scripturetext.com/1_chronicles/23.htm| title=|New International Version| target=|_top|&gt;NIV&lt;/a&gt;</v>
      </c>
      <c r="N361" t="str">
        <f t="shared" si="1440"/>
        <v>&lt;/li&gt;&lt;li&gt;&lt;a href=|http://nlt.scripturetext.com/1_chronicles/23.htm| title=|New Living Translation| target=|_top|&gt;NLT&lt;/a&gt;</v>
      </c>
      <c r="O361" t="str">
        <f t="shared" si="1440"/>
        <v>&lt;/li&gt;&lt;li&gt;&lt;a href=|http://nasb.scripturetext.com/1_chronicles/23.htm| title=|New American Standard Bible| target=|_top|&gt;NAS&lt;/a&gt;</v>
      </c>
      <c r="P361" t="str">
        <f t="shared" si="1440"/>
        <v>&lt;/li&gt;&lt;li&gt;&lt;a href=|http://gwt.scripturetext.com/1_chronicles/23.htm| title=|God's Word Translation| target=|_top|&gt;GWT&lt;/a&gt;</v>
      </c>
      <c r="Q361" t="str">
        <f t="shared" si="1440"/>
        <v>&lt;/li&gt;&lt;li&gt;&lt;a href=|http://kingjbible.com/1_chronicles/23.htm| title=|King James Bible| target=|_top|&gt;KJV&lt;/a&gt;</v>
      </c>
      <c r="R361" t="str">
        <f t="shared" si="1440"/>
        <v>&lt;/li&gt;&lt;li&gt;&lt;a href=|http://asvbible.com/1_chronicles/23.htm| title=|American Standard Version| target=|_top|&gt;ASV&lt;/a&gt;</v>
      </c>
      <c r="S361" t="str">
        <f t="shared" si="1440"/>
        <v>&lt;/li&gt;&lt;li&gt;&lt;a href=|http://drb.scripturetext.com/1_chronicles/23.htm| title=|Douay-Rheims Bible| target=|_top|&gt;DRB&lt;/a&gt;</v>
      </c>
      <c r="T361" t="str">
        <f t="shared" si="1440"/>
        <v>&lt;/li&gt;&lt;li&gt;&lt;a href=|http://erv.scripturetext.com/1_chronicles/23.htm| title=|English Revised Version| target=|_top|&gt;ERV&lt;/a&gt;</v>
      </c>
      <c r="V361" t="str">
        <f>CONCATENATE("&lt;/li&gt;&lt;li&gt;&lt;a href=|http://",V1191,"/1_chronicles/23.htm","| ","title=|",V1190,"| target=|_top|&gt;",V1192,"&lt;/a&gt;")</f>
        <v>&lt;/li&gt;&lt;li&gt;&lt;a href=|http://study.interlinearbible.org/1_chronicles/23.htm| title=|Hebrew Study Bible| target=|_top|&gt;Heb Study&lt;/a&gt;</v>
      </c>
      <c r="W361" t="str">
        <f t="shared" si="1440"/>
        <v>&lt;/li&gt;&lt;li&gt;&lt;a href=|http://apostolic.interlinearbible.org/1_chronicles/23.htm| title=|Apostolic Bible Polyglot Interlinear| target=|_top|&gt;Polyglot&lt;/a&gt;</v>
      </c>
      <c r="X361" t="str">
        <f t="shared" si="1440"/>
        <v>&lt;/li&gt;&lt;li&gt;&lt;a href=|http://interlinearbible.org/1_chronicles/23.htm| title=|Interlinear Bible| target=|_top|&gt;Interlin&lt;/a&gt;</v>
      </c>
      <c r="Y361" t="str">
        <f t="shared" ref="Y361" si="1441">CONCATENATE("&lt;/li&gt;&lt;li&gt;&lt;a href=|http://",Y1191,"/1_chronicles/23.htm","| ","title=|",Y1190,"| target=|_top|&gt;",Y1192,"&lt;/a&gt;")</f>
        <v>&lt;/li&gt;&lt;li&gt;&lt;a href=|http://bibleoutline.org/1_chronicles/23.htm| title=|Outline with People and Places List| target=|_top|&gt;Outline&lt;/a&gt;</v>
      </c>
      <c r="Z361" t="str">
        <f t="shared" si="1440"/>
        <v>&lt;/li&gt;&lt;li&gt;&lt;a href=|http://kjvs.scripturetext.com/1_chronicles/23.htm| title=|King James Bible with Strong's Numbers| target=|_top|&gt;Strong's&lt;/a&gt;</v>
      </c>
      <c r="AA361" t="str">
        <f t="shared" si="1440"/>
        <v>&lt;/li&gt;&lt;li&gt;&lt;a href=|http://childrensbibleonline.com/1_chronicles/23.htm| title=|The Children's Bible| target=|_top|&gt;Children's&lt;/a&gt;</v>
      </c>
      <c r="AB361" s="2" t="str">
        <f t="shared" si="1440"/>
        <v>&lt;/li&gt;&lt;li&gt;&lt;a href=|http://tsk.scripturetext.com/1_chronicles/23.htm| title=|Treasury of Scripture Knowledge| target=|_top|&gt;TSK&lt;/a&gt;</v>
      </c>
      <c r="AC361" t="str">
        <f>CONCATENATE("&lt;a href=|http://",AC1191,"/1_chronicles/23.htm","| ","title=|",AC1190,"| target=|_top|&gt;",AC1192,"&lt;/a&gt;")</f>
        <v>&lt;a href=|http://parallelbible.com/1_chronicles/23.htm| title=|Parallel Chapters| target=|_top|&gt;PAR&lt;/a&gt;</v>
      </c>
      <c r="AD361" s="2" t="str">
        <f t="shared" ref="AD361:AK361" si="1442">CONCATENATE("&lt;/li&gt;&lt;li&gt;&lt;a href=|http://",AD1191,"/1_chronicles/23.htm","| ","title=|",AD1190,"| target=|_top|&gt;",AD1192,"&lt;/a&gt;")</f>
        <v>&lt;/li&gt;&lt;li&gt;&lt;a href=|http://gsb.biblecommenter.com/1_chronicles/23.htm| title=|Geneva Study Bible| target=|_top|&gt;GSB&lt;/a&gt;</v>
      </c>
      <c r="AE361" s="2" t="str">
        <f t="shared" si="1442"/>
        <v>&lt;/li&gt;&lt;li&gt;&lt;a href=|http://jfb.biblecommenter.com/1_chronicles/23.htm| title=|Jamieson-Fausset-Brown Bible Commentary| target=|_top|&gt;JFB&lt;/a&gt;</v>
      </c>
      <c r="AF361" s="2" t="str">
        <f t="shared" si="1442"/>
        <v>&lt;/li&gt;&lt;li&gt;&lt;a href=|http://kjt.biblecommenter.com/1_chronicles/23.htm| title=|King James Translators' Notes| target=|_top|&gt;KJT&lt;/a&gt;</v>
      </c>
      <c r="AG361" s="2" t="str">
        <f t="shared" si="1442"/>
        <v>&lt;/li&gt;&lt;li&gt;&lt;a href=|http://mhc.biblecommenter.com/1_chronicles/23.htm| title=|Matthew Henry's Concise Commentary| target=|_top|&gt;MHC&lt;/a&gt;</v>
      </c>
      <c r="AH361" s="2" t="str">
        <f t="shared" si="1442"/>
        <v>&lt;/li&gt;&lt;li&gt;&lt;a href=|http://sco.biblecommenter.com/1_chronicles/23.htm| title=|Scofield Reference Notes| target=|_top|&gt;SCO&lt;/a&gt;</v>
      </c>
      <c r="AI361" s="2" t="str">
        <f t="shared" si="1442"/>
        <v>&lt;/li&gt;&lt;li&gt;&lt;a href=|http://wes.biblecommenter.com/1_chronicles/23.htm| title=|Wesley's Notes on the Bible| target=|_top|&gt;WES&lt;/a&gt;</v>
      </c>
      <c r="AJ361" t="str">
        <f t="shared" si="1442"/>
        <v>&lt;/li&gt;&lt;li&gt;&lt;a href=|http://worldebible.com/1_chronicles/23.htm| title=|World English Bible| target=|_top|&gt;WEB&lt;/a&gt;</v>
      </c>
      <c r="AK361" t="str">
        <f t="shared" si="1442"/>
        <v>&lt;/li&gt;&lt;li&gt;&lt;a href=|http://yltbible.com/1_chronicles/23.htm| title=|Young's Literal Translation| target=|_top|&gt;YLT&lt;/a&gt;</v>
      </c>
      <c r="AL361" t="str">
        <f>CONCATENATE("&lt;a href=|http://",AL1191,"/1_chronicles/23.htm","| ","title=|",AL1190,"| target=|_top|&gt;",AL1192,"&lt;/a&gt;")</f>
        <v>&lt;a href=|http://kjv.us/1_chronicles/23.htm| title=|American King James Version| target=|_top|&gt;AKJ&lt;/a&gt;</v>
      </c>
      <c r="AM361" t="str">
        <f t="shared" ref="AM361:AN361" si="1443">CONCATENATE("&lt;/li&gt;&lt;li&gt;&lt;a href=|http://",AM1191,"/1_chronicles/23.htm","| ","title=|",AM1190,"| target=|_top|&gt;",AM1192,"&lt;/a&gt;")</f>
        <v>&lt;/li&gt;&lt;li&gt;&lt;a href=|http://basicenglishbible.com/1_chronicles/23.htm| title=|Bible in Basic English| target=|_top|&gt;BBE&lt;/a&gt;</v>
      </c>
      <c r="AN361" t="str">
        <f t="shared" si="1443"/>
        <v>&lt;/li&gt;&lt;li&gt;&lt;a href=|http://darbybible.com/1_chronicles/23.htm| title=|Darby Bible Translation| target=|_top|&gt;DBY&lt;/a&gt;</v>
      </c>
      <c r="AO36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6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6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61" t="str">
        <f>CONCATENATE("&lt;/li&gt;&lt;li&gt;&lt;a href=|http://",AR1191,"/1_chronicles/23.htm","| ","title=|",AR1190,"| target=|_top|&gt;",AR1192,"&lt;/a&gt;")</f>
        <v>&lt;/li&gt;&lt;li&gt;&lt;a href=|http://websterbible.com/1_chronicles/23.htm| title=|Webster's Bible Translation| target=|_top|&gt;WBS&lt;/a&gt;</v>
      </c>
      <c r="AS36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61" t="str">
        <f>CONCATENATE("&lt;/li&gt;&lt;li&gt;&lt;a href=|http://",AT1191,"/1_chronicles/23-1.htm","| ","title=|",AT1190,"| target=|_top|&gt;",AT1192,"&lt;/a&gt;")</f>
        <v>&lt;/li&gt;&lt;li&gt;&lt;a href=|http://biblebrowser.com/1_chronicles/23-1.htm| title=|Split View| target=|_top|&gt;Split&lt;/a&gt;</v>
      </c>
      <c r="AU361" s="2" t="s">
        <v>1276</v>
      </c>
      <c r="AV361" t="s">
        <v>64</v>
      </c>
    </row>
    <row r="362" spans="1:48">
      <c r="A362" t="s">
        <v>622</v>
      </c>
      <c r="B362" t="s">
        <v>415</v>
      </c>
      <c r="C362" t="s">
        <v>624</v>
      </c>
      <c r="D362" t="s">
        <v>1268</v>
      </c>
      <c r="E362" t="s">
        <v>1277</v>
      </c>
      <c r="F362" t="s">
        <v>1304</v>
      </c>
      <c r="G362" t="s">
        <v>1266</v>
      </c>
      <c r="H362" t="s">
        <v>1305</v>
      </c>
      <c r="I362" t="s">
        <v>1303</v>
      </c>
      <c r="J362" t="s">
        <v>1267</v>
      </c>
      <c r="K362" t="s">
        <v>1275</v>
      </c>
      <c r="L362" s="2" t="s">
        <v>1274</v>
      </c>
      <c r="M362" t="str">
        <f t="shared" ref="M362:AB362" si="1444">CONCATENATE("&lt;/li&gt;&lt;li&gt;&lt;a href=|http://",M1191,"/1_chronicles/24.htm","| ","title=|",M1190,"| target=|_top|&gt;",M1192,"&lt;/a&gt;")</f>
        <v>&lt;/li&gt;&lt;li&gt;&lt;a href=|http://niv.scripturetext.com/1_chronicles/24.htm| title=|New International Version| target=|_top|&gt;NIV&lt;/a&gt;</v>
      </c>
      <c r="N362" t="str">
        <f t="shared" si="1444"/>
        <v>&lt;/li&gt;&lt;li&gt;&lt;a href=|http://nlt.scripturetext.com/1_chronicles/24.htm| title=|New Living Translation| target=|_top|&gt;NLT&lt;/a&gt;</v>
      </c>
      <c r="O362" t="str">
        <f t="shared" si="1444"/>
        <v>&lt;/li&gt;&lt;li&gt;&lt;a href=|http://nasb.scripturetext.com/1_chronicles/24.htm| title=|New American Standard Bible| target=|_top|&gt;NAS&lt;/a&gt;</v>
      </c>
      <c r="P362" t="str">
        <f t="shared" si="1444"/>
        <v>&lt;/li&gt;&lt;li&gt;&lt;a href=|http://gwt.scripturetext.com/1_chronicles/24.htm| title=|God's Word Translation| target=|_top|&gt;GWT&lt;/a&gt;</v>
      </c>
      <c r="Q362" t="str">
        <f t="shared" si="1444"/>
        <v>&lt;/li&gt;&lt;li&gt;&lt;a href=|http://kingjbible.com/1_chronicles/24.htm| title=|King James Bible| target=|_top|&gt;KJV&lt;/a&gt;</v>
      </c>
      <c r="R362" t="str">
        <f t="shared" si="1444"/>
        <v>&lt;/li&gt;&lt;li&gt;&lt;a href=|http://asvbible.com/1_chronicles/24.htm| title=|American Standard Version| target=|_top|&gt;ASV&lt;/a&gt;</v>
      </c>
      <c r="S362" t="str">
        <f t="shared" si="1444"/>
        <v>&lt;/li&gt;&lt;li&gt;&lt;a href=|http://drb.scripturetext.com/1_chronicles/24.htm| title=|Douay-Rheims Bible| target=|_top|&gt;DRB&lt;/a&gt;</v>
      </c>
      <c r="T362" t="str">
        <f t="shared" si="1444"/>
        <v>&lt;/li&gt;&lt;li&gt;&lt;a href=|http://erv.scripturetext.com/1_chronicles/24.htm| title=|English Revised Version| target=|_top|&gt;ERV&lt;/a&gt;</v>
      </c>
      <c r="V362" t="str">
        <f>CONCATENATE("&lt;/li&gt;&lt;li&gt;&lt;a href=|http://",V1191,"/1_chronicles/24.htm","| ","title=|",V1190,"| target=|_top|&gt;",V1192,"&lt;/a&gt;")</f>
        <v>&lt;/li&gt;&lt;li&gt;&lt;a href=|http://study.interlinearbible.org/1_chronicles/24.htm| title=|Hebrew Study Bible| target=|_top|&gt;Heb Study&lt;/a&gt;</v>
      </c>
      <c r="W362" t="str">
        <f t="shared" si="1444"/>
        <v>&lt;/li&gt;&lt;li&gt;&lt;a href=|http://apostolic.interlinearbible.org/1_chronicles/24.htm| title=|Apostolic Bible Polyglot Interlinear| target=|_top|&gt;Polyglot&lt;/a&gt;</v>
      </c>
      <c r="X362" t="str">
        <f t="shared" si="1444"/>
        <v>&lt;/li&gt;&lt;li&gt;&lt;a href=|http://interlinearbible.org/1_chronicles/24.htm| title=|Interlinear Bible| target=|_top|&gt;Interlin&lt;/a&gt;</v>
      </c>
      <c r="Y362" t="str">
        <f t="shared" ref="Y362" si="1445">CONCATENATE("&lt;/li&gt;&lt;li&gt;&lt;a href=|http://",Y1191,"/1_chronicles/24.htm","| ","title=|",Y1190,"| target=|_top|&gt;",Y1192,"&lt;/a&gt;")</f>
        <v>&lt;/li&gt;&lt;li&gt;&lt;a href=|http://bibleoutline.org/1_chronicles/24.htm| title=|Outline with People and Places List| target=|_top|&gt;Outline&lt;/a&gt;</v>
      </c>
      <c r="Z362" t="str">
        <f t="shared" si="1444"/>
        <v>&lt;/li&gt;&lt;li&gt;&lt;a href=|http://kjvs.scripturetext.com/1_chronicles/24.htm| title=|King James Bible with Strong's Numbers| target=|_top|&gt;Strong's&lt;/a&gt;</v>
      </c>
      <c r="AA362" t="str">
        <f t="shared" si="1444"/>
        <v>&lt;/li&gt;&lt;li&gt;&lt;a href=|http://childrensbibleonline.com/1_chronicles/24.htm| title=|The Children's Bible| target=|_top|&gt;Children's&lt;/a&gt;</v>
      </c>
      <c r="AB362" s="2" t="str">
        <f t="shared" si="1444"/>
        <v>&lt;/li&gt;&lt;li&gt;&lt;a href=|http://tsk.scripturetext.com/1_chronicles/24.htm| title=|Treasury of Scripture Knowledge| target=|_top|&gt;TSK&lt;/a&gt;</v>
      </c>
      <c r="AC362" t="str">
        <f>CONCATENATE("&lt;a href=|http://",AC1191,"/1_chronicles/24.htm","| ","title=|",AC1190,"| target=|_top|&gt;",AC1192,"&lt;/a&gt;")</f>
        <v>&lt;a href=|http://parallelbible.com/1_chronicles/24.htm| title=|Parallel Chapters| target=|_top|&gt;PAR&lt;/a&gt;</v>
      </c>
      <c r="AD362" s="2" t="str">
        <f t="shared" ref="AD362:AK362" si="1446">CONCATENATE("&lt;/li&gt;&lt;li&gt;&lt;a href=|http://",AD1191,"/1_chronicles/24.htm","| ","title=|",AD1190,"| target=|_top|&gt;",AD1192,"&lt;/a&gt;")</f>
        <v>&lt;/li&gt;&lt;li&gt;&lt;a href=|http://gsb.biblecommenter.com/1_chronicles/24.htm| title=|Geneva Study Bible| target=|_top|&gt;GSB&lt;/a&gt;</v>
      </c>
      <c r="AE362" s="2" t="str">
        <f t="shared" si="1446"/>
        <v>&lt;/li&gt;&lt;li&gt;&lt;a href=|http://jfb.biblecommenter.com/1_chronicles/24.htm| title=|Jamieson-Fausset-Brown Bible Commentary| target=|_top|&gt;JFB&lt;/a&gt;</v>
      </c>
      <c r="AF362" s="2" t="str">
        <f t="shared" si="1446"/>
        <v>&lt;/li&gt;&lt;li&gt;&lt;a href=|http://kjt.biblecommenter.com/1_chronicles/24.htm| title=|King James Translators' Notes| target=|_top|&gt;KJT&lt;/a&gt;</v>
      </c>
      <c r="AG362" s="2" t="str">
        <f t="shared" si="1446"/>
        <v>&lt;/li&gt;&lt;li&gt;&lt;a href=|http://mhc.biblecommenter.com/1_chronicles/24.htm| title=|Matthew Henry's Concise Commentary| target=|_top|&gt;MHC&lt;/a&gt;</v>
      </c>
      <c r="AH362" s="2" t="str">
        <f t="shared" si="1446"/>
        <v>&lt;/li&gt;&lt;li&gt;&lt;a href=|http://sco.biblecommenter.com/1_chronicles/24.htm| title=|Scofield Reference Notes| target=|_top|&gt;SCO&lt;/a&gt;</v>
      </c>
      <c r="AI362" s="2" t="str">
        <f t="shared" si="1446"/>
        <v>&lt;/li&gt;&lt;li&gt;&lt;a href=|http://wes.biblecommenter.com/1_chronicles/24.htm| title=|Wesley's Notes on the Bible| target=|_top|&gt;WES&lt;/a&gt;</v>
      </c>
      <c r="AJ362" t="str">
        <f t="shared" si="1446"/>
        <v>&lt;/li&gt;&lt;li&gt;&lt;a href=|http://worldebible.com/1_chronicles/24.htm| title=|World English Bible| target=|_top|&gt;WEB&lt;/a&gt;</v>
      </c>
      <c r="AK362" t="str">
        <f t="shared" si="1446"/>
        <v>&lt;/li&gt;&lt;li&gt;&lt;a href=|http://yltbible.com/1_chronicles/24.htm| title=|Young's Literal Translation| target=|_top|&gt;YLT&lt;/a&gt;</v>
      </c>
      <c r="AL362" t="str">
        <f>CONCATENATE("&lt;a href=|http://",AL1191,"/1_chronicles/24.htm","| ","title=|",AL1190,"| target=|_top|&gt;",AL1192,"&lt;/a&gt;")</f>
        <v>&lt;a href=|http://kjv.us/1_chronicles/24.htm| title=|American King James Version| target=|_top|&gt;AKJ&lt;/a&gt;</v>
      </c>
      <c r="AM362" t="str">
        <f t="shared" ref="AM362:AN362" si="1447">CONCATENATE("&lt;/li&gt;&lt;li&gt;&lt;a href=|http://",AM1191,"/1_chronicles/24.htm","| ","title=|",AM1190,"| target=|_top|&gt;",AM1192,"&lt;/a&gt;")</f>
        <v>&lt;/li&gt;&lt;li&gt;&lt;a href=|http://basicenglishbible.com/1_chronicles/24.htm| title=|Bible in Basic English| target=|_top|&gt;BBE&lt;/a&gt;</v>
      </c>
      <c r="AN362" t="str">
        <f t="shared" si="1447"/>
        <v>&lt;/li&gt;&lt;li&gt;&lt;a href=|http://darbybible.com/1_chronicles/24.htm| title=|Darby Bible Translation| target=|_top|&gt;DBY&lt;/a&gt;</v>
      </c>
      <c r="AO36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6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6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62" t="str">
        <f>CONCATENATE("&lt;/li&gt;&lt;li&gt;&lt;a href=|http://",AR1191,"/1_chronicles/24.htm","| ","title=|",AR1190,"| target=|_top|&gt;",AR1192,"&lt;/a&gt;")</f>
        <v>&lt;/li&gt;&lt;li&gt;&lt;a href=|http://websterbible.com/1_chronicles/24.htm| title=|Webster's Bible Translation| target=|_top|&gt;WBS&lt;/a&gt;</v>
      </c>
      <c r="AS36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62" t="str">
        <f>CONCATENATE("&lt;/li&gt;&lt;li&gt;&lt;a href=|http://",AT1191,"/1_chronicles/24-1.htm","| ","title=|",AT1190,"| target=|_top|&gt;",AT1192,"&lt;/a&gt;")</f>
        <v>&lt;/li&gt;&lt;li&gt;&lt;a href=|http://biblebrowser.com/1_chronicles/24-1.htm| title=|Split View| target=|_top|&gt;Split&lt;/a&gt;</v>
      </c>
      <c r="AU362" s="2" t="s">
        <v>1276</v>
      </c>
      <c r="AV362" t="s">
        <v>64</v>
      </c>
    </row>
    <row r="363" spans="1:48">
      <c r="A363" t="s">
        <v>622</v>
      </c>
      <c r="B363" t="s">
        <v>416</v>
      </c>
      <c r="C363" t="s">
        <v>624</v>
      </c>
      <c r="D363" t="s">
        <v>1268</v>
      </c>
      <c r="E363" t="s">
        <v>1277</v>
      </c>
      <c r="F363" t="s">
        <v>1304</v>
      </c>
      <c r="G363" t="s">
        <v>1266</v>
      </c>
      <c r="H363" t="s">
        <v>1305</v>
      </c>
      <c r="I363" t="s">
        <v>1303</v>
      </c>
      <c r="J363" t="s">
        <v>1267</v>
      </c>
      <c r="K363" t="s">
        <v>1275</v>
      </c>
      <c r="L363" s="2" t="s">
        <v>1274</v>
      </c>
      <c r="M363" t="str">
        <f t="shared" ref="M363:AB363" si="1448">CONCATENATE("&lt;/li&gt;&lt;li&gt;&lt;a href=|http://",M1191,"/1_chronicles/25.htm","| ","title=|",M1190,"| target=|_top|&gt;",M1192,"&lt;/a&gt;")</f>
        <v>&lt;/li&gt;&lt;li&gt;&lt;a href=|http://niv.scripturetext.com/1_chronicles/25.htm| title=|New International Version| target=|_top|&gt;NIV&lt;/a&gt;</v>
      </c>
      <c r="N363" t="str">
        <f t="shared" si="1448"/>
        <v>&lt;/li&gt;&lt;li&gt;&lt;a href=|http://nlt.scripturetext.com/1_chronicles/25.htm| title=|New Living Translation| target=|_top|&gt;NLT&lt;/a&gt;</v>
      </c>
      <c r="O363" t="str">
        <f t="shared" si="1448"/>
        <v>&lt;/li&gt;&lt;li&gt;&lt;a href=|http://nasb.scripturetext.com/1_chronicles/25.htm| title=|New American Standard Bible| target=|_top|&gt;NAS&lt;/a&gt;</v>
      </c>
      <c r="P363" t="str">
        <f t="shared" si="1448"/>
        <v>&lt;/li&gt;&lt;li&gt;&lt;a href=|http://gwt.scripturetext.com/1_chronicles/25.htm| title=|God's Word Translation| target=|_top|&gt;GWT&lt;/a&gt;</v>
      </c>
      <c r="Q363" t="str">
        <f t="shared" si="1448"/>
        <v>&lt;/li&gt;&lt;li&gt;&lt;a href=|http://kingjbible.com/1_chronicles/25.htm| title=|King James Bible| target=|_top|&gt;KJV&lt;/a&gt;</v>
      </c>
      <c r="R363" t="str">
        <f t="shared" si="1448"/>
        <v>&lt;/li&gt;&lt;li&gt;&lt;a href=|http://asvbible.com/1_chronicles/25.htm| title=|American Standard Version| target=|_top|&gt;ASV&lt;/a&gt;</v>
      </c>
      <c r="S363" t="str">
        <f t="shared" si="1448"/>
        <v>&lt;/li&gt;&lt;li&gt;&lt;a href=|http://drb.scripturetext.com/1_chronicles/25.htm| title=|Douay-Rheims Bible| target=|_top|&gt;DRB&lt;/a&gt;</v>
      </c>
      <c r="T363" t="str">
        <f t="shared" si="1448"/>
        <v>&lt;/li&gt;&lt;li&gt;&lt;a href=|http://erv.scripturetext.com/1_chronicles/25.htm| title=|English Revised Version| target=|_top|&gt;ERV&lt;/a&gt;</v>
      </c>
      <c r="V363" t="str">
        <f>CONCATENATE("&lt;/li&gt;&lt;li&gt;&lt;a href=|http://",V1191,"/1_chronicles/25.htm","| ","title=|",V1190,"| target=|_top|&gt;",V1192,"&lt;/a&gt;")</f>
        <v>&lt;/li&gt;&lt;li&gt;&lt;a href=|http://study.interlinearbible.org/1_chronicles/25.htm| title=|Hebrew Study Bible| target=|_top|&gt;Heb Study&lt;/a&gt;</v>
      </c>
      <c r="W363" t="str">
        <f t="shared" si="1448"/>
        <v>&lt;/li&gt;&lt;li&gt;&lt;a href=|http://apostolic.interlinearbible.org/1_chronicles/25.htm| title=|Apostolic Bible Polyglot Interlinear| target=|_top|&gt;Polyglot&lt;/a&gt;</v>
      </c>
      <c r="X363" t="str">
        <f t="shared" si="1448"/>
        <v>&lt;/li&gt;&lt;li&gt;&lt;a href=|http://interlinearbible.org/1_chronicles/25.htm| title=|Interlinear Bible| target=|_top|&gt;Interlin&lt;/a&gt;</v>
      </c>
      <c r="Y363" t="str">
        <f t="shared" ref="Y363" si="1449">CONCATENATE("&lt;/li&gt;&lt;li&gt;&lt;a href=|http://",Y1191,"/1_chronicles/25.htm","| ","title=|",Y1190,"| target=|_top|&gt;",Y1192,"&lt;/a&gt;")</f>
        <v>&lt;/li&gt;&lt;li&gt;&lt;a href=|http://bibleoutline.org/1_chronicles/25.htm| title=|Outline with People and Places List| target=|_top|&gt;Outline&lt;/a&gt;</v>
      </c>
      <c r="Z363" t="str">
        <f t="shared" si="1448"/>
        <v>&lt;/li&gt;&lt;li&gt;&lt;a href=|http://kjvs.scripturetext.com/1_chronicles/25.htm| title=|King James Bible with Strong's Numbers| target=|_top|&gt;Strong's&lt;/a&gt;</v>
      </c>
      <c r="AA363" t="str">
        <f t="shared" si="1448"/>
        <v>&lt;/li&gt;&lt;li&gt;&lt;a href=|http://childrensbibleonline.com/1_chronicles/25.htm| title=|The Children's Bible| target=|_top|&gt;Children's&lt;/a&gt;</v>
      </c>
      <c r="AB363" s="2" t="str">
        <f t="shared" si="1448"/>
        <v>&lt;/li&gt;&lt;li&gt;&lt;a href=|http://tsk.scripturetext.com/1_chronicles/25.htm| title=|Treasury of Scripture Knowledge| target=|_top|&gt;TSK&lt;/a&gt;</v>
      </c>
      <c r="AC363" t="str">
        <f>CONCATENATE("&lt;a href=|http://",AC1191,"/1_chronicles/25.htm","| ","title=|",AC1190,"| target=|_top|&gt;",AC1192,"&lt;/a&gt;")</f>
        <v>&lt;a href=|http://parallelbible.com/1_chronicles/25.htm| title=|Parallel Chapters| target=|_top|&gt;PAR&lt;/a&gt;</v>
      </c>
      <c r="AD363" s="2" t="str">
        <f t="shared" ref="AD363:AK363" si="1450">CONCATENATE("&lt;/li&gt;&lt;li&gt;&lt;a href=|http://",AD1191,"/1_chronicles/25.htm","| ","title=|",AD1190,"| target=|_top|&gt;",AD1192,"&lt;/a&gt;")</f>
        <v>&lt;/li&gt;&lt;li&gt;&lt;a href=|http://gsb.biblecommenter.com/1_chronicles/25.htm| title=|Geneva Study Bible| target=|_top|&gt;GSB&lt;/a&gt;</v>
      </c>
      <c r="AE363" s="2" t="str">
        <f t="shared" si="1450"/>
        <v>&lt;/li&gt;&lt;li&gt;&lt;a href=|http://jfb.biblecommenter.com/1_chronicles/25.htm| title=|Jamieson-Fausset-Brown Bible Commentary| target=|_top|&gt;JFB&lt;/a&gt;</v>
      </c>
      <c r="AF363" s="2" t="str">
        <f t="shared" si="1450"/>
        <v>&lt;/li&gt;&lt;li&gt;&lt;a href=|http://kjt.biblecommenter.com/1_chronicles/25.htm| title=|King James Translators' Notes| target=|_top|&gt;KJT&lt;/a&gt;</v>
      </c>
      <c r="AG363" s="2" t="str">
        <f t="shared" si="1450"/>
        <v>&lt;/li&gt;&lt;li&gt;&lt;a href=|http://mhc.biblecommenter.com/1_chronicles/25.htm| title=|Matthew Henry's Concise Commentary| target=|_top|&gt;MHC&lt;/a&gt;</v>
      </c>
      <c r="AH363" s="2" t="str">
        <f t="shared" si="1450"/>
        <v>&lt;/li&gt;&lt;li&gt;&lt;a href=|http://sco.biblecommenter.com/1_chronicles/25.htm| title=|Scofield Reference Notes| target=|_top|&gt;SCO&lt;/a&gt;</v>
      </c>
      <c r="AI363" s="2" t="str">
        <f t="shared" si="1450"/>
        <v>&lt;/li&gt;&lt;li&gt;&lt;a href=|http://wes.biblecommenter.com/1_chronicles/25.htm| title=|Wesley's Notes on the Bible| target=|_top|&gt;WES&lt;/a&gt;</v>
      </c>
      <c r="AJ363" t="str">
        <f t="shared" si="1450"/>
        <v>&lt;/li&gt;&lt;li&gt;&lt;a href=|http://worldebible.com/1_chronicles/25.htm| title=|World English Bible| target=|_top|&gt;WEB&lt;/a&gt;</v>
      </c>
      <c r="AK363" t="str">
        <f t="shared" si="1450"/>
        <v>&lt;/li&gt;&lt;li&gt;&lt;a href=|http://yltbible.com/1_chronicles/25.htm| title=|Young's Literal Translation| target=|_top|&gt;YLT&lt;/a&gt;</v>
      </c>
      <c r="AL363" t="str">
        <f>CONCATENATE("&lt;a href=|http://",AL1191,"/1_chronicles/25.htm","| ","title=|",AL1190,"| target=|_top|&gt;",AL1192,"&lt;/a&gt;")</f>
        <v>&lt;a href=|http://kjv.us/1_chronicles/25.htm| title=|American King James Version| target=|_top|&gt;AKJ&lt;/a&gt;</v>
      </c>
      <c r="AM363" t="str">
        <f t="shared" ref="AM363:AN363" si="1451">CONCATENATE("&lt;/li&gt;&lt;li&gt;&lt;a href=|http://",AM1191,"/1_chronicles/25.htm","| ","title=|",AM1190,"| target=|_top|&gt;",AM1192,"&lt;/a&gt;")</f>
        <v>&lt;/li&gt;&lt;li&gt;&lt;a href=|http://basicenglishbible.com/1_chronicles/25.htm| title=|Bible in Basic English| target=|_top|&gt;BBE&lt;/a&gt;</v>
      </c>
      <c r="AN363" t="str">
        <f t="shared" si="1451"/>
        <v>&lt;/li&gt;&lt;li&gt;&lt;a href=|http://darbybible.com/1_chronicles/25.htm| title=|Darby Bible Translation| target=|_top|&gt;DBY&lt;/a&gt;</v>
      </c>
      <c r="AO36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6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6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63" t="str">
        <f>CONCATENATE("&lt;/li&gt;&lt;li&gt;&lt;a href=|http://",AR1191,"/1_chronicles/25.htm","| ","title=|",AR1190,"| target=|_top|&gt;",AR1192,"&lt;/a&gt;")</f>
        <v>&lt;/li&gt;&lt;li&gt;&lt;a href=|http://websterbible.com/1_chronicles/25.htm| title=|Webster's Bible Translation| target=|_top|&gt;WBS&lt;/a&gt;</v>
      </c>
      <c r="AS36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63" t="str">
        <f>CONCATENATE("&lt;/li&gt;&lt;li&gt;&lt;a href=|http://",AT1191,"/1_chronicles/25-1.htm","| ","title=|",AT1190,"| target=|_top|&gt;",AT1192,"&lt;/a&gt;")</f>
        <v>&lt;/li&gt;&lt;li&gt;&lt;a href=|http://biblebrowser.com/1_chronicles/25-1.htm| title=|Split View| target=|_top|&gt;Split&lt;/a&gt;</v>
      </c>
      <c r="AU363" s="2" t="s">
        <v>1276</v>
      </c>
      <c r="AV363" t="s">
        <v>64</v>
      </c>
    </row>
    <row r="364" spans="1:48">
      <c r="A364" t="s">
        <v>622</v>
      </c>
      <c r="B364" t="s">
        <v>417</v>
      </c>
      <c r="C364" t="s">
        <v>624</v>
      </c>
      <c r="D364" t="s">
        <v>1268</v>
      </c>
      <c r="E364" t="s">
        <v>1277</v>
      </c>
      <c r="F364" t="s">
        <v>1304</v>
      </c>
      <c r="G364" t="s">
        <v>1266</v>
      </c>
      <c r="H364" t="s">
        <v>1305</v>
      </c>
      <c r="I364" t="s">
        <v>1303</v>
      </c>
      <c r="J364" t="s">
        <v>1267</v>
      </c>
      <c r="K364" t="s">
        <v>1275</v>
      </c>
      <c r="L364" s="2" t="s">
        <v>1274</v>
      </c>
      <c r="M364" t="str">
        <f t="shared" ref="M364:AB364" si="1452">CONCATENATE("&lt;/li&gt;&lt;li&gt;&lt;a href=|http://",M1191,"/1_chronicles/26.htm","| ","title=|",M1190,"| target=|_top|&gt;",M1192,"&lt;/a&gt;")</f>
        <v>&lt;/li&gt;&lt;li&gt;&lt;a href=|http://niv.scripturetext.com/1_chronicles/26.htm| title=|New International Version| target=|_top|&gt;NIV&lt;/a&gt;</v>
      </c>
      <c r="N364" t="str">
        <f t="shared" si="1452"/>
        <v>&lt;/li&gt;&lt;li&gt;&lt;a href=|http://nlt.scripturetext.com/1_chronicles/26.htm| title=|New Living Translation| target=|_top|&gt;NLT&lt;/a&gt;</v>
      </c>
      <c r="O364" t="str">
        <f t="shared" si="1452"/>
        <v>&lt;/li&gt;&lt;li&gt;&lt;a href=|http://nasb.scripturetext.com/1_chronicles/26.htm| title=|New American Standard Bible| target=|_top|&gt;NAS&lt;/a&gt;</v>
      </c>
      <c r="P364" t="str">
        <f t="shared" si="1452"/>
        <v>&lt;/li&gt;&lt;li&gt;&lt;a href=|http://gwt.scripturetext.com/1_chronicles/26.htm| title=|God's Word Translation| target=|_top|&gt;GWT&lt;/a&gt;</v>
      </c>
      <c r="Q364" t="str">
        <f t="shared" si="1452"/>
        <v>&lt;/li&gt;&lt;li&gt;&lt;a href=|http://kingjbible.com/1_chronicles/26.htm| title=|King James Bible| target=|_top|&gt;KJV&lt;/a&gt;</v>
      </c>
      <c r="R364" t="str">
        <f t="shared" si="1452"/>
        <v>&lt;/li&gt;&lt;li&gt;&lt;a href=|http://asvbible.com/1_chronicles/26.htm| title=|American Standard Version| target=|_top|&gt;ASV&lt;/a&gt;</v>
      </c>
      <c r="S364" t="str">
        <f t="shared" si="1452"/>
        <v>&lt;/li&gt;&lt;li&gt;&lt;a href=|http://drb.scripturetext.com/1_chronicles/26.htm| title=|Douay-Rheims Bible| target=|_top|&gt;DRB&lt;/a&gt;</v>
      </c>
      <c r="T364" t="str">
        <f t="shared" si="1452"/>
        <v>&lt;/li&gt;&lt;li&gt;&lt;a href=|http://erv.scripturetext.com/1_chronicles/26.htm| title=|English Revised Version| target=|_top|&gt;ERV&lt;/a&gt;</v>
      </c>
      <c r="V364" t="str">
        <f>CONCATENATE("&lt;/li&gt;&lt;li&gt;&lt;a href=|http://",V1191,"/1_chronicles/26.htm","| ","title=|",V1190,"| target=|_top|&gt;",V1192,"&lt;/a&gt;")</f>
        <v>&lt;/li&gt;&lt;li&gt;&lt;a href=|http://study.interlinearbible.org/1_chronicles/26.htm| title=|Hebrew Study Bible| target=|_top|&gt;Heb Study&lt;/a&gt;</v>
      </c>
      <c r="W364" t="str">
        <f t="shared" si="1452"/>
        <v>&lt;/li&gt;&lt;li&gt;&lt;a href=|http://apostolic.interlinearbible.org/1_chronicles/26.htm| title=|Apostolic Bible Polyglot Interlinear| target=|_top|&gt;Polyglot&lt;/a&gt;</v>
      </c>
      <c r="X364" t="str">
        <f t="shared" si="1452"/>
        <v>&lt;/li&gt;&lt;li&gt;&lt;a href=|http://interlinearbible.org/1_chronicles/26.htm| title=|Interlinear Bible| target=|_top|&gt;Interlin&lt;/a&gt;</v>
      </c>
      <c r="Y364" t="str">
        <f t="shared" ref="Y364" si="1453">CONCATENATE("&lt;/li&gt;&lt;li&gt;&lt;a href=|http://",Y1191,"/1_chronicles/26.htm","| ","title=|",Y1190,"| target=|_top|&gt;",Y1192,"&lt;/a&gt;")</f>
        <v>&lt;/li&gt;&lt;li&gt;&lt;a href=|http://bibleoutline.org/1_chronicles/26.htm| title=|Outline with People and Places List| target=|_top|&gt;Outline&lt;/a&gt;</v>
      </c>
      <c r="Z364" t="str">
        <f t="shared" si="1452"/>
        <v>&lt;/li&gt;&lt;li&gt;&lt;a href=|http://kjvs.scripturetext.com/1_chronicles/26.htm| title=|King James Bible with Strong's Numbers| target=|_top|&gt;Strong's&lt;/a&gt;</v>
      </c>
      <c r="AA364" t="str">
        <f t="shared" si="1452"/>
        <v>&lt;/li&gt;&lt;li&gt;&lt;a href=|http://childrensbibleonline.com/1_chronicles/26.htm| title=|The Children's Bible| target=|_top|&gt;Children's&lt;/a&gt;</v>
      </c>
      <c r="AB364" s="2" t="str">
        <f t="shared" si="1452"/>
        <v>&lt;/li&gt;&lt;li&gt;&lt;a href=|http://tsk.scripturetext.com/1_chronicles/26.htm| title=|Treasury of Scripture Knowledge| target=|_top|&gt;TSK&lt;/a&gt;</v>
      </c>
      <c r="AC364" t="str">
        <f>CONCATENATE("&lt;a href=|http://",AC1191,"/1_chronicles/26.htm","| ","title=|",AC1190,"| target=|_top|&gt;",AC1192,"&lt;/a&gt;")</f>
        <v>&lt;a href=|http://parallelbible.com/1_chronicles/26.htm| title=|Parallel Chapters| target=|_top|&gt;PAR&lt;/a&gt;</v>
      </c>
      <c r="AD364" s="2" t="str">
        <f t="shared" ref="AD364:AK364" si="1454">CONCATENATE("&lt;/li&gt;&lt;li&gt;&lt;a href=|http://",AD1191,"/1_chronicles/26.htm","| ","title=|",AD1190,"| target=|_top|&gt;",AD1192,"&lt;/a&gt;")</f>
        <v>&lt;/li&gt;&lt;li&gt;&lt;a href=|http://gsb.biblecommenter.com/1_chronicles/26.htm| title=|Geneva Study Bible| target=|_top|&gt;GSB&lt;/a&gt;</v>
      </c>
      <c r="AE364" s="2" t="str">
        <f t="shared" si="1454"/>
        <v>&lt;/li&gt;&lt;li&gt;&lt;a href=|http://jfb.biblecommenter.com/1_chronicles/26.htm| title=|Jamieson-Fausset-Brown Bible Commentary| target=|_top|&gt;JFB&lt;/a&gt;</v>
      </c>
      <c r="AF364" s="2" t="str">
        <f t="shared" si="1454"/>
        <v>&lt;/li&gt;&lt;li&gt;&lt;a href=|http://kjt.biblecommenter.com/1_chronicles/26.htm| title=|King James Translators' Notes| target=|_top|&gt;KJT&lt;/a&gt;</v>
      </c>
      <c r="AG364" s="2" t="str">
        <f t="shared" si="1454"/>
        <v>&lt;/li&gt;&lt;li&gt;&lt;a href=|http://mhc.biblecommenter.com/1_chronicles/26.htm| title=|Matthew Henry's Concise Commentary| target=|_top|&gt;MHC&lt;/a&gt;</v>
      </c>
      <c r="AH364" s="2" t="str">
        <f t="shared" si="1454"/>
        <v>&lt;/li&gt;&lt;li&gt;&lt;a href=|http://sco.biblecommenter.com/1_chronicles/26.htm| title=|Scofield Reference Notes| target=|_top|&gt;SCO&lt;/a&gt;</v>
      </c>
      <c r="AI364" s="2" t="str">
        <f t="shared" si="1454"/>
        <v>&lt;/li&gt;&lt;li&gt;&lt;a href=|http://wes.biblecommenter.com/1_chronicles/26.htm| title=|Wesley's Notes on the Bible| target=|_top|&gt;WES&lt;/a&gt;</v>
      </c>
      <c r="AJ364" t="str">
        <f t="shared" si="1454"/>
        <v>&lt;/li&gt;&lt;li&gt;&lt;a href=|http://worldebible.com/1_chronicles/26.htm| title=|World English Bible| target=|_top|&gt;WEB&lt;/a&gt;</v>
      </c>
      <c r="AK364" t="str">
        <f t="shared" si="1454"/>
        <v>&lt;/li&gt;&lt;li&gt;&lt;a href=|http://yltbible.com/1_chronicles/26.htm| title=|Young's Literal Translation| target=|_top|&gt;YLT&lt;/a&gt;</v>
      </c>
      <c r="AL364" t="str">
        <f>CONCATENATE("&lt;a href=|http://",AL1191,"/1_chronicles/26.htm","| ","title=|",AL1190,"| target=|_top|&gt;",AL1192,"&lt;/a&gt;")</f>
        <v>&lt;a href=|http://kjv.us/1_chronicles/26.htm| title=|American King James Version| target=|_top|&gt;AKJ&lt;/a&gt;</v>
      </c>
      <c r="AM364" t="str">
        <f t="shared" ref="AM364:AN364" si="1455">CONCATENATE("&lt;/li&gt;&lt;li&gt;&lt;a href=|http://",AM1191,"/1_chronicles/26.htm","| ","title=|",AM1190,"| target=|_top|&gt;",AM1192,"&lt;/a&gt;")</f>
        <v>&lt;/li&gt;&lt;li&gt;&lt;a href=|http://basicenglishbible.com/1_chronicles/26.htm| title=|Bible in Basic English| target=|_top|&gt;BBE&lt;/a&gt;</v>
      </c>
      <c r="AN364" t="str">
        <f t="shared" si="1455"/>
        <v>&lt;/li&gt;&lt;li&gt;&lt;a href=|http://darbybible.com/1_chronicles/26.htm| title=|Darby Bible Translation| target=|_top|&gt;DBY&lt;/a&gt;</v>
      </c>
      <c r="AO36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6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6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64" t="str">
        <f>CONCATENATE("&lt;/li&gt;&lt;li&gt;&lt;a href=|http://",AR1191,"/1_chronicles/26.htm","| ","title=|",AR1190,"| target=|_top|&gt;",AR1192,"&lt;/a&gt;")</f>
        <v>&lt;/li&gt;&lt;li&gt;&lt;a href=|http://websterbible.com/1_chronicles/26.htm| title=|Webster's Bible Translation| target=|_top|&gt;WBS&lt;/a&gt;</v>
      </c>
      <c r="AS36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64" t="str">
        <f>CONCATENATE("&lt;/li&gt;&lt;li&gt;&lt;a href=|http://",AT1191,"/1_chronicles/26-1.htm","| ","title=|",AT1190,"| target=|_top|&gt;",AT1192,"&lt;/a&gt;")</f>
        <v>&lt;/li&gt;&lt;li&gt;&lt;a href=|http://biblebrowser.com/1_chronicles/26-1.htm| title=|Split View| target=|_top|&gt;Split&lt;/a&gt;</v>
      </c>
      <c r="AU364" s="2" t="s">
        <v>1276</v>
      </c>
      <c r="AV364" t="s">
        <v>64</v>
      </c>
    </row>
    <row r="365" spans="1:48">
      <c r="A365" t="s">
        <v>622</v>
      </c>
      <c r="B365" t="s">
        <v>418</v>
      </c>
      <c r="C365" t="s">
        <v>624</v>
      </c>
      <c r="D365" t="s">
        <v>1268</v>
      </c>
      <c r="E365" t="s">
        <v>1277</v>
      </c>
      <c r="F365" t="s">
        <v>1304</v>
      </c>
      <c r="G365" t="s">
        <v>1266</v>
      </c>
      <c r="H365" t="s">
        <v>1305</v>
      </c>
      <c r="I365" t="s">
        <v>1303</v>
      </c>
      <c r="J365" t="s">
        <v>1267</v>
      </c>
      <c r="K365" t="s">
        <v>1275</v>
      </c>
      <c r="L365" s="2" t="s">
        <v>1274</v>
      </c>
      <c r="M365" t="str">
        <f t="shared" ref="M365:AB365" si="1456">CONCATENATE("&lt;/li&gt;&lt;li&gt;&lt;a href=|http://",M1191,"/1_chronicles/27.htm","| ","title=|",M1190,"| target=|_top|&gt;",M1192,"&lt;/a&gt;")</f>
        <v>&lt;/li&gt;&lt;li&gt;&lt;a href=|http://niv.scripturetext.com/1_chronicles/27.htm| title=|New International Version| target=|_top|&gt;NIV&lt;/a&gt;</v>
      </c>
      <c r="N365" t="str">
        <f t="shared" si="1456"/>
        <v>&lt;/li&gt;&lt;li&gt;&lt;a href=|http://nlt.scripturetext.com/1_chronicles/27.htm| title=|New Living Translation| target=|_top|&gt;NLT&lt;/a&gt;</v>
      </c>
      <c r="O365" t="str">
        <f t="shared" si="1456"/>
        <v>&lt;/li&gt;&lt;li&gt;&lt;a href=|http://nasb.scripturetext.com/1_chronicles/27.htm| title=|New American Standard Bible| target=|_top|&gt;NAS&lt;/a&gt;</v>
      </c>
      <c r="P365" t="str">
        <f t="shared" si="1456"/>
        <v>&lt;/li&gt;&lt;li&gt;&lt;a href=|http://gwt.scripturetext.com/1_chronicles/27.htm| title=|God's Word Translation| target=|_top|&gt;GWT&lt;/a&gt;</v>
      </c>
      <c r="Q365" t="str">
        <f t="shared" si="1456"/>
        <v>&lt;/li&gt;&lt;li&gt;&lt;a href=|http://kingjbible.com/1_chronicles/27.htm| title=|King James Bible| target=|_top|&gt;KJV&lt;/a&gt;</v>
      </c>
      <c r="R365" t="str">
        <f t="shared" si="1456"/>
        <v>&lt;/li&gt;&lt;li&gt;&lt;a href=|http://asvbible.com/1_chronicles/27.htm| title=|American Standard Version| target=|_top|&gt;ASV&lt;/a&gt;</v>
      </c>
      <c r="S365" t="str">
        <f t="shared" si="1456"/>
        <v>&lt;/li&gt;&lt;li&gt;&lt;a href=|http://drb.scripturetext.com/1_chronicles/27.htm| title=|Douay-Rheims Bible| target=|_top|&gt;DRB&lt;/a&gt;</v>
      </c>
      <c r="T365" t="str">
        <f t="shared" si="1456"/>
        <v>&lt;/li&gt;&lt;li&gt;&lt;a href=|http://erv.scripturetext.com/1_chronicles/27.htm| title=|English Revised Version| target=|_top|&gt;ERV&lt;/a&gt;</v>
      </c>
      <c r="V365" t="str">
        <f>CONCATENATE("&lt;/li&gt;&lt;li&gt;&lt;a href=|http://",V1191,"/1_chronicles/27.htm","| ","title=|",V1190,"| target=|_top|&gt;",V1192,"&lt;/a&gt;")</f>
        <v>&lt;/li&gt;&lt;li&gt;&lt;a href=|http://study.interlinearbible.org/1_chronicles/27.htm| title=|Hebrew Study Bible| target=|_top|&gt;Heb Study&lt;/a&gt;</v>
      </c>
      <c r="W365" t="str">
        <f t="shared" si="1456"/>
        <v>&lt;/li&gt;&lt;li&gt;&lt;a href=|http://apostolic.interlinearbible.org/1_chronicles/27.htm| title=|Apostolic Bible Polyglot Interlinear| target=|_top|&gt;Polyglot&lt;/a&gt;</v>
      </c>
      <c r="X365" t="str">
        <f t="shared" si="1456"/>
        <v>&lt;/li&gt;&lt;li&gt;&lt;a href=|http://interlinearbible.org/1_chronicles/27.htm| title=|Interlinear Bible| target=|_top|&gt;Interlin&lt;/a&gt;</v>
      </c>
      <c r="Y365" t="str">
        <f t="shared" ref="Y365" si="1457">CONCATENATE("&lt;/li&gt;&lt;li&gt;&lt;a href=|http://",Y1191,"/1_chronicles/27.htm","| ","title=|",Y1190,"| target=|_top|&gt;",Y1192,"&lt;/a&gt;")</f>
        <v>&lt;/li&gt;&lt;li&gt;&lt;a href=|http://bibleoutline.org/1_chronicles/27.htm| title=|Outline with People and Places List| target=|_top|&gt;Outline&lt;/a&gt;</v>
      </c>
      <c r="Z365" t="str">
        <f t="shared" si="1456"/>
        <v>&lt;/li&gt;&lt;li&gt;&lt;a href=|http://kjvs.scripturetext.com/1_chronicles/27.htm| title=|King James Bible with Strong's Numbers| target=|_top|&gt;Strong's&lt;/a&gt;</v>
      </c>
      <c r="AA365" t="str">
        <f t="shared" si="1456"/>
        <v>&lt;/li&gt;&lt;li&gt;&lt;a href=|http://childrensbibleonline.com/1_chronicles/27.htm| title=|The Children's Bible| target=|_top|&gt;Children's&lt;/a&gt;</v>
      </c>
      <c r="AB365" s="2" t="str">
        <f t="shared" si="1456"/>
        <v>&lt;/li&gt;&lt;li&gt;&lt;a href=|http://tsk.scripturetext.com/1_chronicles/27.htm| title=|Treasury of Scripture Knowledge| target=|_top|&gt;TSK&lt;/a&gt;</v>
      </c>
      <c r="AC365" t="str">
        <f>CONCATENATE("&lt;a href=|http://",AC1191,"/1_chronicles/27.htm","| ","title=|",AC1190,"| target=|_top|&gt;",AC1192,"&lt;/a&gt;")</f>
        <v>&lt;a href=|http://parallelbible.com/1_chronicles/27.htm| title=|Parallel Chapters| target=|_top|&gt;PAR&lt;/a&gt;</v>
      </c>
      <c r="AD365" s="2" t="str">
        <f t="shared" ref="AD365:AK365" si="1458">CONCATENATE("&lt;/li&gt;&lt;li&gt;&lt;a href=|http://",AD1191,"/1_chronicles/27.htm","| ","title=|",AD1190,"| target=|_top|&gt;",AD1192,"&lt;/a&gt;")</f>
        <v>&lt;/li&gt;&lt;li&gt;&lt;a href=|http://gsb.biblecommenter.com/1_chronicles/27.htm| title=|Geneva Study Bible| target=|_top|&gt;GSB&lt;/a&gt;</v>
      </c>
      <c r="AE365" s="2" t="str">
        <f t="shared" si="1458"/>
        <v>&lt;/li&gt;&lt;li&gt;&lt;a href=|http://jfb.biblecommenter.com/1_chronicles/27.htm| title=|Jamieson-Fausset-Brown Bible Commentary| target=|_top|&gt;JFB&lt;/a&gt;</v>
      </c>
      <c r="AF365" s="2" t="str">
        <f t="shared" si="1458"/>
        <v>&lt;/li&gt;&lt;li&gt;&lt;a href=|http://kjt.biblecommenter.com/1_chronicles/27.htm| title=|King James Translators' Notes| target=|_top|&gt;KJT&lt;/a&gt;</v>
      </c>
      <c r="AG365" s="2" t="str">
        <f t="shared" si="1458"/>
        <v>&lt;/li&gt;&lt;li&gt;&lt;a href=|http://mhc.biblecommenter.com/1_chronicles/27.htm| title=|Matthew Henry's Concise Commentary| target=|_top|&gt;MHC&lt;/a&gt;</v>
      </c>
      <c r="AH365" s="2" t="str">
        <f t="shared" si="1458"/>
        <v>&lt;/li&gt;&lt;li&gt;&lt;a href=|http://sco.biblecommenter.com/1_chronicles/27.htm| title=|Scofield Reference Notes| target=|_top|&gt;SCO&lt;/a&gt;</v>
      </c>
      <c r="AI365" s="2" t="str">
        <f t="shared" si="1458"/>
        <v>&lt;/li&gt;&lt;li&gt;&lt;a href=|http://wes.biblecommenter.com/1_chronicles/27.htm| title=|Wesley's Notes on the Bible| target=|_top|&gt;WES&lt;/a&gt;</v>
      </c>
      <c r="AJ365" t="str">
        <f t="shared" si="1458"/>
        <v>&lt;/li&gt;&lt;li&gt;&lt;a href=|http://worldebible.com/1_chronicles/27.htm| title=|World English Bible| target=|_top|&gt;WEB&lt;/a&gt;</v>
      </c>
      <c r="AK365" t="str">
        <f t="shared" si="1458"/>
        <v>&lt;/li&gt;&lt;li&gt;&lt;a href=|http://yltbible.com/1_chronicles/27.htm| title=|Young's Literal Translation| target=|_top|&gt;YLT&lt;/a&gt;</v>
      </c>
      <c r="AL365" t="str">
        <f>CONCATENATE("&lt;a href=|http://",AL1191,"/1_chronicles/27.htm","| ","title=|",AL1190,"| target=|_top|&gt;",AL1192,"&lt;/a&gt;")</f>
        <v>&lt;a href=|http://kjv.us/1_chronicles/27.htm| title=|American King James Version| target=|_top|&gt;AKJ&lt;/a&gt;</v>
      </c>
      <c r="AM365" t="str">
        <f t="shared" ref="AM365:AN365" si="1459">CONCATENATE("&lt;/li&gt;&lt;li&gt;&lt;a href=|http://",AM1191,"/1_chronicles/27.htm","| ","title=|",AM1190,"| target=|_top|&gt;",AM1192,"&lt;/a&gt;")</f>
        <v>&lt;/li&gt;&lt;li&gt;&lt;a href=|http://basicenglishbible.com/1_chronicles/27.htm| title=|Bible in Basic English| target=|_top|&gt;BBE&lt;/a&gt;</v>
      </c>
      <c r="AN365" t="str">
        <f t="shared" si="1459"/>
        <v>&lt;/li&gt;&lt;li&gt;&lt;a href=|http://darbybible.com/1_chronicles/27.htm| title=|Darby Bible Translation| target=|_top|&gt;DBY&lt;/a&gt;</v>
      </c>
      <c r="AO36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6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6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65" t="str">
        <f>CONCATENATE("&lt;/li&gt;&lt;li&gt;&lt;a href=|http://",AR1191,"/1_chronicles/27.htm","| ","title=|",AR1190,"| target=|_top|&gt;",AR1192,"&lt;/a&gt;")</f>
        <v>&lt;/li&gt;&lt;li&gt;&lt;a href=|http://websterbible.com/1_chronicles/27.htm| title=|Webster's Bible Translation| target=|_top|&gt;WBS&lt;/a&gt;</v>
      </c>
      <c r="AS36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65" t="str">
        <f>CONCATENATE("&lt;/li&gt;&lt;li&gt;&lt;a href=|http://",AT1191,"/1_chronicles/27-1.htm","| ","title=|",AT1190,"| target=|_top|&gt;",AT1192,"&lt;/a&gt;")</f>
        <v>&lt;/li&gt;&lt;li&gt;&lt;a href=|http://biblebrowser.com/1_chronicles/27-1.htm| title=|Split View| target=|_top|&gt;Split&lt;/a&gt;</v>
      </c>
      <c r="AU365" s="2" t="s">
        <v>1276</v>
      </c>
      <c r="AV365" t="s">
        <v>64</v>
      </c>
    </row>
    <row r="366" spans="1:48">
      <c r="A366" t="s">
        <v>622</v>
      </c>
      <c r="B366" t="s">
        <v>419</v>
      </c>
      <c r="C366" t="s">
        <v>624</v>
      </c>
      <c r="D366" t="s">
        <v>1268</v>
      </c>
      <c r="E366" t="s">
        <v>1277</v>
      </c>
      <c r="F366" t="s">
        <v>1304</v>
      </c>
      <c r="G366" t="s">
        <v>1266</v>
      </c>
      <c r="H366" t="s">
        <v>1305</v>
      </c>
      <c r="I366" t="s">
        <v>1303</v>
      </c>
      <c r="J366" t="s">
        <v>1267</v>
      </c>
      <c r="K366" t="s">
        <v>1275</v>
      </c>
      <c r="L366" s="2" t="s">
        <v>1274</v>
      </c>
      <c r="M366" t="str">
        <f t="shared" ref="M366:AB366" si="1460">CONCATENATE("&lt;/li&gt;&lt;li&gt;&lt;a href=|http://",M1191,"/1_chronicles/28.htm","| ","title=|",M1190,"| target=|_top|&gt;",M1192,"&lt;/a&gt;")</f>
        <v>&lt;/li&gt;&lt;li&gt;&lt;a href=|http://niv.scripturetext.com/1_chronicles/28.htm| title=|New International Version| target=|_top|&gt;NIV&lt;/a&gt;</v>
      </c>
      <c r="N366" t="str">
        <f t="shared" si="1460"/>
        <v>&lt;/li&gt;&lt;li&gt;&lt;a href=|http://nlt.scripturetext.com/1_chronicles/28.htm| title=|New Living Translation| target=|_top|&gt;NLT&lt;/a&gt;</v>
      </c>
      <c r="O366" t="str">
        <f t="shared" si="1460"/>
        <v>&lt;/li&gt;&lt;li&gt;&lt;a href=|http://nasb.scripturetext.com/1_chronicles/28.htm| title=|New American Standard Bible| target=|_top|&gt;NAS&lt;/a&gt;</v>
      </c>
      <c r="P366" t="str">
        <f t="shared" si="1460"/>
        <v>&lt;/li&gt;&lt;li&gt;&lt;a href=|http://gwt.scripturetext.com/1_chronicles/28.htm| title=|God's Word Translation| target=|_top|&gt;GWT&lt;/a&gt;</v>
      </c>
      <c r="Q366" t="str">
        <f t="shared" si="1460"/>
        <v>&lt;/li&gt;&lt;li&gt;&lt;a href=|http://kingjbible.com/1_chronicles/28.htm| title=|King James Bible| target=|_top|&gt;KJV&lt;/a&gt;</v>
      </c>
      <c r="R366" t="str">
        <f t="shared" si="1460"/>
        <v>&lt;/li&gt;&lt;li&gt;&lt;a href=|http://asvbible.com/1_chronicles/28.htm| title=|American Standard Version| target=|_top|&gt;ASV&lt;/a&gt;</v>
      </c>
      <c r="S366" t="str">
        <f t="shared" si="1460"/>
        <v>&lt;/li&gt;&lt;li&gt;&lt;a href=|http://drb.scripturetext.com/1_chronicles/28.htm| title=|Douay-Rheims Bible| target=|_top|&gt;DRB&lt;/a&gt;</v>
      </c>
      <c r="T366" t="str">
        <f t="shared" si="1460"/>
        <v>&lt;/li&gt;&lt;li&gt;&lt;a href=|http://erv.scripturetext.com/1_chronicles/28.htm| title=|English Revised Version| target=|_top|&gt;ERV&lt;/a&gt;</v>
      </c>
      <c r="V366" t="str">
        <f>CONCATENATE("&lt;/li&gt;&lt;li&gt;&lt;a href=|http://",V1191,"/1_chronicles/28.htm","| ","title=|",V1190,"| target=|_top|&gt;",V1192,"&lt;/a&gt;")</f>
        <v>&lt;/li&gt;&lt;li&gt;&lt;a href=|http://study.interlinearbible.org/1_chronicles/28.htm| title=|Hebrew Study Bible| target=|_top|&gt;Heb Study&lt;/a&gt;</v>
      </c>
      <c r="W366" t="str">
        <f t="shared" si="1460"/>
        <v>&lt;/li&gt;&lt;li&gt;&lt;a href=|http://apostolic.interlinearbible.org/1_chronicles/28.htm| title=|Apostolic Bible Polyglot Interlinear| target=|_top|&gt;Polyglot&lt;/a&gt;</v>
      </c>
      <c r="X366" t="str">
        <f t="shared" si="1460"/>
        <v>&lt;/li&gt;&lt;li&gt;&lt;a href=|http://interlinearbible.org/1_chronicles/28.htm| title=|Interlinear Bible| target=|_top|&gt;Interlin&lt;/a&gt;</v>
      </c>
      <c r="Y366" t="str">
        <f t="shared" ref="Y366" si="1461">CONCATENATE("&lt;/li&gt;&lt;li&gt;&lt;a href=|http://",Y1191,"/1_chronicles/28.htm","| ","title=|",Y1190,"| target=|_top|&gt;",Y1192,"&lt;/a&gt;")</f>
        <v>&lt;/li&gt;&lt;li&gt;&lt;a href=|http://bibleoutline.org/1_chronicles/28.htm| title=|Outline with People and Places List| target=|_top|&gt;Outline&lt;/a&gt;</v>
      </c>
      <c r="Z366" t="str">
        <f t="shared" si="1460"/>
        <v>&lt;/li&gt;&lt;li&gt;&lt;a href=|http://kjvs.scripturetext.com/1_chronicles/28.htm| title=|King James Bible with Strong's Numbers| target=|_top|&gt;Strong's&lt;/a&gt;</v>
      </c>
      <c r="AA366" t="str">
        <f t="shared" si="1460"/>
        <v>&lt;/li&gt;&lt;li&gt;&lt;a href=|http://childrensbibleonline.com/1_chronicles/28.htm| title=|The Children's Bible| target=|_top|&gt;Children's&lt;/a&gt;</v>
      </c>
      <c r="AB366" s="2" t="str">
        <f t="shared" si="1460"/>
        <v>&lt;/li&gt;&lt;li&gt;&lt;a href=|http://tsk.scripturetext.com/1_chronicles/28.htm| title=|Treasury of Scripture Knowledge| target=|_top|&gt;TSK&lt;/a&gt;</v>
      </c>
      <c r="AC366" t="str">
        <f>CONCATENATE("&lt;a href=|http://",AC1191,"/1_chronicles/28.htm","| ","title=|",AC1190,"| target=|_top|&gt;",AC1192,"&lt;/a&gt;")</f>
        <v>&lt;a href=|http://parallelbible.com/1_chronicles/28.htm| title=|Parallel Chapters| target=|_top|&gt;PAR&lt;/a&gt;</v>
      </c>
      <c r="AD366" s="2" t="str">
        <f t="shared" ref="AD366:AK366" si="1462">CONCATENATE("&lt;/li&gt;&lt;li&gt;&lt;a href=|http://",AD1191,"/1_chronicles/28.htm","| ","title=|",AD1190,"| target=|_top|&gt;",AD1192,"&lt;/a&gt;")</f>
        <v>&lt;/li&gt;&lt;li&gt;&lt;a href=|http://gsb.biblecommenter.com/1_chronicles/28.htm| title=|Geneva Study Bible| target=|_top|&gt;GSB&lt;/a&gt;</v>
      </c>
      <c r="AE366" s="2" t="str">
        <f t="shared" si="1462"/>
        <v>&lt;/li&gt;&lt;li&gt;&lt;a href=|http://jfb.biblecommenter.com/1_chronicles/28.htm| title=|Jamieson-Fausset-Brown Bible Commentary| target=|_top|&gt;JFB&lt;/a&gt;</v>
      </c>
      <c r="AF366" s="2" t="str">
        <f t="shared" si="1462"/>
        <v>&lt;/li&gt;&lt;li&gt;&lt;a href=|http://kjt.biblecommenter.com/1_chronicles/28.htm| title=|King James Translators' Notes| target=|_top|&gt;KJT&lt;/a&gt;</v>
      </c>
      <c r="AG366" s="2" t="str">
        <f t="shared" si="1462"/>
        <v>&lt;/li&gt;&lt;li&gt;&lt;a href=|http://mhc.biblecommenter.com/1_chronicles/28.htm| title=|Matthew Henry's Concise Commentary| target=|_top|&gt;MHC&lt;/a&gt;</v>
      </c>
      <c r="AH366" s="2" t="str">
        <f t="shared" si="1462"/>
        <v>&lt;/li&gt;&lt;li&gt;&lt;a href=|http://sco.biblecommenter.com/1_chronicles/28.htm| title=|Scofield Reference Notes| target=|_top|&gt;SCO&lt;/a&gt;</v>
      </c>
      <c r="AI366" s="2" t="str">
        <f t="shared" si="1462"/>
        <v>&lt;/li&gt;&lt;li&gt;&lt;a href=|http://wes.biblecommenter.com/1_chronicles/28.htm| title=|Wesley's Notes on the Bible| target=|_top|&gt;WES&lt;/a&gt;</v>
      </c>
      <c r="AJ366" t="str">
        <f t="shared" si="1462"/>
        <v>&lt;/li&gt;&lt;li&gt;&lt;a href=|http://worldebible.com/1_chronicles/28.htm| title=|World English Bible| target=|_top|&gt;WEB&lt;/a&gt;</v>
      </c>
      <c r="AK366" t="str">
        <f t="shared" si="1462"/>
        <v>&lt;/li&gt;&lt;li&gt;&lt;a href=|http://yltbible.com/1_chronicles/28.htm| title=|Young's Literal Translation| target=|_top|&gt;YLT&lt;/a&gt;</v>
      </c>
      <c r="AL366" t="str">
        <f>CONCATENATE("&lt;a href=|http://",AL1191,"/1_chronicles/28.htm","| ","title=|",AL1190,"| target=|_top|&gt;",AL1192,"&lt;/a&gt;")</f>
        <v>&lt;a href=|http://kjv.us/1_chronicles/28.htm| title=|American King James Version| target=|_top|&gt;AKJ&lt;/a&gt;</v>
      </c>
      <c r="AM366" t="str">
        <f t="shared" ref="AM366:AN366" si="1463">CONCATENATE("&lt;/li&gt;&lt;li&gt;&lt;a href=|http://",AM1191,"/1_chronicles/28.htm","| ","title=|",AM1190,"| target=|_top|&gt;",AM1192,"&lt;/a&gt;")</f>
        <v>&lt;/li&gt;&lt;li&gt;&lt;a href=|http://basicenglishbible.com/1_chronicles/28.htm| title=|Bible in Basic English| target=|_top|&gt;BBE&lt;/a&gt;</v>
      </c>
      <c r="AN366" t="str">
        <f t="shared" si="1463"/>
        <v>&lt;/li&gt;&lt;li&gt;&lt;a href=|http://darbybible.com/1_chronicles/28.htm| title=|Darby Bible Translation| target=|_top|&gt;DBY&lt;/a&gt;</v>
      </c>
      <c r="AO36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6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6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66" t="str">
        <f>CONCATENATE("&lt;/li&gt;&lt;li&gt;&lt;a href=|http://",AR1191,"/1_chronicles/28.htm","| ","title=|",AR1190,"| target=|_top|&gt;",AR1192,"&lt;/a&gt;")</f>
        <v>&lt;/li&gt;&lt;li&gt;&lt;a href=|http://websterbible.com/1_chronicles/28.htm| title=|Webster's Bible Translation| target=|_top|&gt;WBS&lt;/a&gt;</v>
      </c>
      <c r="AS36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66" t="str">
        <f>CONCATENATE("&lt;/li&gt;&lt;li&gt;&lt;a href=|http://",AT1191,"/1_chronicles/28-1.htm","| ","title=|",AT1190,"| target=|_top|&gt;",AT1192,"&lt;/a&gt;")</f>
        <v>&lt;/li&gt;&lt;li&gt;&lt;a href=|http://biblebrowser.com/1_chronicles/28-1.htm| title=|Split View| target=|_top|&gt;Split&lt;/a&gt;</v>
      </c>
      <c r="AU366" s="2" t="s">
        <v>1276</v>
      </c>
      <c r="AV366" t="s">
        <v>64</v>
      </c>
    </row>
    <row r="367" spans="1:48">
      <c r="A367" t="s">
        <v>622</v>
      </c>
      <c r="B367" t="s">
        <v>420</v>
      </c>
      <c r="C367" t="s">
        <v>624</v>
      </c>
      <c r="D367" t="s">
        <v>1268</v>
      </c>
      <c r="E367" t="s">
        <v>1277</v>
      </c>
      <c r="F367" t="s">
        <v>1304</v>
      </c>
      <c r="G367" t="s">
        <v>1266</v>
      </c>
      <c r="H367" t="s">
        <v>1305</v>
      </c>
      <c r="I367" t="s">
        <v>1303</v>
      </c>
      <c r="J367" t="s">
        <v>1267</v>
      </c>
      <c r="K367" t="s">
        <v>1275</v>
      </c>
      <c r="L367" s="2" t="s">
        <v>1274</v>
      </c>
      <c r="M367" t="str">
        <f t="shared" ref="M367:AB367" si="1464">CONCATENATE("&lt;/li&gt;&lt;li&gt;&lt;a href=|http://",M1191,"/1_chronicles/29.htm","| ","title=|",M1190,"| target=|_top|&gt;",M1192,"&lt;/a&gt;")</f>
        <v>&lt;/li&gt;&lt;li&gt;&lt;a href=|http://niv.scripturetext.com/1_chronicles/29.htm| title=|New International Version| target=|_top|&gt;NIV&lt;/a&gt;</v>
      </c>
      <c r="N367" t="str">
        <f t="shared" si="1464"/>
        <v>&lt;/li&gt;&lt;li&gt;&lt;a href=|http://nlt.scripturetext.com/1_chronicles/29.htm| title=|New Living Translation| target=|_top|&gt;NLT&lt;/a&gt;</v>
      </c>
      <c r="O367" t="str">
        <f t="shared" si="1464"/>
        <v>&lt;/li&gt;&lt;li&gt;&lt;a href=|http://nasb.scripturetext.com/1_chronicles/29.htm| title=|New American Standard Bible| target=|_top|&gt;NAS&lt;/a&gt;</v>
      </c>
      <c r="P367" t="str">
        <f t="shared" si="1464"/>
        <v>&lt;/li&gt;&lt;li&gt;&lt;a href=|http://gwt.scripturetext.com/1_chronicles/29.htm| title=|God's Word Translation| target=|_top|&gt;GWT&lt;/a&gt;</v>
      </c>
      <c r="Q367" t="str">
        <f t="shared" si="1464"/>
        <v>&lt;/li&gt;&lt;li&gt;&lt;a href=|http://kingjbible.com/1_chronicles/29.htm| title=|King James Bible| target=|_top|&gt;KJV&lt;/a&gt;</v>
      </c>
      <c r="R367" t="str">
        <f t="shared" si="1464"/>
        <v>&lt;/li&gt;&lt;li&gt;&lt;a href=|http://asvbible.com/1_chronicles/29.htm| title=|American Standard Version| target=|_top|&gt;ASV&lt;/a&gt;</v>
      </c>
      <c r="S367" t="str">
        <f t="shared" si="1464"/>
        <v>&lt;/li&gt;&lt;li&gt;&lt;a href=|http://drb.scripturetext.com/1_chronicles/29.htm| title=|Douay-Rheims Bible| target=|_top|&gt;DRB&lt;/a&gt;</v>
      </c>
      <c r="T367" t="str">
        <f t="shared" si="1464"/>
        <v>&lt;/li&gt;&lt;li&gt;&lt;a href=|http://erv.scripturetext.com/1_chronicles/29.htm| title=|English Revised Version| target=|_top|&gt;ERV&lt;/a&gt;</v>
      </c>
      <c r="V367" t="str">
        <f>CONCATENATE("&lt;/li&gt;&lt;li&gt;&lt;a href=|http://",V1191,"/1_chronicles/29.htm","| ","title=|",V1190,"| target=|_top|&gt;",V1192,"&lt;/a&gt;")</f>
        <v>&lt;/li&gt;&lt;li&gt;&lt;a href=|http://study.interlinearbible.org/1_chronicles/29.htm| title=|Hebrew Study Bible| target=|_top|&gt;Heb Study&lt;/a&gt;</v>
      </c>
      <c r="W367" t="str">
        <f t="shared" si="1464"/>
        <v>&lt;/li&gt;&lt;li&gt;&lt;a href=|http://apostolic.interlinearbible.org/1_chronicles/29.htm| title=|Apostolic Bible Polyglot Interlinear| target=|_top|&gt;Polyglot&lt;/a&gt;</v>
      </c>
      <c r="X367" t="str">
        <f t="shared" si="1464"/>
        <v>&lt;/li&gt;&lt;li&gt;&lt;a href=|http://interlinearbible.org/1_chronicles/29.htm| title=|Interlinear Bible| target=|_top|&gt;Interlin&lt;/a&gt;</v>
      </c>
      <c r="Y367" t="str">
        <f t="shared" ref="Y367" si="1465">CONCATENATE("&lt;/li&gt;&lt;li&gt;&lt;a href=|http://",Y1191,"/1_chronicles/29.htm","| ","title=|",Y1190,"| target=|_top|&gt;",Y1192,"&lt;/a&gt;")</f>
        <v>&lt;/li&gt;&lt;li&gt;&lt;a href=|http://bibleoutline.org/1_chronicles/29.htm| title=|Outline with People and Places List| target=|_top|&gt;Outline&lt;/a&gt;</v>
      </c>
      <c r="Z367" t="str">
        <f t="shared" si="1464"/>
        <v>&lt;/li&gt;&lt;li&gt;&lt;a href=|http://kjvs.scripturetext.com/1_chronicles/29.htm| title=|King James Bible with Strong's Numbers| target=|_top|&gt;Strong's&lt;/a&gt;</v>
      </c>
      <c r="AA367" t="str">
        <f t="shared" si="1464"/>
        <v>&lt;/li&gt;&lt;li&gt;&lt;a href=|http://childrensbibleonline.com/1_chronicles/29.htm| title=|The Children's Bible| target=|_top|&gt;Children's&lt;/a&gt;</v>
      </c>
      <c r="AB367" s="2" t="str">
        <f t="shared" si="1464"/>
        <v>&lt;/li&gt;&lt;li&gt;&lt;a href=|http://tsk.scripturetext.com/1_chronicles/29.htm| title=|Treasury of Scripture Knowledge| target=|_top|&gt;TSK&lt;/a&gt;</v>
      </c>
      <c r="AC367" t="str">
        <f>CONCATENATE("&lt;a href=|http://",AC1191,"/1_chronicles/29.htm","| ","title=|",AC1190,"| target=|_top|&gt;",AC1192,"&lt;/a&gt;")</f>
        <v>&lt;a href=|http://parallelbible.com/1_chronicles/29.htm| title=|Parallel Chapters| target=|_top|&gt;PAR&lt;/a&gt;</v>
      </c>
      <c r="AD367" s="2" t="str">
        <f t="shared" ref="AD367:AK367" si="1466">CONCATENATE("&lt;/li&gt;&lt;li&gt;&lt;a href=|http://",AD1191,"/1_chronicles/29.htm","| ","title=|",AD1190,"| target=|_top|&gt;",AD1192,"&lt;/a&gt;")</f>
        <v>&lt;/li&gt;&lt;li&gt;&lt;a href=|http://gsb.biblecommenter.com/1_chronicles/29.htm| title=|Geneva Study Bible| target=|_top|&gt;GSB&lt;/a&gt;</v>
      </c>
      <c r="AE367" s="2" t="str">
        <f t="shared" si="1466"/>
        <v>&lt;/li&gt;&lt;li&gt;&lt;a href=|http://jfb.biblecommenter.com/1_chronicles/29.htm| title=|Jamieson-Fausset-Brown Bible Commentary| target=|_top|&gt;JFB&lt;/a&gt;</v>
      </c>
      <c r="AF367" s="2" t="str">
        <f t="shared" si="1466"/>
        <v>&lt;/li&gt;&lt;li&gt;&lt;a href=|http://kjt.biblecommenter.com/1_chronicles/29.htm| title=|King James Translators' Notes| target=|_top|&gt;KJT&lt;/a&gt;</v>
      </c>
      <c r="AG367" s="2" t="str">
        <f t="shared" si="1466"/>
        <v>&lt;/li&gt;&lt;li&gt;&lt;a href=|http://mhc.biblecommenter.com/1_chronicles/29.htm| title=|Matthew Henry's Concise Commentary| target=|_top|&gt;MHC&lt;/a&gt;</v>
      </c>
      <c r="AH367" s="2" t="str">
        <f t="shared" si="1466"/>
        <v>&lt;/li&gt;&lt;li&gt;&lt;a href=|http://sco.biblecommenter.com/1_chronicles/29.htm| title=|Scofield Reference Notes| target=|_top|&gt;SCO&lt;/a&gt;</v>
      </c>
      <c r="AI367" s="2" t="str">
        <f t="shared" si="1466"/>
        <v>&lt;/li&gt;&lt;li&gt;&lt;a href=|http://wes.biblecommenter.com/1_chronicles/29.htm| title=|Wesley's Notes on the Bible| target=|_top|&gt;WES&lt;/a&gt;</v>
      </c>
      <c r="AJ367" t="str">
        <f t="shared" si="1466"/>
        <v>&lt;/li&gt;&lt;li&gt;&lt;a href=|http://worldebible.com/1_chronicles/29.htm| title=|World English Bible| target=|_top|&gt;WEB&lt;/a&gt;</v>
      </c>
      <c r="AK367" t="str">
        <f t="shared" si="1466"/>
        <v>&lt;/li&gt;&lt;li&gt;&lt;a href=|http://yltbible.com/1_chronicles/29.htm| title=|Young's Literal Translation| target=|_top|&gt;YLT&lt;/a&gt;</v>
      </c>
      <c r="AL367" t="str">
        <f>CONCATENATE("&lt;a href=|http://",AL1191,"/1_chronicles/29.htm","| ","title=|",AL1190,"| target=|_top|&gt;",AL1192,"&lt;/a&gt;")</f>
        <v>&lt;a href=|http://kjv.us/1_chronicles/29.htm| title=|American King James Version| target=|_top|&gt;AKJ&lt;/a&gt;</v>
      </c>
      <c r="AM367" t="str">
        <f t="shared" ref="AM367:AN367" si="1467">CONCATENATE("&lt;/li&gt;&lt;li&gt;&lt;a href=|http://",AM1191,"/1_chronicles/29.htm","| ","title=|",AM1190,"| target=|_top|&gt;",AM1192,"&lt;/a&gt;")</f>
        <v>&lt;/li&gt;&lt;li&gt;&lt;a href=|http://basicenglishbible.com/1_chronicles/29.htm| title=|Bible in Basic English| target=|_top|&gt;BBE&lt;/a&gt;</v>
      </c>
      <c r="AN367" t="str">
        <f t="shared" si="1467"/>
        <v>&lt;/li&gt;&lt;li&gt;&lt;a href=|http://darbybible.com/1_chronicles/29.htm| title=|Darby Bible Translation| target=|_top|&gt;DBY&lt;/a&gt;</v>
      </c>
      <c r="AO36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6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6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67" t="str">
        <f>CONCATENATE("&lt;/li&gt;&lt;li&gt;&lt;a href=|http://",AR1191,"/1_chronicles/29.htm","| ","title=|",AR1190,"| target=|_top|&gt;",AR1192,"&lt;/a&gt;")</f>
        <v>&lt;/li&gt;&lt;li&gt;&lt;a href=|http://websterbible.com/1_chronicles/29.htm| title=|Webster's Bible Translation| target=|_top|&gt;WBS&lt;/a&gt;</v>
      </c>
      <c r="AS36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67" t="str">
        <f>CONCATENATE("&lt;/li&gt;&lt;li&gt;&lt;a href=|http://",AT1191,"/1_chronicles/29-1.htm","| ","title=|",AT1190,"| target=|_top|&gt;",AT1192,"&lt;/a&gt;")</f>
        <v>&lt;/li&gt;&lt;li&gt;&lt;a href=|http://biblebrowser.com/1_chronicles/29-1.htm| title=|Split View| target=|_top|&gt;Split&lt;/a&gt;</v>
      </c>
      <c r="AU367" s="2" t="s">
        <v>1276</v>
      </c>
      <c r="AV367" t="s">
        <v>64</v>
      </c>
    </row>
    <row r="368" spans="1:48">
      <c r="A368" t="s">
        <v>622</v>
      </c>
      <c r="B368" t="s">
        <v>421</v>
      </c>
      <c r="C368" t="s">
        <v>624</v>
      </c>
      <c r="D368" t="s">
        <v>1268</v>
      </c>
      <c r="E368" t="s">
        <v>1277</v>
      </c>
      <c r="F368" t="s">
        <v>1304</v>
      </c>
      <c r="G368" t="s">
        <v>1266</v>
      </c>
      <c r="H368" t="s">
        <v>1305</v>
      </c>
      <c r="I368" t="s">
        <v>1303</v>
      </c>
      <c r="J368" t="s">
        <v>1267</v>
      </c>
      <c r="K368" t="s">
        <v>1275</v>
      </c>
      <c r="L368" s="2" t="s">
        <v>1274</v>
      </c>
      <c r="M368" t="str">
        <f t="shared" ref="M368:AB368" si="1468">CONCATENATE("&lt;/li&gt;&lt;li&gt;&lt;a href=|http://",M1191,"/2_chronicles/1.htm","| ","title=|",M1190,"| target=|_top|&gt;",M1192,"&lt;/a&gt;")</f>
        <v>&lt;/li&gt;&lt;li&gt;&lt;a href=|http://niv.scripturetext.com/2_chronicles/1.htm| title=|New International Version| target=|_top|&gt;NIV&lt;/a&gt;</v>
      </c>
      <c r="N368" t="str">
        <f t="shared" si="1468"/>
        <v>&lt;/li&gt;&lt;li&gt;&lt;a href=|http://nlt.scripturetext.com/2_chronicles/1.htm| title=|New Living Translation| target=|_top|&gt;NLT&lt;/a&gt;</v>
      </c>
      <c r="O368" t="str">
        <f t="shared" si="1468"/>
        <v>&lt;/li&gt;&lt;li&gt;&lt;a href=|http://nasb.scripturetext.com/2_chronicles/1.htm| title=|New American Standard Bible| target=|_top|&gt;NAS&lt;/a&gt;</v>
      </c>
      <c r="P368" t="str">
        <f t="shared" si="1468"/>
        <v>&lt;/li&gt;&lt;li&gt;&lt;a href=|http://gwt.scripturetext.com/2_chronicles/1.htm| title=|God's Word Translation| target=|_top|&gt;GWT&lt;/a&gt;</v>
      </c>
      <c r="Q368" t="str">
        <f t="shared" si="1468"/>
        <v>&lt;/li&gt;&lt;li&gt;&lt;a href=|http://kingjbible.com/2_chronicles/1.htm| title=|King James Bible| target=|_top|&gt;KJV&lt;/a&gt;</v>
      </c>
      <c r="R368" t="str">
        <f t="shared" si="1468"/>
        <v>&lt;/li&gt;&lt;li&gt;&lt;a href=|http://asvbible.com/2_chronicles/1.htm| title=|American Standard Version| target=|_top|&gt;ASV&lt;/a&gt;</v>
      </c>
      <c r="S368" t="str">
        <f t="shared" si="1468"/>
        <v>&lt;/li&gt;&lt;li&gt;&lt;a href=|http://drb.scripturetext.com/2_chronicles/1.htm| title=|Douay-Rheims Bible| target=|_top|&gt;DRB&lt;/a&gt;</v>
      </c>
      <c r="T368" t="str">
        <f t="shared" si="1468"/>
        <v>&lt;/li&gt;&lt;li&gt;&lt;a href=|http://erv.scripturetext.com/2_chronicles/1.htm| title=|English Revised Version| target=|_top|&gt;ERV&lt;/a&gt;</v>
      </c>
      <c r="V368" t="str">
        <f>CONCATENATE("&lt;/li&gt;&lt;li&gt;&lt;a href=|http://",V1191,"/2_chronicles/1.htm","| ","title=|",V1190,"| target=|_top|&gt;",V1192,"&lt;/a&gt;")</f>
        <v>&lt;/li&gt;&lt;li&gt;&lt;a href=|http://study.interlinearbible.org/2_chronicles/1.htm| title=|Hebrew Study Bible| target=|_top|&gt;Heb Study&lt;/a&gt;</v>
      </c>
      <c r="W368" t="str">
        <f t="shared" si="1468"/>
        <v>&lt;/li&gt;&lt;li&gt;&lt;a href=|http://apostolic.interlinearbible.org/2_chronicles/1.htm| title=|Apostolic Bible Polyglot Interlinear| target=|_top|&gt;Polyglot&lt;/a&gt;</v>
      </c>
      <c r="X368" t="str">
        <f t="shared" si="1468"/>
        <v>&lt;/li&gt;&lt;li&gt;&lt;a href=|http://interlinearbible.org/2_chronicles/1.htm| title=|Interlinear Bible| target=|_top|&gt;Interlin&lt;/a&gt;</v>
      </c>
      <c r="Y368" t="str">
        <f t="shared" ref="Y368" si="1469">CONCATENATE("&lt;/li&gt;&lt;li&gt;&lt;a href=|http://",Y1191,"/2_chronicles/1.htm","| ","title=|",Y1190,"| target=|_top|&gt;",Y1192,"&lt;/a&gt;")</f>
        <v>&lt;/li&gt;&lt;li&gt;&lt;a href=|http://bibleoutline.org/2_chronicles/1.htm| title=|Outline with People and Places List| target=|_top|&gt;Outline&lt;/a&gt;</v>
      </c>
      <c r="Z368" t="str">
        <f t="shared" si="1468"/>
        <v>&lt;/li&gt;&lt;li&gt;&lt;a href=|http://kjvs.scripturetext.com/2_chronicles/1.htm| title=|King James Bible with Strong's Numbers| target=|_top|&gt;Strong's&lt;/a&gt;</v>
      </c>
      <c r="AA368" t="str">
        <f t="shared" si="1468"/>
        <v>&lt;/li&gt;&lt;li&gt;&lt;a href=|http://childrensbibleonline.com/2_chronicles/1.htm| title=|The Children's Bible| target=|_top|&gt;Children's&lt;/a&gt;</v>
      </c>
      <c r="AB368" s="2" t="str">
        <f t="shared" si="1468"/>
        <v>&lt;/li&gt;&lt;li&gt;&lt;a href=|http://tsk.scripturetext.com/2_chronicles/1.htm| title=|Treasury of Scripture Knowledge| target=|_top|&gt;TSK&lt;/a&gt;</v>
      </c>
      <c r="AC368" t="str">
        <f>CONCATENATE("&lt;a href=|http://",AC1191,"/2_chronicles/1.htm","| ","title=|",AC1190,"| target=|_top|&gt;",AC1192,"&lt;/a&gt;")</f>
        <v>&lt;a href=|http://parallelbible.com/2_chronicles/1.htm| title=|Parallel Chapters| target=|_top|&gt;PAR&lt;/a&gt;</v>
      </c>
      <c r="AD368" s="2" t="str">
        <f t="shared" ref="AD368:AK368" si="1470">CONCATENATE("&lt;/li&gt;&lt;li&gt;&lt;a href=|http://",AD1191,"/2_chronicles/1.htm","| ","title=|",AD1190,"| target=|_top|&gt;",AD1192,"&lt;/a&gt;")</f>
        <v>&lt;/li&gt;&lt;li&gt;&lt;a href=|http://gsb.biblecommenter.com/2_chronicles/1.htm| title=|Geneva Study Bible| target=|_top|&gt;GSB&lt;/a&gt;</v>
      </c>
      <c r="AE368" s="2" t="str">
        <f t="shared" si="1470"/>
        <v>&lt;/li&gt;&lt;li&gt;&lt;a href=|http://jfb.biblecommenter.com/2_chronicles/1.htm| title=|Jamieson-Fausset-Brown Bible Commentary| target=|_top|&gt;JFB&lt;/a&gt;</v>
      </c>
      <c r="AF368" s="2" t="str">
        <f t="shared" si="1470"/>
        <v>&lt;/li&gt;&lt;li&gt;&lt;a href=|http://kjt.biblecommenter.com/2_chronicles/1.htm| title=|King James Translators' Notes| target=|_top|&gt;KJT&lt;/a&gt;</v>
      </c>
      <c r="AG368" s="2" t="str">
        <f t="shared" si="1470"/>
        <v>&lt;/li&gt;&lt;li&gt;&lt;a href=|http://mhc.biblecommenter.com/2_chronicles/1.htm| title=|Matthew Henry's Concise Commentary| target=|_top|&gt;MHC&lt;/a&gt;</v>
      </c>
      <c r="AH368" s="2" t="str">
        <f t="shared" si="1470"/>
        <v>&lt;/li&gt;&lt;li&gt;&lt;a href=|http://sco.biblecommenter.com/2_chronicles/1.htm| title=|Scofield Reference Notes| target=|_top|&gt;SCO&lt;/a&gt;</v>
      </c>
      <c r="AI368" s="2" t="str">
        <f t="shared" si="1470"/>
        <v>&lt;/li&gt;&lt;li&gt;&lt;a href=|http://wes.biblecommenter.com/2_chronicles/1.htm| title=|Wesley's Notes on the Bible| target=|_top|&gt;WES&lt;/a&gt;</v>
      </c>
      <c r="AJ368" t="str">
        <f t="shared" si="1470"/>
        <v>&lt;/li&gt;&lt;li&gt;&lt;a href=|http://worldebible.com/2_chronicles/1.htm| title=|World English Bible| target=|_top|&gt;WEB&lt;/a&gt;</v>
      </c>
      <c r="AK368" t="str">
        <f t="shared" si="1470"/>
        <v>&lt;/li&gt;&lt;li&gt;&lt;a href=|http://yltbible.com/2_chronicles/1.htm| title=|Young's Literal Translation| target=|_top|&gt;YLT&lt;/a&gt;</v>
      </c>
      <c r="AL368" t="str">
        <f>CONCATENATE("&lt;a href=|http://",AL1191,"/2_chronicles/1.htm","| ","title=|",AL1190,"| target=|_top|&gt;",AL1192,"&lt;/a&gt;")</f>
        <v>&lt;a href=|http://kjv.us/2_chronicles/1.htm| title=|American King James Version| target=|_top|&gt;AKJ&lt;/a&gt;</v>
      </c>
      <c r="AM368" t="str">
        <f t="shared" ref="AM368:AN368" si="1471">CONCATENATE("&lt;/li&gt;&lt;li&gt;&lt;a href=|http://",AM1191,"/2_chronicles/1.htm","| ","title=|",AM1190,"| target=|_top|&gt;",AM1192,"&lt;/a&gt;")</f>
        <v>&lt;/li&gt;&lt;li&gt;&lt;a href=|http://basicenglishbible.com/2_chronicles/1.htm| title=|Bible in Basic English| target=|_top|&gt;BBE&lt;/a&gt;</v>
      </c>
      <c r="AN368" t="str">
        <f t="shared" si="1471"/>
        <v>&lt;/li&gt;&lt;li&gt;&lt;a href=|http://darbybible.com/2_chronicles/1.htm| title=|Darby Bible Translation| target=|_top|&gt;DBY&lt;/a&gt;</v>
      </c>
      <c r="AO36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6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6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68" t="str">
        <f>CONCATENATE("&lt;/li&gt;&lt;li&gt;&lt;a href=|http://",AR1191,"/2_chronicles/1.htm","| ","title=|",AR1190,"| target=|_top|&gt;",AR1192,"&lt;/a&gt;")</f>
        <v>&lt;/li&gt;&lt;li&gt;&lt;a href=|http://websterbible.com/2_chronicles/1.htm| title=|Webster's Bible Translation| target=|_top|&gt;WBS&lt;/a&gt;</v>
      </c>
      <c r="AS36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68" t="str">
        <f>CONCATENATE("&lt;/li&gt;&lt;li&gt;&lt;a href=|http://",AT1191,"/2_chronicles/1-1.htm","| ","title=|",AT1190,"| target=|_top|&gt;",AT1192,"&lt;/a&gt;")</f>
        <v>&lt;/li&gt;&lt;li&gt;&lt;a href=|http://biblebrowser.com/2_chronicles/1-1.htm| title=|Split View| target=|_top|&gt;Split&lt;/a&gt;</v>
      </c>
      <c r="AU368" s="2" t="s">
        <v>1276</v>
      </c>
      <c r="AV368" t="s">
        <v>64</v>
      </c>
    </row>
    <row r="369" spans="1:48">
      <c r="A369" t="s">
        <v>622</v>
      </c>
      <c r="B369" t="s">
        <v>422</v>
      </c>
      <c r="C369" t="s">
        <v>624</v>
      </c>
      <c r="D369" t="s">
        <v>1268</v>
      </c>
      <c r="E369" t="s">
        <v>1277</v>
      </c>
      <c r="F369" t="s">
        <v>1304</v>
      </c>
      <c r="G369" t="s">
        <v>1266</v>
      </c>
      <c r="H369" t="s">
        <v>1305</v>
      </c>
      <c r="I369" t="s">
        <v>1303</v>
      </c>
      <c r="J369" t="s">
        <v>1267</v>
      </c>
      <c r="K369" t="s">
        <v>1275</v>
      </c>
      <c r="L369" s="2" t="s">
        <v>1274</v>
      </c>
      <c r="M369" t="str">
        <f t="shared" ref="M369:AB369" si="1472">CONCATENATE("&lt;/li&gt;&lt;li&gt;&lt;a href=|http://",M1191,"/2_chronicles/2.htm","| ","title=|",M1190,"| target=|_top|&gt;",M1192,"&lt;/a&gt;")</f>
        <v>&lt;/li&gt;&lt;li&gt;&lt;a href=|http://niv.scripturetext.com/2_chronicles/2.htm| title=|New International Version| target=|_top|&gt;NIV&lt;/a&gt;</v>
      </c>
      <c r="N369" t="str">
        <f t="shared" si="1472"/>
        <v>&lt;/li&gt;&lt;li&gt;&lt;a href=|http://nlt.scripturetext.com/2_chronicles/2.htm| title=|New Living Translation| target=|_top|&gt;NLT&lt;/a&gt;</v>
      </c>
      <c r="O369" t="str">
        <f t="shared" si="1472"/>
        <v>&lt;/li&gt;&lt;li&gt;&lt;a href=|http://nasb.scripturetext.com/2_chronicles/2.htm| title=|New American Standard Bible| target=|_top|&gt;NAS&lt;/a&gt;</v>
      </c>
      <c r="P369" t="str">
        <f t="shared" si="1472"/>
        <v>&lt;/li&gt;&lt;li&gt;&lt;a href=|http://gwt.scripturetext.com/2_chronicles/2.htm| title=|God's Word Translation| target=|_top|&gt;GWT&lt;/a&gt;</v>
      </c>
      <c r="Q369" t="str">
        <f t="shared" si="1472"/>
        <v>&lt;/li&gt;&lt;li&gt;&lt;a href=|http://kingjbible.com/2_chronicles/2.htm| title=|King James Bible| target=|_top|&gt;KJV&lt;/a&gt;</v>
      </c>
      <c r="R369" t="str">
        <f t="shared" si="1472"/>
        <v>&lt;/li&gt;&lt;li&gt;&lt;a href=|http://asvbible.com/2_chronicles/2.htm| title=|American Standard Version| target=|_top|&gt;ASV&lt;/a&gt;</v>
      </c>
      <c r="S369" t="str">
        <f t="shared" si="1472"/>
        <v>&lt;/li&gt;&lt;li&gt;&lt;a href=|http://drb.scripturetext.com/2_chronicles/2.htm| title=|Douay-Rheims Bible| target=|_top|&gt;DRB&lt;/a&gt;</v>
      </c>
      <c r="T369" t="str">
        <f t="shared" si="1472"/>
        <v>&lt;/li&gt;&lt;li&gt;&lt;a href=|http://erv.scripturetext.com/2_chronicles/2.htm| title=|English Revised Version| target=|_top|&gt;ERV&lt;/a&gt;</v>
      </c>
      <c r="V369" t="str">
        <f>CONCATENATE("&lt;/li&gt;&lt;li&gt;&lt;a href=|http://",V1191,"/2_chronicles/2.htm","| ","title=|",V1190,"| target=|_top|&gt;",V1192,"&lt;/a&gt;")</f>
        <v>&lt;/li&gt;&lt;li&gt;&lt;a href=|http://study.interlinearbible.org/2_chronicles/2.htm| title=|Hebrew Study Bible| target=|_top|&gt;Heb Study&lt;/a&gt;</v>
      </c>
      <c r="W369" t="str">
        <f t="shared" si="1472"/>
        <v>&lt;/li&gt;&lt;li&gt;&lt;a href=|http://apostolic.interlinearbible.org/2_chronicles/2.htm| title=|Apostolic Bible Polyglot Interlinear| target=|_top|&gt;Polyglot&lt;/a&gt;</v>
      </c>
      <c r="X369" t="str">
        <f t="shared" si="1472"/>
        <v>&lt;/li&gt;&lt;li&gt;&lt;a href=|http://interlinearbible.org/2_chronicles/2.htm| title=|Interlinear Bible| target=|_top|&gt;Interlin&lt;/a&gt;</v>
      </c>
      <c r="Y369" t="str">
        <f t="shared" ref="Y369" si="1473">CONCATENATE("&lt;/li&gt;&lt;li&gt;&lt;a href=|http://",Y1191,"/2_chronicles/2.htm","| ","title=|",Y1190,"| target=|_top|&gt;",Y1192,"&lt;/a&gt;")</f>
        <v>&lt;/li&gt;&lt;li&gt;&lt;a href=|http://bibleoutline.org/2_chronicles/2.htm| title=|Outline with People and Places List| target=|_top|&gt;Outline&lt;/a&gt;</v>
      </c>
      <c r="Z369" t="str">
        <f t="shared" si="1472"/>
        <v>&lt;/li&gt;&lt;li&gt;&lt;a href=|http://kjvs.scripturetext.com/2_chronicles/2.htm| title=|King James Bible with Strong's Numbers| target=|_top|&gt;Strong's&lt;/a&gt;</v>
      </c>
      <c r="AA369" t="str">
        <f t="shared" si="1472"/>
        <v>&lt;/li&gt;&lt;li&gt;&lt;a href=|http://childrensbibleonline.com/2_chronicles/2.htm| title=|The Children's Bible| target=|_top|&gt;Children's&lt;/a&gt;</v>
      </c>
      <c r="AB369" s="2" t="str">
        <f t="shared" si="1472"/>
        <v>&lt;/li&gt;&lt;li&gt;&lt;a href=|http://tsk.scripturetext.com/2_chronicles/2.htm| title=|Treasury of Scripture Knowledge| target=|_top|&gt;TSK&lt;/a&gt;</v>
      </c>
      <c r="AC369" t="str">
        <f>CONCATENATE("&lt;a href=|http://",AC1191,"/2_chronicles/2.htm","| ","title=|",AC1190,"| target=|_top|&gt;",AC1192,"&lt;/a&gt;")</f>
        <v>&lt;a href=|http://parallelbible.com/2_chronicles/2.htm| title=|Parallel Chapters| target=|_top|&gt;PAR&lt;/a&gt;</v>
      </c>
      <c r="AD369" s="2" t="str">
        <f t="shared" ref="AD369:AK369" si="1474">CONCATENATE("&lt;/li&gt;&lt;li&gt;&lt;a href=|http://",AD1191,"/2_chronicles/2.htm","| ","title=|",AD1190,"| target=|_top|&gt;",AD1192,"&lt;/a&gt;")</f>
        <v>&lt;/li&gt;&lt;li&gt;&lt;a href=|http://gsb.biblecommenter.com/2_chronicles/2.htm| title=|Geneva Study Bible| target=|_top|&gt;GSB&lt;/a&gt;</v>
      </c>
      <c r="AE369" s="2" t="str">
        <f t="shared" si="1474"/>
        <v>&lt;/li&gt;&lt;li&gt;&lt;a href=|http://jfb.biblecommenter.com/2_chronicles/2.htm| title=|Jamieson-Fausset-Brown Bible Commentary| target=|_top|&gt;JFB&lt;/a&gt;</v>
      </c>
      <c r="AF369" s="2" t="str">
        <f t="shared" si="1474"/>
        <v>&lt;/li&gt;&lt;li&gt;&lt;a href=|http://kjt.biblecommenter.com/2_chronicles/2.htm| title=|King James Translators' Notes| target=|_top|&gt;KJT&lt;/a&gt;</v>
      </c>
      <c r="AG369" s="2" t="str">
        <f t="shared" si="1474"/>
        <v>&lt;/li&gt;&lt;li&gt;&lt;a href=|http://mhc.biblecommenter.com/2_chronicles/2.htm| title=|Matthew Henry's Concise Commentary| target=|_top|&gt;MHC&lt;/a&gt;</v>
      </c>
      <c r="AH369" s="2" t="str">
        <f t="shared" si="1474"/>
        <v>&lt;/li&gt;&lt;li&gt;&lt;a href=|http://sco.biblecommenter.com/2_chronicles/2.htm| title=|Scofield Reference Notes| target=|_top|&gt;SCO&lt;/a&gt;</v>
      </c>
      <c r="AI369" s="2" t="str">
        <f t="shared" si="1474"/>
        <v>&lt;/li&gt;&lt;li&gt;&lt;a href=|http://wes.biblecommenter.com/2_chronicles/2.htm| title=|Wesley's Notes on the Bible| target=|_top|&gt;WES&lt;/a&gt;</v>
      </c>
      <c r="AJ369" t="str">
        <f t="shared" si="1474"/>
        <v>&lt;/li&gt;&lt;li&gt;&lt;a href=|http://worldebible.com/2_chronicles/2.htm| title=|World English Bible| target=|_top|&gt;WEB&lt;/a&gt;</v>
      </c>
      <c r="AK369" t="str">
        <f t="shared" si="1474"/>
        <v>&lt;/li&gt;&lt;li&gt;&lt;a href=|http://yltbible.com/2_chronicles/2.htm| title=|Young's Literal Translation| target=|_top|&gt;YLT&lt;/a&gt;</v>
      </c>
      <c r="AL369" t="str">
        <f>CONCATENATE("&lt;a href=|http://",AL1191,"/2_chronicles/2.htm","| ","title=|",AL1190,"| target=|_top|&gt;",AL1192,"&lt;/a&gt;")</f>
        <v>&lt;a href=|http://kjv.us/2_chronicles/2.htm| title=|American King James Version| target=|_top|&gt;AKJ&lt;/a&gt;</v>
      </c>
      <c r="AM369" t="str">
        <f t="shared" ref="AM369:AN369" si="1475">CONCATENATE("&lt;/li&gt;&lt;li&gt;&lt;a href=|http://",AM1191,"/2_chronicles/2.htm","| ","title=|",AM1190,"| target=|_top|&gt;",AM1192,"&lt;/a&gt;")</f>
        <v>&lt;/li&gt;&lt;li&gt;&lt;a href=|http://basicenglishbible.com/2_chronicles/2.htm| title=|Bible in Basic English| target=|_top|&gt;BBE&lt;/a&gt;</v>
      </c>
      <c r="AN369" t="str">
        <f t="shared" si="1475"/>
        <v>&lt;/li&gt;&lt;li&gt;&lt;a href=|http://darbybible.com/2_chronicles/2.htm| title=|Darby Bible Translation| target=|_top|&gt;DBY&lt;/a&gt;</v>
      </c>
      <c r="AO36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6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6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69" t="str">
        <f>CONCATENATE("&lt;/li&gt;&lt;li&gt;&lt;a href=|http://",AR1191,"/2_chronicles/2.htm","| ","title=|",AR1190,"| target=|_top|&gt;",AR1192,"&lt;/a&gt;")</f>
        <v>&lt;/li&gt;&lt;li&gt;&lt;a href=|http://websterbible.com/2_chronicles/2.htm| title=|Webster's Bible Translation| target=|_top|&gt;WBS&lt;/a&gt;</v>
      </c>
      <c r="AS36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69" t="str">
        <f>CONCATENATE("&lt;/li&gt;&lt;li&gt;&lt;a href=|http://",AT1191,"/2_chronicles/2-1.htm","| ","title=|",AT1190,"| target=|_top|&gt;",AT1192,"&lt;/a&gt;")</f>
        <v>&lt;/li&gt;&lt;li&gt;&lt;a href=|http://biblebrowser.com/2_chronicles/2-1.htm| title=|Split View| target=|_top|&gt;Split&lt;/a&gt;</v>
      </c>
      <c r="AU369" s="2" t="s">
        <v>1276</v>
      </c>
      <c r="AV369" t="s">
        <v>64</v>
      </c>
    </row>
    <row r="370" spans="1:48">
      <c r="A370" t="s">
        <v>622</v>
      </c>
      <c r="B370" t="s">
        <v>423</v>
      </c>
      <c r="C370" t="s">
        <v>624</v>
      </c>
      <c r="D370" t="s">
        <v>1268</v>
      </c>
      <c r="E370" t="s">
        <v>1277</v>
      </c>
      <c r="F370" t="s">
        <v>1304</v>
      </c>
      <c r="G370" t="s">
        <v>1266</v>
      </c>
      <c r="H370" t="s">
        <v>1305</v>
      </c>
      <c r="I370" t="s">
        <v>1303</v>
      </c>
      <c r="J370" t="s">
        <v>1267</v>
      </c>
      <c r="K370" t="s">
        <v>1275</v>
      </c>
      <c r="L370" s="2" t="s">
        <v>1274</v>
      </c>
      <c r="M370" t="str">
        <f t="shared" ref="M370:AB370" si="1476">CONCATENATE("&lt;/li&gt;&lt;li&gt;&lt;a href=|http://",M1191,"/2_chronicles/3.htm","| ","title=|",M1190,"| target=|_top|&gt;",M1192,"&lt;/a&gt;")</f>
        <v>&lt;/li&gt;&lt;li&gt;&lt;a href=|http://niv.scripturetext.com/2_chronicles/3.htm| title=|New International Version| target=|_top|&gt;NIV&lt;/a&gt;</v>
      </c>
      <c r="N370" t="str">
        <f t="shared" si="1476"/>
        <v>&lt;/li&gt;&lt;li&gt;&lt;a href=|http://nlt.scripturetext.com/2_chronicles/3.htm| title=|New Living Translation| target=|_top|&gt;NLT&lt;/a&gt;</v>
      </c>
      <c r="O370" t="str">
        <f t="shared" si="1476"/>
        <v>&lt;/li&gt;&lt;li&gt;&lt;a href=|http://nasb.scripturetext.com/2_chronicles/3.htm| title=|New American Standard Bible| target=|_top|&gt;NAS&lt;/a&gt;</v>
      </c>
      <c r="P370" t="str">
        <f t="shared" si="1476"/>
        <v>&lt;/li&gt;&lt;li&gt;&lt;a href=|http://gwt.scripturetext.com/2_chronicles/3.htm| title=|God's Word Translation| target=|_top|&gt;GWT&lt;/a&gt;</v>
      </c>
      <c r="Q370" t="str">
        <f t="shared" si="1476"/>
        <v>&lt;/li&gt;&lt;li&gt;&lt;a href=|http://kingjbible.com/2_chronicles/3.htm| title=|King James Bible| target=|_top|&gt;KJV&lt;/a&gt;</v>
      </c>
      <c r="R370" t="str">
        <f t="shared" si="1476"/>
        <v>&lt;/li&gt;&lt;li&gt;&lt;a href=|http://asvbible.com/2_chronicles/3.htm| title=|American Standard Version| target=|_top|&gt;ASV&lt;/a&gt;</v>
      </c>
      <c r="S370" t="str">
        <f t="shared" si="1476"/>
        <v>&lt;/li&gt;&lt;li&gt;&lt;a href=|http://drb.scripturetext.com/2_chronicles/3.htm| title=|Douay-Rheims Bible| target=|_top|&gt;DRB&lt;/a&gt;</v>
      </c>
      <c r="T370" t="str">
        <f t="shared" si="1476"/>
        <v>&lt;/li&gt;&lt;li&gt;&lt;a href=|http://erv.scripturetext.com/2_chronicles/3.htm| title=|English Revised Version| target=|_top|&gt;ERV&lt;/a&gt;</v>
      </c>
      <c r="V370" t="str">
        <f>CONCATENATE("&lt;/li&gt;&lt;li&gt;&lt;a href=|http://",V1191,"/2_chronicles/3.htm","| ","title=|",V1190,"| target=|_top|&gt;",V1192,"&lt;/a&gt;")</f>
        <v>&lt;/li&gt;&lt;li&gt;&lt;a href=|http://study.interlinearbible.org/2_chronicles/3.htm| title=|Hebrew Study Bible| target=|_top|&gt;Heb Study&lt;/a&gt;</v>
      </c>
      <c r="W370" t="str">
        <f t="shared" si="1476"/>
        <v>&lt;/li&gt;&lt;li&gt;&lt;a href=|http://apostolic.interlinearbible.org/2_chronicles/3.htm| title=|Apostolic Bible Polyglot Interlinear| target=|_top|&gt;Polyglot&lt;/a&gt;</v>
      </c>
      <c r="X370" t="str">
        <f t="shared" si="1476"/>
        <v>&lt;/li&gt;&lt;li&gt;&lt;a href=|http://interlinearbible.org/2_chronicles/3.htm| title=|Interlinear Bible| target=|_top|&gt;Interlin&lt;/a&gt;</v>
      </c>
      <c r="Y370" t="str">
        <f t="shared" ref="Y370" si="1477">CONCATENATE("&lt;/li&gt;&lt;li&gt;&lt;a href=|http://",Y1191,"/2_chronicles/3.htm","| ","title=|",Y1190,"| target=|_top|&gt;",Y1192,"&lt;/a&gt;")</f>
        <v>&lt;/li&gt;&lt;li&gt;&lt;a href=|http://bibleoutline.org/2_chronicles/3.htm| title=|Outline with People and Places List| target=|_top|&gt;Outline&lt;/a&gt;</v>
      </c>
      <c r="Z370" t="str">
        <f t="shared" si="1476"/>
        <v>&lt;/li&gt;&lt;li&gt;&lt;a href=|http://kjvs.scripturetext.com/2_chronicles/3.htm| title=|King James Bible with Strong's Numbers| target=|_top|&gt;Strong's&lt;/a&gt;</v>
      </c>
      <c r="AA370" t="str">
        <f t="shared" si="1476"/>
        <v>&lt;/li&gt;&lt;li&gt;&lt;a href=|http://childrensbibleonline.com/2_chronicles/3.htm| title=|The Children's Bible| target=|_top|&gt;Children's&lt;/a&gt;</v>
      </c>
      <c r="AB370" s="2" t="str">
        <f t="shared" si="1476"/>
        <v>&lt;/li&gt;&lt;li&gt;&lt;a href=|http://tsk.scripturetext.com/2_chronicles/3.htm| title=|Treasury of Scripture Knowledge| target=|_top|&gt;TSK&lt;/a&gt;</v>
      </c>
      <c r="AC370" t="str">
        <f>CONCATENATE("&lt;a href=|http://",AC1191,"/2_chronicles/3.htm","| ","title=|",AC1190,"| target=|_top|&gt;",AC1192,"&lt;/a&gt;")</f>
        <v>&lt;a href=|http://parallelbible.com/2_chronicles/3.htm| title=|Parallel Chapters| target=|_top|&gt;PAR&lt;/a&gt;</v>
      </c>
      <c r="AD370" s="2" t="str">
        <f t="shared" ref="AD370:AK370" si="1478">CONCATENATE("&lt;/li&gt;&lt;li&gt;&lt;a href=|http://",AD1191,"/2_chronicles/3.htm","| ","title=|",AD1190,"| target=|_top|&gt;",AD1192,"&lt;/a&gt;")</f>
        <v>&lt;/li&gt;&lt;li&gt;&lt;a href=|http://gsb.biblecommenter.com/2_chronicles/3.htm| title=|Geneva Study Bible| target=|_top|&gt;GSB&lt;/a&gt;</v>
      </c>
      <c r="AE370" s="2" t="str">
        <f t="shared" si="1478"/>
        <v>&lt;/li&gt;&lt;li&gt;&lt;a href=|http://jfb.biblecommenter.com/2_chronicles/3.htm| title=|Jamieson-Fausset-Brown Bible Commentary| target=|_top|&gt;JFB&lt;/a&gt;</v>
      </c>
      <c r="AF370" s="2" t="str">
        <f t="shared" si="1478"/>
        <v>&lt;/li&gt;&lt;li&gt;&lt;a href=|http://kjt.biblecommenter.com/2_chronicles/3.htm| title=|King James Translators' Notes| target=|_top|&gt;KJT&lt;/a&gt;</v>
      </c>
      <c r="AG370" s="2" t="str">
        <f t="shared" si="1478"/>
        <v>&lt;/li&gt;&lt;li&gt;&lt;a href=|http://mhc.biblecommenter.com/2_chronicles/3.htm| title=|Matthew Henry's Concise Commentary| target=|_top|&gt;MHC&lt;/a&gt;</v>
      </c>
      <c r="AH370" s="2" t="str">
        <f t="shared" si="1478"/>
        <v>&lt;/li&gt;&lt;li&gt;&lt;a href=|http://sco.biblecommenter.com/2_chronicles/3.htm| title=|Scofield Reference Notes| target=|_top|&gt;SCO&lt;/a&gt;</v>
      </c>
      <c r="AI370" s="2" t="str">
        <f t="shared" si="1478"/>
        <v>&lt;/li&gt;&lt;li&gt;&lt;a href=|http://wes.biblecommenter.com/2_chronicles/3.htm| title=|Wesley's Notes on the Bible| target=|_top|&gt;WES&lt;/a&gt;</v>
      </c>
      <c r="AJ370" t="str">
        <f t="shared" si="1478"/>
        <v>&lt;/li&gt;&lt;li&gt;&lt;a href=|http://worldebible.com/2_chronicles/3.htm| title=|World English Bible| target=|_top|&gt;WEB&lt;/a&gt;</v>
      </c>
      <c r="AK370" t="str">
        <f t="shared" si="1478"/>
        <v>&lt;/li&gt;&lt;li&gt;&lt;a href=|http://yltbible.com/2_chronicles/3.htm| title=|Young's Literal Translation| target=|_top|&gt;YLT&lt;/a&gt;</v>
      </c>
      <c r="AL370" t="str">
        <f>CONCATENATE("&lt;a href=|http://",AL1191,"/2_chronicles/3.htm","| ","title=|",AL1190,"| target=|_top|&gt;",AL1192,"&lt;/a&gt;")</f>
        <v>&lt;a href=|http://kjv.us/2_chronicles/3.htm| title=|American King James Version| target=|_top|&gt;AKJ&lt;/a&gt;</v>
      </c>
      <c r="AM370" t="str">
        <f t="shared" ref="AM370:AN370" si="1479">CONCATENATE("&lt;/li&gt;&lt;li&gt;&lt;a href=|http://",AM1191,"/2_chronicles/3.htm","| ","title=|",AM1190,"| target=|_top|&gt;",AM1192,"&lt;/a&gt;")</f>
        <v>&lt;/li&gt;&lt;li&gt;&lt;a href=|http://basicenglishbible.com/2_chronicles/3.htm| title=|Bible in Basic English| target=|_top|&gt;BBE&lt;/a&gt;</v>
      </c>
      <c r="AN370" t="str">
        <f t="shared" si="1479"/>
        <v>&lt;/li&gt;&lt;li&gt;&lt;a href=|http://darbybible.com/2_chronicles/3.htm| title=|Darby Bible Translation| target=|_top|&gt;DBY&lt;/a&gt;</v>
      </c>
      <c r="AO37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7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7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70" t="str">
        <f>CONCATENATE("&lt;/li&gt;&lt;li&gt;&lt;a href=|http://",AR1191,"/2_chronicles/3.htm","| ","title=|",AR1190,"| target=|_top|&gt;",AR1192,"&lt;/a&gt;")</f>
        <v>&lt;/li&gt;&lt;li&gt;&lt;a href=|http://websterbible.com/2_chronicles/3.htm| title=|Webster's Bible Translation| target=|_top|&gt;WBS&lt;/a&gt;</v>
      </c>
      <c r="AS37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70" t="str">
        <f>CONCATENATE("&lt;/li&gt;&lt;li&gt;&lt;a href=|http://",AT1191,"/2_chronicles/3-1.htm","| ","title=|",AT1190,"| target=|_top|&gt;",AT1192,"&lt;/a&gt;")</f>
        <v>&lt;/li&gt;&lt;li&gt;&lt;a href=|http://biblebrowser.com/2_chronicles/3-1.htm| title=|Split View| target=|_top|&gt;Split&lt;/a&gt;</v>
      </c>
      <c r="AU370" s="2" t="s">
        <v>1276</v>
      </c>
      <c r="AV370" t="s">
        <v>64</v>
      </c>
    </row>
    <row r="371" spans="1:48">
      <c r="A371" t="s">
        <v>622</v>
      </c>
      <c r="B371" t="s">
        <v>424</v>
      </c>
      <c r="C371" t="s">
        <v>624</v>
      </c>
      <c r="D371" t="s">
        <v>1268</v>
      </c>
      <c r="E371" t="s">
        <v>1277</v>
      </c>
      <c r="F371" t="s">
        <v>1304</v>
      </c>
      <c r="G371" t="s">
        <v>1266</v>
      </c>
      <c r="H371" t="s">
        <v>1305</v>
      </c>
      <c r="I371" t="s">
        <v>1303</v>
      </c>
      <c r="J371" t="s">
        <v>1267</v>
      </c>
      <c r="K371" t="s">
        <v>1275</v>
      </c>
      <c r="L371" s="2" t="s">
        <v>1274</v>
      </c>
      <c r="M371" t="str">
        <f t="shared" ref="M371:AB371" si="1480">CONCATENATE("&lt;/li&gt;&lt;li&gt;&lt;a href=|http://",M1191,"/2_chronicles/4.htm","| ","title=|",M1190,"| target=|_top|&gt;",M1192,"&lt;/a&gt;")</f>
        <v>&lt;/li&gt;&lt;li&gt;&lt;a href=|http://niv.scripturetext.com/2_chronicles/4.htm| title=|New International Version| target=|_top|&gt;NIV&lt;/a&gt;</v>
      </c>
      <c r="N371" t="str">
        <f t="shared" si="1480"/>
        <v>&lt;/li&gt;&lt;li&gt;&lt;a href=|http://nlt.scripturetext.com/2_chronicles/4.htm| title=|New Living Translation| target=|_top|&gt;NLT&lt;/a&gt;</v>
      </c>
      <c r="O371" t="str">
        <f t="shared" si="1480"/>
        <v>&lt;/li&gt;&lt;li&gt;&lt;a href=|http://nasb.scripturetext.com/2_chronicles/4.htm| title=|New American Standard Bible| target=|_top|&gt;NAS&lt;/a&gt;</v>
      </c>
      <c r="P371" t="str">
        <f t="shared" si="1480"/>
        <v>&lt;/li&gt;&lt;li&gt;&lt;a href=|http://gwt.scripturetext.com/2_chronicles/4.htm| title=|God's Word Translation| target=|_top|&gt;GWT&lt;/a&gt;</v>
      </c>
      <c r="Q371" t="str">
        <f t="shared" si="1480"/>
        <v>&lt;/li&gt;&lt;li&gt;&lt;a href=|http://kingjbible.com/2_chronicles/4.htm| title=|King James Bible| target=|_top|&gt;KJV&lt;/a&gt;</v>
      </c>
      <c r="R371" t="str">
        <f t="shared" si="1480"/>
        <v>&lt;/li&gt;&lt;li&gt;&lt;a href=|http://asvbible.com/2_chronicles/4.htm| title=|American Standard Version| target=|_top|&gt;ASV&lt;/a&gt;</v>
      </c>
      <c r="S371" t="str">
        <f t="shared" si="1480"/>
        <v>&lt;/li&gt;&lt;li&gt;&lt;a href=|http://drb.scripturetext.com/2_chronicles/4.htm| title=|Douay-Rheims Bible| target=|_top|&gt;DRB&lt;/a&gt;</v>
      </c>
      <c r="T371" t="str">
        <f t="shared" si="1480"/>
        <v>&lt;/li&gt;&lt;li&gt;&lt;a href=|http://erv.scripturetext.com/2_chronicles/4.htm| title=|English Revised Version| target=|_top|&gt;ERV&lt;/a&gt;</v>
      </c>
      <c r="V371" t="str">
        <f>CONCATENATE("&lt;/li&gt;&lt;li&gt;&lt;a href=|http://",V1191,"/2_chronicles/4.htm","| ","title=|",V1190,"| target=|_top|&gt;",V1192,"&lt;/a&gt;")</f>
        <v>&lt;/li&gt;&lt;li&gt;&lt;a href=|http://study.interlinearbible.org/2_chronicles/4.htm| title=|Hebrew Study Bible| target=|_top|&gt;Heb Study&lt;/a&gt;</v>
      </c>
      <c r="W371" t="str">
        <f t="shared" si="1480"/>
        <v>&lt;/li&gt;&lt;li&gt;&lt;a href=|http://apostolic.interlinearbible.org/2_chronicles/4.htm| title=|Apostolic Bible Polyglot Interlinear| target=|_top|&gt;Polyglot&lt;/a&gt;</v>
      </c>
      <c r="X371" t="str">
        <f t="shared" si="1480"/>
        <v>&lt;/li&gt;&lt;li&gt;&lt;a href=|http://interlinearbible.org/2_chronicles/4.htm| title=|Interlinear Bible| target=|_top|&gt;Interlin&lt;/a&gt;</v>
      </c>
      <c r="Y371" t="str">
        <f t="shared" ref="Y371" si="1481">CONCATENATE("&lt;/li&gt;&lt;li&gt;&lt;a href=|http://",Y1191,"/2_chronicles/4.htm","| ","title=|",Y1190,"| target=|_top|&gt;",Y1192,"&lt;/a&gt;")</f>
        <v>&lt;/li&gt;&lt;li&gt;&lt;a href=|http://bibleoutline.org/2_chronicles/4.htm| title=|Outline with People and Places List| target=|_top|&gt;Outline&lt;/a&gt;</v>
      </c>
      <c r="Z371" t="str">
        <f t="shared" si="1480"/>
        <v>&lt;/li&gt;&lt;li&gt;&lt;a href=|http://kjvs.scripturetext.com/2_chronicles/4.htm| title=|King James Bible with Strong's Numbers| target=|_top|&gt;Strong's&lt;/a&gt;</v>
      </c>
      <c r="AA371" t="str">
        <f t="shared" si="1480"/>
        <v>&lt;/li&gt;&lt;li&gt;&lt;a href=|http://childrensbibleonline.com/2_chronicles/4.htm| title=|The Children's Bible| target=|_top|&gt;Children's&lt;/a&gt;</v>
      </c>
      <c r="AB371" s="2" t="str">
        <f t="shared" si="1480"/>
        <v>&lt;/li&gt;&lt;li&gt;&lt;a href=|http://tsk.scripturetext.com/2_chronicles/4.htm| title=|Treasury of Scripture Knowledge| target=|_top|&gt;TSK&lt;/a&gt;</v>
      </c>
      <c r="AC371" t="str">
        <f>CONCATENATE("&lt;a href=|http://",AC1191,"/2_chronicles/4.htm","| ","title=|",AC1190,"| target=|_top|&gt;",AC1192,"&lt;/a&gt;")</f>
        <v>&lt;a href=|http://parallelbible.com/2_chronicles/4.htm| title=|Parallel Chapters| target=|_top|&gt;PAR&lt;/a&gt;</v>
      </c>
      <c r="AD371" s="2" t="str">
        <f t="shared" ref="AD371:AK371" si="1482">CONCATENATE("&lt;/li&gt;&lt;li&gt;&lt;a href=|http://",AD1191,"/2_chronicles/4.htm","| ","title=|",AD1190,"| target=|_top|&gt;",AD1192,"&lt;/a&gt;")</f>
        <v>&lt;/li&gt;&lt;li&gt;&lt;a href=|http://gsb.biblecommenter.com/2_chronicles/4.htm| title=|Geneva Study Bible| target=|_top|&gt;GSB&lt;/a&gt;</v>
      </c>
      <c r="AE371" s="2" t="str">
        <f t="shared" si="1482"/>
        <v>&lt;/li&gt;&lt;li&gt;&lt;a href=|http://jfb.biblecommenter.com/2_chronicles/4.htm| title=|Jamieson-Fausset-Brown Bible Commentary| target=|_top|&gt;JFB&lt;/a&gt;</v>
      </c>
      <c r="AF371" s="2" t="str">
        <f t="shared" si="1482"/>
        <v>&lt;/li&gt;&lt;li&gt;&lt;a href=|http://kjt.biblecommenter.com/2_chronicles/4.htm| title=|King James Translators' Notes| target=|_top|&gt;KJT&lt;/a&gt;</v>
      </c>
      <c r="AG371" s="2" t="str">
        <f t="shared" si="1482"/>
        <v>&lt;/li&gt;&lt;li&gt;&lt;a href=|http://mhc.biblecommenter.com/2_chronicles/4.htm| title=|Matthew Henry's Concise Commentary| target=|_top|&gt;MHC&lt;/a&gt;</v>
      </c>
      <c r="AH371" s="2" t="str">
        <f t="shared" si="1482"/>
        <v>&lt;/li&gt;&lt;li&gt;&lt;a href=|http://sco.biblecommenter.com/2_chronicles/4.htm| title=|Scofield Reference Notes| target=|_top|&gt;SCO&lt;/a&gt;</v>
      </c>
      <c r="AI371" s="2" t="str">
        <f t="shared" si="1482"/>
        <v>&lt;/li&gt;&lt;li&gt;&lt;a href=|http://wes.biblecommenter.com/2_chronicles/4.htm| title=|Wesley's Notes on the Bible| target=|_top|&gt;WES&lt;/a&gt;</v>
      </c>
      <c r="AJ371" t="str">
        <f t="shared" si="1482"/>
        <v>&lt;/li&gt;&lt;li&gt;&lt;a href=|http://worldebible.com/2_chronicles/4.htm| title=|World English Bible| target=|_top|&gt;WEB&lt;/a&gt;</v>
      </c>
      <c r="AK371" t="str">
        <f t="shared" si="1482"/>
        <v>&lt;/li&gt;&lt;li&gt;&lt;a href=|http://yltbible.com/2_chronicles/4.htm| title=|Young's Literal Translation| target=|_top|&gt;YLT&lt;/a&gt;</v>
      </c>
      <c r="AL371" t="str">
        <f>CONCATENATE("&lt;a href=|http://",AL1191,"/2_chronicles/4.htm","| ","title=|",AL1190,"| target=|_top|&gt;",AL1192,"&lt;/a&gt;")</f>
        <v>&lt;a href=|http://kjv.us/2_chronicles/4.htm| title=|American King James Version| target=|_top|&gt;AKJ&lt;/a&gt;</v>
      </c>
      <c r="AM371" t="str">
        <f t="shared" ref="AM371:AN371" si="1483">CONCATENATE("&lt;/li&gt;&lt;li&gt;&lt;a href=|http://",AM1191,"/2_chronicles/4.htm","| ","title=|",AM1190,"| target=|_top|&gt;",AM1192,"&lt;/a&gt;")</f>
        <v>&lt;/li&gt;&lt;li&gt;&lt;a href=|http://basicenglishbible.com/2_chronicles/4.htm| title=|Bible in Basic English| target=|_top|&gt;BBE&lt;/a&gt;</v>
      </c>
      <c r="AN371" t="str">
        <f t="shared" si="1483"/>
        <v>&lt;/li&gt;&lt;li&gt;&lt;a href=|http://darbybible.com/2_chronicles/4.htm| title=|Darby Bible Translation| target=|_top|&gt;DBY&lt;/a&gt;</v>
      </c>
      <c r="AO37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7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7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71" t="str">
        <f>CONCATENATE("&lt;/li&gt;&lt;li&gt;&lt;a href=|http://",AR1191,"/2_chronicles/4.htm","| ","title=|",AR1190,"| target=|_top|&gt;",AR1192,"&lt;/a&gt;")</f>
        <v>&lt;/li&gt;&lt;li&gt;&lt;a href=|http://websterbible.com/2_chronicles/4.htm| title=|Webster's Bible Translation| target=|_top|&gt;WBS&lt;/a&gt;</v>
      </c>
      <c r="AS37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71" t="str">
        <f>CONCATENATE("&lt;/li&gt;&lt;li&gt;&lt;a href=|http://",AT1191,"/2_chronicles/4-1.htm","| ","title=|",AT1190,"| target=|_top|&gt;",AT1192,"&lt;/a&gt;")</f>
        <v>&lt;/li&gt;&lt;li&gt;&lt;a href=|http://biblebrowser.com/2_chronicles/4-1.htm| title=|Split View| target=|_top|&gt;Split&lt;/a&gt;</v>
      </c>
      <c r="AU371" s="2" t="s">
        <v>1276</v>
      </c>
      <c r="AV371" t="s">
        <v>64</v>
      </c>
    </row>
    <row r="372" spans="1:48">
      <c r="A372" t="s">
        <v>622</v>
      </c>
      <c r="B372" t="s">
        <v>425</v>
      </c>
      <c r="C372" t="s">
        <v>624</v>
      </c>
      <c r="D372" t="s">
        <v>1268</v>
      </c>
      <c r="E372" t="s">
        <v>1277</v>
      </c>
      <c r="F372" t="s">
        <v>1304</v>
      </c>
      <c r="G372" t="s">
        <v>1266</v>
      </c>
      <c r="H372" t="s">
        <v>1305</v>
      </c>
      <c r="I372" t="s">
        <v>1303</v>
      </c>
      <c r="J372" t="s">
        <v>1267</v>
      </c>
      <c r="K372" t="s">
        <v>1275</v>
      </c>
      <c r="L372" s="2" t="s">
        <v>1274</v>
      </c>
      <c r="M372" t="str">
        <f t="shared" ref="M372:AB372" si="1484">CONCATENATE("&lt;/li&gt;&lt;li&gt;&lt;a href=|http://",M1191,"/2_chronicles/5.htm","| ","title=|",M1190,"| target=|_top|&gt;",M1192,"&lt;/a&gt;")</f>
        <v>&lt;/li&gt;&lt;li&gt;&lt;a href=|http://niv.scripturetext.com/2_chronicles/5.htm| title=|New International Version| target=|_top|&gt;NIV&lt;/a&gt;</v>
      </c>
      <c r="N372" t="str">
        <f t="shared" si="1484"/>
        <v>&lt;/li&gt;&lt;li&gt;&lt;a href=|http://nlt.scripturetext.com/2_chronicles/5.htm| title=|New Living Translation| target=|_top|&gt;NLT&lt;/a&gt;</v>
      </c>
      <c r="O372" t="str">
        <f t="shared" si="1484"/>
        <v>&lt;/li&gt;&lt;li&gt;&lt;a href=|http://nasb.scripturetext.com/2_chronicles/5.htm| title=|New American Standard Bible| target=|_top|&gt;NAS&lt;/a&gt;</v>
      </c>
      <c r="P372" t="str">
        <f t="shared" si="1484"/>
        <v>&lt;/li&gt;&lt;li&gt;&lt;a href=|http://gwt.scripturetext.com/2_chronicles/5.htm| title=|God's Word Translation| target=|_top|&gt;GWT&lt;/a&gt;</v>
      </c>
      <c r="Q372" t="str">
        <f t="shared" si="1484"/>
        <v>&lt;/li&gt;&lt;li&gt;&lt;a href=|http://kingjbible.com/2_chronicles/5.htm| title=|King James Bible| target=|_top|&gt;KJV&lt;/a&gt;</v>
      </c>
      <c r="R372" t="str">
        <f t="shared" si="1484"/>
        <v>&lt;/li&gt;&lt;li&gt;&lt;a href=|http://asvbible.com/2_chronicles/5.htm| title=|American Standard Version| target=|_top|&gt;ASV&lt;/a&gt;</v>
      </c>
      <c r="S372" t="str">
        <f t="shared" si="1484"/>
        <v>&lt;/li&gt;&lt;li&gt;&lt;a href=|http://drb.scripturetext.com/2_chronicles/5.htm| title=|Douay-Rheims Bible| target=|_top|&gt;DRB&lt;/a&gt;</v>
      </c>
      <c r="T372" t="str">
        <f t="shared" si="1484"/>
        <v>&lt;/li&gt;&lt;li&gt;&lt;a href=|http://erv.scripturetext.com/2_chronicles/5.htm| title=|English Revised Version| target=|_top|&gt;ERV&lt;/a&gt;</v>
      </c>
      <c r="V372" t="str">
        <f>CONCATENATE("&lt;/li&gt;&lt;li&gt;&lt;a href=|http://",V1191,"/2_chronicles/5.htm","| ","title=|",V1190,"| target=|_top|&gt;",V1192,"&lt;/a&gt;")</f>
        <v>&lt;/li&gt;&lt;li&gt;&lt;a href=|http://study.interlinearbible.org/2_chronicles/5.htm| title=|Hebrew Study Bible| target=|_top|&gt;Heb Study&lt;/a&gt;</v>
      </c>
      <c r="W372" t="str">
        <f t="shared" si="1484"/>
        <v>&lt;/li&gt;&lt;li&gt;&lt;a href=|http://apostolic.interlinearbible.org/2_chronicles/5.htm| title=|Apostolic Bible Polyglot Interlinear| target=|_top|&gt;Polyglot&lt;/a&gt;</v>
      </c>
      <c r="X372" t="str">
        <f t="shared" si="1484"/>
        <v>&lt;/li&gt;&lt;li&gt;&lt;a href=|http://interlinearbible.org/2_chronicles/5.htm| title=|Interlinear Bible| target=|_top|&gt;Interlin&lt;/a&gt;</v>
      </c>
      <c r="Y372" t="str">
        <f t="shared" ref="Y372" si="1485">CONCATENATE("&lt;/li&gt;&lt;li&gt;&lt;a href=|http://",Y1191,"/2_chronicles/5.htm","| ","title=|",Y1190,"| target=|_top|&gt;",Y1192,"&lt;/a&gt;")</f>
        <v>&lt;/li&gt;&lt;li&gt;&lt;a href=|http://bibleoutline.org/2_chronicles/5.htm| title=|Outline with People and Places List| target=|_top|&gt;Outline&lt;/a&gt;</v>
      </c>
      <c r="Z372" t="str">
        <f t="shared" si="1484"/>
        <v>&lt;/li&gt;&lt;li&gt;&lt;a href=|http://kjvs.scripturetext.com/2_chronicles/5.htm| title=|King James Bible with Strong's Numbers| target=|_top|&gt;Strong's&lt;/a&gt;</v>
      </c>
      <c r="AA372" t="str">
        <f t="shared" si="1484"/>
        <v>&lt;/li&gt;&lt;li&gt;&lt;a href=|http://childrensbibleonline.com/2_chronicles/5.htm| title=|The Children's Bible| target=|_top|&gt;Children's&lt;/a&gt;</v>
      </c>
      <c r="AB372" s="2" t="str">
        <f t="shared" si="1484"/>
        <v>&lt;/li&gt;&lt;li&gt;&lt;a href=|http://tsk.scripturetext.com/2_chronicles/5.htm| title=|Treasury of Scripture Knowledge| target=|_top|&gt;TSK&lt;/a&gt;</v>
      </c>
      <c r="AC372" t="str">
        <f>CONCATENATE("&lt;a href=|http://",AC1191,"/2_chronicles/5.htm","| ","title=|",AC1190,"| target=|_top|&gt;",AC1192,"&lt;/a&gt;")</f>
        <v>&lt;a href=|http://parallelbible.com/2_chronicles/5.htm| title=|Parallel Chapters| target=|_top|&gt;PAR&lt;/a&gt;</v>
      </c>
      <c r="AD372" s="2" t="str">
        <f t="shared" ref="AD372:AK372" si="1486">CONCATENATE("&lt;/li&gt;&lt;li&gt;&lt;a href=|http://",AD1191,"/2_chronicles/5.htm","| ","title=|",AD1190,"| target=|_top|&gt;",AD1192,"&lt;/a&gt;")</f>
        <v>&lt;/li&gt;&lt;li&gt;&lt;a href=|http://gsb.biblecommenter.com/2_chronicles/5.htm| title=|Geneva Study Bible| target=|_top|&gt;GSB&lt;/a&gt;</v>
      </c>
      <c r="AE372" s="2" t="str">
        <f t="shared" si="1486"/>
        <v>&lt;/li&gt;&lt;li&gt;&lt;a href=|http://jfb.biblecommenter.com/2_chronicles/5.htm| title=|Jamieson-Fausset-Brown Bible Commentary| target=|_top|&gt;JFB&lt;/a&gt;</v>
      </c>
      <c r="AF372" s="2" t="str">
        <f t="shared" si="1486"/>
        <v>&lt;/li&gt;&lt;li&gt;&lt;a href=|http://kjt.biblecommenter.com/2_chronicles/5.htm| title=|King James Translators' Notes| target=|_top|&gt;KJT&lt;/a&gt;</v>
      </c>
      <c r="AG372" s="2" t="str">
        <f t="shared" si="1486"/>
        <v>&lt;/li&gt;&lt;li&gt;&lt;a href=|http://mhc.biblecommenter.com/2_chronicles/5.htm| title=|Matthew Henry's Concise Commentary| target=|_top|&gt;MHC&lt;/a&gt;</v>
      </c>
      <c r="AH372" s="2" t="str">
        <f t="shared" si="1486"/>
        <v>&lt;/li&gt;&lt;li&gt;&lt;a href=|http://sco.biblecommenter.com/2_chronicles/5.htm| title=|Scofield Reference Notes| target=|_top|&gt;SCO&lt;/a&gt;</v>
      </c>
      <c r="AI372" s="2" t="str">
        <f t="shared" si="1486"/>
        <v>&lt;/li&gt;&lt;li&gt;&lt;a href=|http://wes.biblecommenter.com/2_chronicles/5.htm| title=|Wesley's Notes on the Bible| target=|_top|&gt;WES&lt;/a&gt;</v>
      </c>
      <c r="AJ372" t="str">
        <f t="shared" si="1486"/>
        <v>&lt;/li&gt;&lt;li&gt;&lt;a href=|http://worldebible.com/2_chronicles/5.htm| title=|World English Bible| target=|_top|&gt;WEB&lt;/a&gt;</v>
      </c>
      <c r="AK372" t="str">
        <f t="shared" si="1486"/>
        <v>&lt;/li&gt;&lt;li&gt;&lt;a href=|http://yltbible.com/2_chronicles/5.htm| title=|Young's Literal Translation| target=|_top|&gt;YLT&lt;/a&gt;</v>
      </c>
      <c r="AL372" t="str">
        <f>CONCATENATE("&lt;a href=|http://",AL1191,"/2_chronicles/5.htm","| ","title=|",AL1190,"| target=|_top|&gt;",AL1192,"&lt;/a&gt;")</f>
        <v>&lt;a href=|http://kjv.us/2_chronicles/5.htm| title=|American King James Version| target=|_top|&gt;AKJ&lt;/a&gt;</v>
      </c>
      <c r="AM372" t="str">
        <f t="shared" ref="AM372:AN372" si="1487">CONCATENATE("&lt;/li&gt;&lt;li&gt;&lt;a href=|http://",AM1191,"/2_chronicles/5.htm","| ","title=|",AM1190,"| target=|_top|&gt;",AM1192,"&lt;/a&gt;")</f>
        <v>&lt;/li&gt;&lt;li&gt;&lt;a href=|http://basicenglishbible.com/2_chronicles/5.htm| title=|Bible in Basic English| target=|_top|&gt;BBE&lt;/a&gt;</v>
      </c>
      <c r="AN372" t="str">
        <f t="shared" si="1487"/>
        <v>&lt;/li&gt;&lt;li&gt;&lt;a href=|http://darbybible.com/2_chronicles/5.htm| title=|Darby Bible Translation| target=|_top|&gt;DBY&lt;/a&gt;</v>
      </c>
      <c r="AO37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7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7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72" t="str">
        <f>CONCATENATE("&lt;/li&gt;&lt;li&gt;&lt;a href=|http://",AR1191,"/2_chronicles/5.htm","| ","title=|",AR1190,"| target=|_top|&gt;",AR1192,"&lt;/a&gt;")</f>
        <v>&lt;/li&gt;&lt;li&gt;&lt;a href=|http://websterbible.com/2_chronicles/5.htm| title=|Webster's Bible Translation| target=|_top|&gt;WBS&lt;/a&gt;</v>
      </c>
      <c r="AS37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72" t="str">
        <f>CONCATENATE("&lt;/li&gt;&lt;li&gt;&lt;a href=|http://",AT1191,"/2_chronicles/5-1.htm","| ","title=|",AT1190,"| target=|_top|&gt;",AT1192,"&lt;/a&gt;")</f>
        <v>&lt;/li&gt;&lt;li&gt;&lt;a href=|http://biblebrowser.com/2_chronicles/5-1.htm| title=|Split View| target=|_top|&gt;Split&lt;/a&gt;</v>
      </c>
      <c r="AU372" s="2" t="s">
        <v>1276</v>
      </c>
      <c r="AV372" t="s">
        <v>64</v>
      </c>
    </row>
    <row r="373" spans="1:48">
      <c r="A373" t="s">
        <v>622</v>
      </c>
      <c r="B373" t="s">
        <v>426</v>
      </c>
      <c r="C373" t="s">
        <v>624</v>
      </c>
      <c r="D373" t="s">
        <v>1268</v>
      </c>
      <c r="E373" t="s">
        <v>1277</v>
      </c>
      <c r="F373" t="s">
        <v>1304</v>
      </c>
      <c r="G373" t="s">
        <v>1266</v>
      </c>
      <c r="H373" t="s">
        <v>1305</v>
      </c>
      <c r="I373" t="s">
        <v>1303</v>
      </c>
      <c r="J373" t="s">
        <v>1267</v>
      </c>
      <c r="K373" t="s">
        <v>1275</v>
      </c>
      <c r="L373" s="2" t="s">
        <v>1274</v>
      </c>
      <c r="M373" t="str">
        <f t="shared" ref="M373:AB373" si="1488">CONCATENATE("&lt;/li&gt;&lt;li&gt;&lt;a href=|http://",M1191,"/2_chronicles/6.htm","| ","title=|",M1190,"| target=|_top|&gt;",M1192,"&lt;/a&gt;")</f>
        <v>&lt;/li&gt;&lt;li&gt;&lt;a href=|http://niv.scripturetext.com/2_chronicles/6.htm| title=|New International Version| target=|_top|&gt;NIV&lt;/a&gt;</v>
      </c>
      <c r="N373" t="str">
        <f t="shared" si="1488"/>
        <v>&lt;/li&gt;&lt;li&gt;&lt;a href=|http://nlt.scripturetext.com/2_chronicles/6.htm| title=|New Living Translation| target=|_top|&gt;NLT&lt;/a&gt;</v>
      </c>
      <c r="O373" t="str">
        <f t="shared" si="1488"/>
        <v>&lt;/li&gt;&lt;li&gt;&lt;a href=|http://nasb.scripturetext.com/2_chronicles/6.htm| title=|New American Standard Bible| target=|_top|&gt;NAS&lt;/a&gt;</v>
      </c>
      <c r="P373" t="str">
        <f t="shared" si="1488"/>
        <v>&lt;/li&gt;&lt;li&gt;&lt;a href=|http://gwt.scripturetext.com/2_chronicles/6.htm| title=|God's Word Translation| target=|_top|&gt;GWT&lt;/a&gt;</v>
      </c>
      <c r="Q373" t="str">
        <f t="shared" si="1488"/>
        <v>&lt;/li&gt;&lt;li&gt;&lt;a href=|http://kingjbible.com/2_chronicles/6.htm| title=|King James Bible| target=|_top|&gt;KJV&lt;/a&gt;</v>
      </c>
      <c r="R373" t="str">
        <f t="shared" si="1488"/>
        <v>&lt;/li&gt;&lt;li&gt;&lt;a href=|http://asvbible.com/2_chronicles/6.htm| title=|American Standard Version| target=|_top|&gt;ASV&lt;/a&gt;</v>
      </c>
      <c r="S373" t="str">
        <f t="shared" si="1488"/>
        <v>&lt;/li&gt;&lt;li&gt;&lt;a href=|http://drb.scripturetext.com/2_chronicles/6.htm| title=|Douay-Rheims Bible| target=|_top|&gt;DRB&lt;/a&gt;</v>
      </c>
      <c r="T373" t="str">
        <f t="shared" si="1488"/>
        <v>&lt;/li&gt;&lt;li&gt;&lt;a href=|http://erv.scripturetext.com/2_chronicles/6.htm| title=|English Revised Version| target=|_top|&gt;ERV&lt;/a&gt;</v>
      </c>
      <c r="V373" t="str">
        <f>CONCATENATE("&lt;/li&gt;&lt;li&gt;&lt;a href=|http://",V1191,"/2_chronicles/6.htm","| ","title=|",V1190,"| target=|_top|&gt;",V1192,"&lt;/a&gt;")</f>
        <v>&lt;/li&gt;&lt;li&gt;&lt;a href=|http://study.interlinearbible.org/2_chronicles/6.htm| title=|Hebrew Study Bible| target=|_top|&gt;Heb Study&lt;/a&gt;</v>
      </c>
      <c r="W373" t="str">
        <f t="shared" si="1488"/>
        <v>&lt;/li&gt;&lt;li&gt;&lt;a href=|http://apostolic.interlinearbible.org/2_chronicles/6.htm| title=|Apostolic Bible Polyglot Interlinear| target=|_top|&gt;Polyglot&lt;/a&gt;</v>
      </c>
      <c r="X373" t="str">
        <f t="shared" si="1488"/>
        <v>&lt;/li&gt;&lt;li&gt;&lt;a href=|http://interlinearbible.org/2_chronicles/6.htm| title=|Interlinear Bible| target=|_top|&gt;Interlin&lt;/a&gt;</v>
      </c>
      <c r="Y373" t="str">
        <f t="shared" ref="Y373" si="1489">CONCATENATE("&lt;/li&gt;&lt;li&gt;&lt;a href=|http://",Y1191,"/2_chronicles/6.htm","| ","title=|",Y1190,"| target=|_top|&gt;",Y1192,"&lt;/a&gt;")</f>
        <v>&lt;/li&gt;&lt;li&gt;&lt;a href=|http://bibleoutline.org/2_chronicles/6.htm| title=|Outline with People and Places List| target=|_top|&gt;Outline&lt;/a&gt;</v>
      </c>
      <c r="Z373" t="str">
        <f t="shared" si="1488"/>
        <v>&lt;/li&gt;&lt;li&gt;&lt;a href=|http://kjvs.scripturetext.com/2_chronicles/6.htm| title=|King James Bible with Strong's Numbers| target=|_top|&gt;Strong's&lt;/a&gt;</v>
      </c>
      <c r="AA373" t="str">
        <f t="shared" si="1488"/>
        <v>&lt;/li&gt;&lt;li&gt;&lt;a href=|http://childrensbibleonline.com/2_chronicles/6.htm| title=|The Children's Bible| target=|_top|&gt;Children's&lt;/a&gt;</v>
      </c>
      <c r="AB373" s="2" t="str">
        <f t="shared" si="1488"/>
        <v>&lt;/li&gt;&lt;li&gt;&lt;a href=|http://tsk.scripturetext.com/2_chronicles/6.htm| title=|Treasury of Scripture Knowledge| target=|_top|&gt;TSK&lt;/a&gt;</v>
      </c>
      <c r="AC373" t="str">
        <f>CONCATENATE("&lt;a href=|http://",AC1191,"/2_chronicles/6.htm","| ","title=|",AC1190,"| target=|_top|&gt;",AC1192,"&lt;/a&gt;")</f>
        <v>&lt;a href=|http://parallelbible.com/2_chronicles/6.htm| title=|Parallel Chapters| target=|_top|&gt;PAR&lt;/a&gt;</v>
      </c>
      <c r="AD373" s="2" t="str">
        <f t="shared" ref="AD373:AK373" si="1490">CONCATENATE("&lt;/li&gt;&lt;li&gt;&lt;a href=|http://",AD1191,"/2_chronicles/6.htm","| ","title=|",AD1190,"| target=|_top|&gt;",AD1192,"&lt;/a&gt;")</f>
        <v>&lt;/li&gt;&lt;li&gt;&lt;a href=|http://gsb.biblecommenter.com/2_chronicles/6.htm| title=|Geneva Study Bible| target=|_top|&gt;GSB&lt;/a&gt;</v>
      </c>
      <c r="AE373" s="2" t="str">
        <f t="shared" si="1490"/>
        <v>&lt;/li&gt;&lt;li&gt;&lt;a href=|http://jfb.biblecommenter.com/2_chronicles/6.htm| title=|Jamieson-Fausset-Brown Bible Commentary| target=|_top|&gt;JFB&lt;/a&gt;</v>
      </c>
      <c r="AF373" s="2" t="str">
        <f t="shared" si="1490"/>
        <v>&lt;/li&gt;&lt;li&gt;&lt;a href=|http://kjt.biblecommenter.com/2_chronicles/6.htm| title=|King James Translators' Notes| target=|_top|&gt;KJT&lt;/a&gt;</v>
      </c>
      <c r="AG373" s="2" t="str">
        <f t="shared" si="1490"/>
        <v>&lt;/li&gt;&lt;li&gt;&lt;a href=|http://mhc.biblecommenter.com/2_chronicles/6.htm| title=|Matthew Henry's Concise Commentary| target=|_top|&gt;MHC&lt;/a&gt;</v>
      </c>
      <c r="AH373" s="2" t="str">
        <f t="shared" si="1490"/>
        <v>&lt;/li&gt;&lt;li&gt;&lt;a href=|http://sco.biblecommenter.com/2_chronicles/6.htm| title=|Scofield Reference Notes| target=|_top|&gt;SCO&lt;/a&gt;</v>
      </c>
      <c r="AI373" s="2" t="str">
        <f t="shared" si="1490"/>
        <v>&lt;/li&gt;&lt;li&gt;&lt;a href=|http://wes.biblecommenter.com/2_chronicles/6.htm| title=|Wesley's Notes on the Bible| target=|_top|&gt;WES&lt;/a&gt;</v>
      </c>
      <c r="AJ373" t="str">
        <f t="shared" si="1490"/>
        <v>&lt;/li&gt;&lt;li&gt;&lt;a href=|http://worldebible.com/2_chronicles/6.htm| title=|World English Bible| target=|_top|&gt;WEB&lt;/a&gt;</v>
      </c>
      <c r="AK373" t="str">
        <f t="shared" si="1490"/>
        <v>&lt;/li&gt;&lt;li&gt;&lt;a href=|http://yltbible.com/2_chronicles/6.htm| title=|Young's Literal Translation| target=|_top|&gt;YLT&lt;/a&gt;</v>
      </c>
      <c r="AL373" t="str">
        <f>CONCATENATE("&lt;a href=|http://",AL1191,"/2_chronicles/6.htm","| ","title=|",AL1190,"| target=|_top|&gt;",AL1192,"&lt;/a&gt;")</f>
        <v>&lt;a href=|http://kjv.us/2_chronicles/6.htm| title=|American King James Version| target=|_top|&gt;AKJ&lt;/a&gt;</v>
      </c>
      <c r="AM373" t="str">
        <f t="shared" ref="AM373:AN373" si="1491">CONCATENATE("&lt;/li&gt;&lt;li&gt;&lt;a href=|http://",AM1191,"/2_chronicles/6.htm","| ","title=|",AM1190,"| target=|_top|&gt;",AM1192,"&lt;/a&gt;")</f>
        <v>&lt;/li&gt;&lt;li&gt;&lt;a href=|http://basicenglishbible.com/2_chronicles/6.htm| title=|Bible in Basic English| target=|_top|&gt;BBE&lt;/a&gt;</v>
      </c>
      <c r="AN373" t="str">
        <f t="shared" si="1491"/>
        <v>&lt;/li&gt;&lt;li&gt;&lt;a href=|http://darbybible.com/2_chronicles/6.htm| title=|Darby Bible Translation| target=|_top|&gt;DBY&lt;/a&gt;</v>
      </c>
      <c r="AO37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7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7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73" t="str">
        <f>CONCATENATE("&lt;/li&gt;&lt;li&gt;&lt;a href=|http://",AR1191,"/2_chronicles/6.htm","| ","title=|",AR1190,"| target=|_top|&gt;",AR1192,"&lt;/a&gt;")</f>
        <v>&lt;/li&gt;&lt;li&gt;&lt;a href=|http://websterbible.com/2_chronicles/6.htm| title=|Webster's Bible Translation| target=|_top|&gt;WBS&lt;/a&gt;</v>
      </c>
      <c r="AS37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73" t="str">
        <f>CONCATENATE("&lt;/li&gt;&lt;li&gt;&lt;a href=|http://",AT1191,"/2_chronicles/6-1.htm","| ","title=|",AT1190,"| target=|_top|&gt;",AT1192,"&lt;/a&gt;")</f>
        <v>&lt;/li&gt;&lt;li&gt;&lt;a href=|http://biblebrowser.com/2_chronicles/6-1.htm| title=|Split View| target=|_top|&gt;Split&lt;/a&gt;</v>
      </c>
      <c r="AU373" s="2" t="s">
        <v>1276</v>
      </c>
      <c r="AV373" t="s">
        <v>64</v>
      </c>
    </row>
    <row r="374" spans="1:48">
      <c r="A374" t="s">
        <v>622</v>
      </c>
      <c r="B374" t="s">
        <v>427</v>
      </c>
      <c r="C374" t="s">
        <v>624</v>
      </c>
      <c r="D374" t="s">
        <v>1268</v>
      </c>
      <c r="E374" t="s">
        <v>1277</v>
      </c>
      <c r="F374" t="s">
        <v>1304</v>
      </c>
      <c r="G374" t="s">
        <v>1266</v>
      </c>
      <c r="H374" t="s">
        <v>1305</v>
      </c>
      <c r="I374" t="s">
        <v>1303</v>
      </c>
      <c r="J374" t="s">
        <v>1267</v>
      </c>
      <c r="K374" t="s">
        <v>1275</v>
      </c>
      <c r="L374" s="2" t="s">
        <v>1274</v>
      </c>
      <c r="M374" t="str">
        <f t="shared" ref="M374:AB374" si="1492">CONCATENATE("&lt;/li&gt;&lt;li&gt;&lt;a href=|http://",M1191,"/2_chronicles/7.htm","| ","title=|",M1190,"| target=|_top|&gt;",M1192,"&lt;/a&gt;")</f>
        <v>&lt;/li&gt;&lt;li&gt;&lt;a href=|http://niv.scripturetext.com/2_chronicles/7.htm| title=|New International Version| target=|_top|&gt;NIV&lt;/a&gt;</v>
      </c>
      <c r="N374" t="str">
        <f t="shared" si="1492"/>
        <v>&lt;/li&gt;&lt;li&gt;&lt;a href=|http://nlt.scripturetext.com/2_chronicles/7.htm| title=|New Living Translation| target=|_top|&gt;NLT&lt;/a&gt;</v>
      </c>
      <c r="O374" t="str">
        <f t="shared" si="1492"/>
        <v>&lt;/li&gt;&lt;li&gt;&lt;a href=|http://nasb.scripturetext.com/2_chronicles/7.htm| title=|New American Standard Bible| target=|_top|&gt;NAS&lt;/a&gt;</v>
      </c>
      <c r="P374" t="str">
        <f t="shared" si="1492"/>
        <v>&lt;/li&gt;&lt;li&gt;&lt;a href=|http://gwt.scripturetext.com/2_chronicles/7.htm| title=|God's Word Translation| target=|_top|&gt;GWT&lt;/a&gt;</v>
      </c>
      <c r="Q374" t="str">
        <f t="shared" si="1492"/>
        <v>&lt;/li&gt;&lt;li&gt;&lt;a href=|http://kingjbible.com/2_chronicles/7.htm| title=|King James Bible| target=|_top|&gt;KJV&lt;/a&gt;</v>
      </c>
      <c r="R374" t="str">
        <f t="shared" si="1492"/>
        <v>&lt;/li&gt;&lt;li&gt;&lt;a href=|http://asvbible.com/2_chronicles/7.htm| title=|American Standard Version| target=|_top|&gt;ASV&lt;/a&gt;</v>
      </c>
      <c r="S374" t="str">
        <f t="shared" si="1492"/>
        <v>&lt;/li&gt;&lt;li&gt;&lt;a href=|http://drb.scripturetext.com/2_chronicles/7.htm| title=|Douay-Rheims Bible| target=|_top|&gt;DRB&lt;/a&gt;</v>
      </c>
      <c r="T374" t="str">
        <f t="shared" si="1492"/>
        <v>&lt;/li&gt;&lt;li&gt;&lt;a href=|http://erv.scripturetext.com/2_chronicles/7.htm| title=|English Revised Version| target=|_top|&gt;ERV&lt;/a&gt;</v>
      </c>
      <c r="V374" t="str">
        <f>CONCATENATE("&lt;/li&gt;&lt;li&gt;&lt;a href=|http://",V1191,"/2_chronicles/7.htm","| ","title=|",V1190,"| target=|_top|&gt;",V1192,"&lt;/a&gt;")</f>
        <v>&lt;/li&gt;&lt;li&gt;&lt;a href=|http://study.interlinearbible.org/2_chronicles/7.htm| title=|Hebrew Study Bible| target=|_top|&gt;Heb Study&lt;/a&gt;</v>
      </c>
      <c r="W374" t="str">
        <f t="shared" si="1492"/>
        <v>&lt;/li&gt;&lt;li&gt;&lt;a href=|http://apostolic.interlinearbible.org/2_chronicles/7.htm| title=|Apostolic Bible Polyglot Interlinear| target=|_top|&gt;Polyglot&lt;/a&gt;</v>
      </c>
      <c r="X374" t="str">
        <f t="shared" si="1492"/>
        <v>&lt;/li&gt;&lt;li&gt;&lt;a href=|http://interlinearbible.org/2_chronicles/7.htm| title=|Interlinear Bible| target=|_top|&gt;Interlin&lt;/a&gt;</v>
      </c>
      <c r="Y374" t="str">
        <f t="shared" ref="Y374" si="1493">CONCATENATE("&lt;/li&gt;&lt;li&gt;&lt;a href=|http://",Y1191,"/2_chronicles/7.htm","| ","title=|",Y1190,"| target=|_top|&gt;",Y1192,"&lt;/a&gt;")</f>
        <v>&lt;/li&gt;&lt;li&gt;&lt;a href=|http://bibleoutline.org/2_chronicles/7.htm| title=|Outline with People and Places List| target=|_top|&gt;Outline&lt;/a&gt;</v>
      </c>
      <c r="Z374" t="str">
        <f t="shared" si="1492"/>
        <v>&lt;/li&gt;&lt;li&gt;&lt;a href=|http://kjvs.scripturetext.com/2_chronicles/7.htm| title=|King James Bible with Strong's Numbers| target=|_top|&gt;Strong's&lt;/a&gt;</v>
      </c>
      <c r="AA374" t="str">
        <f t="shared" si="1492"/>
        <v>&lt;/li&gt;&lt;li&gt;&lt;a href=|http://childrensbibleonline.com/2_chronicles/7.htm| title=|The Children's Bible| target=|_top|&gt;Children's&lt;/a&gt;</v>
      </c>
      <c r="AB374" s="2" t="str">
        <f t="shared" si="1492"/>
        <v>&lt;/li&gt;&lt;li&gt;&lt;a href=|http://tsk.scripturetext.com/2_chronicles/7.htm| title=|Treasury of Scripture Knowledge| target=|_top|&gt;TSK&lt;/a&gt;</v>
      </c>
      <c r="AC374" t="str">
        <f>CONCATENATE("&lt;a href=|http://",AC1191,"/2_chronicles/7.htm","| ","title=|",AC1190,"| target=|_top|&gt;",AC1192,"&lt;/a&gt;")</f>
        <v>&lt;a href=|http://parallelbible.com/2_chronicles/7.htm| title=|Parallel Chapters| target=|_top|&gt;PAR&lt;/a&gt;</v>
      </c>
      <c r="AD374" s="2" t="str">
        <f t="shared" ref="AD374:AK374" si="1494">CONCATENATE("&lt;/li&gt;&lt;li&gt;&lt;a href=|http://",AD1191,"/2_chronicles/7.htm","| ","title=|",AD1190,"| target=|_top|&gt;",AD1192,"&lt;/a&gt;")</f>
        <v>&lt;/li&gt;&lt;li&gt;&lt;a href=|http://gsb.biblecommenter.com/2_chronicles/7.htm| title=|Geneva Study Bible| target=|_top|&gt;GSB&lt;/a&gt;</v>
      </c>
      <c r="AE374" s="2" t="str">
        <f t="shared" si="1494"/>
        <v>&lt;/li&gt;&lt;li&gt;&lt;a href=|http://jfb.biblecommenter.com/2_chronicles/7.htm| title=|Jamieson-Fausset-Brown Bible Commentary| target=|_top|&gt;JFB&lt;/a&gt;</v>
      </c>
      <c r="AF374" s="2" t="str">
        <f t="shared" si="1494"/>
        <v>&lt;/li&gt;&lt;li&gt;&lt;a href=|http://kjt.biblecommenter.com/2_chronicles/7.htm| title=|King James Translators' Notes| target=|_top|&gt;KJT&lt;/a&gt;</v>
      </c>
      <c r="AG374" s="2" t="str">
        <f t="shared" si="1494"/>
        <v>&lt;/li&gt;&lt;li&gt;&lt;a href=|http://mhc.biblecommenter.com/2_chronicles/7.htm| title=|Matthew Henry's Concise Commentary| target=|_top|&gt;MHC&lt;/a&gt;</v>
      </c>
      <c r="AH374" s="2" t="str">
        <f t="shared" si="1494"/>
        <v>&lt;/li&gt;&lt;li&gt;&lt;a href=|http://sco.biblecommenter.com/2_chronicles/7.htm| title=|Scofield Reference Notes| target=|_top|&gt;SCO&lt;/a&gt;</v>
      </c>
      <c r="AI374" s="2" t="str">
        <f t="shared" si="1494"/>
        <v>&lt;/li&gt;&lt;li&gt;&lt;a href=|http://wes.biblecommenter.com/2_chronicles/7.htm| title=|Wesley's Notes on the Bible| target=|_top|&gt;WES&lt;/a&gt;</v>
      </c>
      <c r="AJ374" t="str">
        <f t="shared" si="1494"/>
        <v>&lt;/li&gt;&lt;li&gt;&lt;a href=|http://worldebible.com/2_chronicles/7.htm| title=|World English Bible| target=|_top|&gt;WEB&lt;/a&gt;</v>
      </c>
      <c r="AK374" t="str">
        <f t="shared" si="1494"/>
        <v>&lt;/li&gt;&lt;li&gt;&lt;a href=|http://yltbible.com/2_chronicles/7.htm| title=|Young's Literal Translation| target=|_top|&gt;YLT&lt;/a&gt;</v>
      </c>
      <c r="AL374" t="str">
        <f>CONCATENATE("&lt;a href=|http://",AL1191,"/2_chronicles/7.htm","| ","title=|",AL1190,"| target=|_top|&gt;",AL1192,"&lt;/a&gt;")</f>
        <v>&lt;a href=|http://kjv.us/2_chronicles/7.htm| title=|American King James Version| target=|_top|&gt;AKJ&lt;/a&gt;</v>
      </c>
      <c r="AM374" t="str">
        <f t="shared" ref="AM374:AN374" si="1495">CONCATENATE("&lt;/li&gt;&lt;li&gt;&lt;a href=|http://",AM1191,"/2_chronicles/7.htm","| ","title=|",AM1190,"| target=|_top|&gt;",AM1192,"&lt;/a&gt;")</f>
        <v>&lt;/li&gt;&lt;li&gt;&lt;a href=|http://basicenglishbible.com/2_chronicles/7.htm| title=|Bible in Basic English| target=|_top|&gt;BBE&lt;/a&gt;</v>
      </c>
      <c r="AN374" t="str">
        <f t="shared" si="1495"/>
        <v>&lt;/li&gt;&lt;li&gt;&lt;a href=|http://darbybible.com/2_chronicles/7.htm| title=|Darby Bible Translation| target=|_top|&gt;DBY&lt;/a&gt;</v>
      </c>
      <c r="AO37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7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7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74" t="str">
        <f>CONCATENATE("&lt;/li&gt;&lt;li&gt;&lt;a href=|http://",AR1191,"/2_chronicles/7.htm","| ","title=|",AR1190,"| target=|_top|&gt;",AR1192,"&lt;/a&gt;")</f>
        <v>&lt;/li&gt;&lt;li&gt;&lt;a href=|http://websterbible.com/2_chronicles/7.htm| title=|Webster's Bible Translation| target=|_top|&gt;WBS&lt;/a&gt;</v>
      </c>
      <c r="AS37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74" t="str">
        <f>CONCATENATE("&lt;/li&gt;&lt;li&gt;&lt;a href=|http://",AT1191,"/2_chronicles/7-1.htm","| ","title=|",AT1190,"| target=|_top|&gt;",AT1192,"&lt;/a&gt;")</f>
        <v>&lt;/li&gt;&lt;li&gt;&lt;a href=|http://biblebrowser.com/2_chronicles/7-1.htm| title=|Split View| target=|_top|&gt;Split&lt;/a&gt;</v>
      </c>
      <c r="AU374" s="2" t="s">
        <v>1276</v>
      </c>
      <c r="AV374" t="s">
        <v>64</v>
      </c>
    </row>
    <row r="375" spans="1:48">
      <c r="A375" t="s">
        <v>622</v>
      </c>
      <c r="B375" t="s">
        <v>428</v>
      </c>
      <c r="C375" t="s">
        <v>624</v>
      </c>
      <c r="D375" t="s">
        <v>1268</v>
      </c>
      <c r="E375" t="s">
        <v>1277</v>
      </c>
      <c r="F375" t="s">
        <v>1304</v>
      </c>
      <c r="G375" t="s">
        <v>1266</v>
      </c>
      <c r="H375" t="s">
        <v>1305</v>
      </c>
      <c r="I375" t="s">
        <v>1303</v>
      </c>
      <c r="J375" t="s">
        <v>1267</v>
      </c>
      <c r="K375" t="s">
        <v>1275</v>
      </c>
      <c r="L375" s="2" t="s">
        <v>1274</v>
      </c>
      <c r="M375" t="str">
        <f t="shared" ref="M375:AB375" si="1496">CONCATENATE("&lt;/li&gt;&lt;li&gt;&lt;a href=|http://",M1191,"/2_chronicles/8.htm","| ","title=|",M1190,"| target=|_top|&gt;",M1192,"&lt;/a&gt;")</f>
        <v>&lt;/li&gt;&lt;li&gt;&lt;a href=|http://niv.scripturetext.com/2_chronicles/8.htm| title=|New International Version| target=|_top|&gt;NIV&lt;/a&gt;</v>
      </c>
      <c r="N375" t="str">
        <f t="shared" si="1496"/>
        <v>&lt;/li&gt;&lt;li&gt;&lt;a href=|http://nlt.scripturetext.com/2_chronicles/8.htm| title=|New Living Translation| target=|_top|&gt;NLT&lt;/a&gt;</v>
      </c>
      <c r="O375" t="str">
        <f t="shared" si="1496"/>
        <v>&lt;/li&gt;&lt;li&gt;&lt;a href=|http://nasb.scripturetext.com/2_chronicles/8.htm| title=|New American Standard Bible| target=|_top|&gt;NAS&lt;/a&gt;</v>
      </c>
      <c r="P375" t="str">
        <f t="shared" si="1496"/>
        <v>&lt;/li&gt;&lt;li&gt;&lt;a href=|http://gwt.scripturetext.com/2_chronicles/8.htm| title=|God's Word Translation| target=|_top|&gt;GWT&lt;/a&gt;</v>
      </c>
      <c r="Q375" t="str">
        <f t="shared" si="1496"/>
        <v>&lt;/li&gt;&lt;li&gt;&lt;a href=|http://kingjbible.com/2_chronicles/8.htm| title=|King James Bible| target=|_top|&gt;KJV&lt;/a&gt;</v>
      </c>
      <c r="R375" t="str">
        <f t="shared" si="1496"/>
        <v>&lt;/li&gt;&lt;li&gt;&lt;a href=|http://asvbible.com/2_chronicles/8.htm| title=|American Standard Version| target=|_top|&gt;ASV&lt;/a&gt;</v>
      </c>
      <c r="S375" t="str">
        <f t="shared" si="1496"/>
        <v>&lt;/li&gt;&lt;li&gt;&lt;a href=|http://drb.scripturetext.com/2_chronicles/8.htm| title=|Douay-Rheims Bible| target=|_top|&gt;DRB&lt;/a&gt;</v>
      </c>
      <c r="T375" t="str">
        <f t="shared" si="1496"/>
        <v>&lt;/li&gt;&lt;li&gt;&lt;a href=|http://erv.scripturetext.com/2_chronicles/8.htm| title=|English Revised Version| target=|_top|&gt;ERV&lt;/a&gt;</v>
      </c>
      <c r="V375" t="str">
        <f>CONCATENATE("&lt;/li&gt;&lt;li&gt;&lt;a href=|http://",V1191,"/2_chronicles/8.htm","| ","title=|",V1190,"| target=|_top|&gt;",V1192,"&lt;/a&gt;")</f>
        <v>&lt;/li&gt;&lt;li&gt;&lt;a href=|http://study.interlinearbible.org/2_chronicles/8.htm| title=|Hebrew Study Bible| target=|_top|&gt;Heb Study&lt;/a&gt;</v>
      </c>
      <c r="W375" t="str">
        <f t="shared" si="1496"/>
        <v>&lt;/li&gt;&lt;li&gt;&lt;a href=|http://apostolic.interlinearbible.org/2_chronicles/8.htm| title=|Apostolic Bible Polyglot Interlinear| target=|_top|&gt;Polyglot&lt;/a&gt;</v>
      </c>
      <c r="X375" t="str">
        <f t="shared" si="1496"/>
        <v>&lt;/li&gt;&lt;li&gt;&lt;a href=|http://interlinearbible.org/2_chronicles/8.htm| title=|Interlinear Bible| target=|_top|&gt;Interlin&lt;/a&gt;</v>
      </c>
      <c r="Y375" t="str">
        <f t="shared" ref="Y375" si="1497">CONCATENATE("&lt;/li&gt;&lt;li&gt;&lt;a href=|http://",Y1191,"/2_chronicles/8.htm","| ","title=|",Y1190,"| target=|_top|&gt;",Y1192,"&lt;/a&gt;")</f>
        <v>&lt;/li&gt;&lt;li&gt;&lt;a href=|http://bibleoutline.org/2_chronicles/8.htm| title=|Outline with People and Places List| target=|_top|&gt;Outline&lt;/a&gt;</v>
      </c>
      <c r="Z375" t="str">
        <f t="shared" si="1496"/>
        <v>&lt;/li&gt;&lt;li&gt;&lt;a href=|http://kjvs.scripturetext.com/2_chronicles/8.htm| title=|King James Bible with Strong's Numbers| target=|_top|&gt;Strong's&lt;/a&gt;</v>
      </c>
      <c r="AA375" t="str">
        <f t="shared" si="1496"/>
        <v>&lt;/li&gt;&lt;li&gt;&lt;a href=|http://childrensbibleonline.com/2_chronicles/8.htm| title=|The Children's Bible| target=|_top|&gt;Children's&lt;/a&gt;</v>
      </c>
      <c r="AB375" s="2" t="str">
        <f t="shared" si="1496"/>
        <v>&lt;/li&gt;&lt;li&gt;&lt;a href=|http://tsk.scripturetext.com/2_chronicles/8.htm| title=|Treasury of Scripture Knowledge| target=|_top|&gt;TSK&lt;/a&gt;</v>
      </c>
      <c r="AC375" t="str">
        <f>CONCATENATE("&lt;a href=|http://",AC1191,"/2_chronicles/8.htm","| ","title=|",AC1190,"| target=|_top|&gt;",AC1192,"&lt;/a&gt;")</f>
        <v>&lt;a href=|http://parallelbible.com/2_chronicles/8.htm| title=|Parallel Chapters| target=|_top|&gt;PAR&lt;/a&gt;</v>
      </c>
      <c r="AD375" s="2" t="str">
        <f t="shared" ref="AD375:AK375" si="1498">CONCATENATE("&lt;/li&gt;&lt;li&gt;&lt;a href=|http://",AD1191,"/2_chronicles/8.htm","| ","title=|",AD1190,"| target=|_top|&gt;",AD1192,"&lt;/a&gt;")</f>
        <v>&lt;/li&gt;&lt;li&gt;&lt;a href=|http://gsb.biblecommenter.com/2_chronicles/8.htm| title=|Geneva Study Bible| target=|_top|&gt;GSB&lt;/a&gt;</v>
      </c>
      <c r="AE375" s="2" t="str">
        <f t="shared" si="1498"/>
        <v>&lt;/li&gt;&lt;li&gt;&lt;a href=|http://jfb.biblecommenter.com/2_chronicles/8.htm| title=|Jamieson-Fausset-Brown Bible Commentary| target=|_top|&gt;JFB&lt;/a&gt;</v>
      </c>
      <c r="AF375" s="2" t="str">
        <f t="shared" si="1498"/>
        <v>&lt;/li&gt;&lt;li&gt;&lt;a href=|http://kjt.biblecommenter.com/2_chronicles/8.htm| title=|King James Translators' Notes| target=|_top|&gt;KJT&lt;/a&gt;</v>
      </c>
      <c r="AG375" s="2" t="str">
        <f t="shared" si="1498"/>
        <v>&lt;/li&gt;&lt;li&gt;&lt;a href=|http://mhc.biblecommenter.com/2_chronicles/8.htm| title=|Matthew Henry's Concise Commentary| target=|_top|&gt;MHC&lt;/a&gt;</v>
      </c>
      <c r="AH375" s="2" t="str">
        <f t="shared" si="1498"/>
        <v>&lt;/li&gt;&lt;li&gt;&lt;a href=|http://sco.biblecommenter.com/2_chronicles/8.htm| title=|Scofield Reference Notes| target=|_top|&gt;SCO&lt;/a&gt;</v>
      </c>
      <c r="AI375" s="2" t="str">
        <f t="shared" si="1498"/>
        <v>&lt;/li&gt;&lt;li&gt;&lt;a href=|http://wes.biblecommenter.com/2_chronicles/8.htm| title=|Wesley's Notes on the Bible| target=|_top|&gt;WES&lt;/a&gt;</v>
      </c>
      <c r="AJ375" t="str">
        <f t="shared" si="1498"/>
        <v>&lt;/li&gt;&lt;li&gt;&lt;a href=|http://worldebible.com/2_chronicles/8.htm| title=|World English Bible| target=|_top|&gt;WEB&lt;/a&gt;</v>
      </c>
      <c r="AK375" t="str">
        <f t="shared" si="1498"/>
        <v>&lt;/li&gt;&lt;li&gt;&lt;a href=|http://yltbible.com/2_chronicles/8.htm| title=|Young's Literal Translation| target=|_top|&gt;YLT&lt;/a&gt;</v>
      </c>
      <c r="AL375" t="str">
        <f>CONCATENATE("&lt;a href=|http://",AL1191,"/2_chronicles/8.htm","| ","title=|",AL1190,"| target=|_top|&gt;",AL1192,"&lt;/a&gt;")</f>
        <v>&lt;a href=|http://kjv.us/2_chronicles/8.htm| title=|American King James Version| target=|_top|&gt;AKJ&lt;/a&gt;</v>
      </c>
      <c r="AM375" t="str">
        <f t="shared" ref="AM375:AN375" si="1499">CONCATENATE("&lt;/li&gt;&lt;li&gt;&lt;a href=|http://",AM1191,"/2_chronicles/8.htm","| ","title=|",AM1190,"| target=|_top|&gt;",AM1192,"&lt;/a&gt;")</f>
        <v>&lt;/li&gt;&lt;li&gt;&lt;a href=|http://basicenglishbible.com/2_chronicles/8.htm| title=|Bible in Basic English| target=|_top|&gt;BBE&lt;/a&gt;</v>
      </c>
      <c r="AN375" t="str">
        <f t="shared" si="1499"/>
        <v>&lt;/li&gt;&lt;li&gt;&lt;a href=|http://darbybible.com/2_chronicles/8.htm| title=|Darby Bible Translation| target=|_top|&gt;DBY&lt;/a&gt;</v>
      </c>
      <c r="AO37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7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7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75" t="str">
        <f>CONCATENATE("&lt;/li&gt;&lt;li&gt;&lt;a href=|http://",AR1191,"/2_chronicles/8.htm","| ","title=|",AR1190,"| target=|_top|&gt;",AR1192,"&lt;/a&gt;")</f>
        <v>&lt;/li&gt;&lt;li&gt;&lt;a href=|http://websterbible.com/2_chronicles/8.htm| title=|Webster's Bible Translation| target=|_top|&gt;WBS&lt;/a&gt;</v>
      </c>
      <c r="AS37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75" t="str">
        <f>CONCATENATE("&lt;/li&gt;&lt;li&gt;&lt;a href=|http://",AT1191,"/2_chronicles/8-1.htm","| ","title=|",AT1190,"| target=|_top|&gt;",AT1192,"&lt;/a&gt;")</f>
        <v>&lt;/li&gt;&lt;li&gt;&lt;a href=|http://biblebrowser.com/2_chronicles/8-1.htm| title=|Split View| target=|_top|&gt;Split&lt;/a&gt;</v>
      </c>
      <c r="AU375" s="2" t="s">
        <v>1276</v>
      </c>
      <c r="AV375" t="s">
        <v>64</v>
      </c>
    </row>
    <row r="376" spans="1:48">
      <c r="A376" t="s">
        <v>622</v>
      </c>
      <c r="B376" t="s">
        <v>429</v>
      </c>
      <c r="C376" t="s">
        <v>624</v>
      </c>
      <c r="D376" t="s">
        <v>1268</v>
      </c>
      <c r="E376" t="s">
        <v>1277</v>
      </c>
      <c r="F376" t="s">
        <v>1304</v>
      </c>
      <c r="G376" t="s">
        <v>1266</v>
      </c>
      <c r="H376" t="s">
        <v>1305</v>
      </c>
      <c r="I376" t="s">
        <v>1303</v>
      </c>
      <c r="J376" t="s">
        <v>1267</v>
      </c>
      <c r="K376" t="s">
        <v>1275</v>
      </c>
      <c r="L376" s="2" t="s">
        <v>1274</v>
      </c>
      <c r="M376" t="str">
        <f t="shared" ref="M376:AB376" si="1500">CONCATENATE("&lt;/li&gt;&lt;li&gt;&lt;a href=|http://",M1191,"/2_chronicles/9.htm","| ","title=|",M1190,"| target=|_top|&gt;",M1192,"&lt;/a&gt;")</f>
        <v>&lt;/li&gt;&lt;li&gt;&lt;a href=|http://niv.scripturetext.com/2_chronicles/9.htm| title=|New International Version| target=|_top|&gt;NIV&lt;/a&gt;</v>
      </c>
      <c r="N376" t="str">
        <f t="shared" si="1500"/>
        <v>&lt;/li&gt;&lt;li&gt;&lt;a href=|http://nlt.scripturetext.com/2_chronicles/9.htm| title=|New Living Translation| target=|_top|&gt;NLT&lt;/a&gt;</v>
      </c>
      <c r="O376" t="str">
        <f t="shared" si="1500"/>
        <v>&lt;/li&gt;&lt;li&gt;&lt;a href=|http://nasb.scripturetext.com/2_chronicles/9.htm| title=|New American Standard Bible| target=|_top|&gt;NAS&lt;/a&gt;</v>
      </c>
      <c r="P376" t="str">
        <f t="shared" si="1500"/>
        <v>&lt;/li&gt;&lt;li&gt;&lt;a href=|http://gwt.scripturetext.com/2_chronicles/9.htm| title=|God's Word Translation| target=|_top|&gt;GWT&lt;/a&gt;</v>
      </c>
      <c r="Q376" t="str">
        <f t="shared" si="1500"/>
        <v>&lt;/li&gt;&lt;li&gt;&lt;a href=|http://kingjbible.com/2_chronicles/9.htm| title=|King James Bible| target=|_top|&gt;KJV&lt;/a&gt;</v>
      </c>
      <c r="R376" t="str">
        <f t="shared" si="1500"/>
        <v>&lt;/li&gt;&lt;li&gt;&lt;a href=|http://asvbible.com/2_chronicles/9.htm| title=|American Standard Version| target=|_top|&gt;ASV&lt;/a&gt;</v>
      </c>
      <c r="S376" t="str">
        <f t="shared" si="1500"/>
        <v>&lt;/li&gt;&lt;li&gt;&lt;a href=|http://drb.scripturetext.com/2_chronicles/9.htm| title=|Douay-Rheims Bible| target=|_top|&gt;DRB&lt;/a&gt;</v>
      </c>
      <c r="T376" t="str">
        <f t="shared" si="1500"/>
        <v>&lt;/li&gt;&lt;li&gt;&lt;a href=|http://erv.scripturetext.com/2_chronicles/9.htm| title=|English Revised Version| target=|_top|&gt;ERV&lt;/a&gt;</v>
      </c>
      <c r="V376" t="str">
        <f>CONCATENATE("&lt;/li&gt;&lt;li&gt;&lt;a href=|http://",V1191,"/2_chronicles/9.htm","| ","title=|",V1190,"| target=|_top|&gt;",V1192,"&lt;/a&gt;")</f>
        <v>&lt;/li&gt;&lt;li&gt;&lt;a href=|http://study.interlinearbible.org/2_chronicles/9.htm| title=|Hebrew Study Bible| target=|_top|&gt;Heb Study&lt;/a&gt;</v>
      </c>
      <c r="W376" t="str">
        <f t="shared" si="1500"/>
        <v>&lt;/li&gt;&lt;li&gt;&lt;a href=|http://apostolic.interlinearbible.org/2_chronicles/9.htm| title=|Apostolic Bible Polyglot Interlinear| target=|_top|&gt;Polyglot&lt;/a&gt;</v>
      </c>
      <c r="X376" t="str">
        <f t="shared" si="1500"/>
        <v>&lt;/li&gt;&lt;li&gt;&lt;a href=|http://interlinearbible.org/2_chronicles/9.htm| title=|Interlinear Bible| target=|_top|&gt;Interlin&lt;/a&gt;</v>
      </c>
      <c r="Y376" t="str">
        <f t="shared" ref="Y376" si="1501">CONCATENATE("&lt;/li&gt;&lt;li&gt;&lt;a href=|http://",Y1191,"/2_chronicles/9.htm","| ","title=|",Y1190,"| target=|_top|&gt;",Y1192,"&lt;/a&gt;")</f>
        <v>&lt;/li&gt;&lt;li&gt;&lt;a href=|http://bibleoutline.org/2_chronicles/9.htm| title=|Outline with People and Places List| target=|_top|&gt;Outline&lt;/a&gt;</v>
      </c>
      <c r="Z376" t="str">
        <f t="shared" si="1500"/>
        <v>&lt;/li&gt;&lt;li&gt;&lt;a href=|http://kjvs.scripturetext.com/2_chronicles/9.htm| title=|King James Bible with Strong's Numbers| target=|_top|&gt;Strong's&lt;/a&gt;</v>
      </c>
      <c r="AA376" t="str">
        <f t="shared" si="1500"/>
        <v>&lt;/li&gt;&lt;li&gt;&lt;a href=|http://childrensbibleonline.com/2_chronicles/9.htm| title=|The Children's Bible| target=|_top|&gt;Children's&lt;/a&gt;</v>
      </c>
      <c r="AB376" s="2" t="str">
        <f t="shared" si="1500"/>
        <v>&lt;/li&gt;&lt;li&gt;&lt;a href=|http://tsk.scripturetext.com/2_chronicles/9.htm| title=|Treasury of Scripture Knowledge| target=|_top|&gt;TSK&lt;/a&gt;</v>
      </c>
      <c r="AC376" t="str">
        <f>CONCATENATE("&lt;a href=|http://",AC1191,"/2_chronicles/9.htm","| ","title=|",AC1190,"| target=|_top|&gt;",AC1192,"&lt;/a&gt;")</f>
        <v>&lt;a href=|http://parallelbible.com/2_chronicles/9.htm| title=|Parallel Chapters| target=|_top|&gt;PAR&lt;/a&gt;</v>
      </c>
      <c r="AD376" s="2" t="str">
        <f t="shared" ref="AD376:AK376" si="1502">CONCATENATE("&lt;/li&gt;&lt;li&gt;&lt;a href=|http://",AD1191,"/2_chronicles/9.htm","| ","title=|",AD1190,"| target=|_top|&gt;",AD1192,"&lt;/a&gt;")</f>
        <v>&lt;/li&gt;&lt;li&gt;&lt;a href=|http://gsb.biblecommenter.com/2_chronicles/9.htm| title=|Geneva Study Bible| target=|_top|&gt;GSB&lt;/a&gt;</v>
      </c>
      <c r="AE376" s="2" t="str">
        <f t="shared" si="1502"/>
        <v>&lt;/li&gt;&lt;li&gt;&lt;a href=|http://jfb.biblecommenter.com/2_chronicles/9.htm| title=|Jamieson-Fausset-Brown Bible Commentary| target=|_top|&gt;JFB&lt;/a&gt;</v>
      </c>
      <c r="AF376" s="2" t="str">
        <f t="shared" si="1502"/>
        <v>&lt;/li&gt;&lt;li&gt;&lt;a href=|http://kjt.biblecommenter.com/2_chronicles/9.htm| title=|King James Translators' Notes| target=|_top|&gt;KJT&lt;/a&gt;</v>
      </c>
      <c r="AG376" s="2" t="str">
        <f t="shared" si="1502"/>
        <v>&lt;/li&gt;&lt;li&gt;&lt;a href=|http://mhc.biblecommenter.com/2_chronicles/9.htm| title=|Matthew Henry's Concise Commentary| target=|_top|&gt;MHC&lt;/a&gt;</v>
      </c>
      <c r="AH376" s="2" t="str">
        <f t="shared" si="1502"/>
        <v>&lt;/li&gt;&lt;li&gt;&lt;a href=|http://sco.biblecommenter.com/2_chronicles/9.htm| title=|Scofield Reference Notes| target=|_top|&gt;SCO&lt;/a&gt;</v>
      </c>
      <c r="AI376" s="2" t="str">
        <f t="shared" si="1502"/>
        <v>&lt;/li&gt;&lt;li&gt;&lt;a href=|http://wes.biblecommenter.com/2_chronicles/9.htm| title=|Wesley's Notes on the Bible| target=|_top|&gt;WES&lt;/a&gt;</v>
      </c>
      <c r="AJ376" t="str">
        <f t="shared" si="1502"/>
        <v>&lt;/li&gt;&lt;li&gt;&lt;a href=|http://worldebible.com/2_chronicles/9.htm| title=|World English Bible| target=|_top|&gt;WEB&lt;/a&gt;</v>
      </c>
      <c r="AK376" t="str">
        <f t="shared" si="1502"/>
        <v>&lt;/li&gt;&lt;li&gt;&lt;a href=|http://yltbible.com/2_chronicles/9.htm| title=|Young's Literal Translation| target=|_top|&gt;YLT&lt;/a&gt;</v>
      </c>
      <c r="AL376" t="str">
        <f>CONCATENATE("&lt;a href=|http://",AL1191,"/2_chronicles/9.htm","| ","title=|",AL1190,"| target=|_top|&gt;",AL1192,"&lt;/a&gt;")</f>
        <v>&lt;a href=|http://kjv.us/2_chronicles/9.htm| title=|American King James Version| target=|_top|&gt;AKJ&lt;/a&gt;</v>
      </c>
      <c r="AM376" t="str">
        <f t="shared" ref="AM376:AN376" si="1503">CONCATENATE("&lt;/li&gt;&lt;li&gt;&lt;a href=|http://",AM1191,"/2_chronicles/9.htm","| ","title=|",AM1190,"| target=|_top|&gt;",AM1192,"&lt;/a&gt;")</f>
        <v>&lt;/li&gt;&lt;li&gt;&lt;a href=|http://basicenglishbible.com/2_chronicles/9.htm| title=|Bible in Basic English| target=|_top|&gt;BBE&lt;/a&gt;</v>
      </c>
      <c r="AN376" t="str">
        <f t="shared" si="1503"/>
        <v>&lt;/li&gt;&lt;li&gt;&lt;a href=|http://darbybible.com/2_chronicles/9.htm| title=|Darby Bible Translation| target=|_top|&gt;DBY&lt;/a&gt;</v>
      </c>
      <c r="AO37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7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7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76" t="str">
        <f>CONCATENATE("&lt;/li&gt;&lt;li&gt;&lt;a href=|http://",AR1191,"/2_chronicles/9.htm","| ","title=|",AR1190,"| target=|_top|&gt;",AR1192,"&lt;/a&gt;")</f>
        <v>&lt;/li&gt;&lt;li&gt;&lt;a href=|http://websterbible.com/2_chronicles/9.htm| title=|Webster's Bible Translation| target=|_top|&gt;WBS&lt;/a&gt;</v>
      </c>
      <c r="AS37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76" t="str">
        <f>CONCATENATE("&lt;/li&gt;&lt;li&gt;&lt;a href=|http://",AT1191,"/2_chronicles/9-1.htm","| ","title=|",AT1190,"| target=|_top|&gt;",AT1192,"&lt;/a&gt;")</f>
        <v>&lt;/li&gt;&lt;li&gt;&lt;a href=|http://biblebrowser.com/2_chronicles/9-1.htm| title=|Split View| target=|_top|&gt;Split&lt;/a&gt;</v>
      </c>
      <c r="AU376" s="2" t="s">
        <v>1276</v>
      </c>
      <c r="AV376" t="s">
        <v>64</v>
      </c>
    </row>
    <row r="377" spans="1:48">
      <c r="A377" t="s">
        <v>622</v>
      </c>
      <c r="B377" t="s">
        <v>430</v>
      </c>
      <c r="C377" t="s">
        <v>624</v>
      </c>
      <c r="D377" t="s">
        <v>1268</v>
      </c>
      <c r="E377" t="s">
        <v>1277</v>
      </c>
      <c r="F377" t="s">
        <v>1304</v>
      </c>
      <c r="G377" t="s">
        <v>1266</v>
      </c>
      <c r="H377" t="s">
        <v>1305</v>
      </c>
      <c r="I377" t="s">
        <v>1303</v>
      </c>
      <c r="J377" t="s">
        <v>1267</v>
      </c>
      <c r="K377" t="s">
        <v>1275</v>
      </c>
      <c r="L377" s="2" t="s">
        <v>1274</v>
      </c>
      <c r="M377" t="str">
        <f t="shared" ref="M377:AB377" si="1504">CONCATENATE("&lt;/li&gt;&lt;li&gt;&lt;a href=|http://",M1191,"/2_chronicles/10.htm","| ","title=|",M1190,"| target=|_top|&gt;",M1192,"&lt;/a&gt;")</f>
        <v>&lt;/li&gt;&lt;li&gt;&lt;a href=|http://niv.scripturetext.com/2_chronicles/10.htm| title=|New International Version| target=|_top|&gt;NIV&lt;/a&gt;</v>
      </c>
      <c r="N377" t="str">
        <f t="shared" si="1504"/>
        <v>&lt;/li&gt;&lt;li&gt;&lt;a href=|http://nlt.scripturetext.com/2_chronicles/10.htm| title=|New Living Translation| target=|_top|&gt;NLT&lt;/a&gt;</v>
      </c>
      <c r="O377" t="str">
        <f t="shared" si="1504"/>
        <v>&lt;/li&gt;&lt;li&gt;&lt;a href=|http://nasb.scripturetext.com/2_chronicles/10.htm| title=|New American Standard Bible| target=|_top|&gt;NAS&lt;/a&gt;</v>
      </c>
      <c r="P377" t="str">
        <f t="shared" si="1504"/>
        <v>&lt;/li&gt;&lt;li&gt;&lt;a href=|http://gwt.scripturetext.com/2_chronicles/10.htm| title=|God's Word Translation| target=|_top|&gt;GWT&lt;/a&gt;</v>
      </c>
      <c r="Q377" t="str">
        <f t="shared" si="1504"/>
        <v>&lt;/li&gt;&lt;li&gt;&lt;a href=|http://kingjbible.com/2_chronicles/10.htm| title=|King James Bible| target=|_top|&gt;KJV&lt;/a&gt;</v>
      </c>
      <c r="R377" t="str">
        <f t="shared" si="1504"/>
        <v>&lt;/li&gt;&lt;li&gt;&lt;a href=|http://asvbible.com/2_chronicles/10.htm| title=|American Standard Version| target=|_top|&gt;ASV&lt;/a&gt;</v>
      </c>
      <c r="S377" t="str">
        <f t="shared" si="1504"/>
        <v>&lt;/li&gt;&lt;li&gt;&lt;a href=|http://drb.scripturetext.com/2_chronicles/10.htm| title=|Douay-Rheims Bible| target=|_top|&gt;DRB&lt;/a&gt;</v>
      </c>
      <c r="T377" t="str">
        <f t="shared" si="1504"/>
        <v>&lt;/li&gt;&lt;li&gt;&lt;a href=|http://erv.scripturetext.com/2_chronicles/10.htm| title=|English Revised Version| target=|_top|&gt;ERV&lt;/a&gt;</v>
      </c>
      <c r="V377" t="str">
        <f>CONCATENATE("&lt;/li&gt;&lt;li&gt;&lt;a href=|http://",V1191,"/2_chronicles/10.htm","| ","title=|",V1190,"| target=|_top|&gt;",V1192,"&lt;/a&gt;")</f>
        <v>&lt;/li&gt;&lt;li&gt;&lt;a href=|http://study.interlinearbible.org/2_chronicles/10.htm| title=|Hebrew Study Bible| target=|_top|&gt;Heb Study&lt;/a&gt;</v>
      </c>
      <c r="W377" t="str">
        <f t="shared" si="1504"/>
        <v>&lt;/li&gt;&lt;li&gt;&lt;a href=|http://apostolic.interlinearbible.org/2_chronicles/10.htm| title=|Apostolic Bible Polyglot Interlinear| target=|_top|&gt;Polyglot&lt;/a&gt;</v>
      </c>
      <c r="X377" t="str">
        <f t="shared" si="1504"/>
        <v>&lt;/li&gt;&lt;li&gt;&lt;a href=|http://interlinearbible.org/2_chronicles/10.htm| title=|Interlinear Bible| target=|_top|&gt;Interlin&lt;/a&gt;</v>
      </c>
      <c r="Y377" t="str">
        <f t="shared" ref="Y377" si="1505">CONCATENATE("&lt;/li&gt;&lt;li&gt;&lt;a href=|http://",Y1191,"/2_chronicles/10.htm","| ","title=|",Y1190,"| target=|_top|&gt;",Y1192,"&lt;/a&gt;")</f>
        <v>&lt;/li&gt;&lt;li&gt;&lt;a href=|http://bibleoutline.org/2_chronicles/10.htm| title=|Outline with People and Places List| target=|_top|&gt;Outline&lt;/a&gt;</v>
      </c>
      <c r="Z377" t="str">
        <f t="shared" si="1504"/>
        <v>&lt;/li&gt;&lt;li&gt;&lt;a href=|http://kjvs.scripturetext.com/2_chronicles/10.htm| title=|King James Bible with Strong's Numbers| target=|_top|&gt;Strong's&lt;/a&gt;</v>
      </c>
      <c r="AA377" t="str">
        <f t="shared" si="1504"/>
        <v>&lt;/li&gt;&lt;li&gt;&lt;a href=|http://childrensbibleonline.com/2_chronicles/10.htm| title=|The Children's Bible| target=|_top|&gt;Children's&lt;/a&gt;</v>
      </c>
      <c r="AB377" s="2" t="str">
        <f t="shared" si="1504"/>
        <v>&lt;/li&gt;&lt;li&gt;&lt;a href=|http://tsk.scripturetext.com/2_chronicles/10.htm| title=|Treasury of Scripture Knowledge| target=|_top|&gt;TSK&lt;/a&gt;</v>
      </c>
      <c r="AC377" t="str">
        <f>CONCATENATE("&lt;a href=|http://",AC1191,"/2_chronicles/10.htm","| ","title=|",AC1190,"| target=|_top|&gt;",AC1192,"&lt;/a&gt;")</f>
        <v>&lt;a href=|http://parallelbible.com/2_chronicles/10.htm| title=|Parallel Chapters| target=|_top|&gt;PAR&lt;/a&gt;</v>
      </c>
      <c r="AD377" s="2" t="str">
        <f t="shared" ref="AD377:AK377" si="1506">CONCATENATE("&lt;/li&gt;&lt;li&gt;&lt;a href=|http://",AD1191,"/2_chronicles/10.htm","| ","title=|",AD1190,"| target=|_top|&gt;",AD1192,"&lt;/a&gt;")</f>
        <v>&lt;/li&gt;&lt;li&gt;&lt;a href=|http://gsb.biblecommenter.com/2_chronicles/10.htm| title=|Geneva Study Bible| target=|_top|&gt;GSB&lt;/a&gt;</v>
      </c>
      <c r="AE377" s="2" t="str">
        <f t="shared" si="1506"/>
        <v>&lt;/li&gt;&lt;li&gt;&lt;a href=|http://jfb.biblecommenter.com/2_chronicles/10.htm| title=|Jamieson-Fausset-Brown Bible Commentary| target=|_top|&gt;JFB&lt;/a&gt;</v>
      </c>
      <c r="AF377" s="2" t="str">
        <f t="shared" si="1506"/>
        <v>&lt;/li&gt;&lt;li&gt;&lt;a href=|http://kjt.biblecommenter.com/2_chronicles/10.htm| title=|King James Translators' Notes| target=|_top|&gt;KJT&lt;/a&gt;</v>
      </c>
      <c r="AG377" s="2" t="str">
        <f t="shared" si="1506"/>
        <v>&lt;/li&gt;&lt;li&gt;&lt;a href=|http://mhc.biblecommenter.com/2_chronicles/10.htm| title=|Matthew Henry's Concise Commentary| target=|_top|&gt;MHC&lt;/a&gt;</v>
      </c>
      <c r="AH377" s="2" t="str">
        <f t="shared" si="1506"/>
        <v>&lt;/li&gt;&lt;li&gt;&lt;a href=|http://sco.biblecommenter.com/2_chronicles/10.htm| title=|Scofield Reference Notes| target=|_top|&gt;SCO&lt;/a&gt;</v>
      </c>
      <c r="AI377" s="2" t="str">
        <f t="shared" si="1506"/>
        <v>&lt;/li&gt;&lt;li&gt;&lt;a href=|http://wes.biblecommenter.com/2_chronicles/10.htm| title=|Wesley's Notes on the Bible| target=|_top|&gt;WES&lt;/a&gt;</v>
      </c>
      <c r="AJ377" t="str">
        <f t="shared" si="1506"/>
        <v>&lt;/li&gt;&lt;li&gt;&lt;a href=|http://worldebible.com/2_chronicles/10.htm| title=|World English Bible| target=|_top|&gt;WEB&lt;/a&gt;</v>
      </c>
      <c r="AK377" t="str">
        <f t="shared" si="1506"/>
        <v>&lt;/li&gt;&lt;li&gt;&lt;a href=|http://yltbible.com/2_chronicles/10.htm| title=|Young's Literal Translation| target=|_top|&gt;YLT&lt;/a&gt;</v>
      </c>
      <c r="AL377" t="str">
        <f>CONCATENATE("&lt;a href=|http://",AL1191,"/2_chronicles/10.htm","| ","title=|",AL1190,"| target=|_top|&gt;",AL1192,"&lt;/a&gt;")</f>
        <v>&lt;a href=|http://kjv.us/2_chronicles/10.htm| title=|American King James Version| target=|_top|&gt;AKJ&lt;/a&gt;</v>
      </c>
      <c r="AM377" t="str">
        <f t="shared" ref="AM377:AN377" si="1507">CONCATENATE("&lt;/li&gt;&lt;li&gt;&lt;a href=|http://",AM1191,"/2_chronicles/10.htm","| ","title=|",AM1190,"| target=|_top|&gt;",AM1192,"&lt;/a&gt;")</f>
        <v>&lt;/li&gt;&lt;li&gt;&lt;a href=|http://basicenglishbible.com/2_chronicles/10.htm| title=|Bible in Basic English| target=|_top|&gt;BBE&lt;/a&gt;</v>
      </c>
      <c r="AN377" t="str">
        <f t="shared" si="1507"/>
        <v>&lt;/li&gt;&lt;li&gt;&lt;a href=|http://darbybible.com/2_chronicles/10.htm| title=|Darby Bible Translation| target=|_top|&gt;DBY&lt;/a&gt;</v>
      </c>
      <c r="AO37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7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7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77" t="str">
        <f>CONCATENATE("&lt;/li&gt;&lt;li&gt;&lt;a href=|http://",AR1191,"/2_chronicles/10.htm","| ","title=|",AR1190,"| target=|_top|&gt;",AR1192,"&lt;/a&gt;")</f>
        <v>&lt;/li&gt;&lt;li&gt;&lt;a href=|http://websterbible.com/2_chronicles/10.htm| title=|Webster's Bible Translation| target=|_top|&gt;WBS&lt;/a&gt;</v>
      </c>
      <c r="AS37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77" t="str">
        <f>CONCATENATE("&lt;/li&gt;&lt;li&gt;&lt;a href=|http://",AT1191,"/2_chronicles/10-1.htm","| ","title=|",AT1190,"| target=|_top|&gt;",AT1192,"&lt;/a&gt;")</f>
        <v>&lt;/li&gt;&lt;li&gt;&lt;a href=|http://biblebrowser.com/2_chronicles/10-1.htm| title=|Split View| target=|_top|&gt;Split&lt;/a&gt;</v>
      </c>
      <c r="AU377" s="2" t="s">
        <v>1276</v>
      </c>
      <c r="AV377" t="s">
        <v>64</v>
      </c>
    </row>
    <row r="378" spans="1:48">
      <c r="A378" t="s">
        <v>622</v>
      </c>
      <c r="B378" t="s">
        <v>431</v>
      </c>
      <c r="C378" t="s">
        <v>624</v>
      </c>
      <c r="D378" t="s">
        <v>1268</v>
      </c>
      <c r="E378" t="s">
        <v>1277</v>
      </c>
      <c r="F378" t="s">
        <v>1304</v>
      </c>
      <c r="G378" t="s">
        <v>1266</v>
      </c>
      <c r="H378" t="s">
        <v>1305</v>
      </c>
      <c r="I378" t="s">
        <v>1303</v>
      </c>
      <c r="J378" t="s">
        <v>1267</v>
      </c>
      <c r="K378" t="s">
        <v>1275</v>
      </c>
      <c r="L378" s="2" t="s">
        <v>1274</v>
      </c>
      <c r="M378" t="str">
        <f t="shared" ref="M378:AB378" si="1508">CONCATENATE("&lt;/li&gt;&lt;li&gt;&lt;a href=|http://",M1191,"/2_chronicles/11.htm","| ","title=|",M1190,"| target=|_top|&gt;",M1192,"&lt;/a&gt;")</f>
        <v>&lt;/li&gt;&lt;li&gt;&lt;a href=|http://niv.scripturetext.com/2_chronicles/11.htm| title=|New International Version| target=|_top|&gt;NIV&lt;/a&gt;</v>
      </c>
      <c r="N378" t="str">
        <f t="shared" si="1508"/>
        <v>&lt;/li&gt;&lt;li&gt;&lt;a href=|http://nlt.scripturetext.com/2_chronicles/11.htm| title=|New Living Translation| target=|_top|&gt;NLT&lt;/a&gt;</v>
      </c>
      <c r="O378" t="str">
        <f t="shared" si="1508"/>
        <v>&lt;/li&gt;&lt;li&gt;&lt;a href=|http://nasb.scripturetext.com/2_chronicles/11.htm| title=|New American Standard Bible| target=|_top|&gt;NAS&lt;/a&gt;</v>
      </c>
      <c r="P378" t="str">
        <f t="shared" si="1508"/>
        <v>&lt;/li&gt;&lt;li&gt;&lt;a href=|http://gwt.scripturetext.com/2_chronicles/11.htm| title=|God's Word Translation| target=|_top|&gt;GWT&lt;/a&gt;</v>
      </c>
      <c r="Q378" t="str">
        <f t="shared" si="1508"/>
        <v>&lt;/li&gt;&lt;li&gt;&lt;a href=|http://kingjbible.com/2_chronicles/11.htm| title=|King James Bible| target=|_top|&gt;KJV&lt;/a&gt;</v>
      </c>
      <c r="R378" t="str">
        <f t="shared" si="1508"/>
        <v>&lt;/li&gt;&lt;li&gt;&lt;a href=|http://asvbible.com/2_chronicles/11.htm| title=|American Standard Version| target=|_top|&gt;ASV&lt;/a&gt;</v>
      </c>
      <c r="S378" t="str">
        <f t="shared" si="1508"/>
        <v>&lt;/li&gt;&lt;li&gt;&lt;a href=|http://drb.scripturetext.com/2_chronicles/11.htm| title=|Douay-Rheims Bible| target=|_top|&gt;DRB&lt;/a&gt;</v>
      </c>
      <c r="T378" t="str">
        <f t="shared" si="1508"/>
        <v>&lt;/li&gt;&lt;li&gt;&lt;a href=|http://erv.scripturetext.com/2_chronicles/11.htm| title=|English Revised Version| target=|_top|&gt;ERV&lt;/a&gt;</v>
      </c>
      <c r="V378" t="str">
        <f>CONCATENATE("&lt;/li&gt;&lt;li&gt;&lt;a href=|http://",V1191,"/2_chronicles/11.htm","| ","title=|",V1190,"| target=|_top|&gt;",V1192,"&lt;/a&gt;")</f>
        <v>&lt;/li&gt;&lt;li&gt;&lt;a href=|http://study.interlinearbible.org/2_chronicles/11.htm| title=|Hebrew Study Bible| target=|_top|&gt;Heb Study&lt;/a&gt;</v>
      </c>
      <c r="W378" t="str">
        <f t="shared" si="1508"/>
        <v>&lt;/li&gt;&lt;li&gt;&lt;a href=|http://apostolic.interlinearbible.org/2_chronicles/11.htm| title=|Apostolic Bible Polyglot Interlinear| target=|_top|&gt;Polyglot&lt;/a&gt;</v>
      </c>
      <c r="X378" t="str">
        <f t="shared" si="1508"/>
        <v>&lt;/li&gt;&lt;li&gt;&lt;a href=|http://interlinearbible.org/2_chronicles/11.htm| title=|Interlinear Bible| target=|_top|&gt;Interlin&lt;/a&gt;</v>
      </c>
      <c r="Y378" t="str">
        <f t="shared" ref="Y378" si="1509">CONCATENATE("&lt;/li&gt;&lt;li&gt;&lt;a href=|http://",Y1191,"/2_chronicles/11.htm","| ","title=|",Y1190,"| target=|_top|&gt;",Y1192,"&lt;/a&gt;")</f>
        <v>&lt;/li&gt;&lt;li&gt;&lt;a href=|http://bibleoutline.org/2_chronicles/11.htm| title=|Outline with People and Places List| target=|_top|&gt;Outline&lt;/a&gt;</v>
      </c>
      <c r="Z378" t="str">
        <f t="shared" si="1508"/>
        <v>&lt;/li&gt;&lt;li&gt;&lt;a href=|http://kjvs.scripturetext.com/2_chronicles/11.htm| title=|King James Bible with Strong's Numbers| target=|_top|&gt;Strong's&lt;/a&gt;</v>
      </c>
      <c r="AA378" t="str">
        <f t="shared" si="1508"/>
        <v>&lt;/li&gt;&lt;li&gt;&lt;a href=|http://childrensbibleonline.com/2_chronicles/11.htm| title=|The Children's Bible| target=|_top|&gt;Children's&lt;/a&gt;</v>
      </c>
      <c r="AB378" s="2" t="str">
        <f t="shared" si="1508"/>
        <v>&lt;/li&gt;&lt;li&gt;&lt;a href=|http://tsk.scripturetext.com/2_chronicles/11.htm| title=|Treasury of Scripture Knowledge| target=|_top|&gt;TSK&lt;/a&gt;</v>
      </c>
      <c r="AC378" t="str">
        <f>CONCATENATE("&lt;a href=|http://",AC1191,"/2_chronicles/11.htm","| ","title=|",AC1190,"| target=|_top|&gt;",AC1192,"&lt;/a&gt;")</f>
        <v>&lt;a href=|http://parallelbible.com/2_chronicles/11.htm| title=|Parallel Chapters| target=|_top|&gt;PAR&lt;/a&gt;</v>
      </c>
      <c r="AD378" s="2" t="str">
        <f t="shared" ref="AD378:AK378" si="1510">CONCATENATE("&lt;/li&gt;&lt;li&gt;&lt;a href=|http://",AD1191,"/2_chronicles/11.htm","| ","title=|",AD1190,"| target=|_top|&gt;",AD1192,"&lt;/a&gt;")</f>
        <v>&lt;/li&gt;&lt;li&gt;&lt;a href=|http://gsb.biblecommenter.com/2_chronicles/11.htm| title=|Geneva Study Bible| target=|_top|&gt;GSB&lt;/a&gt;</v>
      </c>
      <c r="AE378" s="2" t="str">
        <f t="shared" si="1510"/>
        <v>&lt;/li&gt;&lt;li&gt;&lt;a href=|http://jfb.biblecommenter.com/2_chronicles/11.htm| title=|Jamieson-Fausset-Brown Bible Commentary| target=|_top|&gt;JFB&lt;/a&gt;</v>
      </c>
      <c r="AF378" s="2" t="str">
        <f t="shared" si="1510"/>
        <v>&lt;/li&gt;&lt;li&gt;&lt;a href=|http://kjt.biblecommenter.com/2_chronicles/11.htm| title=|King James Translators' Notes| target=|_top|&gt;KJT&lt;/a&gt;</v>
      </c>
      <c r="AG378" s="2" t="str">
        <f t="shared" si="1510"/>
        <v>&lt;/li&gt;&lt;li&gt;&lt;a href=|http://mhc.biblecommenter.com/2_chronicles/11.htm| title=|Matthew Henry's Concise Commentary| target=|_top|&gt;MHC&lt;/a&gt;</v>
      </c>
      <c r="AH378" s="2" t="str">
        <f t="shared" si="1510"/>
        <v>&lt;/li&gt;&lt;li&gt;&lt;a href=|http://sco.biblecommenter.com/2_chronicles/11.htm| title=|Scofield Reference Notes| target=|_top|&gt;SCO&lt;/a&gt;</v>
      </c>
      <c r="AI378" s="2" t="str">
        <f t="shared" si="1510"/>
        <v>&lt;/li&gt;&lt;li&gt;&lt;a href=|http://wes.biblecommenter.com/2_chronicles/11.htm| title=|Wesley's Notes on the Bible| target=|_top|&gt;WES&lt;/a&gt;</v>
      </c>
      <c r="AJ378" t="str">
        <f t="shared" si="1510"/>
        <v>&lt;/li&gt;&lt;li&gt;&lt;a href=|http://worldebible.com/2_chronicles/11.htm| title=|World English Bible| target=|_top|&gt;WEB&lt;/a&gt;</v>
      </c>
      <c r="AK378" t="str">
        <f t="shared" si="1510"/>
        <v>&lt;/li&gt;&lt;li&gt;&lt;a href=|http://yltbible.com/2_chronicles/11.htm| title=|Young's Literal Translation| target=|_top|&gt;YLT&lt;/a&gt;</v>
      </c>
      <c r="AL378" t="str">
        <f>CONCATENATE("&lt;a href=|http://",AL1191,"/2_chronicles/11.htm","| ","title=|",AL1190,"| target=|_top|&gt;",AL1192,"&lt;/a&gt;")</f>
        <v>&lt;a href=|http://kjv.us/2_chronicles/11.htm| title=|American King James Version| target=|_top|&gt;AKJ&lt;/a&gt;</v>
      </c>
      <c r="AM378" t="str">
        <f t="shared" ref="AM378:AN378" si="1511">CONCATENATE("&lt;/li&gt;&lt;li&gt;&lt;a href=|http://",AM1191,"/2_chronicles/11.htm","| ","title=|",AM1190,"| target=|_top|&gt;",AM1192,"&lt;/a&gt;")</f>
        <v>&lt;/li&gt;&lt;li&gt;&lt;a href=|http://basicenglishbible.com/2_chronicles/11.htm| title=|Bible in Basic English| target=|_top|&gt;BBE&lt;/a&gt;</v>
      </c>
      <c r="AN378" t="str">
        <f t="shared" si="1511"/>
        <v>&lt;/li&gt;&lt;li&gt;&lt;a href=|http://darbybible.com/2_chronicles/11.htm| title=|Darby Bible Translation| target=|_top|&gt;DBY&lt;/a&gt;</v>
      </c>
      <c r="AO37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7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7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78" t="str">
        <f>CONCATENATE("&lt;/li&gt;&lt;li&gt;&lt;a href=|http://",AR1191,"/2_chronicles/11.htm","| ","title=|",AR1190,"| target=|_top|&gt;",AR1192,"&lt;/a&gt;")</f>
        <v>&lt;/li&gt;&lt;li&gt;&lt;a href=|http://websterbible.com/2_chronicles/11.htm| title=|Webster's Bible Translation| target=|_top|&gt;WBS&lt;/a&gt;</v>
      </c>
      <c r="AS37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78" t="str">
        <f>CONCATENATE("&lt;/li&gt;&lt;li&gt;&lt;a href=|http://",AT1191,"/2_chronicles/11-1.htm","| ","title=|",AT1190,"| target=|_top|&gt;",AT1192,"&lt;/a&gt;")</f>
        <v>&lt;/li&gt;&lt;li&gt;&lt;a href=|http://biblebrowser.com/2_chronicles/11-1.htm| title=|Split View| target=|_top|&gt;Split&lt;/a&gt;</v>
      </c>
      <c r="AU378" s="2" t="s">
        <v>1276</v>
      </c>
      <c r="AV378" t="s">
        <v>64</v>
      </c>
    </row>
    <row r="379" spans="1:48">
      <c r="A379" t="s">
        <v>622</v>
      </c>
      <c r="B379" t="s">
        <v>432</v>
      </c>
      <c r="C379" t="s">
        <v>624</v>
      </c>
      <c r="D379" t="s">
        <v>1268</v>
      </c>
      <c r="E379" t="s">
        <v>1277</v>
      </c>
      <c r="F379" t="s">
        <v>1304</v>
      </c>
      <c r="G379" t="s">
        <v>1266</v>
      </c>
      <c r="H379" t="s">
        <v>1305</v>
      </c>
      <c r="I379" t="s">
        <v>1303</v>
      </c>
      <c r="J379" t="s">
        <v>1267</v>
      </c>
      <c r="K379" t="s">
        <v>1275</v>
      </c>
      <c r="L379" s="2" t="s">
        <v>1274</v>
      </c>
      <c r="M379" t="str">
        <f t="shared" ref="M379:AB379" si="1512">CONCATENATE("&lt;/li&gt;&lt;li&gt;&lt;a href=|http://",M1191,"/2_chronicles/12.htm","| ","title=|",M1190,"| target=|_top|&gt;",M1192,"&lt;/a&gt;")</f>
        <v>&lt;/li&gt;&lt;li&gt;&lt;a href=|http://niv.scripturetext.com/2_chronicles/12.htm| title=|New International Version| target=|_top|&gt;NIV&lt;/a&gt;</v>
      </c>
      <c r="N379" t="str">
        <f t="shared" si="1512"/>
        <v>&lt;/li&gt;&lt;li&gt;&lt;a href=|http://nlt.scripturetext.com/2_chronicles/12.htm| title=|New Living Translation| target=|_top|&gt;NLT&lt;/a&gt;</v>
      </c>
      <c r="O379" t="str">
        <f t="shared" si="1512"/>
        <v>&lt;/li&gt;&lt;li&gt;&lt;a href=|http://nasb.scripturetext.com/2_chronicles/12.htm| title=|New American Standard Bible| target=|_top|&gt;NAS&lt;/a&gt;</v>
      </c>
      <c r="P379" t="str">
        <f t="shared" si="1512"/>
        <v>&lt;/li&gt;&lt;li&gt;&lt;a href=|http://gwt.scripturetext.com/2_chronicles/12.htm| title=|God's Word Translation| target=|_top|&gt;GWT&lt;/a&gt;</v>
      </c>
      <c r="Q379" t="str">
        <f t="shared" si="1512"/>
        <v>&lt;/li&gt;&lt;li&gt;&lt;a href=|http://kingjbible.com/2_chronicles/12.htm| title=|King James Bible| target=|_top|&gt;KJV&lt;/a&gt;</v>
      </c>
      <c r="R379" t="str">
        <f t="shared" si="1512"/>
        <v>&lt;/li&gt;&lt;li&gt;&lt;a href=|http://asvbible.com/2_chronicles/12.htm| title=|American Standard Version| target=|_top|&gt;ASV&lt;/a&gt;</v>
      </c>
      <c r="S379" t="str">
        <f t="shared" si="1512"/>
        <v>&lt;/li&gt;&lt;li&gt;&lt;a href=|http://drb.scripturetext.com/2_chronicles/12.htm| title=|Douay-Rheims Bible| target=|_top|&gt;DRB&lt;/a&gt;</v>
      </c>
      <c r="T379" t="str">
        <f t="shared" si="1512"/>
        <v>&lt;/li&gt;&lt;li&gt;&lt;a href=|http://erv.scripturetext.com/2_chronicles/12.htm| title=|English Revised Version| target=|_top|&gt;ERV&lt;/a&gt;</v>
      </c>
      <c r="V379" t="str">
        <f>CONCATENATE("&lt;/li&gt;&lt;li&gt;&lt;a href=|http://",V1191,"/2_chronicles/12.htm","| ","title=|",V1190,"| target=|_top|&gt;",V1192,"&lt;/a&gt;")</f>
        <v>&lt;/li&gt;&lt;li&gt;&lt;a href=|http://study.interlinearbible.org/2_chronicles/12.htm| title=|Hebrew Study Bible| target=|_top|&gt;Heb Study&lt;/a&gt;</v>
      </c>
      <c r="W379" t="str">
        <f t="shared" si="1512"/>
        <v>&lt;/li&gt;&lt;li&gt;&lt;a href=|http://apostolic.interlinearbible.org/2_chronicles/12.htm| title=|Apostolic Bible Polyglot Interlinear| target=|_top|&gt;Polyglot&lt;/a&gt;</v>
      </c>
      <c r="X379" t="str">
        <f t="shared" si="1512"/>
        <v>&lt;/li&gt;&lt;li&gt;&lt;a href=|http://interlinearbible.org/2_chronicles/12.htm| title=|Interlinear Bible| target=|_top|&gt;Interlin&lt;/a&gt;</v>
      </c>
      <c r="Y379" t="str">
        <f t="shared" ref="Y379" si="1513">CONCATENATE("&lt;/li&gt;&lt;li&gt;&lt;a href=|http://",Y1191,"/2_chronicles/12.htm","| ","title=|",Y1190,"| target=|_top|&gt;",Y1192,"&lt;/a&gt;")</f>
        <v>&lt;/li&gt;&lt;li&gt;&lt;a href=|http://bibleoutline.org/2_chronicles/12.htm| title=|Outline with People and Places List| target=|_top|&gt;Outline&lt;/a&gt;</v>
      </c>
      <c r="Z379" t="str">
        <f t="shared" si="1512"/>
        <v>&lt;/li&gt;&lt;li&gt;&lt;a href=|http://kjvs.scripturetext.com/2_chronicles/12.htm| title=|King James Bible with Strong's Numbers| target=|_top|&gt;Strong's&lt;/a&gt;</v>
      </c>
      <c r="AA379" t="str">
        <f t="shared" si="1512"/>
        <v>&lt;/li&gt;&lt;li&gt;&lt;a href=|http://childrensbibleonline.com/2_chronicles/12.htm| title=|The Children's Bible| target=|_top|&gt;Children's&lt;/a&gt;</v>
      </c>
      <c r="AB379" s="2" t="str">
        <f t="shared" si="1512"/>
        <v>&lt;/li&gt;&lt;li&gt;&lt;a href=|http://tsk.scripturetext.com/2_chronicles/12.htm| title=|Treasury of Scripture Knowledge| target=|_top|&gt;TSK&lt;/a&gt;</v>
      </c>
      <c r="AC379" t="str">
        <f>CONCATENATE("&lt;a href=|http://",AC1191,"/2_chronicles/12.htm","| ","title=|",AC1190,"| target=|_top|&gt;",AC1192,"&lt;/a&gt;")</f>
        <v>&lt;a href=|http://parallelbible.com/2_chronicles/12.htm| title=|Parallel Chapters| target=|_top|&gt;PAR&lt;/a&gt;</v>
      </c>
      <c r="AD379" s="2" t="str">
        <f t="shared" ref="AD379:AK379" si="1514">CONCATENATE("&lt;/li&gt;&lt;li&gt;&lt;a href=|http://",AD1191,"/2_chronicles/12.htm","| ","title=|",AD1190,"| target=|_top|&gt;",AD1192,"&lt;/a&gt;")</f>
        <v>&lt;/li&gt;&lt;li&gt;&lt;a href=|http://gsb.biblecommenter.com/2_chronicles/12.htm| title=|Geneva Study Bible| target=|_top|&gt;GSB&lt;/a&gt;</v>
      </c>
      <c r="AE379" s="2" t="str">
        <f t="shared" si="1514"/>
        <v>&lt;/li&gt;&lt;li&gt;&lt;a href=|http://jfb.biblecommenter.com/2_chronicles/12.htm| title=|Jamieson-Fausset-Brown Bible Commentary| target=|_top|&gt;JFB&lt;/a&gt;</v>
      </c>
      <c r="AF379" s="2" t="str">
        <f t="shared" si="1514"/>
        <v>&lt;/li&gt;&lt;li&gt;&lt;a href=|http://kjt.biblecommenter.com/2_chronicles/12.htm| title=|King James Translators' Notes| target=|_top|&gt;KJT&lt;/a&gt;</v>
      </c>
      <c r="AG379" s="2" t="str">
        <f t="shared" si="1514"/>
        <v>&lt;/li&gt;&lt;li&gt;&lt;a href=|http://mhc.biblecommenter.com/2_chronicles/12.htm| title=|Matthew Henry's Concise Commentary| target=|_top|&gt;MHC&lt;/a&gt;</v>
      </c>
      <c r="AH379" s="2" t="str">
        <f t="shared" si="1514"/>
        <v>&lt;/li&gt;&lt;li&gt;&lt;a href=|http://sco.biblecommenter.com/2_chronicles/12.htm| title=|Scofield Reference Notes| target=|_top|&gt;SCO&lt;/a&gt;</v>
      </c>
      <c r="AI379" s="2" t="str">
        <f t="shared" si="1514"/>
        <v>&lt;/li&gt;&lt;li&gt;&lt;a href=|http://wes.biblecommenter.com/2_chronicles/12.htm| title=|Wesley's Notes on the Bible| target=|_top|&gt;WES&lt;/a&gt;</v>
      </c>
      <c r="AJ379" t="str">
        <f t="shared" si="1514"/>
        <v>&lt;/li&gt;&lt;li&gt;&lt;a href=|http://worldebible.com/2_chronicles/12.htm| title=|World English Bible| target=|_top|&gt;WEB&lt;/a&gt;</v>
      </c>
      <c r="AK379" t="str">
        <f t="shared" si="1514"/>
        <v>&lt;/li&gt;&lt;li&gt;&lt;a href=|http://yltbible.com/2_chronicles/12.htm| title=|Young's Literal Translation| target=|_top|&gt;YLT&lt;/a&gt;</v>
      </c>
      <c r="AL379" t="str">
        <f>CONCATENATE("&lt;a href=|http://",AL1191,"/2_chronicles/12.htm","| ","title=|",AL1190,"| target=|_top|&gt;",AL1192,"&lt;/a&gt;")</f>
        <v>&lt;a href=|http://kjv.us/2_chronicles/12.htm| title=|American King James Version| target=|_top|&gt;AKJ&lt;/a&gt;</v>
      </c>
      <c r="AM379" t="str">
        <f t="shared" ref="AM379:AN379" si="1515">CONCATENATE("&lt;/li&gt;&lt;li&gt;&lt;a href=|http://",AM1191,"/2_chronicles/12.htm","| ","title=|",AM1190,"| target=|_top|&gt;",AM1192,"&lt;/a&gt;")</f>
        <v>&lt;/li&gt;&lt;li&gt;&lt;a href=|http://basicenglishbible.com/2_chronicles/12.htm| title=|Bible in Basic English| target=|_top|&gt;BBE&lt;/a&gt;</v>
      </c>
      <c r="AN379" t="str">
        <f t="shared" si="1515"/>
        <v>&lt;/li&gt;&lt;li&gt;&lt;a href=|http://darbybible.com/2_chronicles/12.htm| title=|Darby Bible Translation| target=|_top|&gt;DBY&lt;/a&gt;</v>
      </c>
      <c r="AO37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7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7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79" t="str">
        <f>CONCATENATE("&lt;/li&gt;&lt;li&gt;&lt;a href=|http://",AR1191,"/2_chronicles/12.htm","| ","title=|",AR1190,"| target=|_top|&gt;",AR1192,"&lt;/a&gt;")</f>
        <v>&lt;/li&gt;&lt;li&gt;&lt;a href=|http://websterbible.com/2_chronicles/12.htm| title=|Webster's Bible Translation| target=|_top|&gt;WBS&lt;/a&gt;</v>
      </c>
      <c r="AS37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79" t="str">
        <f>CONCATENATE("&lt;/li&gt;&lt;li&gt;&lt;a href=|http://",AT1191,"/2_chronicles/12-1.htm","| ","title=|",AT1190,"| target=|_top|&gt;",AT1192,"&lt;/a&gt;")</f>
        <v>&lt;/li&gt;&lt;li&gt;&lt;a href=|http://biblebrowser.com/2_chronicles/12-1.htm| title=|Split View| target=|_top|&gt;Split&lt;/a&gt;</v>
      </c>
      <c r="AU379" s="2" t="s">
        <v>1276</v>
      </c>
      <c r="AV379" t="s">
        <v>64</v>
      </c>
    </row>
    <row r="380" spans="1:48">
      <c r="A380" t="s">
        <v>622</v>
      </c>
      <c r="B380" t="s">
        <v>433</v>
      </c>
      <c r="C380" t="s">
        <v>624</v>
      </c>
      <c r="D380" t="s">
        <v>1268</v>
      </c>
      <c r="E380" t="s">
        <v>1277</v>
      </c>
      <c r="F380" t="s">
        <v>1304</v>
      </c>
      <c r="G380" t="s">
        <v>1266</v>
      </c>
      <c r="H380" t="s">
        <v>1305</v>
      </c>
      <c r="I380" t="s">
        <v>1303</v>
      </c>
      <c r="J380" t="s">
        <v>1267</v>
      </c>
      <c r="K380" t="s">
        <v>1275</v>
      </c>
      <c r="L380" s="2" t="s">
        <v>1274</v>
      </c>
      <c r="M380" t="str">
        <f t="shared" ref="M380:AB380" si="1516">CONCATENATE("&lt;/li&gt;&lt;li&gt;&lt;a href=|http://",M1191,"/2_chronicles/13.htm","| ","title=|",M1190,"| target=|_top|&gt;",M1192,"&lt;/a&gt;")</f>
        <v>&lt;/li&gt;&lt;li&gt;&lt;a href=|http://niv.scripturetext.com/2_chronicles/13.htm| title=|New International Version| target=|_top|&gt;NIV&lt;/a&gt;</v>
      </c>
      <c r="N380" t="str">
        <f t="shared" si="1516"/>
        <v>&lt;/li&gt;&lt;li&gt;&lt;a href=|http://nlt.scripturetext.com/2_chronicles/13.htm| title=|New Living Translation| target=|_top|&gt;NLT&lt;/a&gt;</v>
      </c>
      <c r="O380" t="str">
        <f t="shared" si="1516"/>
        <v>&lt;/li&gt;&lt;li&gt;&lt;a href=|http://nasb.scripturetext.com/2_chronicles/13.htm| title=|New American Standard Bible| target=|_top|&gt;NAS&lt;/a&gt;</v>
      </c>
      <c r="P380" t="str">
        <f t="shared" si="1516"/>
        <v>&lt;/li&gt;&lt;li&gt;&lt;a href=|http://gwt.scripturetext.com/2_chronicles/13.htm| title=|God's Word Translation| target=|_top|&gt;GWT&lt;/a&gt;</v>
      </c>
      <c r="Q380" t="str">
        <f t="shared" si="1516"/>
        <v>&lt;/li&gt;&lt;li&gt;&lt;a href=|http://kingjbible.com/2_chronicles/13.htm| title=|King James Bible| target=|_top|&gt;KJV&lt;/a&gt;</v>
      </c>
      <c r="R380" t="str">
        <f t="shared" si="1516"/>
        <v>&lt;/li&gt;&lt;li&gt;&lt;a href=|http://asvbible.com/2_chronicles/13.htm| title=|American Standard Version| target=|_top|&gt;ASV&lt;/a&gt;</v>
      </c>
      <c r="S380" t="str">
        <f t="shared" si="1516"/>
        <v>&lt;/li&gt;&lt;li&gt;&lt;a href=|http://drb.scripturetext.com/2_chronicles/13.htm| title=|Douay-Rheims Bible| target=|_top|&gt;DRB&lt;/a&gt;</v>
      </c>
      <c r="T380" t="str">
        <f t="shared" si="1516"/>
        <v>&lt;/li&gt;&lt;li&gt;&lt;a href=|http://erv.scripturetext.com/2_chronicles/13.htm| title=|English Revised Version| target=|_top|&gt;ERV&lt;/a&gt;</v>
      </c>
      <c r="V380" t="str">
        <f>CONCATENATE("&lt;/li&gt;&lt;li&gt;&lt;a href=|http://",V1191,"/2_chronicles/13.htm","| ","title=|",V1190,"| target=|_top|&gt;",V1192,"&lt;/a&gt;")</f>
        <v>&lt;/li&gt;&lt;li&gt;&lt;a href=|http://study.interlinearbible.org/2_chronicles/13.htm| title=|Hebrew Study Bible| target=|_top|&gt;Heb Study&lt;/a&gt;</v>
      </c>
      <c r="W380" t="str">
        <f t="shared" si="1516"/>
        <v>&lt;/li&gt;&lt;li&gt;&lt;a href=|http://apostolic.interlinearbible.org/2_chronicles/13.htm| title=|Apostolic Bible Polyglot Interlinear| target=|_top|&gt;Polyglot&lt;/a&gt;</v>
      </c>
      <c r="X380" t="str">
        <f t="shared" si="1516"/>
        <v>&lt;/li&gt;&lt;li&gt;&lt;a href=|http://interlinearbible.org/2_chronicles/13.htm| title=|Interlinear Bible| target=|_top|&gt;Interlin&lt;/a&gt;</v>
      </c>
      <c r="Y380" t="str">
        <f t="shared" ref="Y380" si="1517">CONCATENATE("&lt;/li&gt;&lt;li&gt;&lt;a href=|http://",Y1191,"/2_chronicles/13.htm","| ","title=|",Y1190,"| target=|_top|&gt;",Y1192,"&lt;/a&gt;")</f>
        <v>&lt;/li&gt;&lt;li&gt;&lt;a href=|http://bibleoutline.org/2_chronicles/13.htm| title=|Outline with People and Places List| target=|_top|&gt;Outline&lt;/a&gt;</v>
      </c>
      <c r="Z380" t="str">
        <f t="shared" si="1516"/>
        <v>&lt;/li&gt;&lt;li&gt;&lt;a href=|http://kjvs.scripturetext.com/2_chronicles/13.htm| title=|King James Bible with Strong's Numbers| target=|_top|&gt;Strong's&lt;/a&gt;</v>
      </c>
      <c r="AA380" t="str">
        <f t="shared" si="1516"/>
        <v>&lt;/li&gt;&lt;li&gt;&lt;a href=|http://childrensbibleonline.com/2_chronicles/13.htm| title=|The Children's Bible| target=|_top|&gt;Children's&lt;/a&gt;</v>
      </c>
      <c r="AB380" s="2" t="str">
        <f t="shared" si="1516"/>
        <v>&lt;/li&gt;&lt;li&gt;&lt;a href=|http://tsk.scripturetext.com/2_chronicles/13.htm| title=|Treasury of Scripture Knowledge| target=|_top|&gt;TSK&lt;/a&gt;</v>
      </c>
      <c r="AC380" t="str">
        <f>CONCATENATE("&lt;a href=|http://",AC1191,"/2_chronicles/13.htm","| ","title=|",AC1190,"| target=|_top|&gt;",AC1192,"&lt;/a&gt;")</f>
        <v>&lt;a href=|http://parallelbible.com/2_chronicles/13.htm| title=|Parallel Chapters| target=|_top|&gt;PAR&lt;/a&gt;</v>
      </c>
      <c r="AD380" s="2" t="str">
        <f t="shared" ref="AD380:AK380" si="1518">CONCATENATE("&lt;/li&gt;&lt;li&gt;&lt;a href=|http://",AD1191,"/2_chronicles/13.htm","| ","title=|",AD1190,"| target=|_top|&gt;",AD1192,"&lt;/a&gt;")</f>
        <v>&lt;/li&gt;&lt;li&gt;&lt;a href=|http://gsb.biblecommenter.com/2_chronicles/13.htm| title=|Geneva Study Bible| target=|_top|&gt;GSB&lt;/a&gt;</v>
      </c>
      <c r="AE380" s="2" t="str">
        <f t="shared" si="1518"/>
        <v>&lt;/li&gt;&lt;li&gt;&lt;a href=|http://jfb.biblecommenter.com/2_chronicles/13.htm| title=|Jamieson-Fausset-Brown Bible Commentary| target=|_top|&gt;JFB&lt;/a&gt;</v>
      </c>
      <c r="AF380" s="2" t="str">
        <f t="shared" si="1518"/>
        <v>&lt;/li&gt;&lt;li&gt;&lt;a href=|http://kjt.biblecommenter.com/2_chronicles/13.htm| title=|King James Translators' Notes| target=|_top|&gt;KJT&lt;/a&gt;</v>
      </c>
      <c r="AG380" s="2" t="str">
        <f t="shared" si="1518"/>
        <v>&lt;/li&gt;&lt;li&gt;&lt;a href=|http://mhc.biblecommenter.com/2_chronicles/13.htm| title=|Matthew Henry's Concise Commentary| target=|_top|&gt;MHC&lt;/a&gt;</v>
      </c>
      <c r="AH380" s="2" t="str">
        <f t="shared" si="1518"/>
        <v>&lt;/li&gt;&lt;li&gt;&lt;a href=|http://sco.biblecommenter.com/2_chronicles/13.htm| title=|Scofield Reference Notes| target=|_top|&gt;SCO&lt;/a&gt;</v>
      </c>
      <c r="AI380" s="2" t="str">
        <f t="shared" si="1518"/>
        <v>&lt;/li&gt;&lt;li&gt;&lt;a href=|http://wes.biblecommenter.com/2_chronicles/13.htm| title=|Wesley's Notes on the Bible| target=|_top|&gt;WES&lt;/a&gt;</v>
      </c>
      <c r="AJ380" t="str">
        <f t="shared" si="1518"/>
        <v>&lt;/li&gt;&lt;li&gt;&lt;a href=|http://worldebible.com/2_chronicles/13.htm| title=|World English Bible| target=|_top|&gt;WEB&lt;/a&gt;</v>
      </c>
      <c r="AK380" t="str">
        <f t="shared" si="1518"/>
        <v>&lt;/li&gt;&lt;li&gt;&lt;a href=|http://yltbible.com/2_chronicles/13.htm| title=|Young's Literal Translation| target=|_top|&gt;YLT&lt;/a&gt;</v>
      </c>
      <c r="AL380" t="str">
        <f>CONCATENATE("&lt;a href=|http://",AL1191,"/2_chronicles/13.htm","| ","title=|",AL1190,"| target=|_top|&gt;",AL1192,"&lt;/a&gt;")</f>
        <v>&lt;a href=|http://kjv.us/2_chronicles/13.htm| title=|American King James Version| target=|_top|&gt;AKJ&lt;/a&gt;</v>
      </c>
      <c r="AM380" t="str">
        <f t="shared" ref="AM380:AN380" si="1519">CONCATENATE("&lt;/li&gt;&lt;li&gt;&lt;a href=|http://",AM1191,"/2_chronicles/13.htm","| ","title=|",AM1190,"| target=|_top|&gt;",AM1192,"&lt;/a&gt;")</f>
        <v>&lt;/li&gt;&lt;li&gt;&lt;a href=|http://basicenglishbible.com/2_chronicles/13.htm| title=|Bible in Basic English| target=|_top|&gt;BBE&lt;/a&gt;</v>
      </c>
      <c r="AN380" t="str">
        <f t="shared" si="1519"/>
        <v>&lt;/li&gt;&lt;li&gt;&lt;a href=|http://darbybible.com/2_chronicles/13.htm| title=|Darby Bible Translation| target=|_top|&gt;DBY&lt;/a&gt;</v>
      </c>
      <c r="AO38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8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8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80" t="str">
        <f>CONCATENATE("&lt;/li&gt;&lt;li&gt;&lt;a href=|http://",AR1191,"/2_chronicles/13.htm","| ","title=|",AR1190,"| target=|_top|&gt;",AR1192,"&lt;/a&gt;")</f>
        <v>&lt;/li&gt;&lt;li&gt;&lt;a href=|http://websterbible.com/2_chronicles/13.htm| title=|Webster's Bible Translation| target=|_top|&gt;WBS&lt;/a&gt;</v>
      </c>
      <c r="AS38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80" t="str">
        <f>CONCATENATE("&lt;/li&gt;&lt;li&gt;&lt;a href=|http://",AT1191,"/2_chronicles/13-1.htm","| ","title=|",AT1190,"| target=|_top|&gt;",AT1192,"&lt;/a&gt;")</f>
        <v>&lt;/li&gt;&lt;li&gt;&lt;a href=|http://biblebrowser.com/2_chronicles/13-1.htm| title=|Split View| target=|_top|&gt;Split&lt;/a&gt;</v>
      </c>
      <c r="AU380" s="2" t="s">
        <v>1276</v>
      </c>
      <c r="AV380" t="s">
        <v>64</v>
      </c>
    </row>
    <row r="381" spans="1:48">
      <c r="A381" t="s">
        <v>622</v>
      </c>
      <c r="B381" t="s">
        <v>434</v>
      </c>
      <c r="C381" t="s">
        <v>624</v>
      </c>
      <c r="D381" t="s">
        <v>1268</v>
      </c>
      <c r="E381" t="s">
        <v>1277</v>
      </c>
      <c r="F381" t="s">
        <v>1304</v>
      </c>
      <c r="G381" t="s">
        <v>1266</v>
      </c>
      <c r="H381" t="s">
        <v>1305</v>
      </c>
      <c r="I381" t="s">
        <v>1303</v>
      </c>
      <c r="J381" t="s">
        <v>1267</v>
      </c>
      <c r="K381" t="s">
        <v>1275</v>
      </c>
      <c r="L381" s="2" t="s">
        <v>1274</v>
      </c>
      <c r="M381" t="str">
        <f t="shared" ref="M381:AB381" si="1520">CONCATENATE("&lt;/li&gt;&lt;li&gt;&lt;a href=|http://",M1191,"/2_chronicles/14.htm","| ","title=|",M1190,"| target=|_top|&gt;",M1192,"&lt;/a&gt;")</f>
        <v>&lt;/li&gt;&lt;li&gt;&lt;a href=|http://niv.scripturetext.com/2_chronicles/14.htm| title=|New International Version| target=|_top|&gt;NIV&lt;/a&gt;</v>
      </c>
      <c r="N381" t="str">
        <f t="shared" si="1520"/>
        <v>&lt;/li&gt;&lt;li&gt;&lt;a href=|http://nlt.scripturetext.com/2_chronicles/14.htm| title=|New Living Translation| target=|_top|&gt;NLT&lt;/a&gt;</v>
      </c>
      <c r="O381" t="str">
        <f t="shared" si="1520"/>
        <v>&lt;/li&gt;&lt;li&gt;&lt;a href=|http://nasb.scripturetext.com/2_chronicles/14.htm| title=|New American Standard Bible| target=|_top|&gt;NAS&lt;/a&gt;</v>
      </c>
      <c r="P381" t="str">
        <f t="shared" si="1520"/>
        <v>&lt;/li&gt;&lt;li&gt;&lt;a href=|http://gwt.scripturetext.com/2_chronicles/14.htm| title=|God's Word Translation| target=|_top|&gt;GWT&lt;/a&gt;</v>
      </c>
      <c r="Q381" t="str">
        <f t="shared" si="1520"/>
        <v>&lt;/li&gt;&lt;li&gt;&lt;a href=|http://kingjbible.com/2_chronicles/14.htm| title=|King James Bible| target=|_top|&gt;KJV&lt;/a&gt;</v>
      </c>
      <c r="R381" t="str">
        <f t="shared" si="1520"/>
        <v>&lt;/li&gt;&lt;li&gt;&lt;a href=|http://asvbible.com/2_chronicles/14.htm| title=|American Standard Version| target=|_top|&gt;ASV&lt;/a&gt;</v>
      </c>
      <c r="S381" t="str">
        <f t="shared" si="1520"/>
        <v>&lt;/li&gt;&lt;li&gt;&lt;a href=|http://drb.scripturetext.com/2_chronicles/14.htm| title=|Douay-Rheims Bible| target=|_top|&gt;DRB&lt;/a&gt;</v>
      </c>
      <c r="T381" t="str">
        <f t="shared" si="1520"/>
        <v>&lt;/li&gt;&lt;li&gt;&lt;a href=|http://erv.scripturetext.com/2_chronicles/14.htm| title=|English Revised Version| target=|_top|&gt;ERV&lt;/a&gt;</v>
      </c>
      <c r="V381" t="str">
        <f>CONCATENATE("&lt;/li&gt;&lt;li&gt;&lt;a href=|http://",V1191,"/2_chronicles/14.htm","| ","title=|",V1190,"| target=|_top|&gt;",V1192,"&lt;/a&gt;")</f>
        <v>&lt;/li&gt;&lt;li&gt;&lt;a href=|http://study.interlinearbible.org/2_chronicles/14.htm| title=|Hebrew Study Bible| target=|_top|&gt;Heb Study&lt;/a&gt;</v>
      </c>
      <c r="W381" t="str">
        <f t="shared" si="1520"/>
        <v>&lt;/li&gt;&lt;li&gt;&lt;a href=|http://apostolic.interlinearbible.org/2_chronicles/14.htm| title=|Apostolic Bible Polyglot Interlinear| target=|_top|&gt;Polyglot&lt;/a&gt;</v>
      </c>
      <c r="X381" t="str">
        <f t="shared" si="1520"/>
        <v>&lt;/li&gt;&lt;li&gt;&lt;a href=|http://interlinearbible.org/2_chronicles/14.htm| title=|Interlinear Bible| target=|_top|&gt;Interlin&lt;/a&gt;</v>
      </c>
      <c r="Y381" t="str">
        <f t="shared" ref="Y381" si="1521">CONCATENATE("&lt;/li&gt;&lt;li&gt;&lt;a href=|http://",Y1191,"/2_chronicles/14.htm","| ","title=|",Y1190,"| target=|_top|&gt;",Y1192,"&lt;/a&gt;")</f>
        <v>&lt;/li&gt;&lt;li&gt;&lt;a href=|http://bibleoutline.org/2_chronicles/14.htm| title=|Outline with People and Places List| target=|_top|&gt;Outline&lt;/a&gt;</v>
      </c>
      <c r="Z381" t="str">
        <f t="shared" si="1520"/>
        <v>&lt;/li&gt;&lt;li&gt;&lt;a href=|http://kjvs.scripturetext.com/2_chronicles/14.htm| title=|King James Bible with Strong's Numbers| target=|_top|&gt;Strong's&lt;/a&gt;</v>
      </c>
      <c r="AA381" t="str">
        <f t="shared" si="1520"/>
        <v>&lt;/li&gt;&lt;li&gt;&lt;a href=|http://childrensbibleonline.com/2_chronicles/14.htm| title=|The Children's Bible| target=|_top|&gt;Children's&lt;/a&gt;</v>
      </c>
      <c r="AB381" s="2" t="str">
        <f t="shared" si="1520"/>
        <v>&lt;/li&gt;&lt;li&gt;&lt;a href=|http://tsk.scripturetext.com/2_chronicles/14.htm| title=|Treasury of Scripture Knowledge| target=|_top|&gt;TSK&lt;/a&gt;</v>
      </c>
      <c r="AC381" t="str">
        <f>CONCATENATE("&lt;a href=|http://",AC1191,"/2_chronicles/14.htm","| ","title=|",AC1190,"| target=|_top|&gt;",AC1192,"&lt;/a&gt;")</f>
        <v>&lt;a href=|http://parallelbible.com/2_chronicles/14.htm| title=|Parallel Chapters| target=|_top|&gt;PAR&lt;/a&gt;</v>
      </c>
      <c r="AD381" s="2" t="str">
        <f t="shared" ref="AD381:AK381" si="1522">CONCATENATE("&lt;/li&gt;&lt;li&gt;&lt;a href=|http://",AD1191,"/2_chronicles/14.htm","| ","title=|",AD1190,"| target=|_top|&gt;",AD1192,"&lt;/a&gt;")</f>
        <v>&lt;/li&gt;&lt;li&gt;&lt;a href=|http://gsb.biblecommenter.com/2_chronicles/14.htm| title=|Geneva Study Bible| target=|_top|&gt;GSB&lt;/a&gt;</v>
      </c>
      <c r="AE381" s="2" t="str">
        <f t="shared" si="1522"/>
        <v>&lt;/li&gt;&lt;li&gt;&lt;a href=|http://jfb.biblecommenter.com/2_chronicles/14.htm| title=|Jamieson-Fausset-Brown Bible Commentary| target=|_top|&gt;JFB&lt;/a&gt;</v>
      </c>
      <c r="AF381" s="2" t="str">
        <f t="shared" si="1522"/>
        <v>&lt;/li&gt;&lt;li&gt;&lt;a href=|http://kjt.biblecommenter.com/2_chronicles/14.htm| title=|King James Translators' Notes| target=|_top|&gt;KJT&lt;/a&gt;</v>
      </c>
      <c r="AG381" s="2" t="str">
        <f t="shared" si="1522"/>
        <v>&lt;/li&gt;&lt;li&gt;&lt;a href=|http://mhc.biblecommenter.com/2_chronicles/14.htm| title=|Matthew Henry's Concise Commentary| target=|_top|&gt;MHC&lt;/a&gt;</v>
      </c>
      <c r="AH381" s="2" t="str">
        <f t="shared" si="1522"/>
        <v>&lt;/li&gt;&lt;li&gt;&lt;a href=|http://sco.biblecommenter.com/2_chronicles/14.htm| title=|Scofield Reference Notes| target=|_top|&gt;SCO&lt;/a&gt;</v>
      </c>
      <c r="AI381" s="2" t="str">
        <f t="shared" si="1522"/>
        <v>&lt;/li&gt;&lt;li&gt;&lt;a href=|http://wes.biblecommenter.com/2_chronicles/14.htm| title=|Wesley's Notes on the Bible| target=|_top|&gt;WES&lt;/a&gt;</v>
      </c>
      <c r="AJ381" t="str">
        <f t="shared" si="1522"/>
        <v>&lt;/li&gt;&lt;li&gt;&lt;a href=|http://worldebible.com/2_chronicles/14.htm| title=|World English Bible| target=|_top|&gt;WEB&lt;/a&gt;</v>
      </c>
      <c r="AK381" t="str">
        <f t="shared" si="1522"/>
        <v>&lt;/li&gt;&lt;li&gt;&lt;a href=|http://yltbible.com/2_chronicles/14.htm| title=|Young's Literal Translation| target=|_top|&gt;YLT&lt;/a&gt;</v>
      </c>
      <c r="AL381" t="str">
        <f>CONCATENATE("&lt;a href=|http://",AL1191,"/2_chronicles/14.htm","| ","title=|",AL1190,"| target=|_top|&gt;",AL1192,"&lt;/a&gt;")</f>
        <v>&lt;a href=|http://kjv.us/2_chronicles/14.htm| title=|American King James Version| target=|_top|&gt;AKJ&lt;/a&gt;</v>
      </c>
      <c r="AM381" t="str">
        <f t="shared" ref="AM381:AN381" si="1523">CONCATENATE("&lt;/li&gt;&lt;li&gt;&lt;a href=|http://",AM1191,"/2_chronicles/14.htm","| ","title=|",AM1190,"| target=|_top|&gt;",AM1192,"&lt;/a&gt;")</f>
        <v>&lt;/li&gt;&lt;li&gt;&lt;a href=|http://basicenglishbible.com/2_chronicles/14.htm| title=|Bible in Basic English| target=|_top|&gt;BBE&lt;/a&gt;</v>
      </c>
      <c r="AN381" t="str">
        <f t="shared" si="1523"/>
        <v>&lt;/li&gt;&lt;li&gt;&lt;a href=|http://darbybible.com/2_chronicles/14.htm| title=|Darby Bible Translation| target=|_top|&gt;DBY&lt;/a&gt;</v>
      </c>
      <c r="AO38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8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8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81" t="str">
        <f>CONCATENATE("&lt;/li&gt;&lt;li&gt;&lt;a href=|http://",AR1191,"/2_chronicles/14.htm","| ","title=|",AR1190,"| target=|_top|&gt;",AR1192,"&lt;/a&gt;")</f>
        <v>&lt;/li&gt;&lt;li&gt;&lt;a href=|http://websterbible.com/2_chronicles/14.htm| title=|Webster's Bible Translation| target=|_top|&gt;WBS&lt;/a&gt;</v>
      </c>
      <c r="AS38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81" t="str">
        <f>CONCATENATE("&lt;/li&gt;&lt;li&gt;&lt;a href=|http://",AT1191,"/2_chronicles/14-1.htm","| ","title=|",AT1190,"| target=|_top|&gt;",AT1192,"&lt;/a&gt;")</f>
        <v>&lt;/li&gt;&lt;li&gt;&lt;a href=|http://biblebrowser.com/2_chronicles/14-1.htm| title=|Split View| target=|_top|&gt;Split&lt;/a&gt;</v>
      </c>
      <c r="AU381" s="2" t="s">
        <v>1276</v>
      </c>
      <c r="AV381" t="s">
        <v>64</v>
      </c>
    </row>
    <row r="382" spans="1:48">
      <c r="A382" t="s">
        <v>622</v>
      </c>
      <c r="B382" t="s">
        <v>435</v>
      </c>
      <c r="C382" t="s">
        <v>624</v>
      </c>
      <c r="D382" t="s">
        <v>1268</v>
      </c>
      <c r="E382" t="s">
        <v>1277</v>
      </c>
      <c r="F382" t="s">
        <v>1304</v>
      </c>
      <c r="G382" t="s">
        <v>1266</v>
      </c>
      <c r="H382" t="s">
        <v>1305</v>
      </c>
      <c r="I382" t="s">
        <v>1303</v>
      </c>
      <c r="J382" t="s">
        <v>1267</v>
      </c>
      <c r="K382" t="s">
        <v>1275</v>
      </c>
      <c r="L382" s="2" t="s">
        <v>1274</v>
      </c>
      <c r="M382" t="str">
        <f t="shared" ref="M382:AB382" si="1524">CONCATENATE("&lt;/li&gt;&lt;li&gt;&lt;a href=|http://",M1191,"/2_chronicles/15.htm","| ","title=|",M1190,"| target=|_top|&gt;",M1192,"&lt;/a&gt;")</f>
        <v>&lt;/li&gt;&lt;li&gt;&lt;a href=|http://niv.scripturetext.com/2_chronicles/15.htm| title=|New International Version| target=|_top|&gt;NIV&lt;/a&gt;</v>
      </c>
      <c r="N382" t="str">
        <f t="shared" si="1524"/>
        <v>&lt;/li&gt;&lt;li&gt;&lt;a href=|http://nlt.scripturetext.com/2_chronicles/15.htm| title=|New Living Translation| target=|_top|&gt;NLT&lt;/a&gt;</v>
      </c>
      <c r="O382" t="str">
        <f t="shared" si="1524"/>
        <v>&lt;/li&gt;&lt;li&gt;&lt;a href=|http://nasb.scripturetext.com/2_chronicles/15.htm| title=|New American Standard Bible| target=|_top|&gt;NAS&lt;/a&gt;</v>
      </c>
      <c r="P382" t="str">
        <f t="shared" si="1524"/>
        <v>&lt;/li&gt;&lt;li&gt;&lt;a href=|http://gwt.scripturetext.com/2_chronicles/15.htm| title=|God's Word Translation| target=|_top|&gt;GWT&lt;/a&gt;</v>
      </c>
      <c r="Q382" t="str">
        <f t="shared" si="1524"/>
        <v>&lt;/li&gt;&lt;li&gt;&lt;a href=|http://kingjbible.com/2_chronicles/15.htm| title=|King James Bible| target=|_top|&gt;KJV&lt;/a&gt;</v>
      </c>
      <c r="R382" t="str">
        <f t="shared" si="1524"/>
        <v>&lt;/li&gt;&lt;li&gt;&lt;a href=|http://asvbible.com/2_chronicles/15.htm| title=|American Standard Version| target=|_top|&gt;ASV&lt;/a&gt;</v>
      </c>
      <c r="S382" t="str">
        <f t="shared" si="1524"/>
        <v>&lt;/li&gt;&lt;li&gt;&lt;a href=|http://drb.scripturetext.com/2_chronicles/15.htm| title=|Douay-Rheims Bible| target=|_top|&gt;DRB&lt;/a&gt;</v>
      </c>
      <c r="T382" t="str">
        <f t="shared" si="1524"/>
        <v>&lt;/li&gt;&lt;li&gt;&lt;a href=|http://erv.scripturetext.com/2_chronicles/15.htm| title=|English Revised Version| target=|_top|&gt;ERV&lt;/a&gt;</v>
      </c>
      <c r="V382" t="str">
        <f>CONCATENATE("&lt;/li&gt;&lt;li&gt;&lt;a href=|http://",V1191,"/2_chronicles/15.htm","| ","title=|",V1190,"| target=|_top|&gt;",V1192,"&lt;/a&gt;")</f>
        <v>&lt;/li&gt;&lt;li&gt;&lt;a href=|http://study.interlinearbible.org/2_chronicles/15.htm| title=|Hebrew Study Bible| target=|_top|&gt;Heb Study&lt;/a&gt;</v>
      </c>
      <c r="W382" t="str">
        <f t="shared" si="1524"/>
        <v>&lt;/li&gt;&lt;li&gt;&lt;a href=|http://apostolic.interlinearbible.org/2_chronicles/15.htm| title=|Apostolic Bible Polyglot Interlinear| target=|_top|&gt;Polyglot&lt;/a&gt;</v>
      </c>
      <c r="X382" t="str">
        <f t="shared" si="1524"/>
        <v>&lt;/li&gt;&lt;li&gt;&lt;a href=|http://interlinearbible.org/2_chronicles/15.htm| title=|Interlinear Bible| target=|_top|&gt;Interlin&lt;/a&gt;</v>
      </c>
      <c r="Y382" t="str">
        <f t="shared" ref="Y382" si="1525">CONCATENATE("&lt;/li&gt;&lt;li&gt;&lt;a href=|http://",Y1191,"/2_chronicles/15.htm","| ","title=|",Y1190,"| target=|_top|&gt;",Y1192,"&lt;/a&gt;")</f>
        <v>&lt;/li&gt;&lt;li&gt;&lt;a href=|http://bibleoutline.org/2_chronicles/15.htm| title=|Outline with People and Places List| target=|_top|&gt;Outline&lt;/a&gt;</v>
      </c>
      <c r="Z382" t="str">
        <f t="shared" si="1524"/>
        <v>&lt;/li&gt;&lt;li&gt;&lt;a href=|http://kjvs.scripturetext.com/2_chronicles/15.htm| title=|King James Bible with Strong's Numbers| target=|_top|&gt;Strong's&lt;/a&gt;</v>
      </c>
      <c r="AA382" t="str">
        <f t="shared" si="1524"/>
        <v>&lt;/li&gt;&lt;li&gt;&lt;a href=|http://childrensbibleonline.com/2_chronicles/15.htm| title=|The Children's Bible| target=|_top|&gt;Children's&lt;/a&gt;</v>
      </c>
      <c r="AB382" s="2" t="str">
        <f t="shared" si="1524"/>
        <v>&lt;/li&gt;&lt;li&gt;&lt;a href=|http://tsk.scripturetext.com/2_chronicles/15.htm| title=|Treasury of Scripture Knowledge| target=|_top|&gt;TSK&lt;/a&gt;</v>
      </c>
      <c r="AC382" t="str">
        <f>CONCATENATE("&lt;a href=|http://",AC1191,"/2_chronicles/15.htm","| ","title=|",AC1190,"| target=|_top|&gt;",AC1192,"&lt;/a&gt;")</f>
        <v>&lt;a href=|http://parallelbible.com/2_chronicles/15.htm| title=|Parallel Chapters| target=|_top|&gt;PAR&lt;/a&gt;</v>
      </c>
      <c r="AD382" s="2" t="str">
        <f t="shared" ref="AD382:AK382" si="1526">CONCATENATE("&lt;/li&gt;&lt;li&gt;&lt;a href=|http://",AD1191,"/2_chronicles/15.htm","| ","title=|",AD1190,"| target=|_top|&gt;",AD1192,"&lt;/a&gt;")</f>
        <v>&lt;/li&gt;&lt;li&gt;&lt;a href=|http://gsb.biblecommenter.com/2_chronicles/15.htm| title=|Geneva Study Bible| target=|_top|&gt;GSB&lt;/a&gt;</v>
      </c>
      <c r="AE382" s="2" t="str">
        <f t="shared" si="1526"/>
        <v>&lt;/li&gt;&lt;li&gt;&lt;a href=|http://jfb.biblecommenter.com/2_chronicles/15.htm| title=|Jamieson-Fausset-Brown Bible Commentary| target=|_top|&gt;JFB&lt;/a&gt;</v>
      </c>
      <c r="AF382" s="2" t="str">
        <f t="shared" si="1526"/>
        <v>&lt;/li&gt;&lt;li&gt;&lt;a href=|http://kjt.biblecommenter.com/2_chronicles/15.htm| title=|King James Translators' Notes| target=|_top|&gt;KJT&lt;/a&gt;</v>
      </c>
      <c r="AG382" s="2" t="str">
        <f t="shared" si="1526"/>
        <v>&lt;/li&gt;&lt;li&gt;&lt;a href=|http://mhc.biblecommenter.com/2_chronicles/15.htm| title=|Matthew Henry's Concise Commentary| target=|_top|&gt;MHC&lt;/a&gt;</v>
      </c>
      <c r="AH382" s="2" t="str">
        <f t="shared" si="1526"/>
        <v>&lt;/li&gt;&lt;li&gt;&lt;a href=|http://sco.biblecommenter.com/2_chronicles/15.htm| title=|Scofield Reference Notes| target=|_top|&gt;SCO&lt;/a&gt;</v>
      </c>
      <c r="AI382" s="2" t="str">
        <f t="shared" si="1526"/>
        <v>&lt;/li&gt;&lt;li&gt;&lt;a href=|http://wes.biblecommenter.com/2_chronicles/15.htm| title=|Wesley's Notes on the Bible| target=|_top|&gt;WES&lt;/a&gt;</v>
      </c>
      <c r="AJ382" t="str">
        <f t="shared" si="1526"/>
        <v>&lt;/li&gt;&lt;li&gt;&lt;a href=|http://worldebible.com/2_chronicles/15.htm| title=|World English Bible| target=|_top|&gt;WEB&lt;/a&gt;</v>
      </c>
      <c r="AK382" t="str">
        <f t="shared" si="1526"/>
        <v>&lt;/li&gt;&lt;li&gt;&lt;a href=|http://yltbible.com/2_chronicles/15.htm| title=|Young's Literal Translation| target=|_top|&gt;YLT&lt;/a&gt;</v>
      </c>
      <c r="AL382" t="str">
        <f>CONCATENATE("&lt;a href=|http://",AL1191,"/2_chronicles/15.htm","| ","title=|",AL1190,"| target=|_top|&gt;",AL1192,"&lt;/a&gt;")</f>
        <v>&lt;a href=|http://kjv.us/2_chronicles/15.htm| title=|American King James Version| target=|_top|&gt;AKJ&lt;/a&gt;</v>
      </c>
      <c r="AM382" t="str">
        <f t="shared" ref="AM382:AN382" si="1527">CONCATENATE("&lt;/li&gt;&lt;li&gt;&lt;a href=|http://",AM1191,"/2_chronicles/15.htm","| ","title=|",AM1190,"| target=|_top|&gt;",AM1192,"&lt;/a&gt;")</f>
        <v>&lt;/li&gt;&lt;li&gt;&lt;a href=|http://basicenglishbible.com/2_chronicles/15.htm| title=|Bible in Basic English| target=|_top|&gt;BBE&lt;/a&gt;</v>
      </c>
      <c r="AN382" t="str">
        <f t="shared" si="1527"/>
        <v>&lt;/li&gt;&lt;li&gt;&lt;a href=|http://darbybible.com/2_chronicles/15.htm| title=|Darby Bible Translation| target=|_top|&gt;DBY&lt;/a&gt;</v>
      </c>
      <c r="AO38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8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8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82" t="str">
        <f>CONCATENATE("&lt;/li&gt;&lt;li&gt;&lt;a href=|http://",AR1191,"/2_chronicles/15.htm","| ","title=|",AR1190,"| target=|_top|&gt;",AR1192,"&lt;/a&gt;")</f>
        <v>&lt;/li&gt;&lt;li&gt;&lt;a href=|http://websterbible.com/2_chronicles/15.htm| title=|Webster's Bible Translation| target=|_top|&gt;WBS&lt;/a&gt;</v>
      </c>
      <c r="AS38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82" t="str">
        <f>CONCATENATE("&lt;/li&gt;&lt;li&gt;&lt;a href=|http://",AT1191,"/2_chronicles/15-1.htm","| ","title=|",AT1190,"| target=|_top|&gt;",AT1192,"&lt;/a&gt;")</f>
        <v>&lt;/li&gt;&lt;li&gt;&lt;a href=|http://biblebrowser.com/2_chronicles/15-1.htm| title=|Split View| target=|_top|&gt;Split&lt;/a&gt;</v>
      </c>
      <c r="AU382" s="2" t="s">
        <v>1276</v>
      </c>
      <c r="AV382" t="s">
        <v>64</v>
      </c>
    </row>
    <row r="383" spans="1:48">
      <c r="A383" t="s">
        <v>622</v>
      </c>
      <c r="B383" t="s">
        <v>436</v>
      </c>
      <c r="C383" t="s">
        <v>624</v>
      </c>
      <c r="D383" t="s">
        <v>1268</v>
      </c>
      <c r="E383" t="s">
        <v>1277</v>
      </c>
      <c r="F383" t="s">
        <v>1304</v>
      </c>
      <c r="G383" t="s">
        <v>1266</v>
      </c>
      <c r="H383" t="s">
        <v>1305</v>
      </c>
      <c r="I383" t="s">
        <v>1303</v>
      </c>
      <c r="J383" t="s">
        <v>1267</v>
      </c>
      <c r="K383" t="s">
        <v>1275</v>
      </c>
      <c r="L383" s="2" t="s">
        <v>1274</v>
      </c>
      <c r="M383" t="str">
        <f t="shared" ref="M383:AB383" si="1528">CONCATENATE("&lt;/li&gt;&lt;li&gt;&lt;a href=|http://",M1191,"/2_chronicles/16.htm","| ","title=|",M1190,"| target=|_top|&gt;",M1192,"&lt;/a&gt;")</f>
        <v>&lt;/li&gt;&lt;li&gt;&lt;a href=|http://niv.scripturetext.com/2_chronicles/16.htm| title=|New International Version| target=|_top|&gt;NIV&lt;/a&gt;</v>
      </c>
      <c r="N383" t="str">
        <f t="shared" si="1528"/>
        <v>&lt;/li&gt;&lt;li&gt;&lt;a href=|http://nlt.scripturetext.com/2_chronicles/16.htm| title=|New Living Translation| target=|_top|&gt;NLT&lt;/a&gt;</v>
      </c>
      <c r="O383" t="str">
        <f t="shared" si="1528"/>
        <v>&lt;/li&gt;&lt;li&gt;&lt;a href=|http://nasb.scripturetext.com/2_chronicles/16.htm| title=|New American Standard Bible| target=|_top|&gt;NAS&lt;/a&gt;</v>
      </c>
      <c r="P383" t="str">
        <f t="shared" si="1528"/>
        <v>&lt;/li&gt;&lt;li&gt;&lt;a href=|http://gwt.scripturetext.com/2_chronicles/16.htm| title=|God's Word Translation| target=|_top|&gt;GWT&lt;/a&gt;</v>
      </c>
      <c r="Q383" t="str">
        <f t="shared" si="1528"/>
        <v>&lt;/li&gt;&lt;li&gt;&lt;a href=|http://kingjbible.com/2_chronicles/16.htm| title=|King James Bible| target=|_top|&gt;KJV&lt;/a&gt;</v>
      </c>
      <c r="R383" t="str">
        <f t="shared" si="1528"/>
        <v>&lt;/li&gt;&lt;li&gt;&lt;a href=|http://asvbible.com/2_chronicles/16.htm| title=|American Standard Version| target=|_top|&gt;ASV&lt;/a&gt;</v>
      </c>
      <c r="S383" t="str">
        <f t="shared" si="1528"/>
        <v>&lt;/li&gt;&lt;li&gt;&lt;a href=|http://drb.scripturetext.com/2_chronicles/16.htm| title=|Douay-Rheims Bible| target=|_top|&gt;DRB&lt;/a&gt;</v>
      </c>
      <c r="T383" t="str">
        <f t="shared" si="1528"/>
        <v>&lt;/li&gt;&lt;li&gt;&lt;a href=|http://erv.scripturetext.com/2_chronicles/16.htm| title=|English Revised Version| target=|_top|&gt;ERV&lt;/a&gt;</v>
      </c>
      <c r="V383" t="str">
        <f>CONCATENATE("&lt;/li&gt;&lt;li&gt;&lt;a href=|http://",V1191,"/2_chronicles/16.htm","| ","title=|",V1190,"| target=|_top|&gt;",V1192,"&lt;/a&gt;")</f>
        <v>&lt;/li&gt;&lt;li&gt;&lt;a href=|http://study.interlinearbible.org/2_chronicles/16.htm| title=|Hebrew Study Bible| target=|_top|&gt;Heb Study&lt;/a&gt;</v>
      </c>
      <c r="W383" t="str">
        <f t="shared" si="1528"/>
        <v>&lt;/li&gt;&lt;li&gt;&lt;a href=|http://apostolic.interlinearbible.org/2_chronicles/16.htm| title=|Apostolic Bible Polyglot Interlinear| target=|_top|&gt;Polyglot&lt;/a&gt;</v>
      </c>
      <c r="X383" t="str">
        <f t="shared" si="1528"/>
        <v>&lt;/li&gt;&lt;li&gt;&lt;a href=|http://interlinearbible.org/2_chronicles/16.htm| title=|Interlinear Bible| target=|_top|&gt;Interlin&lt;/a&gt;</v>
      </c>
      <c r="Y383" t="str">
        <f t="shared" ref="Y383" si="1529">CONCATENATE("&lt;/li&gt;&lt;li&gt;&lt;a href=|http://",Y1191,"/2_chronicles/16.htm","| ","title=|",Y1190,"| target=|_top|&gt;",Y1192,"&lt;/a&gt;")</f>
        <v>&lt;/li&gt;&lt;li&gt;&lt;a href=|http://bibleoutline.org/2_chronicles/16.htm| title=|Outline with People and Places List| target=|_top|&gt;Outline&lt;/a&gt;</v>
      </c>
      <c r="Z383" t="str">
        <f t="shared" si="1528"/>
        <v>&lt;/li&gt;&lt;li&gt;&lt;a href=|http://kjvs.scripturetext.com/2_chronicles/16.htm| title=|King James Bible with Strong's Numbers| target=|_top|&gt;Strong's&lt;/a&gt;</v>
      </c>
      <c r="AA383" t="str">
        <f t="shared" si="1528"/>
        <v>&lt;/li&gt;&lt;li&gt;&lt;a href=|http://childrensbibleonline.com/2_chronicles/16.htm| title=|The Children's Bible| target=|_top|&gt;Children's&lt;/a&gt;</v>
      </c>
      <c r="AB383" s="2" t="str">
        <f t="shared" si="1528"/>
        <v>&lt;/li&gt;&lt;li&gt;&lt;a href=|http://tsk.scripturetext.com/2_chronicles/16.htm| title=|Treasury of Scripture Knowledge| target=|_top|&gt;TSK&lt;/a&gt;</v>
      </c>
      <c r="AC383" t="str">
        <f>CONCATENATE("&lt;a href=|http://",AC1191,"/2_chronicles/16.htm","| ","title=|",AC1190,"| target=|_top|&gt;",AC1192,"&lt;/a&gt;")</f>
        <v>&lt;a href=|http://parallelbible.com/2_chronicles/16.htm| title=|Parallel Chapters| target=|_top|&gt;PAR&lt;/a&gt;</v>
      </c>
      <c r="AD383" s="2" t="str">
        <f t="shared" ref="AD383:AK383" si="1530">CONCATENATE("&lt;/li&gt;&lt;li&gt;&lt;a href=|http://",AD1191,"/2_chronicles/16.htm","| ","title=|",AD1190,"| target=|_top|&gt;",AD1192,"&lt;/a&gt;")</f>
        <v>&lt;/li&gt;&lt;li&gt;&lt;a href=|http://gsb.biblecommenter.com/2_chronicles/16.htm| title=|Geneva Study Bible| target=|_top|&gt;GSB&lt;/a&gt;</v>
      </c>
      <c r="AE383" s="2" t="str">
        <f t="shared" si="1530"/>
        <v>&lt;/li&gt;&lt;li&gt;&lt;a href=|http://jfb.biblecommenter.com/2_chronicles/16.htm| title=|Jamieson-Fausset-Brown Bible Commentary| target=|_top|&gt;JFB&lt;/a&gt;</v>
      </c>
      <c r="AF383" s="2" t="str">
        <f t="shared" si="1530"/>
        <v>&lt;/li&gt;&lt;li&gt;&lt;a href=|http://kjt.biblecommenter.com/2_chronicles/16.htm| title=|King James Translators' Notes| target=|_top|&gt;KJT&lt;/a&gt;</v>
      </c>
      <c r="AG383" s="2" t="str">
        <f t="shared" si="1530"/>
        <v>&lt;/li&gt;&lt;li&gt;&lt;a href=|http://mhc.biblecommenter.com/2_chronicles/16.htm| title=|Matthew Henry's Concise Commentary| target=|_top|&gt;MHC&lt;/a&gt;</v>
      </c>
      <c r="AH383" s="2" t="str">
        <f t="shared" si="1530"/>
        <v>&lt;/li&gt;&lt;li&gt;&lt;a href=|http://sco.biblecommenter.com/2_chronicles/16.htm| title=|Scofield Reference Notes| target=|_top|&gt;SCO&lt;/a&gt;</v>
      </c>
      <c r="AI383" s="2" t="str">
        <f t="shared" si="1530"/>
        <v>&lt;/li&gt;&lt;li&gt;&lt;a href=|http://wes.biblecommenter.com/2_chronicles/16.htm| title=|Wesley's Notes on the Bible| target=|_top|&gt;WES&lt;/a&gt;</v>
      </c>
      <c r="AJ383" t="str">
        <f t="shared" si="1530"/>
        <v>&lt;/li&gt;&lt;li&gt;&lt;a href=|http://worldebible.com/2_chronicles/16.htm| title=|World English Bible| target=|_top|&gt;WEB&lt;/a&gt;</v>
      </c>
      <c r="AK383" t="str">
        <f t="shared" si="1530"/>
        <v>&lt;/li&gt;&lt;li&gt;&lt;a href=|http://yltbible.com/2_chronicles/16.htm| title=|Young's Literal Translation| target=|_top|&gt;YLT&lt;/a&gt;</v>
      </c>
      <c r="AL383" t="str">
        <f>CONCATENATE("&lt;a href=|http://",AL1191,"/2_chronicles/16.htm","| ","title=|",AL1190,"| target=|_top|&gt;",AL1192,"&lt;/a&gt;")</f>
        <v>&lt;a href=|http://kjv.us/2_chronicles/16.htm| title=|American King James Version| target=|_top|&gt;AKJ&lt;/a&gt;</v>
      </c>
      <c r="AM383" t="str">
        <f t="shared" ref="AM383:AN383" si="1531">CONCATENATE("&lt;/li&gt;&lt;li&gt;&lt;a href=|http://",AM1191,"/2_chronicles/16.htm","| ","title=|",AM1190,"| target=|_top|&gt;",AM1192,"&lt;/a&gt;")</f>
        <v>&lt;/li&gt;&lt;li&gt;&lt;a href=|http://basicenglishbible.com/2_chronicles/16.htm| title=|Bible in Basic English| target=|_top|&gt;BBE&lt;/a&gt;</v>
      </c>
      <c r="AN383" t="str">
        <f t="shared" si="1531"/>
        <v>&lt;/li&gt;&lt;li&gt;&lt;a href=|http://darbybible.com/2_chronicles/16.htm| title=|Darby Bible Translation| target=|_top|&gt;DBY&lt;/a&gt;</v>
      </c>
      <c r="AO38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8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8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83" t="str">
        <f>CONCATENATE("&lt;/li&gt;&lt;li&gt;&lt;a href=|http://",AR1191,"/2_chronicles/16.htm","| ","title=|",AR1190,"| target=|_top|&gt;",AR1192,"&lt;/a&gt;")</f>
        <v>&lt;/li&gt;&lt;li&gt;&lt;a href=|http://websterbible.com/2_chronicles/16.htm| title=|Webster's Bible Translation| target=|_top|&gt;WBS&lt;/a&gt;</v>
      </c>
      <c r="AS38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83" t="str">
        <f>CONCATENATE("&lt;/li&gt;&lt;li&gt;&lt;a href=|http://",AT1191,"/2_chronicles/16-1.htm","| ","title=|",AT1190,"| target=|_top|&gt;",AT1192,"&lt;/a&gt;")</f>
        <v>&lt;/li&gt;&lt;li&gt;&lt;a href=|http://biblebrowser.com/2_chronicles/16-1.htm| title=|Split View| target=|_top|&gt;Split&lt;/a&gt;</v>
      </c>
      <c r="AU383" s="2" t="s">
        <v>1276</v>
      </c>
      <c r="AV383" t="s">
        <v>64</v>
      </c>
    </row>
    <row r="384" spans="1:48">
      <c r="A384" t="s">
        <v>622</v>
      </c>
      <c r="B384" t="s">
        <v>437</v>
      </c>
      <c r="C384" t="s">
        <v>624</v>
      </c>
      <c r="D384" t="s">
        <v>1268</v>
      </c>
      <c r="E384" t="s">
        <v>1277</v>
      </c>
      <c r="F384" t="s">
        <v>1304</v>
      </c>
      <c r="G384" t="s">
        <v>1266</v>
      </c>
      <c r="H384" t="s">
        <v>1305</v>
      </c>
      <c r="I384" t="s">
        <v>1303</v>
      </c>
      <c r="J384" t="s">
        <v>1267</v>
      </c>
      <c r="K384" t="s">
        <v>1275</v>
      </c>
      <c r="L384" s="2" t="s">
        <v>1274</v>
      </c>
      <c r="M384" t="str">
        <f t="shared" ref="M384:AB384" si="1532">CONCATENATE("&lt;/li&gt;&lt;li&gt;&lt;a href=|http://",M1191,"/2_chronicles/17.htm","| ","title=|",M1190,"| target=|_top|&gt;",M1192,"&lt;/a&gt;")</f>
        <v>&lt;/li&gt;&lt;li&gt;&lt;a href=|http://niv.scripturetext.com/2_chronicles/17.htm| title=|New International Version| target=|_top|&gt;NIV&lt;/a&gt;</v>
      </c>
      <c r="N384" t="str">
        <f t="shared" si="1532"/>
        <v>&lt;/li&gt;&lt;li&gt;&lt;a href=|http://nlt.scripturetext.com/2_chronicles/17.htm| title=|New Living Translation| target=|_top|&gt;NLT&lt;/a&gt;</v>
      </c>
      <c r="O384" t="str">
        <f t="shared" si="1532"/>
        <v>&lt;/li&gt;&lt;li&gt;&lt;a href=|http://nasb.scripturetext.com/2_chronicles/17.htm| title=|New American Standard Bible| target=|_top|&gt;NAS&lt;/a&gt;</v>
      </c>
      <c r="P384" t="str">
        <f t="shared" si="1532"/>
        <v>&lt;/li&gt;&lt;li&gt;&lt;a href=|http://gwt.scripturetext.com/2_chronicles/17.htm| title=|God's Word Translation| target=|_top|&gt;GWT&lt;/a&gt;</v>
      </c>
      <c r="Q384" t="str">
        <f t="shared" si="1532"/>
        <v>&lt;/li&gt;&lt;li&gt;&lt;a href=|http://kingjbible.com/2_chronicles/17.htm| title=|King James Bible| target=|_top|&gt;KJV&lt;/a&gt;</v>
      </c>
      <c r="R384" t="str">
        <f t="shared" si="1532"/>
        <v>&lt;/li&gt;&lt;li&gt;&lt;a href=|http://asvbible.com/2_chronicles/17.htm| title=|American Standard Version| target=|_top|&gt;ASV&lt;/a&gt;</v>
      </c>
      <c r="S384" t="str">
        <f t="shared" si="1532"/>
        <v>&lt;/li&gt;&lt;li&gt;&lt;a href=|http://drb.scripturetext.com/2_chronicles/17.htm| title=|Douay-Rheims Bible| target=|_top|&gt;DRB&lt;/a&gt;</v>
      </c>
      <c r="T384" t="str">
        <f t="shared" si="1532"/>
        <v>&lt;/li&gt;&lt;li&gt;&lt;a href=|http://erv.scripturetext.com/2_chronicles/17.htm| title=|English Revised Version| target=|_top|&gt;ERV&lt;/a&gt;</v>
      </c>
      <c r="V384" t="str">
        <f>CONCATENATE("&lt;/li&gt;&lt;li&gt;&lt;a href=|http://",V1191,"/2_chronicles/17.htm","| ","title=|",V1190,"| target=|_top|&gt;",V1192,"&lt;/a&gt;")</f>
        <v>&lt;/li&gt;&lt;li&gt;&lt;a href=|http://study.interlinearbible.org/2_chronicles/17.htm| title=|Hebrew Study Bible| target=|_top|&gt;Heb Study&lt;/a&gt;</v>
      </c>
      <c r="W384" t="str">
        <f t="shared" si="1532"/>
        <v>&lt;/li&gt;&lt;li&gt;&lt;a href=|http://apostolic.interlinearbible.org/2_chronicles/17.htm| title=|Apostolic Bible Polyglot Interlinear| target=|_top|&gt;Polyglot&lt;/a&gt;</v>
      </c>
      <c r="X384" t="str">
        <f t="shared" si="1532"/>
        <v>&lt;/li&gt;&lt;li&gt;&lt;a href=|http://interlinearbible.org/2_chronicles/17.htm| title=|Interlinear Bible| target=|_top|&gt;Interlin&lt;/a&gt;</v>
      </c>
      <c r="Y384" t="str">
        <f t="shared" ref="Y384" si="1533">CONCATENATE("&lt;/li&gt;&lt;li&gt;&lt;a href=|http://",Y1191,"/2_chronicles/17.htm","| ","title=|",Y1190,"| target=|_top|&gt;",Y1192,"&lt;/a&gt;")</f>
        <v>&lt;/li&gt;&lt;li&gt;&lt;a href=|http://bibleoutline.org/2_chronicles/17.htm| title=|Outline with People and Places List| target=|_top|&gt;Outline&lt;/a&gt;</v>
      </c>
      <c r="Z384" t="str">
        <f t="shared" si="1532"/>
        <v>&lt;/li&gt;&lt;li&gt;&lt;a href=|http://kjvs.scripturetext.com/2_chronicles/17.htm| title=|King James Bible with Strong's Numbers| target=|_top|&gt;Strong's&lt;/a&gt;</v>
      </c>
      <c r="AA384" t="str">
        <f t="shared" si="1532"/>
        <v>&lt;/li&gt;&lt;li&gt;&lt;a href=|http://childrensbibleonline.com/2_chronicles/17.htm| title=|The Children's Bible| target=|_top|&gt;Children's&lt;/a&gt;</v>
      </c>
      <c r="AB384" s="2" t="str">
        <f t="shared" si="1532"/>
        <v>&lt;/li&gt;&lt;li&gt;&lt;a href=|http://tsk.scripturetext.com/2_chronicles/17.htm| title=|Treasury of Scripture Knowledge| target=|_top|&gt;TSK&lt;/a&gt;</v>
      </c>
      <c r="AC384" t="str">
        <f>CONCATENATE("&lt;a href=|http://",AC1191,"/2_chronicles/17.htm","| ","title=|",AC1190,"| target=|_top|&gt;",AC1192,"&lt;/a&gt;")</f>
        <v>&lt;a href=|http://parallelbible.com/2_chronicles/17.htm| title=|Parallel Chapters| target=|_top|&gt;PAR&lt;/a&gt;</v>
      </c>
      <c r="AD384" s="2" t="str">
        <f t="shared" ref="AD384:AK384" si="1534">CONCATENATE("&lt;/li&gt;&lt;li&gt;&lt;a href=|http://",AD1191,"/2_chronicles/17.htm","| ","title=|",AD1190,"| target=|_top|&gt;",AD1192,"&lt;/a&gt;")</f>
        <v>&lt;/li&gt;&lt;li&gt;&lt;a href=|http://gsb.biblecommenter.com/2_chronicles/17.htm| title=|Geneva Study Bible| target=|_top|&gt;GSB&lt;/a&gt;</v>
      </c>
      <c r="AE384" s="2" t="str">
        <f t="shared" si="1534"/>
        <v>&lt;/li&gt;&lt;li&gt;&lt;a href=|http://jfb.biblecommenter.com/2_chronicles/17.htm| title=|Jamieson-Fausset-Brown Bible Commentary| target=|_top|&gt;JFB&lt;/a&gt;</v>
      </c>
      <c r="AF384" s="2" t="str">
        <f t="shared" si="1534"/>
        <v>&lt;/li&gt;&lt;li&gt;&lt;a href=|http://kjt.biblecommenter.com/2_chronicles/17.htm| title=|King James Translators' Notes| target=|_top|&gt;KJT&lt;/a&gt;</v>
      </c>
      <c r="AG384" s="2" t="str">
        <f t="shared" si="1534"/>
        <v>&lt;/li&gt;&lt;li&gt;&lt;a href=|http://mhc.biblecommenter.com/2_chronicles/17.htm| title=|Matthew Henry's Concise Commentary| target=|_top|&gt;MHC&lt;/a&gt;</v>
      </c>
      <c r="AH384" s="2" t="str">
        <f t="shared" si="1534"/>
        <v>&lt;/li&gt;&lt;li&gt;&lt;a href=|http://sco.biblecommenter.com/2_chronicles/17.htm| title=|Scofield Reference Notes| target=|_top|&gt;SCO&lt;/a&gt;</v>
      </c>
      <c r="AI384" s="2" t="str">
        <f t="shared" si="1534"/>
        <v>&lt;/li&gt;&lt;li&gt;&lt;a href=|http://wes.biblecommenter.com/2_chronicles/17.htm| title=|Wesley's Notes on the Bible| target=|_top|&gt;WES&lt;/a&gt;</v>
      </c>
      <c r="AJ384" t="str">
        <f t="shared" si="1534"/>
        <v>&lt;/li&gt;&lt;li&gt;&lt;a href=|http://worldebible.com/2_chronicles/17.htm| title=|World English Bible| target=|_top|&gt;WEB&lt;/a&gt;</v>
      </c>
      <c r="AK384" t="str">
        <f t="shared" si="1534"/>
        <v>&lt;/li&gt;&lt;li&gt;&lt;a href=|http://yltbible.com/2_chronicles/17.htm| title=|Young's Literal Translation| target=|_top|&gt;YLT&lt;/a&gt;</v>
      </c>
      <c r="AL384" t="str">
        <f>CONCATENATE("&lt;a href=|http://",AL1191,"/2_chronicles/17.htm","| ","title=|",AL1190,"| target=|_top|&gt;",AL1192,"&lt;/a&gt;")</f>
        <v>&lt;a href=|http://kjv.us/2_chronicles/17.htm| title=|American King James Version| target=|_top|&gt;AKJ&lt;/a&gt;</v>
      </c>
      <c r="AM384" t="str">
        <f t="shared" ref="AM384:AN384" si="1535">CONCATENATE("&lt;/li&gt;&lt;li&gt;&lt;a href=|http://",AM1191,"/2_chronicles/17.htm","| ","title=|",AM1190,"| target=|_top|&gt;",AM1192,"&lt;/a&gt;")</f>
        <v>&lt;/li&gt;&lt;li&gt;&lt;a href=|http://basicenglishbible.com/2_chronicles/17.htm| title=|Bible in Basic English| target=|_top|&gt;BBE&lt;/a&gt;</v>
      </c>
      <c r="AN384" t="str">
        <f t="shared" si="1535"/>
        <v>&lt;/li&gt;&lt;li&gt;&lt;a href=|http://darbybible.com/2_chronicles/17.htm| title=|Darby Bible Translation| target=|_top|&gt;DBY&lt;/a&gt;</v>
      </c>
      <c r="AO38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8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8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84" t="str">
        <f>CONCATENATE("&lt;/li&gt;&lt;li&gt;&lt;a href=|http://",AR1191,"/2_chronicles/17.htm","| ","title=|",AR1190,"| target=|_top|&gt;",AR1192,"&lt;/a&gt;")</f>
        <v>&lt;/li&gt;&lt;li&gt;&lt;a href=|http://websterbible.com/2_chronicles/17.htm| title=|Webster's Bible Translation| target=|_top|&gt;WBS&lt;/a&gt;</v>
      </c>
      <c r="AS38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84" t="str">
        <f>CONCATENATE("&lt;/li&gt;&lt;li&gt;&lt;a href=|http://",AT1191,"/2_chronicles/17-1.htm","| ","title=|",AT1190,"| target=|_top|&gt;",AT1192,"&lt;/a&gt;")</f>
        <v>&lt;/li&gt;&lt;li&gt;&lt;a href=|http://biblebrowser.com/2_chronicles/17-1.htm| title=|Split View| target=|_top|&gt;Split&lt;/a&gt;</v>
      </c>
      <c r="AU384" s="2" t="s">
        <v>1276</v>
      </c>
      <c r="AV384" t="s">
        <v>64</v>
      </c>
    </row>
    <row r="385" spans="1:48">
      <c r="A385" t="s">
        <v>622</v>
      </c>
      <c r="B385" t="s">
        <v>438</v>
      </c>
      <c r="C385" t="s">
        <v>624</v>
      </c>
      <c r="D385" t="s">
        <v>1268</v>
      </c>
      <c r="E385" t="s">
        <v>1277</v>
      </c>
      <c r="F385" t="s">
        <v>1304</v>
      </c>
      <c r="G385" t="s">
        <v>1266</v>
      </c>
      <c r="H385" t="s">
        <v>1305</v>
      </c>
      <c r="I385" t="s">
        <v>1303</v>
      </c>
      <c r="J385" t="s">
        <v>1267</v>
      </c>
      <c r="K385" t="s">
        <v>1275</v>
      </c>
      <c r="L385" s="2" t="s">
        <v>1274</v>
      </c>
      <c r="M385" t="str">
        <f t="shared" ref="M385:AB385" si="1536">CONCATENATE("&lt;/li&gt;&lt;li&gt;&lt;a href=|http://",M1191,"/2_chronicles/18.htm","| ","title=|",M1190,"| target=|_top|&gt;",M1192,"&lt;/a&gt;")</f>
        <v>&lt;/li&gt;&lt;li&gt;&lt;a href=|http://niv.scripturetext.com/2_chronicles/18.htm| title=|New International Version| target=|_top|&gt;NIV&lt;/a&gt;</v>
      </c>
      <c r="N385" t="str">
        <f t="shared" si="1536"/>
        <v>&lt;/li&gt;&lt;li&gt;&lt;a href=|http://nlt.scripturetext.com/2_chronicles/18.htm| title=|New Living Translation| target=|_top|&gt;NLT&lt;/a&gt;</v>
      </c>
      <c r="O385" t="str">
        <f t="shared" si="1536"/>
        <v>&lt;/li&gt;&lt;li&gt;&lt;a href=|http://nasb.scripturetext.com/2_chronicles/18.htm| title=|New American Standard Bible| target=|_top|&gt;NAS&lt;/a&gt;</v>
      </c>
      <c r="P385" t="str">
        <f t="shared" si="1536"/>
        <v>&lt;/li&gt;&lt;li&gt;&lt;a href=|http://gwt.scripturetext.com/2_chronicles/18.htm| title=|God's Word Translation| target=|_top|&gt;GWT&lt;/a&gt;</v>
      </c>
      <c r="Q385" t="str">
        <f t="shared" si="1536"/>
        <v>&lt;/li&gt;&lt;li&gt;&lt;a href=|http://kingjbible.com/2_chronicles/18.htm| title=|King James Bible| target=|_top|&gt;KJV&lt;/a&gt;</v>
      </c>
      <c r="R385" t="str">
        <f t="shared" si="1536"/>
        <v>&lt;/li&gt;&lt;li&gt;&lt;a href=|http://asvbible.com/2_chronicles/18.htm| title=|American Standard Version| target=|_top|&gt;ASV&lt;/a&gt;</v>
      </c>
      <c r="S385" t="str">
        <f t="shared" si="1536"/>
        <v>&lt;/li&gt;&lt;li&gt;&lt;a href=|http://drb.scripturetext.com/2_chronicles/18.htm| title=|Douay-Rheims Bible| target=|_top|&gt;DRB&lt;/a&gt;</v>
      </c>
      <c r="T385" t="str">
        <f t="shared" si="1536"/>
        <v>&lt;/li&gt;&lt;li&gt;&lt;a href=|http://erv.scripturetext.com/2_chronicles/18.htm| title=|English Revised Version| target=|_top|&gt;ERV&lt;/a&gt;</v>
      </c>
      <c r="V385" t="str">
        <f>CONCATENATE("&lt;/li&gt;&lt;li&gt;&lt;a href=|http://",V1191,"/2_chronicles/18.htm","| ","title=|",V1190,"| target=|_top|&gt;",V1192,"&lt;/a&gt;")</f>
        <v>&lt;/li&gt;&lt;li&gt;&lt;a href=|http://study.interlinearbible.org/2_chronicles/18.htm| title=|Hebrew Study Bible| target=|_top|&gt;Heb Study&lt;/a&gt;</v>
      </c>
      <c r="W385" t="str">
        <f t="shared" si="1536"/>
        <v>&lt;/li&gt;&lt;li&gt;&lt;a href=|http://apostolic.interlinearbible.org/2_chronicles/18.htm| title=|Apostolic Bible Polyglot Interlinear| target=|_top|&gt;Polyglot&lt;/a&gt;</v>
      </c>
      <c r="X385" t="str">
        <f t="shared" si="1536"/>
        <v>&lt;/li&gt;&lt;li&gt;&lt;a href=|http://interlinearbible.org/2_chronicles/18.htm| title=|Interlinear Bible| target=|_top|&gt;Interlin&lt;/a&gt;</v>
      </c>
      <c r="Y385" t="str">
        <f t="shared" ref="Y385" si="1537">CONCATENATE("&lt;/li&gt;&lt;li&gt;&lt;a href=|http://",Y1191,"/2_chronicles/18.htm","| ","title=|",Y1190,"| target=|_top|&gt;",Y1192,"&lt;/a&gt;")</f>
        <v>&lt;/li&gt;&lt;li&gt;&lt;a href=|http://bibleoutline.org/2_chronicles/18.htm| title=|Outline with People and Places List| target=|_top|&gt;Outline&lt;/a&gt;</v>
      </c>
      <c r="Z385" t="str">
        <f t="shared" si="1536"/>
        <v>&lt;/li&gt;&lt;li&gt;&lt;a href=|http://kjvs.scripturetext.com/2_chronicles/18.htm| title=|King James Bible with Strong's Numbers| target=|_top|&gt;Strong's&lt;/a&gt;</v>
      </c>
      <c r="AA385" t="str">
        <f t="shared" si="1536"/>
        <v>&lt;/li&gt;&lt;li&gt;&lt;a href=|http://childrensbibleonline.com/2_chronicles/18.htm| title=|The Children's Bible| target=|_top|&gt;Children's&lt;/a&gt;</v>
      </c>
      <c r="AB385" s="2" t="str">
        <f t="shared" si="1536"/>
        <v>&lt;/li&gt;&lt;li&gt;&lt;a href=|http://tsk.scripturetext.com/2_chronicles/18.htm| title=|Treasury of Scripture Knowledge| target=|_top|&gt;TSK&lt;/a&gt;</v>
      </c>
      <c r="AC385" t="str">
        <f>CONCATENATE("&lt;a href=|http://",AC1191,"/2_chronicles/18.htm","| ","title=|",AC1190,"| target=|_top|&gt;",AC1192,"&lt;/a&gt;")</f>
        <v>&lt;a href=|http://parallelbible.com/2_chronicles/18.htm| title=|Parallel Chapters| target=|_top|&gt;PAR&lt;/a&gt;</v>
      </c>
      <c r="AD385" s="2" t="str">
        <f t="shared" ref="AD385:AK385" si="1538">CONCATENATE("&lt;/li&gt;&lt;li&gt;&lt;a href=|http://",AD1191,"/2_chronicles/18.htm","| ","title=|",AD1190,"| target=|_top|&gt;",AD1192,"&lt;/a&gt;")</f>
        <v>&lt;/li&gt;&lt;li&gt;&lt;a href=|http://gsb.biblecommenter.com/2_chronicles/18.htm| title=|Geneva Study Bible| target=|_top|&gt;GSB&lt;/a&gt;</v>
      </c>
      <c r="AE385" s="2" t="str">
        <f t="shared" si="1538"/>
        <v>&lt;/li&gt;&lt;li&gt;&lt;a href=|http://jfb.biblecommenter.com/2_chronicles/18.htm| title=|Jamieson-Fausset-Brown Bible Commentary| target=|_top|&gt;JFB&lt;/a&gt;</v>
      </c>
      <c r="AF385" s="2" t="str">
        <f t="shared" si="1538"/>
        <v>&lt;/li&gt;&lt;li&gt;&lt;a href=|http://kjt.biblecommenter.com/2_chronicles/18.htm| title=|King James Translators' Notes| target=|_top|&gt;KJT&lt;/a&gt;</v>
      </c>
      <c r="AG385" s="2" t="str">
        <f t="shared" si="1538"/>
        <v>&lt;/li&gt;&lt;li&gt;&lt;a href=|http://mhc.biblecommenter.com/2_chronicles/18.htm| title=|Matthew Henry's Concise Commentary| target=|_top|&gt;MHC&lt;/a&gt;</v>
      </c>
      <c r="AH385" s="2" t="str">
        <f t="shared" si="1538"/>
        <v>&lt;/li&gt;&lt;li&gt;&lt;a href=|http://sco.biblecommenter.com/2_chronicles/18.htm| title=|Scofield Reference Notes| target=|_top|&gt;SCO&lt;/a&gt;</v>
      </c>
      <c r="AI385" s="2" t="str">
        <f t="shared" si="1538"/>
        <v>&lt;/li&gt;&lt;li&gt;&lt;a href=|http://wes.biblecommenter.com/2_chronicles/18.htm| title=|Wesley's Notes on the Bible| target=|_top|&gt;WES&lt;/a&gt;</v>
      </c>
      <c r="AJ385" t="str">
        <f t="shared" si="1538"/>
        <v>&lt;/li&gt;&lt;li&gt;&lt;a href=|http://worldebible.com/2_chronicles/18.htm| title=|World English Bible| target=|_top|&gt;WEB&lt;/a&gt;</v>
      </c>
      <c r="AK385" t="str">
        <f t="shared" si="1538"/>
        <v>&lt;/li&gt;&lt;li&gt;&lt;a href=|http://yltbible.com/2_chronicles/18.htm| title=|Young's Literal Translation| target=|_top|&gt;YLT&lt;/a&gt;</v>
      </c>
      <c r="AL385" t="str">
        <f>CONCATENATE("&lt;a href=|http://",AL1191,"/2_chronicles/18.htm","| ","title=|",AL1190,"| target=|_top|&gt;",AL1192,"&lt;/a&gt;")</f>
        <v>&lt;a href=|http://kjv.us/2_chronicles/18.htm| title=|American King James Version| target=|_top|&gt;AKJ&lt;/a&gt;</v>
      </c>
      <c r="AM385" t="str">
        <f t="shared" ref="AM385:AN385" si="1539">CONCATENATE("&lt;/li&gt;&lt;li&gt;&lt;a href=|http://",AM1191,"/2_chronicles/18.htm","| ","title=|",AM1190,"| target=|_top|&gt;",AM1192,"&lt;/a&gt;")</f>
        <v>&lt;/li&gt;&lt;li&gt;&lt;a href=|http://basicenglishbible.com/2_chronicles/18.htm| title=|Bible in Basic English| target=|_top|&gt;BBE&lt;/a&gt;</v>
      </c>
      <c r="AN385" t="str">
        <f t="shared" si="1539"/>
        <v>&lt;/li&gt;&lt;li&gt;&lt;a href=|http://darbybible.com/2_chronicles/18.htm| title=|Darby Bible Translation| target=|_top|&gt;DBY&lt;/a&gt;</v>
      </c>
      <c r="AO38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8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8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85" t="str">
        <f>CONCATENATE("&lt;/li&gt;&lt;li&gt;&lt;a href=|http://",AR1191,"/2_chronicles/18.htm","| ","title=|",AR1190,"| target=|_top|&gt;",AR1192,"&lt;/a&gt;")</f>
        <v>&lt;/li&gt;&lt;li&gt;&lt;a href=|http://websterbible.com/2_chronicles/18.htm| title=|Webster's Bible Translation| target=|_top|&gt;WBS&lt;/a&gt;</v>
      </c>
      <c r="AS38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85" t="str">
        <f>CONCATENATE("&lt;/li&gt;&lt;li&gt;&lt;a href=|http://",AT1191,"/2_chronicles/18-1.htm","| ","title=|",AT1190,"| target=|_top|&gt;",AT1192,"&lt;/a&gt;")</f>
        <v>&lt;/li&gt;&lt;li&gt;&lt;a href=|http://biblebrowser.com/2_chronicles/18-1.htm| title=|Split View| target=|_top|&gt;Split&lt;/a&gt;</v>
      </c>
      <c r="AU385" s="2" t="s">
        <v>1276</v>
      </c>
      <c r="AV385" t="s">
        <v>64</v>
      </c>
    </row>
    <row r="386" spans="1:48">
      <c r="A386" t="s">
        <v>622</v>
      </c>
      <c r="B386" t="s">
        <v>439</v>
      </c>
      <c r="C386" t="s">
        <v>624</v>
      </c>
      <c r="D386" t="s">
        <v>1268</v>
      </c>
      <c r="E386" t="s">
        <v>1277</v>
      </c>
      <c r="F386" t="s">
        <v>1304</v>
      </c>
      <c r="G386" t="s">
        <v>1266</v>
      </c>
      <c r="H386" t="s">
        <v>1305</v>
      </c>
      <c r="I386" t="s">
        <v>1303</v>
      </c>
      <c r="J386" t="s">
        <v>1267</v>
      </c>
      <c r="K386" t="s">
        <v>1275</v>
      </c>
      <c r="L386" s="2" t="s">
        <v>1274</v>
      </c>
      <c r="M386" t="str">
        <f t="shared" ref="M386:AB386" si="1540">CONCATENATE("&lt;/li&gt;&lt;li&gt;&lt;a href=|http://",M1191,"/2_chronicles/19.htm","| ","title=|",M1190,"| target=|_top|&gt;",M1192,"&lt;/a&gt;")</f>
        <v>&lt;/li&gt;&lt;li&gt;&lt;a href=|http://niv.scripturetext.com/2_chronicles/19.htm| title=|New International Version| target=|_top|&gt;NIV&lt;/a&gt;</v>
      </c>
      <c r="N386" t="str">
        <f t="shared" si="1540"/>
        <v>&lt;/li&gt;&lt;li&gt;&lt;a href=|http://nlt.scripturetext.com/2_chronicles/19.htm| title=|New Living Translation| target=|_top|&gt;NLT&lt;/a&gt;</v>
      </c>
      <c r="O386" t="str">
        <f t="shared" si="1540"/>
        <v>&lt;/li&gt;&lt;li&gt;&lt;a href=|http://nasb.scripturetext.com/2_chronicles/19.htm| title=|New American Standard Bible| target=|_top|&gt;NAS&lt;/a&gt;</v>
      </c>
      <c r="P386" t="str">
        <f t="shared" si="1540"/>
        <v>&lt;/li&gt;&lt;li&gt;&lt;a href=|http://gwt.scripturetext.com/2_chronicles/19.htm| title=|God's Word Translation| target=|_top|&gt;GWT&lt;/a&gt;</v>
      </c>
      <c r="Q386" t="str">
        <f t="shared" si="1540"/>
        <v>&lt;/li&gt;&lt;li&gt;&lt;a href=|http://kingjbible.com/2_chronicles/19.htm| title=|King James Bible| target=|_top|&gt;KJV&lt;/a&gt;</v>
      </c>
      <c r="R386" t="str">
        <f t="shared" si="1540"/>
        <v>&lt;/li&gt;&lt;li&gt;&lt;a href=|http://asvbible.com/2_chronicles/19.htm| title=|American Standard Version| target=|_top|&gt;ASV&lt;/a&gt;</v>
      </c>
      <c r="S386" t="str">
        <f t="shared" si="1540"/>
        <v>&lt;/li&gt;&lt;li&gt;&lt;a href=|http://drb.scripturetext.com/2_chronicles/19.htm| title=|Douay-Rheims Bible| target=|_top|&gt;DRB&lt;/a&gt;</v>
      </c>
      <c r="T386" t="str">
        <f t="shared" si="1540"/>
        <v>&lt;/li&gt;&lt;li&gt;&lt;a href=|http://erv.scripturetext.com/2_chronicles/19.htm| title=|English Revised Version| target=|_top|&gt;ERV&lt;/a&gt;</v>
      </c>
      <c r="V386" t="str">
        <f>CONCATENATE("&lt;/li&gt;&lt;li&gt;&lt;a href=|http://",V1191,"/2_chronicles/19.htm","| ","title=|",V1190,"| target=|_top|&gt;",V1192,"&lt;/a&gt;")</f>
        <v>&lt;/li&gt;&lt;li&gt;&lt;a href=|http://study.interlinearbible.org/2_chronicles/19.htm| title=|Hebrew Study Bible| target=|_top|&gt;Heb Study&lt;/a&gt;</v>
      </c>
      <c r="W386" t="str">
        <f t="shared" si="1540"/>
        <v>&lt;/li&gt;&lt;li&gt;&lt;a href=|http://apostolic.interlinearbible.org/2_chronicles/19.htm| title=|Apostolic Bible Polyglot Interlinear| target=|_top|&gt;Polyglot&lt;/a&gt;</v>
      </c>
      <c r="X386" t="str">
        <f t="shared" si="1540"/>
        <v>&lt;/li&gt;&lt;li&gt;&lt;a href=|http://interlinearbible.org/2_chronicles/19.htm| title=|Interlinear Bible| target=|_top|&gt;Interlin&lt;/a&gt;</v>
      </c>
      <c r="Y386" t="str">
        <f t="shared" ref="Y386" si="1541">CONCATENATE("&lt;/li&gt;&lt;li&gt;&lt;a href=|http://",Y1191,"/2_chronicles/19.htm","| ","title=|",Y1190,"| target=|_top|&gt;",Y1192,"&lt;/a&gt;")</f>
        <v>&lt;/li&gt;&lt;li&gt;&lt;a href=|http://bibleoutline.org/2_chronicles/19.htm| title=|Outline with People and Places List| target=|_top|&gt;Outline&lt;/a&gt;</v>
      </c>
      <c r="Z386" t="str">
        <f t="shared" si="1540"/>
        <v>&lt;/li&gt;&lt;li&gt;&lt;a href=|http://kjvs.scripturetext.com/2_chronicles/19.htm| title=|King James Bible with Strong's Numbers| target=|_top|&gt;Strong's&lt;/a&gt;</v>
      </c>
      <c r="AA386" t="str">
        <f t="shared" si="1540"/>
        <v>&lt;/li&gt;&lt;li&gt;&lt;a href=|http://childrensbibleonline.com/2_chronicles/19.htm| title=|The Children's Bible| target=|_top|&gt;Children's&lt;/a&gt;</v>
      </c>
      <c r="AB386" s="2" t="str">
        <f t="shared" si="1540"/>
        <v>&lt;/li&gt;&lt;li&gt;&lt;a href=|http://tsk.scripturetext.com/2_chronicles/19.htm| title=|Treasury of Scripture Knowledge| target=|_top|&gt;TSK&lt;/a&gt;</v>
      </c>
      <c r="AC386" t="str">
        <f>CONCATENATE("&lt;a href=|http://",AC1191,"/2_chronicles/19.htm","| ","title=|",AC1190,"| target=|_top|&gt;",AC1192,"&lt;/a&gt;")</f>
        <v>&lt;a href=|http://parallelbible.com/2_chronicles/19.htm| title=|Parallel Chapters| target=|_top|&gt;PAR&lt;/a&gt;</v>
      </c>
      <c r="AD386" s="2" t="str">
        <f t="shared" ref="AD386:AK386" si="1542">CONCATENATE("&lt;/li&gt;&lt;li&gt;&lt;a href=|http://",AD1191,"/2_chronicles/19.htm","| ","title=|",AD1190,"| target=|_top|&gt;",AD1192,"&lt;/a&gt;")</f>
        <v>&lt;/li&gt;&lt;li&gt;&lt;a href=|http://gsb.biblecommenter.com/2_chronicles/19.htm| title=|Geneva Study Bible| target=|_top|&gt;GSB&lt;/a&gt;</v>
      </c>
      <c r="AE386" s="2" t="str">
        <f t="shared" si="1542"/>
        <v>&lt;/li&gt;&lt;li&gt;&lt;a href=|http://jfb.biblecommenter.com/2_chronicles/19.htm| title=|Jamieson-Fausset-Brown Bible Commentary| target=|_top|&gt;JFB&lt;/a&gt;</v>
      </c>
      <c r="AF386" s="2" t="str">
        <f t="shared" si="1542"/>
        <v>&lt;/li&gt;&lt;li&gt;&lt;a href=|http://kjt.biblecommenter.com/2_chronicles/19.htm| title=|King James Translators' Notes| target=|_top|&gt;KJT&lt;/a&gt;</v>
      </c>
      <c r="AG386" s="2" t="str">
        <f t="shared" si="1542"/>
        <v>&lt;/li&gt;&lt;li&gt;&lt;a href=|http://mhc.biblecommenter.com/2_chronicles/19.htm| title=|Matthew Henry's Concise Commentary| target=|_top|&gt;MHC&lt;/a&gt;</v>
      </c>
      <c r="AH386" s="2" t="str">
        <f t="shared" si="1542"/>
        <v>&lt;/li&gt;&lt;li&gt;&lt;a href=|http://sco.biblecommenter.com/2_chronicles/19.htm| title=|Scofield Reference Notes| target=|_top|&gt;SCO&lt;/a&gt;</v>
      </c>
      <c r="AI386" s="2" t="str">
        <f t="shared" si="1542"/>
        <v>&lt;/li&gt;&lt;li&gt;&lt;a href=|http://wes.biblecommenter.com/2_chronicles/19.htm| title=|Wesley's Notes on the Bible| target=|_top|&gt;WES&lt;/a&gt;</v>
      </c>
      <c r="AJ386" t="str">
        <f t="shared" si="1542"/>
        <v>&lt;/li&gt;&lt;li&gt;&lt;a href=|http://worldebible.com/2_chronicles/19.htm| title=|World English Bible| target=|_top|&gt;WEB&lt;/a&gt;</v>
      </c>
      <c r="AK386" t="str">
        <f t="shared" si="1542"/>
        <v>&lt;/li&gt;&lt;li&gt;&lt;a href=|http://yltbible.com/2_chronicles/19.htm| title=|Young's Literal Translation| target=|_top|&gt;YLT&lt;/a&gt;</v>
      </c>
      <c r="AL386" t="str">
        <f>CONCATENATE("&lt;a href=|http://",AL1191,"/2_chronicles/19.htm","| ","title=|",AL1190,"| target=|_top|&gt;",AL1192,"&lt;/a&gt;")</f>
        <v>&lt;a href=|http://kjv.us/2_chronicles/19.htm| title=|American King James Version| target=|_top|&gt;AKJ&lt;/a&gt;</v>
      </c>
      <c r="AM386" t="str">
        <f t="shared" ref="AM386:AN386" si="1543">CONCATENATE("&lt;/li&gt;&lt;li&gt;&lt;a href=|http://",AM1191,"/2_chronicles/19.htm","| ","title=|",AM1190,"| target=|_top|&gt;",AM1192,"&lt;/a&gt;")</f>
        <v>&lt;/li&gt;&lt;li&gt;&lt;a href=|http://basicenglishbible.com/2_chronicles/19.htm| title=|Bible in Basic English| target=|_top|&gt;BBE&lt;/a&gt;</v>
      </c>
      <c r="AN386" t="str">
        <f t="shared" si="1543"/>
        <v>&lt;/li&gt;&lt;li&gt;&lt;a href=|http://darbybible.com/2_chronicles/19.htm| title=|Darby Bible Translation| target=|_top|&gt;DBY&lt;/a&gt;</v>
      </c>
      <c r="AO38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8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8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86" t="str">
        <f>CONCATENATE("&lt;/li&gt;&lt;li&gt;&lt;a href=|http://",AR1191,"/2_chronicles/19.htm","| ","title=|",AR1190,"| target=|_top|&gt;",AR1192,"&lt;/a&gt;")</f>
        <v>&lt;/li&gt;&lt;li&gt;&lt;a href=|http://websterbible.com/2_chronicles/19.htm| title=|Webster's Bible Translation| target=|_top|&gt;WBS&lt;/a&gt;</v>
      </c>
      <c r="AS38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86" t="str">
        <f>CONCATENATE("&lt;/li&gt;&lt;li&gt;&lt;a href=|http://",AT1191,"/2_chronicles/19-1.htm","| ","title=|",AT1190,"| target=|_top|&gt;",AT1192,"&lt;/a&gt;")</f>
        <v>&lt;/li&gt;&lt;li&gt;&lt;a href=|http://biblebrowser.com/2_chronicles/19-1.htm| title=|Split View| target=|_top|&gt;Split&lt;/a&gt;</v>
      </c>
      <c r="AU386" s="2" t="s">
        <v>1276</v>
      </c>
      <c r="AV386" t="s">
        <v>64</v>
      </c>
    </row>
    <row r="387" spans="1:48">
      <c r="A387" t="s">
        <v>622</v>
      </c>
      <c r="B387" t="s">
        <v>440</v>
      </c>
      <c r="C387" t="s">
        <v>624</v>
      </c>
      <c r="D387" t="s">
        <v>1268</v>
      </c>
      <c r="E387" t="s">
        <v>1277</v>
      </c>
      <c r="F387" t="s">
        <v>1304</v>
      </c>
      <c r="G387" t="s">
        <v>1266</v>
      </c>
      <c r="H387" t="s">
        <v>1305</v>
      </c>
      <c r="I387" t="s">
        <v>1303</v>
      </c>
      <c r="J387" t="s">
        <v>1267</v>
      </c>
      <c r="K387" t="s">
        <v>1275</v>
      </c>
      <c r="L387" s="2" t="s">
        <v>1274</v>
      </c>
      <c r="M387" t="str">
        <f t="shared" ref="M387:AB387" si="1544">CONCATENATE("&lt;/li&gt;&lt;li&gt;&lt;a href=|http://",M1191,"/2_chronicles/20.htm","| ","title=|",M1190,"| target=|_top|&gt;",M1192,"&lt;/a&gt;")</f>
        <v>&lt;/li&gt;&lt;li&gt;&lt;a href=|http://niv.scripturetext.com/2_chronicles/20.htm| title=|New International Version| target=|_top|&gt;NIV&lt;/a&gt;</v>
      </c>
      <c r="N387" t="str">
        <f t="shared" si="1544"/>
        <v>&lt;/li&gt;&lt;li&gt;&lt;a href=|http://nlt.scripturetext.com/2_chronicles/20.htm| title=|New Living Translation| target=|_top|&gt;NLT&lt;/a&gt;</v>
      </c>
      <c r="O387" t="str">
        <f t="shared" si="1544"/>
        <v>&lt;/li&gt;&lt;li&gt;&lt;a href=|http://nasb.scripturetext.com/2_chronicles/20.htm| title=|New American Standard Bible| target=|_top|&gt;NAS&lt;/a&gt;</v>
      </c>
      <c r="P387" t="str">
        <f t="shared" si="1544"/>
        <v>&lt;/li&gt;&lt;li&gt;&lt;a href=|http://gwt.scripturetext.com/2_chronicles/20.htm| title=|God's Word Translation| target=|_top|&gt;GWT&lt;/a&gt;</v>
      </c>
      <c r="Q387" t="str">
        <f t="shared" si="1544"/>
        <v>&lt;/li&gt;&lt;li&gt;&lt;a href=|http://kingjbible.com/2_chronicles/20.htm| title=|King James Bible| target=|_top|&gt;KJV&lt;/a&gt;</v>
      </c>
      <c r="R387" t="str">
        <f t="shared" si="1544"/>
        <v>&lt;/li&gt;&lt;li&gt;&lt;a href=|http://asvbible.com/2_chronicles/20.htm| title=|American Standard Version| target=|_top|&gt;ASV&lt;/a&gt;</v>
      </c>
      <c r="S387" t="str">
        <f t="shared" si="1544"/>
        <v>&lt;/li&gt;&lt;li&gt;&lt;a href=|http://drb.scripturetext.com/2_chronicles/20.htm| title=|Douay-Rheims Bible| target=|_top|&gt;DRB&lt;/a&gt;</v>
      </c>
      <c r="T387" t="str">
        <f t="shared" si="1544"/>
        <v>&lt;/li&gt;&lt;li&gt;&lt;a href=|http://erv.scripturetext.com/2_chronicles/20.htm| title=|English Revised Version| target=|_top|&gt;ERV&lt;/a&gt;</v>
      </c>
      <c r="V387" t="str">
        <f>CONCATENATE("&lt;/li&gt;&lt;li&gt;&lt;a href=|http://",V1191,"/2_chronicles/20.htm","| ","title=|",V1190,"| target=|_top|&gt;",V1192,"&lt;/a&gt;")</f>
        <v>&lt;/li&gt;&lt;li&gt;&lt;a href=|http://study.interlinearbible.org/2_chronicles/20.htm| title=|Hebrew Study Bible| target=|_top|&gt;Heb Study&lt;/a&gt;</v>
      </c>
      <c r="W387" t="str">
        <f t="shared" si="1544"/>
        <v>&lt;/li&gt;&lt;li&gt;&lt;a href=|http://apostolic.interlinearbible.org/2_chronicles/20.htm| title=|Apostolic Bible Polyglot Interlinear| target=|_top|&gt;Polyglot&lt;/a&gt;</v>
      </c>
      <c r="X387" t="str">
        <f t="shared" si="1544"/>
        <v>&lt;/li&gt;&lt;li&gt;&lt;a href=|http://interlinearbible.org/2_chronicles/20.htm| title=|Interlinear Bible| target=|_top|&gt;Interlin&lt;/a&gt;</v>
      </c>
      <c r="Y387" t="str">
        <f t="shared" ref="Y387" si="1545">CONCATENATE("&lt;/li&gt;&lt;li&gt;&lt;a href=|http://",Y1191,"/2_chronicles/20.htm","| ","title=|",Y1190,"| target=|_top|&gt;",Y1192,"&lt;/a&gt;")</f>
        <v>&lt;/li&gt;&lt;li&gt;&lt;a href=|http://bibleoutline.org/2_chronicles/20.htm| title=|Outline with People and Places List| target=|_top|&gt;Outline&lt;/a&gt;</v>
      </c>
      <c r="Z387" t="str">
        <f t="shared" si="1544"/>
        <v>&lt;/li&gt;&lt;li&gt;&lt;a href=|http://kjvs.scripturetext.com/2_chronicles/20.htm| title=|King James Bible with Strong's Numbers| target=|_top|&gt;Strong's&lt;/a&gt;</v>
      </c>
      <c r="AA387" t="str">
        <f t="shared" si="1544"/>
        <v>&lt;/li&gt;&lt;li&gt;&lt;a href=|http://childrensbibleonline.com/2_chronicles/20.htm| title=|The Children's Bible| target=|_top|&gt;Children's&lt;/a&gt;</v>
      </c>
      <c r="AB387" s="2" t="str">
        <f t="shared" si="1544"/>
        <v>&lt;/li&gt;&lt;li&gt;&lt;a href=|http://tsk.scripturetext.com/2_chronicles/20.htm| title=|Treasury of Scripture Knowledge| target=|_top|&gt;TSK&lt;/a&gt;</v>
      </c>
      <c r="AC387" t="str">
        <f>CONCATENATE("&lt;a href=|http://",AC1191,"/2_chronicles/20.htm","| ","title=|",AC1190,"| target=|_top|&gt;",AC1192,"&lt;/a&gt;")</f>
        <v>&lt;a href=|http://parallelbible.com/2_chronicles/20.htm| title=|Parallel Chapters| target=|_top|&gt;PAR&lt;/a&gt;</v>
      </c>
      <c r="AD387" s="2" t="str">
        <f t="shared" ref="AD387:AK387" si="1546">CONCATENATE("&lt;/li&gt;&lt;li&gt;&lt;a href=|http://",AD1191,"/2_chronicles/20.htm","| ","title=|",AD1190,"| target=|_top|&gt;",AD1192,"&lt;/a&gt;")</f>
        <v>&lt;/li&gt;&lt;li&gt;&lt;a href=|http://gsb.biblecommenter.com/2_chronicles/20.htm| title=|Geneva Study Bible| target=|_top|&gt;GSB&lt;/a&gt;</v>
      </c>
      <c r="AE387" s="2" t="str">
        <f t="shared" si="1546"/>
        <v>&lt;/li&gt;&lt;li&gt;&lt;a href=|http://jfb.biblecommenter.com/2_chronicles/20.htm| title=|Jamieson-Fausset-Brown Bible Commentary| target=|_top|&gt;JFB&lt;/a&gt;</v>
      </c>
      <c r="AF387" s="2" t="str">
        <f t="shared" si="1546"/>
        <v>&lt;/li&gt;&lt;li&gt;&lt;a href=|http://kjt.biblecommenter.com/2_chronicles/20.htm| title=|King James Translators' Notes| target=|_top|&gt;KJT&lt;/a&gt;</v>
      </c>
      <c r="AG387" s="2" t="str">
        <f t="shared" si="1546"/>
        <v>&lt;/li&gt;&lt;li&gt;&lt;a href=|http://mhc.biblecommenter.com/2_chronicles/20.htm| title=|Matthew Henry's Concise Commentary| target=|_top|&gt;MHC&lt;/a&gt;</v>
      </c>
      <c r="AH387" s="2" t="str">
        <f t="shared" si="1546"/>
        <v>&lt;/li&gt;&lt;li&gt;&lt;a href=|http://sco.biblecommenter.com/2_chronicles/20.htm| title=|Scofield Reference Notes| target=|_top|&gt;SCO&lt;/a&gt;</v>
      </c>
      <c r="AI387" s="2" t="str">
        <f t="shared" si="1546"/>
        <v>&lt;/li&gt;&lt;li&gt;&lt;a href=|http://wes.biblecommenter.com/2_chronicles/20.htm| title=|Wesley's Notes on the Bible| target=|_top|&gt;WES&lt;/a&gt;</v>
      </c>
      <c r="AJ387" t="str">
        <f t="shared" si="1546"/>
        <v>&lt;/li&gt;&lt;li&gt;&lt;a href=|http://worldebible.com/2_chronicles/20.htm| title=|World English Bible| target=|_top|&gt;WEB&lt;/a&gt;</v>
      </c>
      <c r="AK387" t="str">
        <f t="shared" si="1546"/>
        <v>&lt;/li&gt;&lt;li&gt;&lt;a href=|http://yltbible.com/2_chronicles/20.htm| title=|Young's Literal Translation| target=|_top|&gt;YLT&lt;/a&gt;</v>
      </c>
      <c r="AL387" t="str">
        <f>CONCATENATE("&lt;a href=|http://",AL1191,"/2_chronicles/20.htm","| ","title=|",AL1190,"| target=|_top|&gt;",AL1192,"&lt;/a&gt;")</f>
        <v>&lt;a href=|http://kjv.us/2_chronicles/20.htm| title=|American King James Version| target=|_top|&gt;AKJ&lt;/a&gt;</v>
      </c>
      <c r="AM387" t="str">
        <f t="shared" ref="AM387:AN387" si="1547">CONCATENATE("&lt;/li&gt;&lt;li&gt;&lt;a href=|http://",AM1191,"/2_chronicles/20.htm","| ","title=|",AM1190,"| target=|_top|&gt;",AM1192,"&lt;/a&gt;")</f>
        <v>&lt;/li&gt;&lt;li&gt;&lt;a href=|http://basicenglishbible.com/2_chronicles/20.htm| title=|Bible in Basic English| target=|_top|&gt;BBE&lt;/a&gt;</v>
      </c>
      <c r="AN387" t="str">
        <f t="shared" si="1547"/>
        <v>&lt;/li&gt;&lt;li&gt;&lt;a href=|http://darbybible.com/2_chronicles/20.htm| title=|Darby Bible Translation| target=|_top|&gt;DBY&lt;/a&gt;</v>
      </c>
      <c r="AO38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8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8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87" t="str">
        <f>CONCATENATE("&lt;/li&gt;&lt;li&gt;&lt;a href=|http://",AR1191,"/2_chronicles/20.htm","| ","title=|",AR1190,"| target=|_top|&gt;",AR1192,"&lt;/a&gt;")</f>
        <v>&lt;/li&gt;&lt;li&gt;&lt;a href=|http://websterbible.com/2_chronicles/20.htm| title=|Webster's Bible Translation| target=|_top|&gt;WBS&lt;/a&gt;</v>
      </c>
      <c r="AS38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87" t="str">
        <f>CONCATENATE("&lt;/li&gt;&lt;li&gt;&lt;a href=|http://",AT1191,"/2_chronicles/20-1.htm","| ","title=|",AT1190,"| target=|_top|&gt;",AT1192,"&lt;/a&gt;")</f>
        <v>&lt;/li&gt;&lt;li&gt;&lt;a href=|http://biblebrowser.com/2_chronicles/20-1.htm| title=|Split View| target=|_top|&gt;Split&lt;/a&gt;</v>
      </c>
      <c r="AU387" s="2" t="s">
        <v>1276</v>
      </c>
      <c r="AV387" t="s">
        <v>64</v>
      </c>
    </row>
    <row r="388" spans="1:48">
      <c r="A388" t="s">
        <v>622</v>
      </c>
      <c r="B388" t="s">
        <v>441</v>
      </c>
      <c r="C388" t="s">
        <v>624</v>
      </c>
      <c r="D388" t="s">
        <v>1268</v>
      </c>
      <c r="E388" t="s">
        <v>1277</v>
      </c>
      <c r="F388" t="s">
        <v>1304</v>
      </c>
      <c r="G388" t="s">
        <v>1266</v>
      </c>
      <c r="H388" t="s">
        <v>1305</v>
      </c>
      <c r="I388" t="s">
        <v>1303</v>
      </c>
      <c r="J388" t="s">
        <v>1267</v>
      </c>
      <c r="K388" t="s">
        <v>1275</v>
      </c>
      <c r="L388" s="2" t="s">
        <v>1274</v>
      </c>
      <c r="M388" t="str">
        <f t="shared" ref="M388:AB388" si="1548">CONCATENATE("&lt;/li&gt;&lt;li&gt;&lt;a href=|http://",M1191,"/2_chronicles/21.htm","| ","title=|",M1190,"| target=|_top|&gt;",M1192,"&lt;/a&gt;")</f>
        <v>&lt;/li&gt;&lt;li&gt;&lt;a href=|http://niv.scripturetext.com/2_chronicles/21.htm| title=|New International Version| target=|_top|&gt;NIV&lt;/a&gt;</v>
      </c>
      <c r="N388" t="str">
        <f t="shared" si="1548"/>
        <v>&lt;/li&gt;&lt;li&gt;&lt;a href=|http://nlt.scripturetext.com/2_chronicles/21.htm| title=|New Living Translation| target=|_top|&gt;NLT&lt;/a&gt;</v>
      </c>
      <c r="O388" t="str">
        <f t="shared" si="1548"/>
        <v>&lt;/li&gt;&lt;li&gt;&lt;a href=|http://nasb.scripturetext.com/2_chronicles/21.htm| title=|New American Standard Bible| target=|_top|&gt;NAS&lt;/a&gt;</v>
      </c>
      <c r="P388" t="str">
        <f t="shared" si="1548"/>
        <v>&lt;/li&gt;&lt;li&gt;&lt;a href=|http://gwt.scripturetext.com/2_chronicles/21.htm| title=|God's Word Translation| target=|_top|&gt;GWT&lt;/a&gt;</v>
      </c>
      <c r="Q388" t="str">
        <f t="shared" si="1548"/>
        <v>&lt;/li&gt;&lt;li&gt;&lt;a href=|http://kingjbible.com/2_chronicles/21.htm| title=|King James Bible| target=|_top|&gt;KJV&lt;/a&gt;</v>
      </c>
      <c r="R388" t="str">
        <f t="shared" si="1548"/>
        <v>&lt;/li&gt;&lt;li&gt;&lt;a href=|http://asvbible.com/2_chronicles/21.htm| title=|American Standard Version| target=|_top|&gt;ASV&lt;/a&gt;</v>
      </c>
      <c r="S388" t="str">
        <f t="shared" si="1548"/>
        <v>&lt;/li&gt;&lt;li&gt;&lt;a href=|http://drb.scripturetext.com/2_chronicles/21.htm| title=|Douay-Rheims Bible| target=|_top|&gt;DRB&lt;/a&gt;</v>
      </c>
      <c r="T388" t="str">
        <f t="shared" si="1548"/>
        <v>&lt;/li&gt;&lt;li&gt;&lt;a href=|http://erv.scripturetext.com/2_chronicles/21.htm| title=|English Revised Version| target=|_top|&gt;ERV&lt;/a&gt;</v>
      </c>
      <c r="V388" t="str">
        <f>CONCATENATE("&lt;/li&gt;&lt;li&gt;&lt;a href=|http://",V1191,"/2_chronicles/21.htm","| ","title=|",V1190,"| target=|_top|&gt;",V1192,"&lt;/a&gt;")</f>
        <v>&lt;/li&gt;&lt;li&gt;&lt;a href=|http://study.interlinearbible.org/2_chronicles/21.htm| title=|Hebrew Study Bible| target=|_top|&gt;Heb Study&lt;/a&gt;</v>
      </c>
      <c r="W388" t="str">
        <f t="shared" si="1548"/>
        <v>&lt;/li&gt;&lt;li&gt;&lt;a href=|http://apostolic.interlinearbible.org/2_chronicles/21.htm| title=|Apostolic Bible Polyglot Interlinear| target=|_top|&gt;Polyglot&lt;/a&gt;</v>
      </c>
      <c r="X388" t="str">
        <f t="shared" si="1548"/>
        <v>&lt;/li&gt;&lt;li&gt;&lt;a href=|http://interlinearbible.org/2_chronicles/21.htm| title=|Interlinear Bible| target=|_top|&gt;Interlin&lt;/a&gt;</v>
      </c>
      <c r="Y388" t="str">
        <f t="shared" ref="Y388" si="1549">CONCATENATE("&lt;/li&gt;&lt;li&gt;&lt;a href=|http://",Y1191,"/2_chronicles/21.htm","| ","title=|",Y1190,"| target=|_top|&gt;",Y1192,"&lt;/a&gt;")</f>
        <v>&lt;/li&gt;&lt;li&gt;&lt;a href=|http://bibleoutline.org/2_chronicles/21.htm| title=|Outline with People and Places List| target=|_top|&gt;Outline&lt;/a&gt;</v>
      </c>
      <c r="Z388" t="str">
        <f t="shared" si="1548"/>
        <v>&lt;/li&gt;&lt;li&gt;&lt;a href=|http://kjvs.scripturetext.com/2_chronicles/21.htm| title=|King James Bible with Strong's Numbers| target=|_top|&gt;Strong's&lt;/a&gt;</v>
      </c>
      <c r="AA388" t="str">
        <f t="shared" si="1548"/>
        <v>&lt;/li&gt;&lt;li&gt;&lt;a href=|http://childrensbibleonline.com/2_chronicles/21.htm| title=|The Children's Bible| target=|_top|&gt;Children's&lt;/a&gt;</v>
      </c>
      <c r="AB388" s="2" t="str">
        <f t="shared" si="1548"/>
        <v>&lt;/li&gt;&lt;li&gt;&lt;a href=|http://tsk.scripturetext.com/2_chronicles/21.htm| title=|Treasury of Scripture Knowledge| target=|_top|&gt;TSK&lt;/a&gt;</v>
      </c>
      <c r="AC388" t="str">
        <f>CONCATENATE("&lt;a href=|http://",AC1191,"/2_chronicles/21.htm","| ","title=|",AC1190,"| target=|_top|&gt;",AC1192,"&lt;/a&gt;")</f>
        <v>&lt;a href=|http://parallelbible.com/2_chronicles/21.htm| title=|Parallel Chapters| target=|_top|&gt;PAR&lt;/a&gt;</v>
      </c>
      <c r="AD388" s="2" t="str">
        <f t="shared" ref="AD388:AK388" si="1550">CONCATENATE("&lt;/li&gt;&lt;li&gt;&lt;a href=|http://",AD1191,"/2_chronicles/21.htm","| ","title=|",AD1190,"| target=|_top|&gt;",AD1192,"&lt;/a&gt;")</f>
        <v>&lt;/li&gt;&lt;li&gt;&lt;a href=|http://gsb.biblecommenter.com/2_chronicles/21.htm| title=|Geneva Study Bible| target=|_top|&gt;GSB&lt;/a&gt;</v>
      </c>
      <c r="AE388" s="2" t="str">
        <f t="shared" si="1550"/>
        <v>&lt;/li&gt;&lt;li&gt;&lt;a href=|http://jfb.biblecommenter.com/2_chronicles/21.htm| title=|Jamieson-Fausset-Brown Bible Commentary| target=|_top|&gt;JFB&lt;/a&gt;</v>
      </c>
      <c r="AF388" s="2" t="str">
        <f t="shared" si="1550"/>
        <v>&lt;/li&gt;&lt;li&gt;&lt;a href=|http://kjt.biblecommenter.com/2_chronicles/21.htm| title=|King James Translators' Notes| target=|_top|&gt;KJT&lt;/a&gt;</v>
      </c>
      <c r="AG388" s="2" t="str">
        <f t="shared" si="1550"/>
        <v>&lt;/li&gt;&lt;li&gt;&lt;a href=|http://mhc.biblecommenter.com/2_chronicles/21.htm| title=|Matthew Henry's Concise Commentary| target=|_top|&gt;MHC&lt;/a&gt;</v>
      </c>
      <c r="AH388" s="2" t="str">
        <f t="shared" si="1550"/>
        <v>&lt;/li&gt;&lt;li&gt;&lt;a href=|http://sco.biblecommenter.com/2_chronicles/21.htm| title=|Scofield Reference Notes| target=|_top|&gt;SCO&lt;/a&gt;</v>
      </c>
      <c r="AI388" s="2" t="str">
        <f t="shared" si="1550"/>
        <v>&lt;/li&gt;&lt;li&gt;&lt;a href=|http://wes.biblecommenter.com/2_chronicles/21.htm| title=|Wesley's Notes on the Bible| target=|_top|&gt;WES&lt;/a&gt;</v>
      </c>
      <c r="AJ388" t="str">
        <f t="shared" si="1550"/>
        <v>&lt;/li&gt;&lt;li&gt;&lt;a href=|http://worldebible.com/2_chronicles/21.htm| title=|World English Bible| target=|_top|&gt;WEB&lt;/a&gt;</v>
      </c>
      <c r="AK388" t="str">
        <f t="shared" si="1550"/>
        <v>&lt;/li&gt;&lt;li&gt;&lt;a href=|http://yltbible.com/2_chronicles/21.htm| title=|Young's Literal Translation| target=|_top|&gt;YLT&lt;/a&gt;</v>
      </c>
      <c r="AL388" t="str">
        <f>CONCATENATE("&lt;a href=|http://",AL1191,"/2_chronicles/21.htm","| ","title=|",AL1190,"| target=|_top|&gt;",AL1192,"&lt;/a&gt;")</f>
        <v>&lt;a href=|http://kjv.us/2_chronicles/21.htm| title=|American King James Version| target=|_top|&gt;AKJ&lt;/a&gt;</v>
      </c>
      <c r="AM388" t="str">
        <f t="shared" ref="AM388:AN388" si="1551">CONCATENATE("&lt;/li&gt;&lt;li&gt;&lt;a href=|http://",AM1191,"/2_chronicles/21.htm","| ","title=|",AM1190,"| target=|_top|&gt;",AM1192,"&lt;/a&gt;")</f>
        <v>&lt;/li&gt;&lt;li&gt;&lt;a href=|http://basicenglishbible.com/2_chronicles/21.htm| title=|Bible in Basic English| target=|_top|&gt;BBE&lt;/a&gt;</v>
      </c>
      <c r="AN388" t="str">
        <f t="shared" si="1551"/>
        <v>&lt;/li&gt;&lt;li&gt;&lt;a href=|http://darbybible.com/2_chronicles/21.htm| title=|Darby Bible Translation| target=|_top|&gt;DBY&lt;/a&gt;</v>
      </c>
      <c r="AO38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8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8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88" t="str">
        <f>CONCATENATE("&lt;/li&gt;&lt;li&gt;&lt;a href=|http://",AR1191,"/2_chronicles/21.htm","| ","title=|",AR1190,"| target=|_top|&gt;",AR1192,"&lt;/a&gt;")</f>
        <v>&lt;/li&gt;&lt;li&gt;&lt;a href=|http://websterbible.com/2_chronicles/21.htm| title=|Webster's Bible Translation| target=|_top|&gt;WBS&lt;/a&gt;</v>
      </c>
      <c r="AS38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88" t="str">
        <f>CONCATENATE("&lt;/li&gt;&lt;li&gt;&lt;a href=|http://",AT1191,"/2_chronicles/21-1.htm","| ","title=|",AT1190,"| target=|_top|&gt;",AT1192,"&lt;/a&gt;")</f>
        <v>&lt;/li&gt;&lt;li&gt;&lt;a href=|http://biblebrowser.com/2_chronicles/21-1.htm| title=|Split View| target=|_top|&gt;Split&lt;/a&gt;</v>
      </c>
      <c r="AU388" s="2" t="s">
        <v>1276</v>
      </c>
      <c r="AV388" t="s">
        <v>64</v>
      </c>
    </row>
    <row r="389" spans="1:48">
      <c r="A389" t="s">
        <v>622</v>
      </c>
      <c r="B389" t="s">
        <v>442</v>
      </c>
      <c r="C389" t="s">
        <v>624</v>
      </c>
      <c r="D389" t="s">
        <v>1268</v>
      </c>
      <c r="E389" t="s">
        <v>1277</v>
      </c>
      <c r="F389" t="s">
        <v>1304</v>
      </c>
      <c r="G389" t="s">
        <v>1266</v>
      </c>
      <c r="H389" t="s">
        <v>1305</v>
      </c>
      <c r="I389" t="s">
        <v>1303</v>
      </c>
      <c r="J389" t="s">
        <v>1267</v>
      </c>
      <c r="K389" t="s">
        <v>1275</v>
      </c>
      <c r="L389" s="2" t="s">
        <v>1274</v>
      </c>
      <c r="M389" t="str">
        <f t="shared" ref="M389:AB389" si="1552">CONCATENATE("&lt;/li&gt;&lt;li&gt;&lt;a href=|http://",M1191,"/2_chronicles/22.htm","| ","title=|",M1190,"| target=|_top|&gt;",M1192,"&lt;/a&gt;")</f>
        <v>&lt;/li&gt;&lt;li&gt;&lt;a href=|http://niv.scripturetext.com/2_chronicles/22.htm| title=|New International Version| target=|_top|&gt;NIV&lt;/a&gt;</v>
      </c>
      <c r="N389" t="str">
        <f t="shared" si="1552"/>
        <v>&lt;/li&gt;&lt;li&gt;&lt;a href=|http://nlt.scripturetext.com/2_chronicles/22.htm| title=|New Living Translation| target=|_top|&gt;NLT&lt;/a&gt;</v>
      </c>
      <c r="O389" t="str">
        <f t="shared" si="1552"/>
        <v>&lt;/li&gt;&lt;li&gt;&lt;a href=|http://nasb.scripturetext.com/2_chronicles/22.htm| title=|New American Standard Bible| target=|_top|&gt;NAS&lt;/a&gt;</v>
      </c>
      <c r="P389" t="str">
        <f t="shared" si="1552"/>
        <v>&lt;/li&gt;&lt;li&gt;&lt;a href=|http://gwt.scripturetext.com/2_chronicles/22.htm| title=|God's Word Translation| target=|_top|&gt;GWT&lt;/a&gt;</v>
      </c>
      <c r="Q389" t="str">
        <f t="shared" si="1552"/>
        <v>&lt;/li&gt;&lt;li&gt;&lt;a href=|http://kingjbible.com/2_chronicles/22.htm| title=|King James Bible| target=|_top|&gt;KJV&lt;/a&gt;</v>
      </c>
      <c r="R389" t="str">
        <f t="shared" si="1552"/>
        <v>&lt;/li&gt;&lt;li&gt;&lt;a href=|http://asvbible.com/2_chronicles/22.htm| title=|American Standard Version| target=|_top|&gt;ASV&lt;/a&gt;</v>
      </c>
      <c r="S389" t="str">
        <f t="shared" si="1552"/>
        <v>&lt;/li&gt;&lt;li&gt;&lt;a href=|http://drb.scripturetext.com/2_chronicles/22.htm| title=|Douay-Rheims Bible| target=|_top|&gt;DRB&lt;/a&gt;</v>
      </c>
      <c r="T389" t="str">
        <f t="shared" si="1552"/>
        <v>&lt;/li&gt;&lt;li&gt;&lt;a href=|http://erv.scripturetext.com/2_chronicles/22.htm| title=|English Revised Version| target=|_top|&gt;ERV&lt;/a&gt;</v>
      </c>
      <c r="V389" t="str">
        <f>CONCATENATE("&lt;/li&gt;&lt;li&gt;&lt;a href=|http://",V1191,"/2_chronicles/22.htm","| ","title=|",V1190,"| target=|_top|&gt;",V1192,"&lt;/a&gt;")</f>
        <v>&lt;/li&gt;&lt;li&gt;&lt;a href=|http://study.interlinearbible.org/2_chronicles/22.htm| title=|Hebrew Study Bible| target=|_top|&gt;Heb Study&lt;/a&gt;</v>
      </c>
      <c r="W389" t="str">
        <f t="shared" si="1552"/>
        <v>&lt;/li&gt;&lt;li&gt;&lt;a href=|http://apostolic.interlinearbible.org/2_chronicles/22.htm| title=|Apostolic Bible Polyglot Interlinear| target=|_top|&gt;Polyglot&lt;/a&gt;</v>
      </c>
      <c r="X389" t="str">
        <f t="shared" si="1552"/>
        <v>&lt;/li&gt;&lt;li&gt;&lt;a href=|http://interlinearbible.org/2_chronicles/22.htm| title=|Interlinear Bible| target=|_top|&gt;Interlin&lt;/a&gt;</v>
      </c>
      <c r="Y389" t="str">
        <f t="shared" ref="Y389" si="1553">CONCATENATE("&lt;/li&gt;&lt;li&gt;&lt;a href=|http://",Y1191,"/2_chronicles/22.htm","| ","title=|",Y1190,"| target=|_top|&gt;",Y1192,"&lt;/a&gt;")</f>
        <v>&lt;/li&gt;&lt;li&gt;&lt;a href=|http://bibleoutline.org/2_chronicles/22.htm| title=|Outline with People and Places List| target=|_top|&gt;Outline&lt;/a&gt;</v>
      </c>
      <c r="Z389" t="str">
        <f t="shared" si="1552"/>
        <v>&lt;/li&gt;&lt;li&gt;&lt;a href=|http://kjvs.scripturetext.com/2_chronicles/22.htm| title=|King James Bible with Strong's Numbers| target=|_top|&gt;Strong's&lt;/a&gt;</v>
      </c>
      <c r="AA389" t="str">
        <f t="shared" si="1552"/>
        <v>&lt;/li&gt;&lt;li&gt;&lt;a href=|http://childrensbibleonline.com/2_chronicles/22.htm| title=|The Children's Bible| target=|_top|&gt;Children's&lt;/a&gt;</v>
      </c>
      <c r="AB389" s="2" t="str">
        <f t="shared" si="1552"/>
        <v>&lt;/li&gt;&lt;li&gt;&lt;a href=|http://tsk.scripturetext.com/2_chronicles/22.htm| title=|Treasury of Scripture Knowledge| target=|_top|&gt;TSK&lt;/a&gt;</v>
      </c>
      <c r="AC389" t="str">
        <f>CONCATENATE("&lt;a href=|http://",AC1191,"/2_chronicles/22.htm","| ","title=|",AC1190,"| target=|_top|&gt;",AC1192,"&lt;/a&gt;")</f>
        <v>&lt;a href=|http://parallelbible.com/2_chronicles/22.htm| title=|Parallel Chapters| target=|_top|&gt;PAR&lt;/a&gt;</v>
      </c>
      <c r="AD389" s="2" t="str">
        <f t="shared" ref="AD389:AK389" si="1554">CONCATENATE("&lt;/li&gt;&lt;li&gt;&lt;a href=|http://",AD1191,"/2_chronicles/22.htm","| ","title=|",AD1190,"| target=|_top|&gt;",AD1192,"&lt;/a&gt;")</f>
        <v>&lt;/li&gt;&lt;li&gt;&lt;a href=|http://gsb.biblecommenter.com/2_chronicles/22.htm| title=|Geneva Study Bible| target=|_top|&gt;GSB&lt;/a&gt;</v>
      </c>
      <c r="AE389" s="2" t="str">
        <f t="shared" si="1554"/>
        <v>&lt;/li&gt;&lt;li&gt;&lt;a href=|http://jfb.biblecommenter.com/2_chronicles/22.htm| title=|Jamieson-Fausset-Brown Bible Commentary| target=|_top|&gt;JFB&lt;/a&gt;</v>
      </c>
      <c r="AF389" s="2" t="str">
        <f t="shared" si="1554"/>
        <v>&lt;/li&gt;&lt;li&gt;&lt;a href=|http://kjt.biblecommenter.com/2_chronicles/22.htm| title=|King James Translators' Notes| target=|_top|&gt;KJT&lt;/a&gt;</v>
      </c>
      <c r="AG389" s="2" t="str">
        <f t="shared" si="1554"/>
        <v>&lt;/li&gt;&lt;li&gt;&lt;a href=|http://mhc.biblecommenter.com/2_chronicles/22.htm| title=|Matthew Henry's Concise Commentary| target=|_top|&gt;MHC&lt;/a&gt;</v>
      </c>
      <c r="AH389" s="2" t="str">
        <f t="shared" si="1554"/>
        <v>&lt;/li&gt;&lt;li&gt;&lt;a href=|http://sco.biblecommenter.com/2_chronicles/22.htm| title=|Scofield Reference Notes| target=|_top|&gt;SCO&lt;/a&gt;</v>
      </c>
      <c r="AI389" s="2" t="str">
        <f t="shared" si="1554"/>
        <v>&lt;/li&gt;&lt;li&gt;&lt;a href=|http://wes.biblecommenter.com/2_chronicles/22.htm| title=|Wesley's Notes on the Bible| target=|_top|&gt;WES&lt;/a&gt;</v>
      </c>
      <c r="AJ389" t="str">
        <f t="shared" si="1554"/>
        <v>&lt;/li&gt;&lt;li&gt;&lt;a href=|http://worldebible.com/2_chronicles/22.htm| title=|World English Bible| target=|_top|&gt;WEB&lt;/a&gt;</v>
      </c>
      <c r="AK389" t="str">
        <f t="shared" si="1554"/>
        <v>&lt;/li&gt;&lt;li&gt;&lt;a href=|http://yltbible.com/2_chronicles/22.htm| title=|Young's Literal Translation| target=|_top|&gt;YLT&lt;/a&gt;</v>
      </c>
      <c r="AL389" t="str">
        <f>CONCATENATE("&lt;a href=|http://",AL1191,"/2_chronicles/22.htm","| ","title=|",AL1190,"| target=|_top|&gt;",AL1192,"&lt;/a&gt;")</f>
        <v>&lt;a href=|http://kjv.us/2_chronicles/22.htm| title=|American King James Version| target=|_top|&gt;AKJ&lt;/a&gt;</v>
      </c>
      <c r="AM389" t="str">
        <f t="shared" ref="AM389:AN389" si="1555">CONCATENATE("&lt;/li&gt;&lt;li&gt;&lt;a href=|http://",AM1191,"/2_chronicles/22.htm","| ","title=|",AM1190,"| target=|_top|&gt;",AM1192,"&lt;/a&gt;")</f>
        <v>&lt;/li&gt;&lt;li&gt;&lt;a href=|http://basicenglishbible.com/2_chronicles/22.htm| title=|Bible in Basic English| target=|_top|&gt;BBE&lt;/a&gt;</v>
      </c>
      <c r="AN389" t="str">
        <f t="shared" si="1555"/>
        <v>&lt;/li&gt;&lt;li&gt;&lt;a href=|http://darbybible.com/2_chronicles/22.htm| title=|Darby Bible Translation| target=|_top|&gt;DBY&lt;/a&gt;</v>
      </c>
      <c r="AO38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8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8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89" t="str">
        <f>CONCATENATE("&lt;/li&gt;&lt;li&gt;&lt;a href=|http://",AR1191,"/2_chronicles/22.htm","| ","title=|",AR1190,"| target=|_top|&gt;",AR1192,"&lt;/a&gt;")</f>
        <v>&lt;/li&gt;&lt;li&gt;&lt;a href=|http://websterbible.com/2_chronicles/22.htm| title=|Webster's Bible Translation| target=|_top|&gt;WBS&lt;/a&gt;</v>
      </c>
      <c r="AS38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89" t="str">
        <f>CONCATENATE("&lt;/li&gt;&lt;li&gt;&lt;a href=|http://",AT1191,"/2_chronicles/22-1.htm","| ","title=|",AT1190,"| target=|_top|&gt;",AT1192,"&lt;/a&gt;")</f>
        <v>&lt;/li&gt;&lt;li&gt;&lt;a href=|http://biblebrowser.com/2_chronicles/22-1.htm| title=|Split View| target=|_top|&gt;Split&lt;/a&gt;</v>
      </c>
      <c r="AU389" s="2" t="s">
        <v>1276</v>
      </c>
      <c r="AV389" t="s">
        <v>64</v>
      </c>
    </row>
    <row r="390" spans="1:48">
      <c r="A390" t="s">
        <v>622</v>
      </c>
      <c r="B390" t="s">
        <v>443</v>
      </c>
      <c r="C390" t="s">
        <v>624</v>
      </c>
      <c r="D390" t="s">
        <v>1268</v>
      </c>
      <c r="E390" t="s">
        <v>1277</v>
      </c>
      <c r="F390" t="s">
        <v>1304</v>
      </c>
      <c r="G390" t="s">
        <v>1266</v>
      </c>
      <c r="H390" t="s">
        <v>1305</v>
      </c>
      <c r="I390" t="s">
        <v>1303</v>
      </c>
      <c r="J390" t="s">
        <v>1267</v>
      </c>
      <c r="K390" t="s">
        <v>1275</v>
      </c>
      <c r="L390" s="2" t="s">
        <v>1274</v>
      </c>
      <c r="M390" t="str">
        <f t="shared" ref="M390:AB390" si="1556">CONCATENATE("&lt;/li&gt;&lt;li&gt;&lt;a href=|http://",M1191,"/2_chronicles/23.htm","| ","title=|",M1190,"| target=|_top|&gt;",M1192,"&lt;/a&gt;")</f>
        <v>&lt;/li&gt;&lt;li&gt;&lt;a href=|http://niv.scripturetext.com/2_chronicles/23.htm| title=|New International Version| target=|_top|&gt;NIV&lt;/a&gt;</v>
      </c>
      <c r="N390" t="str">
        <f t="shared" si="1556"/>
        <v>&lt;/li&gt;&lt;li&gt;&lt;a href=|http://nlt.scripturetext.com/2_chronicles/23.htm| title=|New Living Translation| target=|_top|&gt;NLT&lt;/a&gt;</v>
      </c>
      <c r="O390" t="str">
        <f t="shared" si="1556"/>
        <v>&lt;/li&gt;&lt;li&gt;&lt;a href=|http://nasb.scripturetext.com/2_chronicles/23.htm| title=|New American Standard Bible| target=|_top|&gt;NAS&lt;/a&gt;</v>
      </c>
      <c r="P390" t="str">
        <f t="shared" si="1556"/>
        <v>&lt;/li&gt;&lt;li&gt;&lt;a href=|http://gwt.scripturetext.com/2_chronicles/23.htm| title=|God's Word Translation| target=|_top|&gt;GWT&lt;/a&gt;</v>
      </c>
      <c r="Q390" t="str">
        <f t="shared" si="1556"/>
        <v>&lt;/li&gt;&lt;li&gt;&lt;a href=|http://kingjbible.com/2_chronicles/23.htm| title=|King James Bible| target=|_top|&gt;KJV&lt;/a&gt;</v>
      </c>
      <c r="R390" t="str">
        <f t="shared" si="1556"/>
        <v>&lt;/li&gt;&lt;li&gt;&lt;a href=|http://asvbible.com/2_chronicles/23.htm| title=|American Standard Version| target=|_top|&gt;ASV&lt;/a&gt;</v>
      </c>
      <c r="S390" t="str">
        <f t="shared" si="1556"/>
        <v>&lt;/li&gt;&lt;li&gt;&lt;a href=|http://drb.scripturetext.com/2_chronicles/23.htm| title=|Douay-Rheims Bible| target=|_top|&gt;DRB&lt;/a&gt;</v>
      </c>
      <c r="T390" t="str">
        <f t="shared" si="1556"/>
        <v>&lt;/li&gt;&lt;li&gt;&lt;a href=|http://erv.scripturetext.com/2_chronicles/23.htm| title=|English Revised Version| target=|_top|&gt;ERV&lt;/a&gt;</v>
      </c>
      <c r="V390" t="str">
        <f>CONCATENATE("&lt;/li&gt;&lt;li&gt;&lt;a href=|http://",V1191,"/2_chronicles/23.htm","| ","title=|",V1190,"| target=|_top|&gt;",V1192,"&lt;/a&gt;")</f>
        <v>&lt;/li&gt;&lt;li&gt;&lt;a href=|http://study.interlinearbible.org/2_chronicles/23.htm| title=|Hebrew Study Bible| target=|_top|&gt;Heb Study&lt;/a&gt;</v>
      </c>
      <c r="W390" t="str">
        <f t="shared" si="1556"/>
        <v>&lt;/li&gt;&lt;li&gt;&lt;a href=|http://apostolic.interlinearbible.org/2_chronicles/23.htm| title=|Apostolic Bible Polyglot Interlinear| target=|_top|&gt;Polyglot&lt;/a&gt;</v>
      </c>
      <c r="X390" t="str">
        <f t="shared" si="1556"/>
        <v>&lt;/li&gt;&lt;li&gt;&lt;a href=|http://interlinearbible.org/2_chronicles/23.htm| title=|Interlinear Bible| target=|_top|&gt;Interlin&lt;/a&gt;</v>
      </c>
      <c r="Y390" t="str">
        <f t="shared" ref="Y390" si="1557">CONCATENATE("&lt;/li&gt;&lt;li&gt;&lt;a href=|http://",Y1191,"/2_chronicles/23.htm","| ","title=|",Y1190,"| target=|_top|&gt;",Y1192,"&lt;/a&gt;")</f>
        <v>&lt;/li&gt;&lt;li&gt;&lt;a href=|http://bibleoutline.org/2_chronicles/23.htm| title=|Outline with People and Places List| target=|_top|&gt;Outline&lt;/a&gt;</v>
      </c>
      <c r="Z390" t="str">
        <f t="shared" si="1556"/>
        <v>&lt;/li&gt;&lt;li&gt;&lt;a href=|http://kjvs.scripturetext.com/2_chronicles/23.htm| title=|King James Bible with Strong's Numbers| target=|_top|&gt;Strong's&lt;/a&gt;</v>
      </c>
      <c r="AA390" t="str">
        <f t="shared" si="1556"/>
        <v>&lt;/li&gt;&lt;li&gt;&lt;a href=|http://childrensbibleonline.com/2_chronicles/23.htm| title=|The Children's Bible| target=|_top|&gt;Children's&lt;/a&gt;</v>
      </c>
      <c r="AB390" s="2" t="str">
        <f t="shared" si="1556"/>
        <v>&lt;/li&gt;&lt;li&gt;&lt;a href=|http://tsk.scripturetext.com/2_chronicles/23.htm| title=|Treasury of Scripture Knowledge| target=|_top|&gt;TSK&lt;/a&gt;</v>
      </c>
      <c r="AC390" t="str">
        <f>CONCATENATE("&lt;a href=|http://",AC1191,"/2_chronicles/23.htm","| ","title=|",AC1190,"| target=|_top|&gt;",AC1192,"&lt;/a&gt;")</f>
        <v>&lt;a href=|http://parallelbible.com/2_chronicles/23.htm| title=|Parallel Chapters| target=|_top|&gt;PAR&lt;/a&gt;</v>
      </c>
      <c r="AD390" s="2" t="str">
        <f t="shared" ref="AD390:AK390" si="1558">CONCATENATE("&lt;/li&gt;&lt;li&gt;&lt;a href=|http://",AD1191,"/2_chronicles/23.htm","| ","title=|",AD1190,"| target=|_top|&gt;",AD1192,"&lt;/a&gt;")</f>
        <v>&lt;/li&gt;&lt;li&gt;&lt;a href=|http://gsb.biblecommenter.com/2_chronicles/23.htm| title=|Geneva Study Bible| target=|_top|&gt;GSB&lt;/a&gt;</v>
      </c>
      <c r="AE390" s="2" t="str">
        <f t="shared" si="1558"/>
        <v>&lt;/li&gt;&lt;li&gt;&lt;a href=|http://jfb.biblecommenter.com/2_chronicles/23.htm| title=|Jamieson-Fausset-Brown Bible Commentary| target=|_top|&gt;JFB&lt;/a&gt;</v>
      </c>
      <c r="AF390" s="2" t="str">
        <f t="shared" si="1558"/>
        <v>&lt;/li&gt;&lt;li&gt;&lt;a href=|http://kjt.biblecommenter.com/2_chronicles/23.htm| title=|King James Translators' Notes| target=|_top|&gt;KJT&lt;/a&gt;</v>
      </c>
      <c r="AG390" s="2" t="str">
        <f t="shared" si="1558"/>
        <v>&lt;/li&gt;&lt;li&gt;&lt;a href=|http://mhc.biblecommenter.com/2_chronicles/23.htm| title=|Matthew Henry's Concise Commentary| target=|_top|&gt;MHC&lt;/a&gt;</v>
      </c>
      <c r="AH390" s="2" t="str">
        <f t="shared" si="1558"/>
        <v>&lt;/li&gt;&lt;li&gt;&lt;a href=|http://sco.biblecommenter.com/2_chronicles/23.htm| title=|Scofield Reference Notes| target=|_top|&gt;SCO&lt;/a&gt;</v>
      </c>
      <c r="AI390" s="2" t="str">
        <f t="shared" si="1558"/>
        <v>&lt;/li&gt;&lt;li&gt;&lt;a href=|http://wes.biblecommenter.com/2_chronicles/23.htm| title=|Wesley's Notes on the Bible| target=|_top|&gt;WES&lt;/a&gt;</v>
      </c>
      <c r="AJ390" t="str">
        <f t="shared" si="1558"/>
        <v>&lt;/li&gt;&lt;li&gt;&lt;a href=|http://worldebible.com/2_chronicles/23.htm| title=|World English Bible| target=|_top|&gt;WEB&lt;/a&gt;</v>
      </c>
      <c r="AK390" t="str">
        <f t="shared" si="1558"/>
        <v>&lt;/li&gt;&lt;li&gt;&lt;a href=|http://yltbible.com/2_chronicles/23.htm| title=|Young's Literal Translation| target=|_top|&gt;YLT&lt;/a&gt;</v>
      </c>
      <c r="AL390" t="str">
        <f>CONCATENATE("&lt;a href=|http://",AL1191,"/2_chronicles/23.htm","| ","title=|",AL1190,"| target=|_top|&gt;",AL1192,"&lt;/a&gt;")</f>
        <v>&lt;a href=|http://kjv.us/2_chronicles/23.htm| title=|American King James Version| target=|_top|&gt;AKJ&lt;/a&gt;</v>
      </c>
      <c r="AM390" t="str">
        <f t="shared" ref="AM390:AN390" si="1559">CONCATENATE("&lt;/li&gt;&lt;li&gt;&lt;a href=|http://",AM1191,"/2_chronicles/23.htm","| ","title=|",AM1190,"| target=|_top|&gt;",AM1192,"&lt;/a&gt;")</f>
        <v>&lt;/li&gt;&lt;li&gt;&lt;a href=|http://basicenglishbible.com/2_chronicles/23.htm| title=|Bible in Basic English| target=|_top|&gt;BBE&lt;/a&gt;</v>
      </c>
      <c r="AN390" t="str">
        <f t="shared" si="1559"/>
        <v>&lt;/li&gt;&lt;li&gt;&lt;a href=|http://darbybible.com/2_chronicles/23.htm| title=|Darby Bible Translation| target=|_top|&gt;DBY&lt;/a&gt;</v>
      </c>
      <c r="AO39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9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9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90" t="str">
        <f>CONCATENATE("&lt;/li&gt;&lt;li&gt;&lt;a href=|http://",AR1191,"/2_chronicles/23.htm","| ","title=|",AR1190,"| target=|_top|&gt;",AR1192,"&lt;/a&gt;")</f>
        <v>&lt;/li&gt;&lt;li&gt;&lt;a href=|http://websterbible.com/2_chronicles/23.htm| title=|Webster's Bible Translation| target=|_top|&gt;WBS&lt;/a&gt;</v>
      </c>
      <c r="AS39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90" t="str">
        <f>CONCATENATE("&lt;/li&gt;&lt;li&gt;&lt;a href=|http://",AT1191,"/2_chronicles/23-1.htm","| ","title=|",AT1190,"| target=|_top|&gt;",AT1192,"&lt;/a&gt;")</f>
        <v>&lt;/li&gt;&lt;li&gt;&lt;a href=|http://biblebrowser.com/2_chronicles/23-1.htm| title=|Split View| target=|_top|&gt;Split&lt;/a&gt;</v>
      </c>
      <c r="AU390" s="2" t="s">
        <v>1276</v>
      </c>
      <c r="AV390" t="s">
        <v>64</v>
      </c>
    </row>
    <row r="391" spans="1:48">
      <c r="A391" t="s">
        <v>622</v>
      </c>
      <c r="B391" t="s">
        <v>444</v>
      </c>
      <c r="C391" t="s">
        <v>624</v>
      </c>
      <c r="D391" t="s">
        <v>1268</v>
      </c>
      <c r="E391" t="s">
        <v>1277</v>
      </c>
      <c r="F391" t="s">
        <v>1304</v>
      </c>
      <c r="G391" t="s">
        <v>1266</v>
      </c>
      <c r="H391" t="s">
        <v>1305</v>
      </c>
      <c r="I391" t="s">
        <v>1303</v>
      </c>
      <c r="J391" t="s">
        <v>1267</v>
      </c>
      <c r="K391" t="s">
        <v>1275</v>
      </c>
      <c r="L391" s="2" t="s">
        <v>1274</v>
      </c>
      <c r="M391" t="str">
        <f t="shared" ref="M391:AB391" si="1560">CONCATENATE("&lt;/li&gt;&lt;li&gt;&lt;a href=|http://",M1191,"/2_chronicles/24.htm","| ","title=|",M1190,"| target=|_top|&gt;",M1192,"&lt;/a&gt;")</f>
        <v>&lt;/li&gt;&lt;li&gt;&lt;a href=|http://niv.scripturetext.com/2_chronicles/24.htm| title=|New International Version| target=|_top|&gt;NIV&lt;/a&gt;</v>
      </c>
      <c r="N391" t="str">
        <f t="shared" si="1560"/>
        <v>&lt;/li&gt;&lt;li&gt;&lt;a href=|http://nlt.scripturetext.com/2_chronicles/24.htm| title=|New Living Translation| target=|_top|&gt;NLT&lt;/a&gt;</v>
      </c>
      <c r="O391" t="str">
        <f t="shared" si="1560"/>
        <v>&lt;/li&gt;&lt;li&gt;&lt;a href=|http://nasb.scripturetext.com/2_chronicles/24.htm| title=|New American Standard Bible| target=|_top|&gt;NAS&lt;/a&gt;</v>
      </c>
      <c r="P391" t="str">
        <f t="shared" si="1560"/>
        <v>&lt;/li&gt;&lt;li&gt;&lt;a href=|http://gwt.scripturetext.com/2_chronicles/24.htm| title=|God's Word Translation| target=|_top|&gt;GWT&lt;/a&gt;</v>
      </c>
      <c r="Q391" t="str">
        <f t="shared" si="1560"/>
        <v>&lt;/li&gt;&lt;li&gt;&lt;a href=|http://kingjbible.com/2_chronicles/24.htm| title=|King James Bible| target=|_top|&gt;KJV&lt;/a&gt;</v>
      </c>
      <c r="R391" t="str">
        <f t="shared" si="1560"/>
        <v>&lt;/li&gt;&lt;li&gt;&lt;a href=|http://asvbible.com/2_chronicles/24.htm| title=|American Standard Version| target=|_top|&gt;ASV&lt;/a&gt;</v>
      </c>
      <c r="S391" t="str">
        <f t="shared" si="1560"/>
        <v>&lt;/li&gt;&lt;li&gt;&lt;a href=|http://drb.scripturetext.com/2_chronicles/24.htm| title=|Douay-Rheims Bible| target=|_top|&gt;DRB&lt;/a&gt;</v>
      </c>
      <c r="T391" t="str">
        <f t="shared" si="1560"/>
        <v>&lt;/li&gt;&lt;li&gt;&lt;a href=|http://erv.scripturetext.com/2_chronicles/24.htm| title=|English Revised Version| target=|_top|&gt;ERV&lt;/a&gt;</v>
      </c>
      <c r="V391" t="str">
        <f>CONCATENATE("&lt;/li&gt;&lt;li&gt;&lt;a href=|http://",V1191,"/2_chronicles/24.htm","| ","title=|",V1190,"| target=|_top|&gt;",V1192,"&lt;/a&gt;")</f>
        <v>&lt;/li&gt;&lt;li&gt;&lt;a href=|http://study.interlinearbible.org/2_chronicles/24.htm| title=|Hebrew Study Bible| target=|_top|&gt;Heb Study&lt;/a&gt;</v>
      </c>
      <c r="W391" t="str">
        <f t="shared" si="1560"/>
        <v>&lt;/li&gt;&lt;li&gt;&lt;a href=|http://apostolic.interlinearbible.org/2_chronicles/24.htm| title=|Apostolic Bible Polyglot Interlinear| target=|_top|&gt;Polyglot&lt;/a&gt;</v>
      </c>
      <c r="X391" t="str">
        <f t="shared" si="1560"/>
        <v>&lt;/li&gt;&lt;li&gt;&lt;a href=|http://interlinearbible.org/2_chronicles/24.htm| title=|Interlinear Bible| target=|_top|&gt;Interlin&lt;/a&gt;</v>
      </c>
      <c r="Y391" t="str">
        <f t="shared" ref="Y391" si="1561">CONCATENATE("&lt;/li&gt;&lt;li&gt;&lt;a href=|http://",Y1191,"/2_chronicles/24.htm","| ","title=|",Y1190,"| target=|_top|&gt;",Y1192,"&lt;/a&gt;")</f>
        <v>&lt;/li&gt;&lt;li&gt;&lt;a href=|http://bibleoutline.org/2_chronicles/24.htm| title=|Outline with People and Places List| target=|_top|&gt;Outline&lt;/a&gt;</v>
      </c>
      <c r="Z391" t="str">
        <f t="shared" si="1560"/>
        <v>&lt;/li&gt;&lt;li&gt;&lt;a href=|http://kjvs.scripturetext.com/2_chronicles/24.htm| title=|King James Bible with Strong's Numbers| target=|_top|&gt;Strong's&lt;/a&gt;</v>
      </c>
      <c r="AA391" t="str">
        <f t="shared" si="1560"/>
        <v>&lt;/li&gt;&lt;li&gt;&lt;a href=|http://childrensbibleonline.com/2_chronicles/24.htm| title=|The Children's Bible| target=|_top|&gt;Children's&lt;/a&gt;</v>
      </c>
      <c r="AB391" s="2" t="str">
        <f t="shared" si="1560"/>
        <v>&lt;/li&gt;&lt;li&gt;&lt;a href=|http://tsk.scripturetext.com/2_chronicles/24.htm| title=|Treasury of Scripture Knowledge| target=|_top|&gt;TSK&lt;/a&gt;</v>
      </c>
      <c r="AC391" t="str">
        <f>CONCATENATE("&lt;a href=|http://",AC1191,"/2_chronicles/24.htm","| ","title=|",AC1190,"| target=|_top|&gt;",AC1192,"&lt;/a&gt;")</f>
        <v>&lt;a href=|http://parallelbible.com/2_chronicles/24.htm| title=|Parallel Chapters| target=|_top|&gt;PAR&lt;/a&gt;</v>
      </c>
      <c r="AD391" s="2" t="str">
        <f t="shared" ref="AD391:AK391" si="1562">CONCATENATE("&lt;/li&gt;&lt;li&gt;&lt;a href=|http://",AD1191,"/2_chronicles/24.htm","| ","title=|",AD1190,"| target=|_top|&gt;",AD1192,"&lt;/a&gt;")</f>
        <v>&lt;/li&gt;&lt;li&gt;&lt;a href=|http://gsb.biblecommenter.com/2_chronicles/24.htm| title=|Geneva Study Bible| target=|_top|&gt;GSB&lt;/a&gt;</v>
      </c>
      <c r="AE391" s="2" t="str">
        <f t="shared" si="1562"/>
        <v>&lt;/li&gt;&lt;li&gt;&lt;a href=|http://jfb.biblecommenter.com/2_chronicles/24.htm| title=|Jamieson-Fausset-Brown Bible Commentary| target=|_top|&gt;JFB&lt;/a&gt;</v>
      </c>
      <c r="AF391" s="2" t="str">
        <f t="shared" si="1562"/>
        <v>&lt;/li&gt;&lt;li&gt;&lt;a href=|http://kjt.biblecommenter.com/2_chronicles/24.htm| title=|King James Translators' Notes| target=|_top|&gt;KJT&lt;/a&gt;</v>
      </c>
      <c r="AG391" s="2" t="str">
        <f t="shared" si="1562"/>
        <v>&lt;/li&gt;&lt;li&gt;&lt;a href=|http://mhc.biblecommenter.com/2_chronicles/24.htm| title=|Matthew Henry's Concise Commentary| target=|_top|&gt;MHC&lt;/a&gt;</v>
      </c>
      <c r="AH391" s="2" t="str">
        <f t="shared" si="1562"/>
        <v>&lt;/li&gt;&lt;li&gt;&lt;a href=|http://sco.biblecommenter.com/2_chronicles/24.htm| title=|Scofield Reference Notes| target=|_top|&gt;SCO&lt;/a&gt;</v>
      </c>
      <c r="AI391" s="2" t="str">
        <f t="shared" si="1562"/>
        <v>&lt;/li&gt;&lt;li&gt;&lt;a href=|http://wes.biblecommenter.com/2_chronicles/24.htm| title=|Wesley's Notes on the Bible| target=|_top|&gt;WES&lt;/a&gt;</v>
      </c>
      <c r="AJ391" t="str">
        <f t="shared" si="1562"/>
        <v>&lt;/li&gt;&lt;li&gt;&lt;a href=|http://worldebible.com/2_chronicles/24.htm| title=|World English Bible| target=|_top|&gt;WEB&lt;/a&gt;</v>
      </c>
      <c r="AK391" t="str">
        <f t="shared" si="1562"/>
        <v>&lt;/li&gt;&lt;li&gt;&lt;a href=|http://yltbible.com/2_chronicles/24.htm| title=|Young's Literal Translation| target=|_top|&gt;YLT&lt;/a&gt;</v>
      </c>
      <c r="AL391" t="str">
        <f>CONCATENATE("&lt;a href=|http://",AL1191,"/2_chronicles/24.htm","| ","title=|",AL1190,"| target=|_top|&gt;",AL1192,"&lt;/a&gt;")</f>
        <v>&lt;a href=|http://kjv.us/2_chronicles/24.htm| title=|American King James Version| target=|_top|&gt;AKJ&lt;/a&gt;</v>
      </c>
      <c r="AM391" t="str">
        <f t="shared" ref="AM391:AN391" si="1563">CONCATENATE("&lt;/li&gt;&lt;li&gt;&lt;a href=|http://",AM1191,"/2_chronicles/24.htm","| ","title=|",AM1190,"| target=|_top|&gt;",AM1192,"&lt;/a&gt;")</f>
        <v>&lt;/li&gt;&lt;li&gt;&lt;a href=|http://basicenglishbible.com/2_chronicles/24.htm| title=|Bible in Basic English| target=|_top|&gt;BBE&lt;/a&gt;</v>
      </c>
      <c r="AN391" t="str">
        <f t="shared" si="1563"/>
        <v>&lt;/li&gt;&lt;li&gt;&lt;a href=|http://darbybible.com/2_chronicles/24.htm| title=|Darby Bible Translation| target=|_top|&gt;DBY&lt;/a&gt;</v>
      </c>
      <c r="AO39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9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9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91" t="str">
        <f>CONCATENATE("&lt;/li&gt;&lt;li&gt;&lt;a href=|http://",AR1191,"/2_chronicles/24.htm","| ","title=|",AR1190,"| target=|_top|&gt;",AR1192,"&lt;/a&gt;")</f>
        <v>&lt;/li&gt;&lt;li&gt;&lt;a href=|http://websterbible.com/2_chronicles/24.htm| title=|Webster's Bible Translation| target=|_top|&gt;WBS&lt;/a&gt;</v>
      </c>
      <c r="AS39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91" t="str">
        <f>CONCATENATE("&lt;/li&gt;&lt;li&gt;&lt;a href=|http://",AT1191,"/2_chronicles/24-1.htm","| ","title=|",AT1190,"| target=|_top|&gt;",AT1192,"&lt;/a&gt;")</f>
        <v>&lt;/li&gt;&lt;li&gt;&lt;a href=|http://biblebrowser.com/2_chronicles/24-1.htm| title=|Split View| target=|_top|&gt;Split&lt;/a&gt;</v>
      </c>
      <c r="AU391" s="2" t="s">
        <v>1276</v>
      </c>
      <c r="AV391" t="s">
        <v>64</v>
      </c>
    </row>
    <row r="392" spans="1:48">
      <c r="A392" t="s">
        <v>622</v>
      </c>
      <c r="B392" t="s">
        <v>445</v>
      </c>
      <c r="C392" t="s">
        <v>624</v>
      </c>
      <c r="D392" t="s">
        <v>1268</v>
      </c>
      <c r="E392" t="s">
        <v>1277</v>
      </c>
      <c r="F392" t="s">
        <v>1304</v>
      </c>
      <c r="G392" t="s">
        <v>1266</v>
      </c>
      <c r="H392" t="s">
        <v>1305</v>
      </c>
      <c r="I392" t="s">
        <v>1303</v>
      </c>
      <c r="J392" t="s">
        <v>1267</v>
      </c>
      <c r="K392" t="s">
        <v>1275</v>
      </c>
      <c r="L392" s="2" t="s">
        <v>1274</v>
      </c>
      <c r="M392" t="str">
        <f t="shared" ref="M392:AB392" si="1564">CONCATENATE("&lt;/li&gt;&lt;li&gt;&lt;a href=|http://",M1191,"/2_chronicles/25.htm","| ","title=|",M1190,"| target=|_top|&gt;",M1192,"&lt;/a&gt;")</f>
        <v>&lt;/li&gt;&lt;li&gt;&lt;a href=|http://niv.scripturetext.com/2_chronicles/25.htm| title=|New International Version| target=|_top|&gt;NIV&lt;/a&gt;</v>
      </c>
      <c r="N392" t="str">
        <f t="shared" si="1564"/>
        <v>&lt;/li&gt;&lt;li&gt;&lt;a href=|http://nlt.scripturetext.com/2_chronicles/25.htm| title=|New Living Translation| target=|_top|&gt;NLT&lt;/a&gt;</v>
      </c>
      <c r="O392" t="str">
        <f t="shared" si="1564"/>
        <v>&lt;/li&gt;&lt;li&gt;&lt;a href=|http://nasb.scripturetext.com/2_chronicles/25.htm| title=|New American Standard Bible| target=|_top|&gt;NAS&lt;/a&gt;</v>
      </c>
      <c r="P392" t="str">
        <f t="shared" si="1564"/>
        <v>&lt;/li&gt;&lt;li&gt;&lt;a href=|http://gwt.scripturetext.com/2_chronicles/25.htm| title=|God's Word Translation| target=|_top|&gt;GWT&lt;/a&gt;</v>
      </c>
      <c r="Q392" t="str">
        <f t="shared" si="1564"/>
        <v>&lt;/li&gt;&lt;li&gt;&lt;a href=|http://kingjbible.com/2_chronicles/25.htm| title=|King James Bible| target=|_top|&gt;KJV&lt;/a&gt;</v>
      </c>
      <c r="R392" t="str">
        <f t="shared" si="1564"/>
        <v>&lt;/li&gt;&lt;li&gt;&lt;a href=|http://asvbible.com/2_chronicles/25.htm| title=|American Standard Version| target=|_top|&gt;ASV&lt;/a&gt;</v>
      </c>
      <c r="S392" t="str">
        <f t="shared" si="1564"/>
        <v>&lt;/li&gt;&lt;li&gt;&lt;a href=|http://drb.scripturetext.com/2_chronicles/25.htm| title=|Douay-Rheims Bible| target=|_top|&gt;DRB&lt;/a&gt;</v>
      </c>
      <c r="T392" t="str">
        <f t="shared" si="1564"/>
        <v>&lt;/li&gt;&lt;li&gt;&lt;a href=|http://erv.scripturetext.com/2_chronicles/25.htm| title=|English Revised Version| target=|_top|&gt;ERV&lt;/a&gt;</v>
      </c>
      <c r="V392" t="str">
        <f>CONCATENATE("&lt;/li&gt;&lt;li&gt;&lt;a href=|http://",V1191,"/2_chronicles/25.htm","| ","title=|",V1190,"| target=|_top|&gt;",V1192,"&lt;/a&gt;")</f>
        <v>&lt;/li&gt;&lt;li&gt;&lt;a href=|http://study.interlinearbible.org/2_chronicles/25.htm| title=|Hebrew Study Bible| target=|_top|&gt;Heb Study&lt;/a&gt;</v>
      </c>
      <c r="W392" t="str">
        <f t="shared" si="1564"/>
        <v>&lt;/li&gt;&lt;li&gt;&lt;a href=|http://apostolic.interlinearbible.org/2_chronicles/25.htm| title=|Apostolic Bible Polyglot Interlinear| target=|_top|&gt;Polyglot&lt;/a&gt;</v>
      </c>
      <c r="X392" t="str">
        <f t="shared" si="1564"/>
        <v>&lt;/li&gt;&lt;li&gt;&lt;a href=|http://interlinearbible.org/2_chronicles/25.htm| title=|Interlinear Bible| target=|_top|&gt;Interlin&lt;/a&gt;</v>
      </c>
      <c r="Y392" t="str">
        <f t="shared" ref="Y392" si="1565">CONCATENATE("&lt;/li&gt;&lt;li&gt;&lt;a href=|http://",Y1191,"/2_chronicles/25.htm","| ","title=|",Y1190,"| target=|_top|&gt;",Y1192,"&lt;/a&gt;")</f>
        <v>&lt;/li&gt;&lt;li&gt;&lt;a href=|http://bibleoutline.org/2_chronicles/25.htm| title=|Outline with People and Places List| target=|_top|&gt;Outline&lt;/a&gt;</v>
      </c>
      <c r="Z392" t="str">
        <f t="shared" si="1564"/>
        <v>&lt;/li&gt;&lt;li&gt;&lt;a href=|http://kjvs.scripturetext.com/2_chronicles/25.htm| title=|King James Bible with Strong's Numbers| target=|_top|&gt;Strong's&lt;/a&gt;</v>
      </c>
      <c r="AA392" t="str">
        <f t="shared" si="1564"/>
        <v>&lt;/li&gt;&lt;li&gt;&lt;a href=|http://childrensbibleonline.com/2_chronicles/25.htm| title=|The Children's Bible| target=|_top|&gt;Children's&lt;/a&gt;</v>
      </c>
      <c r="AB392" s="2" t="str">
        <f t="shared" si="1564"/>
        <v>&lt;/li&gt;&lt;li&gt;&lt;a href=|http://tsk.scripturetext.com/2_chronicles/25.htm| title=|Treasury of Scripture Knowledge| target=|_top|&gt;TSK&lt;/a&gt;</v>
      </c>
      <c r="AC392" t="str">
        <f>CONCATENATE("&lt;a href=|http://",AC1191,"/2_chronicles/25.htm","| ","title=|",AC1190,"| target=|_top|&gt;",AC1192,"&lt;/a&gt;")</f>
        <v>&lt;a href=|http://parallelbible.com/2_chronicles/25.htm| title=|Parallel Chapters| target=|_top|&gt;PAR&lt;/a&gt;</v>
      </c>
      <c r="AD392" s="2" t="str">
        <f t="shared" ref="AD392:AK392" si="1566">CONCATENATE("&lt;/li&gt;&lt;li&gt;&lt;a href=|http://",AD1191,"/2_chronicles/25.htm","| ","title=|",AD1190,"| target=|_top|&gt;",AD1192,"&lt;/a&gt;")</f>
        <v>&lt;/li&gt;&lt;li&gt;&lt;a href=|http://gsb.biblecommenter.com/2_chronicles/25.htm| title=|Geneva Study Bible| target=|_top|&gt;GSB&lt;/a&gt;</v>
      </c>
      <c r="AE392" s="2" t="str">
        <f t="shared" si="1566"/>
        <v>&lt;/li&gt;&lt;li&gt;&lt;a href=|http://jfb.biblecommenter.com/2_chronicles/25.htm| title=|Jamieson-Fausset-Brown Bible Commentary| target=|_top|&gt;JFB&lt;/a&gt;</v>
      </c>
      <c r="AF392" s="2" t="str">
        <f t="shared" si="1566"/>
        <v>&lt;/li&gt;&lt;li&gt;&lt;a href=|http://kjt.biblecommenter.com/2_chronicles/25.htm| title=|King James Translators' Notes| target=|_top|&gt;KJT&lt;/a&gt;</v>
      </c>
      <c r="AG392" s="2" t="str">
        <f t="shared" si="1566"/>
        <v>&lt;/li&gt;&lt;li&gt;&lt;a href=|http://mhc.biblecommenter.com/2_chronicles/25.htm| title=|Matthew Henry's Concise Commentary| target=|_top|&gt;MHC&lt;/a&gt;</v>
      </c>
      <c r="AH392" s="2" t="str">
        <f t="shared" si="1566"/>
        <v>&lt;/li&gt;&lt;li&gt;&lt;a href=|http://sco.biblecommenter.com/2_chronicles/25.htm| title=|Scofield Reference Notes| target=|_top|&gt;SCO&lt;/a&gt;</v>
      </c>
      <c r="AI392" s="2" t="str">
        <f t="shared" si="1566"/>
        <v>&lt;/li&gt;&lt;li&gt;&lt;a href=|http://wes.biblecommenter.com/2_chronicles/25.htm| title=|Wesley's Notes on the Bible| target=|_top|&gt;WES&lt;/a&gt;</v>
      </c>
      <c r="AJ392" t="str">
        <f t="shared" si="1566"/>
        <v>&lt;/li&gt;&lt;li&gt;&lt;a href=|http://worldebible.com/2_chronicles/25.htm| title=|World English Bible| target=|_top|&gt;WEB&lt;/a&gt;</v>
      </c>
      <c r="AK392" t="str">
        <f t="shared" si="1566"/>
        <v>&lt;/li&gt;&lt;li&gt;&lt;a href=|http://yltbible.com/2_chronicles/25.htm| title=|Young's Literal Translation| target=|_top|&gt;YLT&lt;/a&gt;</v>
      </c>
      <c r="AL392" t="str">
        <f>CONCATENATE("&lt;a href=|http://",AL1191,"/2_chronicles/25.htm","| ","title=|",AL1190,"| target=|_top|&gt;",AL1192,"&lt;/a&gt;")</f>
        <v>&lt;a href=|http://kjv.us/2_chronicles/25.htm| title=|American King James Version| target=|_top|&gt;AKJ&lt;/a&gt;</v>
      </c>
      <c r="AM392" t="str">
        <f t="shared" ref="AM392:AN392" si="1567">CONCATENATE("&lt;/li&gt;&lt;li&gt;&lt;a href=|http://",AM1191,"/2_chronicles/25.htm","| ","title=|",AM1190,"| target=|_top|&gt;",AM1192,"&lt;/a&gt;")</f>
        <v>&lt;/li&gt;&lt;li&gt;&lt;a href=|http://basicenglishbible.com/2_chronicles/25.htm| title=|Bible in Basic English| target=|_top|&gt;BBE&lt;/a&gt;</v>
      </c>
      <c r="AN392" t="str">
        <f t="shared" si="1567"/>
        <v>&lt;/li&gt;&lt;li&gt;&lt;a href=|http://darbybible.com/2_chronicles/25.htm| title=|Darby Bible Translation| target=|_top|&gt;DBY&lt;/a&gt;</v>
      </c>
      <c r="AO39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9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9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92" t="str">
        <f>CONCATENATE("&lt;/li&gt;&lt;li&gt;&lt;a href=|http://",AR1191,"/2_chronicles/25.htm","| ","title=|",AR1190,"| target=|_top|&gt;",AR1192,"&lt;/a&gt;")</f>
        <v>&lt;/li&gt;&lt;li&gt;&lt;a href=|http://websterbible.com/2_chronicles/25.htm| title=|Webster's Bible Translation| target=|_top|&gt;WBS&lt;/a&gt;</v>
      </c>
      <c r="AS39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92" t="str">
        <f>CONCATENATE("&lt;/li&gt;&lt;li&gt;&lt;a href=|http://",AT1191,"/2_chronicles/25-1.htm","| ","title=|",AT1190,"| target=|_top|&gt;",AT1192,"&lt;/a&gt;")</f>
        <v>&lt;/li&gt;&lt;li&gt;&lt;a href=|http://biblebrowser.com/2_chronicles/25-1.htm| title=|Split View| target=|_top|&gt;Split&lt;/a&gt;</v>
      </c>
      <c r="AU392" s="2" t="s">
        <v>1276</v>
      </c>
      <c r="AV392" t="s">
        <v>64</v>
      </c>
    </row>
    <row r="393" spans="1:48">
      <c r="A393" t="s">
        <v>622</v>
      </c>
      <c r="B393" t="s">
        <v>446</v>
      </c>
      <c r="C393" t="s">
        <v>624</v>
      </c>
      <c r="D393" t="s">
        <v>1268</v>
      </c>
      <c r="E393" t="s">
        <v>1277</v>
      </c>
      <c r="F393" t="s">
        <v>1304</v>
      </c>
      <c r="G393" t="s">
        <v>1266</v>
      </c>
      <c r="H393" t="s">
        <v>1305</v>
      </c>
      <c r="I393" t="s">
        <v>1303</v>
      </c>
      <c r="J393" t="s">
        <v>1267</v>
      </c>
      <c r="K393" t="s">
        <v>1275</v>
      </c>
      <c r="L393" s="2" t="s">
        <v>1274</v>
      </c>
      <c r="M393" t="str">
        <f t="shared" ref="M393:AB393" si="1568">CONCATENATE("&lt;/li&gt;&lt;li&gt;&lt;a href=|http://",M1191,"/2_chronicles/26.htm","| ","title=|",M1190,"| target=|_top|&gt;",M1192,"&lt;/a&gt;")</f>
        <v>&lt;/li&gt;&lt;li&gt;&lt;a href=|http://niv.scripturetext.com/2_chronicles/26.htm| title=|New International Version| target=|_top|&gt;NIV&lt;/a&gt;</v>
      </c>
      <c r="N393" t="str">
        <f t="shared" si="1568"/>
        <v>&lt;/li&gt;&lt;li&gt;&lt;a href=|http://nlt.scripturetext.com/2_chronicles/26.htm| title=|New Living Translation| target=|_top|&gt;NLT&lt;/a&gt;</v>
      </c>
      <c r="O393" t="str">
        <f t="shared" si="1568"/>
        <v>&lt;/li&gt;&lt;li&gt;&lt;a href=|http://nasb.scripturetext.com/2_chronicles/26.htm| title=|New American Standard Bible| target=|_top|&gt;NAS&lt;/a&gt;</v>
      </c>
      <c r="P393" t="str">
        <f t="shared" si="1568"/>
        <v>&lt;/li&gt;&lt;li&gt;&lt;a href=|http://gwt.scripturetext.com/2_chronicles/26.htm| title=|God's Word Translation| target=|_top|&gt;GWT&lt;/a&gt;</v>
      </c>
      <c r="Q393" t="str">
        <f t="shared" si="1568"/>
        <v>&lt;/li&gt;&lt;li&gt;&lt;a href=|http://kingjbible.com/2_chronicles/26.htm| title=|King James Bible| target=|_top|&gt;KJV&lt;/a&gt;</v>
      </c>
      <c r="R393" t="str">
        <f t="shared" si="1568"/>
        <v>&lt;/li&gt;&lt;li&gt;&lt;a href=|http://asvbible.com/2_chronicles/26.htm| title=|American Standard Version| target=|_top|&gt;ASV&lt;/a&gt;</v>
      </c>
      <c r="S393" t="str">
        <f t="shared" si="1568"/>
        <v>&lt;/li&gt;&lt;li&gt;&lt;a href=|http://drb.scripturetext.com/2_chronicles/26.htm| title=|Douay-Rheims Bible| target=|_top|&gt;DRB&lt;/a&gt;</v>
      </c>
      <c r="T393" t="str">
        <f t="shared" si="1568"/>
        <v>&lt;/li&gt;&lt;li&gt;&lt;a href=|http://erv.scripturetext.com/2_chronicles/26.htm| title=|English Revised Version| target=|_top|&gt;ERV&lt;/a&gt;</v>
      </c>
      <c r="V393" t="str">
        <f>CONCATENATE("&lt;/li&gt;&lt;li&gt;&lt;a href=|http://",V1191,"/2_chronicles/26.htm","| ","title=|",V1190,"| target=|_top|&gt;",V1192,"&lt;/a&gt;")</f>
        <v>&lt;/li&gt;&lt;li&gt;&lt;a href=|http://study.interlinearbible.org/2_chronicles/26.htm| title=|Hebrew Study Bible| target=|_top|&gt;Heb Study&lt;/a&gt;</v>
      </c>
      <c r="W393" t="str">
        <f t="shared" si="1568"/>
        <v>&lt;/li&gt;&lt;li&gt;&lt;a href=|http://apostolic.interlinearbible.org/2_chronicles/26.htm| title=|Apostolic Bible Polyglot Interlinear| target=|_top|&gt;Polyglot&lt;/a&gt;</v>
      </c>
      <c r="X393" t="str">
        <f t="shared" si="1568"/>
        <v>&lt;/li&gt;&lt;li&gt;&lt;a href=|http://interlinearbible.org/2_chronicles/26.htm| title=|Interlinear Bible| target=|_top|&gt;Interlin&lt;/a&gt;</v>
      </c>
      <c r="Y393" t="str">
        <f t="shared" ref="Y393" si="1569">CONCATENATE("&lt;/li&gt;&lt;li&gt;&lt;a href=|http://",Y1191,"/2_chronicles/26.htm","| ","title=|",Y1190,"| target=|_top|&gt;",Y1192,"&lt;/a&gt;")</f>
        <v>&lt;/li&gt;&lt;li&gt;&lt;a href=|http://bibleoutline.org/2_chronicles/26.htm| title=|Outline with People and Places List| target=|_top|&gt;Outline&lt;/a&gt;</v>
      </c>
      <c r="Z393" t="str">
        <f t="shared" si="1568"/>
        <v>&lt;/li&gt;&lt;li&gt;&lt;a href=|http://kjvs.scripturetext.com/2_chronicles/26.htm| title=|King James Bible with Strong's Numbers| target=|_top|&gt;Strong's&lt;/a&gt;</v>
      </c>
      <c r="AA393" t="str">
        <f t="shared" si="1568"/>
        <v>&lt;/li&gt;&lt;li&gt;&lt;a href=|http://childrensbibleonline.com/2_chronicles/26.htm| title=|The Children's Bible| target=|_top|&gt;Children's&lt;/a&gt;</v>
      </c>
      <c r="AB393" s="2" t="str">
        <f t="shared" si="1568"/>
        <v>&lt;/li&gt;&lt;li&gt;&lt;a href=|http://tsk.scripturetext.com/2_chronicles/26.htm| title=|Treasury of Scripture Knowledge| target=|_top|&gt;TSK&lt;/a&gt;</v>
      </c>
      <c r="AC393" t="str">
        <f>CONCATENATE("&lt;a href=|http://",AC1191,"/2_chronicles/26.htm","| ","title=|",AC1190,"| target=|_top|&gt;",AC1192,"&lt;/a&gt;")</f>
        <v>&lt;a href=|http://parallelbible.com/2_chronicles/26.htm| title=|Parallel Chapters| target=|_top|&gt;PAR&lt;/a&gt;</v>
      </c>
      <c r="AD393" s="2" t="str">
        <f t="shared" ref="AD393:AK393" si="1570">CONCATENATE("&lt;/li&gt;&lt;li&gt;&lt;a href=|http://",AD1191,"/2_chronicles/26.htm","| ","title=|",AD1190,"| target=|_top|&gt;",AD1192,"&lt;/a&gt;")</f>
        <v>&lt;/li&gt;&lt;li&gt;&lt;a href=|http://gsb.biblecommenter.com/2_chronicles/26.htm| title=|Geneva Study Bible| target=|_top|&gt;GSB&lt;/a&gt;</v>
      </c>
      <c r="AE393" s="2" t="str">
        <f t="shared" si="1570"/>
        <v>&lt;/li&gt;&lt;li&gt;&lt;a href=|http://jfb.biblecommenter.com/2_chronicles/26.htm| title=|Jamieson-Fausset-Brown Bible Commentary| target=|_top|&gt;JFB&lt;/a&gt;</v>
      </c>
      <c r="AF393" s="2" t="str">
        <f t="shared" si="1570"/>
        <v>&lt;/li&gt;&lt;li&gt;&lt;a href=|http://kjt.biblecommenter.com/2_chronicles/26.htm| title=|King James Translators' Notes| target=|_top|&gt;KJT&lt;/a&gt;</v>
      </c>
      <c r="AG393" s="2" t="str">
        <f t="shared" si="1570"/>
        <v>&lt;/li&gt;&lt;li&gt;&lt;a href=|http://mhc.biblecommenter.com/2_chronicles/26.htm| title=|Matthew Henry's Concise Commentary| target=|_top|&gt;MHC&lt;/a&gt;</v>
      </c>
      <c r="AH393" s="2" t="str">
        <f t="shared" si="1570"/>
        <v>&lt;/li&gt;&lt;li&gt;&lt;a href=|http://sco.biblecommenter.com/2_chronicles/26.htm| title=|Scofield Reference Notes| target=|_top|&gt;SCO&lt;/a&gt;</v>
      </c>
      <c r="AI393" s="2" t="str">
        <f t="shared" si="1570"/>
        <v>&lt;/li&gt;&lt;li&gt;&lt;a href=|http://wes.biblecommenter.com/2_chronicles/26.htm| title=|Wesley's Notes on the Bible| target=|_top|&gt;WES&lt;/a&gt;</v>
      </c>
      <c r="AJ393" t="str">
        <f t="shared" si="1570"/>
        <v>&lt;/li&gt;&lt;li&gt;&lt;a href=|http://worldebible.com/2_chronicles/26.htm| title=|World English Bible| target=|_top|&gt;WEB&lt;/a&gt;</v>
      </c>
      <c r="AK393" t="str">
        <f t="shared" si="1570"/>
        <v>&lt;/li&gt;&lt;li&gt;&lt;a href=|http://yltbible.com/2_chronicles/26.htm| title=|Young's Literal Translation| target=|_top|&gt;YLT&lt;/a&gt;</v>
      </c>
      <c r="AL393" t="str">
        <f>CONCATENATE("&lt;a href=|http://",AL1191,"/2_chronicles/26.htm","| ","title=|",AL1190,"| target=|_top|&gt;",AL1192,"&lt;/a&gt;")</f>
        <v>&lt;a href=|http://kjv.us/2_chronicles/26.htm| title=|American King James Version| target=|_top|&gt;AKJ&lt;/a&gt;</v>
      </c>
      <c r="AM393" t="str">
        <f t="shared" ref="AM393:AN393" si="1571">CONCATENATE("&lt;/li&gt;&lt;li&gt;&lt;a href=|http://",AM1191,"/2_chronicles/26.htm","| ","title=|",AM1190,"| target=|_top|&gt;",AM1192,"&lt;/a&gt;")</f>
        <v>&lt;/li&gt;&lt;li&gt;&lt;a href=|http://basicenglishbible.com/2_chronicles/26.htm| title=|Bible in Basic English| target=|_top|&gt;BBE&lt;/a&gt;</v>
      </c>
      <c r="AN393" t="str">
        <f t="shared" si="1571"/>
        <v>&lt;/li&gt;&lt;li&gt;&lt;a href=|http://darbybible.com/2_chronicles/26.htm| title=|Darby Bible Translation| target=|_top|&gt;DBY&lt;/a&gt;</v>
      </c>
      <c r="AO39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9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9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93" t="str">
        <f>CONCATENATE("&lt;/li&gt;&lt;li&gt;&lt;a href=|http://",AR1191,"/2_chronicles/26.htm","| ","title=|",AR1190,"| target=|_top|&gt;",AR1192,"&lt;/a&gt;")</f>
        <v>&lt;/li&gt;&lt;li&gt;&lt;a href=|http://websterbible.com/2_chronicles/26.htm| title=|Webster's Bible Translation| target=|_top|&gt;WBS&lt;/a&gt;</v>
      </c>
      <c r="AS39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93" t="str">
        <f>CONCATENATE("&lt;/li&gt;&lt;li&gt;&lt;a href=|http://",AT1191,"/2_chronicles/26-1.htm","| ","title=|",AT1190,"| target=|_top|&gt;",AT1192,"&lt;/a&gt;")</f>
        <v>&lt;/li&gt;&lt;li&gt;&lt;a href=|http://biblebrowser.com/2_chronicles/26-1.htm| title=|Split View| target=|_top|&gt;Split&lt;/a&gt;</v>
      </c>
      <c r="AU393" s="2" t="s">
        <v>1276</v>
      </c>
      <c r="AV393" t="s">
        <v>64</v>
      </c>
    </row>
    <row r="394" spans="1:48">
      <c r="A394" t="s">
        <v>622</v>
      </c>
      <c r="B394" t="s">
        <v>447</v>
      </c>
      <c r="C394" t="s">
        <v>624</v>
      </c>
      <c r="D394" t="s">
        <v>1268</v>
      </c>
      <c r="E394" t="s">
        <v>1277</v>
      </c>
      <c r="F394" t="s">
        <v>1304</v>
      </c>
      <c r="G394" t="s">
        <v>1266</v>
      </c>
      <c r="H394" t="s">
        <v>1305</v>
      </c>
      <c r="I394" t="s">
        <v>1303</v>
      </c>
      <c r="J394" t="s">
        <v>1267</v>
      </c>
      <c r="K394" t="s">
        <v>1275</v>
      </c>
      <c r="L394" s="2" t="s">
        <v>1274</v>
      </c>
      <c r="M394" t="str">
        <f t="shared" ref="M394:AB394" si="1572">CONCATENATE("&lt;/li&gt;&lt;li&gt;&lt;a href=|http://",M1191,"/2_chronicles/27.htm","| ","title=|",M1190,"| target=|_top|&gt;",M1192,"&lt;/a&gt;")</f>
        <v>&lt;/li&gt;&lt;li&gt;&lt;a href=|http://niv.scripturetext.com/2_chronicles/27.htm| title=|New International Version| target=|_top|&gt;NIV&lt;/a&gt;</v>
      </c>
      <c r="N394" t="str">
        <f t="shared" si="1572"/>
        <v>&lt;/li&gt;&lt;li&gt;&lt;a href=|http://nlt.scripturetext.com/2_chronicles/27.htm| title=|New Living Translation| target=|_top|&gt;NLT&lt;/a&gt;</v>
      </c>
      <c r="O394" t="str">
        <f t="shared" si="1572"/>
        <v>&lt;/li&gt;&lt;li&gt;&lt;a href=|http://nasb.scripturetext.com/2_chronicles/27.htm| title=|New American Standard Bible| target=|_top|&gt;NAS&lt;/a&gt;</v>
      </c>
      <c r="P394" t="str">
        <f t="shared" si="1572"/>
        <v>&lt;/li&gt;&lt;li&gt;&lt;a href=|http://gwt.scripturetext.com/2_chronicles/27.htm| title=|God's Word Translation| target=|_top|&gt;GWT&lt;/a&gt;</v>
      </c>
      <c r="Q394" t="str">
        <f t="shared" si="1572"/>
        <v>&lt;/li&gt;&lt;li&gt;&lt;a href=|http://kingjbible.com/2_chronicles/27.htm| title=|King James Bible| target=|_top|&gt;KJV&lt;/a&gt;</v>
      </c>
      <c r="R394" t="str">
        <f t="shared" si="1572"/>
        <v>&lt;/li&gt;&lt;li&gt;&lt;a href=|http://asvbible.com/2_chronicles/27.htm| title=|American Standard Version| target=|_top|&gt;ASV&lt;/a&gt;</v>
      </c>
      <c r="S394" t="str">
        <f t="shared" si="1572"/>
        <v>&lt;/li&gt;&lt;li&gt;&lt;a href=|http://drb.scripturetext.com/2_chronicles/27.htm| title=|Douay-Rheims Bible| target=|_top|&gt;DRB&lt;/a&gt;</v>
      </c>
      <c r="T394" t="str">
        <f t="shared" si="1572"/>
        <v>&lt;/li&gt;&lt;li&gt;&lt;a href=|http://erv.scripturetext.com/2_chronicles/27.htm| title=|English Revised Version| target=|_top|&gt;ERV&lt;/a&gt;</v>
      </c>
      <c r="V394" t="str">
        <f>CONCATENATE("&lt;/li&gt;&lt;li&gt;&lt;a href=|http://",V1191,"/2_chronicles/27.htm","| ","title=|",V1190,"| target=|_top|&gt;",V1192,"&lt;/a&gt;")</f>
        <v>&lt;/li&gt;&lt;li&gt;&lt;a href=|http://study.interlinearbible.org/2_chronicles/27.htm| title=|Hebrew Study Bible| target=|_top|&gt;Heb Study&lt;/a&gt;</v>
      </c>
      <c r="W394" t="str">
        <f t="shared" si="1572"/>
        <v>&lt;/li&gt;&lt;li&gt;&lt;a href=|http://apostolic.interlinearbible.org/2_chronicles/27.htm| title=|Apostolic Bible Polyglot Interlinear| target=|_top|&gt;Polyglot&lt;/a&gt;</v>
      </c>
      <c r="X394" t="str">
        <f t="shared" si="1572"/>
        <v>&lt;/li&gt;&lt;li&gt;&lt;a href=|http://interlinearbible.org/2_chronicles/27.htm| title=|Interlinear Bible| target=|_top|&gt;Interlin&lt;/a&gt;</v>
      </c>
      <c r="Y394" t="str">
        <f t="shared" ref="Y394" si="1573">CONCATENATE("&lt;/li&gt;&lt;li&gt;&lt;a href=|http://",Y1191,"/2_chronicles/27.htm","| ","title=|",Y1190,"| target=|_top|&gt;",Y1192,"&lt;/a&gt;")</f>
        <v>&lt;/li&gt;&lt;li&gt;&lt;a href=|http://bibleoutline.org/2_chronicles/27.htm| title=|Outline with People and Places List| target=|_top|&gt;Outline&lt;/a&gt;</v>
      </c>
      <c r="Z394" t="str">
        <f t="shared" si="1572"/>
        <v>&lt;/li&gt;&lt;li&gt;&lt;a href=|http://kjvs.scripturetext.com/2_chronicles/27.htm| title=|King James Bible with Strong's Numbers| target=|_top|&gt;Strong's&lt;/a&gt;</v>
      </c>
      <c r="AA394" t="str">
        <f t="shared" si="1572"/>
        <v>&lt;/li&gt;&lt;li&gt;&lt;a href=|http://childrensbibleonline.com/2_chronicles/27.htm| title=|The Children's Bible| target=|_top|&gt;Children's&lt;/a&gt;</v>
      </c>
      <c r="AB394" s="2" t="str">
        <f t="shared" si="1572"/>
        <v>&lt;/li&gt;&lt;li&gt;&lt;a href=|http://tsk.scripturetext.com/2_chronicles/27.htm| title=|Treasury of Scripture Knowledge| target=|_top|&gt;TSK&lt;/a&gt;</v>
      </c>
      <c r="AC394" t="str">
        <f>CONCATENATE("&lt;a href=|http://",AC1191,"/2_chronicles/27.htm","| ","title=|",AC1190,"| target=|_top|&gt;",AC1192,"&lt;/a&gt;")</f>
        <v>&lt;a href=|http://parallelbible.com/2_chronicles/27.htm| title=|Parallel Chapters| target=|_top|&gt;PAR&lt;/a&gt;</v>
      </c>
      <c r="AD394" s="2" t="str">
        <f t="shared" ref="AD394:AK394" si="1574">CONCATENATE("&lt;/li&gt;&lt;li&gt;&lt;a href=|http://",AD1191,"/2_chronicles/27.htm","| ","title=|",AD1190,"| target=|_top|&gt;",AD1192,"&lt;/a&gt;")</f>
        <v>&lt;/li&gt;&lt;li&gt;&lt;a href=|http://gsb.biblecommenter.com/2_chronicles/27.htm| title=|Geneva Study Bible| target=|_top|&gt;GSB&lt;/a&gt;</v>
      </c>
      <c r="AE394" s="2" t="str">
        <f t="shared" si="1574"/>
        <v>&lt;/li&gt;&lt;li&gt;&lt;a href=|http://jfb.biblecommenter.com/2_chronicles/27.htm| title=|Jamieson-Fausset-Brown Bible Commentary| target=|_top|&gt;JFB&lt;/a&gt;</v>
      </c>
      <c r="AF394" s="2" t="str">
        <f t="shared" si="1574"/>
        <v>&lt;/li&gt;&lt;li&gt;&lt;a href=|http://kjt.biblecommenter.com/2_chronicles/27.htm| title=|King James Translators' Notes| target=|_top|&gt;KJT&lt;/a&gt;</v>
      </c>
      <c r="AG394" s="2" t="str">
        <f t="shared" si="1574"/>
        <v>&lt;/li&gt;&lt;li&gt;&lt;a href=|http://mhc.biblecommenter.com/2_chronicles/27.htm| title=|Matthew Henry's Concise Commentary| target=|_top|&gt;MHC&lt;/a&gt;</v>
      </c>
      <c r="AH394" s="2" t="str">
        <f t="shared" si="1574"/>
        <v>&lt;/li&gt;&lt;li&gt;&lt;a href=|http://sco.biblecommenter.com/2_chronicles/27.htm| title=|Scofield Reference Notes| target=|_top|&gt;SCO&lt;/a&gt;</v>
      </c>
      <c r="AI394" s="2" t="str">
        <f t="shared" si="1574"/>
        <v>&lt;/li&gt;&lt;li&gt;&lt;a href=|http://wes.biblecommenter.com/2_chronicles/27.htm| title=|Wesley's Notes on the Bible| target=|_top|&gt;WES&lt;/a&gt;</v>
      </c>
      <c r="AJ394" t="str">
        <f t="shared" si="1574"/>
        <v>&lt;/li&gt;&lt;li&gt;&lt;a href=|http://worldebible.com/2_chronicles/27.htm| title=|World English Bible| target=|_top|&gt;WEB&lt;/a&gt;</v>
      </c>
      <c r="AK394" t="str">
        <f t="shared" si="1574"/>
        <v>&lt;/li&gt;&lt;li&gt;&lt;a href=|http://yltbible.com/2_chronicles/27.htm| title=|Young's Literal Translation| target=|_top|&gt;YLT&lt;/a&gt;</v>
      </c>
      <c r="AL394" t="str">
        <f>CONCATENATE("&lt;a href=|http://",AL1191,"/2_chronicles/27.htm","| ","title=|",AL1190,"| target=|_top|&gt;",AL1192,"&lt;/a&gt;")</f>
        <v>&lt;a href=|http://kjv.us/2_chronicles/27.htm| title=|American King James Version| target=|_top|&gt;AKJ&lt;/a&gt;</v>
      </c>
      <c r="AM394" t="str">
        <f t="shared" ref="AM394:AN394" si="1575">CONCATENATE("&lt;/li&gt;&lt;li&gt;&lt;a href=|http://",AM1191,"/2_chronicles/27.htm","| ","title=|",AM1190,"| target=|_top|&gt;",AM1192,"&lt;/a&gt;")</f>
        <v>&lt;/li&gt;&lt;li&gt;&lt;a href=|http://basicenglishbible.com/2_chronicles/27.htm| title=|Bible in Basic English| target=|_top|&gt;BBE&lt;/a&gt;</v>
      </c>
      <c r="AN394" t="str">
        <f t="shared" si="1575"/>
        <v>&lt;/li&gt;&lt;li&gt;&lt;a href=|http://darbybible.com/2_chronicles/27.htm| title=|Darby Bible Translation| target=|_top|&gt;DBY&lt;/a&gt;</v>
      </c>
      <c r="AO39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9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9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94" t="str">
        <f>CONCATENATE("&lt;/li&gt;&lt;li&gt;&lt;a href=|http://",AR1191,"/2_chronicles/27.htm","| ","title=|",AR1190,"| target=|_top|&gt;",AR1192,"&lt;/a&gt;")</f>
        <v>&lt;/li&gt;&lt;li&gt;&lt;a href=|http://websterbible.com/2_chronicles/27.htm| title=|Webster's Bible Translation| target=|_top|&gt;WBS&lt;/a&gt;</v>
      </c>
      <c r="AS39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94" t="str">
        <f>CONCATENATE("&lt;/li&gt;&lt;li&gt;&lt;a href=|http://",AT1191,"/2_chronicles/27-1.htm","| ","title=|",AT1190,"| target=|_top|&gt;",AT1192,"&lt;/a&gt;")</f>
        <v>&lt;/li&gt;&lt;li&gt;&lt;a href=|http://biblebrowser.com/2_chronicles/27-1.htm| title=|Split View| target=|_top|&gt;Split&lt;/a&gt;</v>
      </c>
      <c r="AU394" s="2" t="s">
        <v>1276</v>
      </c>
      <c r="AV394" t="s">
        <v>64</v>
      </c>
    </row>
    <row r="395" spans="1:48">
      <c r="A395" t="s">
        <v>622</v>
      </c>
      <c r="B395" t="s">
        <v>448</v>
      </c>
      <c r="C395" t="s">
        <v>624</v>
      </c>
      <c r="D395" t="s">
        <v>1268</v>
      </c>
      <c r="E395" t="s">
        <v>1277</v>
      </c>
      <c r="F395" t="s">
        <v>1304</v>
      </c>
      <c r="G395" t="s">
        <v>1266</v>
      </c>
      <c r="H395" t="s">
        <v>1305</v>
      </c>
      <c r="I395" t="s">
        <v>1303</v>
      </c>
      <c r="J395" t="s">
        <v>1267</v>
      </c>
      <c r="K395" t="s">
        <v>1275</v>
      </c>
      <c r="L395" s="2" t="s">
        <v>1274</v>
      </c>
      <c r="M395" t="str">
        <f t="shared" ref="M395:AB395" si="1576">CONCATENATE("&lt;/li&gt;&lt;li&gt;&lt;a href=|http://",M1191,"/2_chronicles/28.htm","| ","title=|",M1190,"| target=|_top|&gt;",M1192,"&lt;/a&gt;")</f>
        <v>&lt;/li&gt;&lt;li&gt;&lt;a href=|http://niv.scripturetext.com/2_chronicles/28.htm| title=|New International Version| target=|_top|&gt;NIV&lt;/a&gt;</v>
      </c>
      <c r="N395" t="str">
        <f t="shared" si="1576"/>
        <v>&lt;/li&gt;&lt;li&gt;&lt;a href=|http://nlt.scripturetext.com/2_chronicles/28.htm| title=|New Living Translation| target=|_top|&gt;NLT&lt;/a&gt;</v>
      </c>
      <c r="O395" t="str">
        <f t="shared" si="1576"/>
        <v>&lt;/li&gt;&lt;li&gt;&lt;a href=|http://nasb.scripturetext.com/2_chronicles/28.htm| title=|New American Standard Bible| target=|_top|&gt;NAS&lt;/a&gt;</v>
      </c>
      <c r="P395" t="str">
        <f t="shared" si="1576"/>
        <v>&lt;/li&gt;&lt;li&gt;&lt;a href=|http://gwt.scripturetext.com/2_chronicles/28.htm| title=|God's Word Translation| target=|_top|&gt;GWT&lt;/a&gt;</v>
      </c>
      <c r="Q395" t="str">
        <f t="shared" si="1576"/>
        <v>&lt;/li&gt;&lt;li&gt;&lt;a href=|http://kingjbible.com/2_chronicles/28.htm| title=|King James Bible| target=|_top|&gt;KJV&lt;/a&gt;</v>
      </c>
      <c r="R395" t="str">
        <f t="shared" si="1576"/>
        <v>&lt;/li&gt;&lt;li&gt;&lt;a href=|http://asvbible.com/2_chronicles/28.htm| title=|American Standard Version| target=|_top|&gt;ASV&lt;/a&gt;</v>
      </c>
      <c r="S395" t="str">
        <f t="shared" si="1576"/>
        <v>&lt;/li&gt;&lt;li&gt;&lt;a href=|http://drb.scripturetext.com/2_chronicles/28.htm| title=|Douay-Rheims Bible| target=|_top|&gt;DRB&lt;/a&gt;</v>
      </c>
      <c r="T395" t="str">
        <f t="shared" si="1576"/>
        <v>&lt;/li&gt;&lt;li&gt;&lt;a href=|http://erv.scripturetext.com/2_chronicles/28.htm| title=|English Revised Version| target=|_top|&gt;ERV&lt;/a&gt;</v>
      </c>
      <c r="V395" t="str">
        <f>CONCATENATE("&lt;/li&gt;&lt;li&gt;&lt;a href=|http://",V1191,"/2_chronicles/28.htm","| ","title=|",V1190,"| target=|_top|&gt;",V1192,"&lt;/a&gt;")</f>
        <v>&lt;/li&gt;&lt;li&gt;&lt;a href=|http://study.interlinearbible.org/2_chronicles/28.htm| title=|Hebrew Study Bible| target=|_top|&gt;Heb Study&lt;/a&gt;</v>
      </c>
      <c r="W395" t="str">
        <f t="shared" si="1576"/>
        <v>&lt;/li&gt;&lt;li&gt;&lt;a href=|http://apostolic.interlinearbible.org/2_chronicles/28.htm| title=|Apostolic Bible Polyglot Interlinear| target=|_top|&gt;Polyglot&lt;/a&gt;</v>
      </c>
      <c r="X395" t="str">
        <f t="shared" si="1576"/>
        <v>&lt;/li&gt;&lt;li&gt;&lt;a href=|http://interlinearbible.org/2_chronicles/28.htm| title=|Interlinear Bible| target=|_top|&gt;Interlin&lt;/a&gt;</v>
      </c>
      <c r="Y395" t="str">
        <f t="shared" ref="Y395" si="1577">CONCATENATE("&lt;/li&gt;&lt;li&gt;&lt;a href=|http://",Y1191,"/2_chronicles/28.htm","| ","title=|",Y1190,"| target=|_top|&gt;",Y1192,"&lt;/a&gt;")</f>
        <v>&lt;/li&gt;&lt;li&gt;&lt;a href=|http://bibleoutline.org/2_chronicles/28.htm| title=|Outline with People and Places List| target=|_top|&gt;Outline&lt;/a&gt;</v>
      </c>
      <c r="Z395" t="str">
        <f t="shared" si="1576"/>
        <v>&lt;/li&gt;&lt;li&gt;&lt;a href=|http://kjvs.scripturetext.com/2_chronicles/28.htm| title=|King James Bible with Strong's Numbers| target=|_top|&gt;Strong's&lt;/a&gt;</v>
      </c>
      <c r="AA395" t="str">
        <f t="shared" si="1576"/>
        <v>&lt;/li&gt;&lt;li&gt;&lt;a href=|http://childrensbibleonline.com/2_chronicles/28.htm| title=|The Children's Bible| target=|_top|&gt;Children's&lt;/a&gt;</v>
      </c>
      <c r="AB395" s="2" t="str">
        <f t="shared" si="1576"/>
        <v>&lt;/li&gt;&lt;li&gt;&lt;a href=|http://tsk.scripturetext.com/2_chronicles/28.htm| title=|Treasury of Scripture Knowledge| target=|_top|&gt;TSK&lt;/a&gt;</v>
      </c>
      <c r="AC395" t="str">
        <f>CONCATENATE("&lt;a href=|http://",AC1191,"/2_chronicles/28.htm","| ","title=|",AC1190,"| target=|_top|&gt;",AC1192,"&lt;/a&gt;")</f>
        <v>&lt;a href=|http://parallelbible.com/2_chronicles/28.htm| title=|Parallel Chapters| target=|_top|&gt;PAR&lt;/a&gt;</v>
      </c>
      <c r="AD395" s="2" t="str">
        <f t="shared" ref="AD395:AK395" si="1578">CONCATENATE("&lt;/li&gt;&lt;li&gt;&lt;a href=|http://",AD1191,"/2_chronicles/28.htm","| ","title=|",AD1190,"| target=|_top|&gt;",AD1192,"&lt;/a&gt;")</f>
        <v>&lt;/li&gt;&lt;li&gt;&lt;a href=|http://gsb.biblecommenter.com/2_chronicles/28.htm| title=|Geneva Study Bible| target=|_top|&gt;GSB&lt;/a&gt;</v>
      </c>
      <c r="AE395" s="2" t="str">
        <f t="shared" si="1578"/>
        <v>&lt;/li&gt;&lt;li&gt;&lt;a href=|http://jfb.biblecommenter.com/2_chronicles/28.htm| title=|Jamieson-Fausset-Brown Bible Commentary| target=|_top|&gt;JFB&lt;/a&gt;</v>
      </c>
      <c r="AF395" s="2" t="str">
        <f t="shared" si="1578"/>
        <v>&lt;/li&gt;&lt;li&gt;&lt;a href=|http://kjt.biblecommenter.com/2_chronicles/28.htm| title=|King James Translators' Notes| target=|_top|&gt;KJT&lt;/a&gt;</v>
      </c>
      <c r="AG395" s="2" t="str">
        <f t="shared" si="1578"/>
        <v>&lt;/li&gt;&lt;li&gt;&lt;a href=|http://mhc.biblecommenter.com/2_chronicles/28.htm| title=|Matthew Henry's Concise Commentary| target=|_top|&gt;MHC&lt;/a&gt;</v>
      </c>
      <c r="AH395" s="2" t="str">
        <f t="shared" si="1578"/>
        <v>&lt;/li&gt;&lt;li&gt;&lt;a href=|http://sco.biblecommenter.com/2_chronicles/28.htm| title=|Scofield Reference Notes| target=|_top|&gt;SCO&lt;/a&gt;</v>
      </c>
      <c r="AI395" s="2" t="str">
        <f t="shared" si="1578"/>
        <v>&lt;/li&gt;&lt;li&gt;&lt;a href=|http://wes.biblecommenter.com/2_chronicles/28.htm| title=|Wesley's Notes on the Bible| target=|_top|&gt;WES&lt;/a&gt;</v>
      </c>
      <c r="AJ395" t="str">
        <f t="shared" si="1578"/>
        <v>&lt;/li&gt;&lt;li&gt;&lt;a href=|http://worldebible.com/2_chronicles/28.htm| title=|World English Bible| target=|_top|&gt;WEB&lt;/a&gt;</v>
      </c>
      <c r="AK395" t="str">
        <f t="shared" si="1578"/>
        <v>&lt;/li&gt;&lt;li&gt;&lt;a href=|http://yltbible.com/2_chronicles/28.htm| title=|Young's Literal Translation| target=|_top|&gt;YLT&lt;/a&gt;</v>
      </c>
      <c r="AL395" t="str">
        <f>CONCATENATE("&lt;a href=|http://",AL1191,"/2_chronicles/28.htm","| ","title=|",AL1190,"| target=|_top|&gt;",AL1192,"&lt;/a&gt;")</f>
        <v>&lt;a href=|http://kjv.us/2_chronicles/28.htm| title=|American King James Version| target=|_top|&gt;AKJ&lt;/a&gt;</v>
      </c>
      <c r="AM395" t="str">
        <f t="shared" ref="AM395:AN395" si="1579">CONCATENATE("&lt;/li&gt;&lt;li&gt;&lt;a href=|http://",AM1191,"/2_chronicles/28.htm","| ","title=|",AM1190,"| target=|_top|&gt;",AM1192,"&lt;/a&gt;")</f>
        <v>&lt;/li&gt;&lt;li&gt;&lt;a href=|http://basicenglishbible.com/2_chronicles/28.htm| title=|Bible in Basic English| target=|_top|&gt;BBE&lt;/a&gt;</v>
      </c>
      <c r="AN395" t="str">
        <f t="shared" si="1579"/>
        <v>&lt;/li&gt;&lt;li&gt;&lt;a href=|http://darbybible.com/2_chronicles/28.htm| title=|Darby Bible Translation| target=|_top|&gt;DBY&lt;/a&gt;</v>
      </c>
      <c r="AO39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9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9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95" t="str">
        <f>CONCATENATE("&lt;/li&gt;&lt;li&gt;&lt;a href=|http://",AR1191,"/2_chronicles/28.htm","| ","title=|",AR1190,"| target=|_top|&gt;",AR1192,"&lt;/a&gt;")</f>
        <v>&lt;/li&gt;&lt;li&gt;&lt;a href=|http://websterbible.com/2_chronicles/28.htm| title=|Webster's Bible Translation| target=|_top|&gt;WBS&lt;/a&gt;</v>
      </c>
      <c r="AS39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95" t="str">
        <f>CONCATENATE("&lt;/li&gt;&lt;li&gt;&lt;a href=|http://",AT1191,"/2_chronicles/28-1.htm","| ","title=|",AT1190,"| target=|_top|&gt;",AT1192,"&lt;/a&gt;")</f>
        <v>&lt;/li&gt;&lt;li&gt;&lt;a href=|http://biblebrowser.com/2_chronicles/28-1.htm| title=|Split View| target=|_top|&gt;Split&lt;/a&gt;</v>
      </c>
      <c r="AU395" s="2" t="s">
        <v>1276</v>
      </c>
      <c r="AV395" t="s">
        <v>64</v>
      </c>
    </row>
    <row r="396" spans="1:48">
      <c r="A396" t="s">
        <v>622</v>
      </c>
      <c r="B396" t="s">
        <v>449</v>
      </c>
      <c r="C396" t="s">
        <v>624</v>
      </c>
      <c r="D396" t="s">
        <v>1268</v>
      </c>
      <c r="E396" t="s">
        <v>1277</v>
      </c>
      <c r="F396" t="s">
        <v>1304</v>
      </c>
      <c r="G396" t="s">
        <v>1266</v>
      </c>
      <c r="H396" t="s">
        <v>1305</v>
      </c>
      <c r="I396" t="s">
        <v>1303</v>
      </c>
      <c r="J396" t="s">
        <v>1267</v>
      </c>
      <c r="K396" t="s">
        <v>1275</v>
      </c>
      <c r="L396" s="2" t="s">
        <v>1274</v>
      </c>
      <c r="M396" t="str">
        <f t="shared" ref="M396:AB396" si="1580">CONCATENATE("&lt;/li&gt;&lt;li&gt;&lt;a href=|http://",M1191,"/2_chronicles/29.htm","| ","title=|",M1190,"| target=|_top|&gt;",M1192,"&lt;/a&gt;")</f>
        <v>&lt;/li&gt;&lt;li&gt;&lt;a href=|http://niv.scripturetext.com/2_chronicles/29.htm| title=|New International Version| target=|_top|&gt;NIV&lt;/a&gt;</v>
      </c>
      <c r="N396" t="str">
        <f t="shared" si="1580"/>
        <v>&lt;/li&gt;&lt;li&gt;&lt;a href=|http://nlt.scripturetext.com/2_chronicles/29.htm| title=|New Living Translation| target=|_top|&gt;NLT&lt;/a&gt;</v>
      </c>
      <c r="O396" t="str">
        <f t="shared" si="1580"/>
        <v>&lt;/li&gt;&lt;li&gt;&lt;a href=|http://nasb.scripturetext.com/2_chronicles/29.htm| title=|New American Standard Bible| target=|_top|&gt;NAS&lt;/a&gt;</v>
      </c>
      <c r="P396" t="str">
        <f t="shared" si="1580"/>
        <v>&lt;/li&gt;&lt;li&gt;&lt;a href=|http://gwt.scripturetext.com/2_chronicles/29.htm| title=|God's Word Translation| target=|_top|&gt;GWT&lt;/a&gt;</v>
      </c>
      <c r="Q396" t="str">
        <f t="shared" si="1580"/>
        <v>&lt;/li&gt;&lt;li&gt;&lt;a href=|http://kingjbible.com/2_chronicles/29.htm| title=|King James Bible| target=|_top|&gt;KJV&lt;/a&gt;</v>
      </c>
      <c r="R396" t="str">
        <f t="shared" si="1580"/>
        <v>&lt;/li&gt;&lt;li&gt;&lt;a href=|http://asvbible.com/2_chronicles/29.htm| title=|American Standard Version| target=|_top|&gt;ASV&lt;/a&gt;</v>
      </c>
      <c r="S396" t="str">
        <f t="shared" si="1580"/>
        <v>&lt;/li&gt;&lt;li&gt;&lt;a href=|http://drb.scripturetext.com/2_chronicles/29.htm| title=|Douay-Rheims Bible| target=|_top|&gt;DRB&lt;/a&gt;</v>
      </c>
      <c r="T396" t="str">
        <f t="shared" si="1580"/>
        <v>&lt;/li&gt;&lt;li&gt;&lt;a href=|http://erv.scripturetext.com/2_chronicles/29.htm| title=|English Revised Version| target=|_top|&gt;ERV&lt;/a&gt;</v>
      </c>
      <c r="V396" t="str">
        <f>CONCATENATE("&lt;/li&gt;&lt;li&gt;&lt;a href=|http://",V1191,"/2_chronicles/29.htm","| ","title=|",V1190,"| target=|_top|&gt;",V1192,"&lt;/a&gt;")</f>
        <v>&lt;/li&gt;&lt;li&gt;&lt;a href=|http://study.interlinearbible.org/2_chronicles/29.htm| title=|Hebrew Study Bible| target=|_top|&gt;Heb Study&lt;/a&gt;</v>
      </c>
      <c r="W396" t="str">
        <f t="shared" si="1580"/>
        <v>&lt;/li&gt;&lt;li&gt;&lt;a href=|http://apostolic.interlinearbible.org/2_chronicles/29.htm| title=|Apostolic Bible Polyglot Interlinear| target=|_top|&gt;Polyglot&lt;/a&gt;</v>
      </c>
      <c r="X396" t="str">
        <f t="shared" si="1580"/>
        <v>&lt;/li&gt;&lt;li&gt;&lt;a href=|http://interlinearbible.org/2_chronicles/29.htm| title=|Interlinear Bible| target=|_top|&gt;Interlin&lt;/a&gt;</v>
      </c>
      <c r="Y396" t="str">
        <f t="shared" ref="Y396" si="1581">CONCATENATE("&lt;/li&gt;&lt;li&gt;&lt;a href=|http://",Y1191,"/2_chronicles/29.htm","| ","title=|",Y1190,"| target=|_top|&gt;",Y1192,"&lt;/a&gt;")</f>
        <v>&lt;/li&gt;&lt;li&gt;&lt;a href=|http://bibleoutline.org/2_chronicles/29.htm| title=|Outline with People and Places List| target=|_top|&gt;Outline&lt;/a&gt;</v>
      </c>
      <c r="Z396" t="str">
        <f t="shared" si="1580"/>
        <v>&lt;/li&gt;&lt;li&gt;&lt;a href=|http://kjvs.scripturetext.com/2_chronicles/29.htm| title=|King James Bible with Strong's Numbers| target=|_top|&gt;Strong's&lt;/a&gt;</v>
      </c>
      <c r="AA396" t="str">
        <f t="shared" si="1580"/>
        <v>&lt;/li&gt;&lt;li&gt;&lt;a href=|http://childrensbibleonline.com/2_chronicles/29.htm| title=|The Children's Bible| target=|_top|&gt;Children's&lt;/a&gt;</v>
      </c>
      <c r="AB396" s="2" t="str">
        <f t="shared" si="1580"/>
        <v>&lt;/li&gt;&lt;li&gt;&lt;a href=|http://tsk.scripturetext.com/2_chronicles/29.htm| title=|Treasury of Scripture Knowledge| target=|_top|&gt;TSK&lt;/a&gt;</v>
      </c>
      <c r="AC396" t="str">
        <f>CONCATENATE("&lt;a href=|http://",AC1191,"/2_chronicles/29.htm","| ","title=|",AC1190,"| target=|_top|&gt;",AC1192,"&lt;/a&gt;")</f>
        <v>&lt;a href=|http://parallelbible.com/2_chronicles/29.htm| title=|Parallel Chapters| target=|_top|&gt;PAR&lt;/a&gt;</v>
      </c>
      <c r="AD396" s="2" t="str">
        <f t="shared" ref="AD396:AK396" si="1582">CONCATENATE("&lt;/li&gt;&lt;li&gt;&lt;a href=|http://",AD1191,"/2_chronicles/29.htm","| ","title=|",AD1190,"| target=|_top|&gt;",AD1192,"&lt;/a&gt;")</f>
        <v>&lt;/li&gt;&lt;li&gt;&lt;a href=|http://gsb.biblecommenter.com/2_chronicles/29.htm| title=|Geneva Study Bible| target=|_top|&gt;GSB&lt;/a&gt;</v>
      </c>
      <c r="AE396" s="2" t="str">
        <f t="shared" si="1582"/>
        <v>&lt;/li&gt;&lt;li&gt;&lt;a href=|http://jfb.biblecommenter.com/2_chronicles/29.htm| title=|Jamieson-Fausset-Brown Bible Commentary| target=|_top|&gt;JFB&lt;/a&gt;</v>
      </c>
      <c r="AF396" s="2" t="str">
        <f t="shared" si="1582"/>
        <v>&lt;/li&gt;&lt;li&gt;&lt;a href=|http://kjt.biblecommenter.com/2_chronicles/29.htm| title=|King James Translators' Notes| target=|_top|&gt;KJT&lt;/a&gt;</v>
      </c>
      <c r="AG396" s="2" t="str">
        <f t="shared" si="1582"/>
        <v>&lt;/li&gt;&lt;li&gt;&lt;a href=|http://mhc.biblecommenter.com/2_chronicles/29.htm| title=|Matthew Henry's Concise Commentary| target=|_top|&gt;MHC&lt;/a&gt;</v>
      </c>
      <c r="AH396" s="2" t="str">
        <f t="shared" si="1582"/>
        <v>&lt;/li&gt;&lt;li&gt;&lt;a href=|http://sco.biblecommenter.com/2_chronicles/29.htm| title=|Scofield Reference Notes| target=|_top|&gt;SCO&lt;/a&gt;</v>
      </c>
      <c r="AI396" s="2" t="str">
        <f t="shared" si="1582"/>
        <v>&lt;/li&gt;&lt;li&gt;&lt;a href=|http://wes.biblecommenter.com/2_chronicles/29.htm| title=|Wesley's Notes on the Bible| target=|_top|&gt;WES&lt;/a&gt;</v>
      </c>
      <c r="AJ396" t="str">
        <f t="shared" si="1582"/>
        <v>&lt;/li&gt;&lt;li&gt;&lt;a href=|http://worldebible.com/2_chronicles/29.htm| title=|World English Bible| target=|_top|&gt;WEB&lt;/a&gt;</v>
      </c>
      <c r="AK396" t="str">
        <f t="shared" si="1582"/>
        <v>&lt;/li&gt;&lt;li&gt;&lt;a href=|http://yltbible.com/2_chronicles/29.htm| title=|Young's Literal Translation| target=|_top|&gt;YLT&lt;/a&gt;</v>
      </c>
      <c r="AL396" t="str">
        <f>CONCATENATE("&lt;a href=|http://",AL1191,"/2_chronicles/29.htm","| ","title=|",AL1190,"| target=|_top|&gt;",AL1192,"&lt;/a&gt;")</f>
        <v>&lt;a href=|http://kjv.us/2_chronicles/29.htm| title=|American King James Version| target=|_top|&gt;AKJ&lt;/a&gt;</v>
      </c>
      <c r="AM396" t="str">
        <f t="shared" ref="AM396:AN396" si="1583">CONCATENATE("&lt;/li&gt;&lt;li&gt;&lt;a href=|http://",AM1191,"/2_chronicles/29.htm","| ","title=|",AM1190,"| target=|_top|&gt;",AM1192,"&lt;/a&gt;")</f>
        <v>&lt;/li&gt;&lt;li&gt;&lt;a href=|http://basicenglishbible.com/2_chronicles/29.htm| title=|Bible in Basic English| target=|_top|&gt;BBE&lt;/a&gt;</v>
      </c>
      <c r="AN396" t="str">
        <f t="shared" si="1583"/>
        <v>&lt;/li&gt;&lt;li&gt;&lt;a href=|http://darbybible.com/2_chronicles/29.htm| title=|Darby Bible Translation| target=|_top|&gt;DBY&lt;/a&gt;</v>
      </c>
      <c r="AO39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9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9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96" t="str">
        <f>CONCATENATE("&lt;/li&gt;&lt;li&gt;&lt;a href=|http://",AR1191,"/2_chronicles/29.htm","| ","title=|",AR1190,"| target=|_top|&gt;",AR1192,"&lt;/a&gt;")</f>
        <v>&lt;/li&gt;&lt;li&gt;&lt;a href=|http://websterbible.com/2_chronicles/29.htm| title=|Webster's Bible Translation| target=|_top|&gt;WBS&lt;/a&gt;</v>
      </c>
      <c r="AS39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96" t="str">
        <f>CONCATENATE("&lt;/li&gt;&lt;li&gt;&lt;a href=|http://",AT1191,"/2_chronicles/29-1.htm","| ","title=|",AT1190,"| target=|_top|&gt;",AT1192,"&lt;/a&gt;")</f>
        <v>&lt;/li&gt;&lt;li&gt;&lt;a href=|http://biblebrowser.com/2_chronicles/29-1.htm| title=|Split View| target=|_top|&gt;Split&lt;/a&gt;</v>
      </c>
      <c r="AU396" s="2" t="s">
        <v>1276</v>
      </c>
      <c r="AV396" t="s">
        <v>64</v>
      </c>
    </row>
    <row r="397" spans="1:48">
      <c r="A397" t="s">
        <v>622</v>
      </c>
      <c r="B397" t="s">
        <v>635</v>
      </c>
      <c r="C397" t="s">
        <v>624</v>
      </c>
      <c r="D397" t="s">
        <v>1268</v>
      </c>
      <c r="E397" t="s">
        <v>1277</v>
      </c>
      <c r="F397" t="s">
        <v>1304</v>
      </c>
      <c r="G397" t="s">
        <v>1266</v>
      </c>
      <c r="H397" t="s">
        <v>1305</v>
      </c>
      <c r="I397" t="s">
        <v>1303</v>
      </c>
      <c r="J397" t="s">
        <v>1267</v>
      </c>
      <c r="K397" t="s">
        <v>1275</v>
      </c>
      <c r="L397" s="2" t="s">
        <v>1274</v>
      </c>
      <c r="M397" t="str">
        <f t="shared" ref="M397:AB397" si="1584">CONCATENATE("&lt;/li&gt;&lt;li&gt;&lt;a href=|http://",M1191,"/2_chronicles/30.htm","| ","title=|",M1190,"| target=|_top|&gt;",M1192,"&lt;/a&gt;")</f>
        <v>&lt;/li&gt;&lt;li&gt;&lt;a href=|http://niv.scripturetext.com/2_chronicles/30.htm| title=|New International Version| target=|_top|&gt;NIV&lt;/a&gt;</v>
      </c>
      <c r="N397" t="str">
        <f t="shared" si="1584"/>
        <v>&lt;/li&gt;&lt;li&gt;&lt;a href=|http://nlt.scripturetext.com/2_chronicles/30.htm| title=|New Living Translation| target=|_top|&gt;NLT&lt;/a&gt;</v>
      </c>
      <c r="O397" t="str">
        <f t="shared" si="1584"/>
        <v>&lt;/li&gt;&lt;li&gt;&lt;a href=|http://nasb.scripturetext.com/2_chronicles/30.htm| title=|New American Standard Bible| target=|_top|&gt;NAS&lt;/a&gt;</v>
      </c>
      <c r="P397" t="str">
        <f t="shared" si="1584"/>
        <v>&lt;/li&gt;&lt;li&gt;&lt;a href=|http://gwt.scripturetext.com/2_chronicles/30.htm| title=|God's Word Translation| target=|_top|&gt;GWT&lt;/a&gt;</v>
      </c>
      <c r="Q397" t="str">
        <f t="shared" si="1584"/>
        <v>&lt;/li&gt;&lt;li&gt;&lt;a href=|http://kingjbible.com/2_chronicles/30.htm| title=|King James Bible| target=|_top|&gt;KJV&lt;/a&gt;</v>
      </c>
      <c r="R397" t="str">
        <f t="shared" si="1584"/>
        <v>&lt;/li&gt;&lt;li&gt;&lt;a href=|http://asvbible.com/2_chronicles/30.htm| title=|American Standard Version| target=|_top|&gt;ASV&lt;/a&gt;</v>
      </c>
      <c r="S397" t="str">
        <f t="shared" si="1584"/>
        <v>&lt;/li&gt;&lt;li&gt;&lt;a href=|http://drb.scripturetext.com/2_chronicles/30.htm| title=|Douay-Rheims Bible| target=|_top|&gt;DRB&lt;/a&gt;</v>
      </c>
      <c r="T397" t="str">
        <f t="shared" si="1584"/>
        <v>&lt;/li&gt;&lt;li&gt;&lt;a href=|http://erv.scripturetext.com/2_chronicles/30.htm| title=|English Revised Version| target=|_top|&gt;ERV&lt;/a&gt;</v>
      </c>
      <c r="V397" t="str">
        <f>CONCATENATE("&lt;/li&gt;&lt;li&gt;&lt;a href=|http://",V1191,"/2_chronicles/30.htm","| ","title=|",V1190,"| target=|_top|&gt;",V1192,"&lt;/a&gt;")</f>
        <v>&lt;/li&gt;&lt;li&gt;&lt;a href=|http://study.interlinearbible.org/2_chronicles/30.htm| title=|Hebrew Study Bible| target=|_top|&gt;Heb Study&lt;/a&gt;</v>
      </c>
      <c r="W397" t="str">
        <f t="shared" si="1584"/>
        <v>&lt;/li&gt;&lt;li&gt;&lt;a href=|http://apostolic.interlinearbible.org/2_chronicles/30.htm| title=|Apostolic Bible Polyglot Interlinear| target=|_top|&gt;Polyglot&lt;/a&gt;</v>
      </c>
      <c r="X397" t="str">
        <f t="shared" si="1584"/>
        <v>&lt;/li&gt;&lt;li&gt;&lt;a href=|http://interlinearbible.org/2_chronicles/30.htm| title=|Interlinear Bible| target=|_top|&gt;Interlin&lt;/a&gt;</v>
      </c>
      <c r="Y397" t="str">
        <f t="shared" ref="Y397" si="1585">CONCATENATE("&lt;/li&gt;&lt;li&gt;&lt;a href=|http://",Y1191,"/2_chronicles/30.htm","| ","title=|",Y1190,"| target=|_top|&gt;",Y1192,"&lt;/a&gt;")</f>
        <v>&lt;/li&gt;&lt;li&gt;&lt;a href=|http://bibleoutline.org/2_chronicles/30.htm| title=|Outline with People and Places List| target=|_top|&gt;Outline&lt;/a&gt;</v>
      </c>
      <c r="Z397" t="str">
        <f t="shared" si="1584"/>
        <v>&lt;/li&gt;&lt;li&gt;&lt;a href=|http://kjvs.scripturetext.com/2_chronicles/30.htm| title=|King James Bible with Strong's Numbers| target=|_top|&gt;Strong's&lt;/a&gt;</v>
      </c>
      <c r="AA397" t="str">
        <f t="shared" si="1584"/>
        <v>&lt;/li&gt;&lt;li&gt;&lt;a href=|http://childrensbibleonline.com/2_chronicles/30.htm| title=|The Children's Bible| target=|_top|&gt;Children's&lt;/a&gt;</v>
      </c>
      <c r="AB397" s="2" t="str">
        <f t="shared" si="1584"/>
        <v>&lt;/li&gt;&lt;li&gt;&lt;a href=|http://tsk.scripturetext.com/2_chronicles/30.htm| title=|Treasury of Scripture Knowledge| target=|_top|&gt;TSK&lt;/a&gt;</v>
      </c>
      <c r="AC397" t="str">
        <f>CONCATENATE("&lt;a href=|http://",AC1191,"/2_chronicles/30.htm","| ","title=|",AC1190,"| target=|_top|&gt;",AC1192,"&lt;/a&gt;")</f>
        <v>&lt;a href=|http://parallelbible.com/2_chronicles/30.htm| title=|Parallel Chapters| target=|_top|&gt;PAR&lt;/a&gt;</v>
      </c>
      <c r="AD397" s="2" t="str">
        <f t="shared" ref="AD397:AK397" si="1586">CONCATENATE("&lt;/li&gt;&lt;li&gt;&lt;a href=|http://",AD1191,"/2_chronicles/30.htm","| ","title=|",AD1190,"| target=|_top|&gt;",AD1192,"&lt;/a&gt;")</f>
        <v>&lt;/li&gt;&lt;li&gt;&lt;a href=|http://gsb.biblecommenter.com/2_chronicles/30.htm| title=|Geneva Study Bible| target=|_top|&gt;GSB&lt;/a&gt;</v>
      </c>
      <c r="AE397" s="2" t="str">
        <f t="shared" si="1586"/>
        <v>&lt;/li&gt;&lt;li&gt;&lt;a href=|http://jfb.biblecommenter.com/2_chronicles/30.htm| title=|Jamieson-Fausset-Brown Bible Commentary| target=|_top|&gt;JFB&lt;/a&gt;</v>
      </c>
      <c r="AF397" s="2" t="str">
        <f t="shared" si="1586"/>
        <v>&lt;/li&gt;&lt;li&gt;&lt;a href=|http://kjt.biblecommenter.com/2_chronicles/30.htm| title=|King James Translators' Notes| target=|_top|&gt;KJT&lt;/a&gt;</v>
      </c>
      <c r="AG397" s="2" t="str">
        <f t="shared" si="1586"/>
        <v>&lt;/li&gt;&lt;li&gt;&lt;a href=|http://mhc.biblecommenter.com/2_chronicles/30.htm| title=|Matthew Henry's Concise Commentary| target=|_top|&gt;MHC&lt;/a&gt;</v>
      </c>
      <c r="AH397" s="2" t="str">
        <f t="shared" si="1586"/>
        <v>&lt;/li&gt;&lt;li&gt;&lt;a href=|http://sco.biblecommenter.com/2_chronicles/30.htm| title=|Scofield Reference Notes| target=|_top|&gt;SCO&lt;/a&gt;</v>
      </c>
      <c r="AI397" s="2" t="str">
        <f t="shared" si="1586"/>
        <v>&lt;/li&gt;&lt;li&gt;&lt;a href=|http://wes.biblecommenter.com/2_chronicles/30.htm| title=|Wesley's Notes on the Bible| target=|_top|&gt;WES&lt;/a&gt;</v>
      </c>
      <c r="AJ397" t="str">
        <f t="shared" si="1586"/>
        <v>&lt;/li&gt;&lt;li&gt;&lt;a href=|http://worldebible.com/2_chronicles/30.htm| title=|World English Bible| target=|_top|&gt;WEB&lt;/a&gt;</v>
      </c>
      <c r="AK397" t="str">
        <f t="shared" si="1586"/>
        <v>&lt;/li&gt;&lt;li&gt;&lt;a href=|http://yltbible.com/2_chronicles/30.htm| title=|Young's Literal Translation| target=|_top|&gt;YLT&lt;/a&gt;</v>
      </c>
      <c r="AL397" t="str">
        <f>CONCATENATE("&lt;a href=|http://",AL1191,"/2_chronicles/30.htm","| ","title=|",AL1190,"| target=|_top|&gt;",AL1192,"&lt;/a&gt;")</f>
        <v>&lt;a href=|http://kjv.us/2_chronicles/30.htm| title=|American King James Version| target=|_top|&gt;AKJ&lt;/a&gt;</v>
      </c>
      <c r="AM397" t="str">
        <f t="shared" ref="AM397:AN397" si="1587">CONCATENATE("&lt;/li&gt;&lt;li&gt;&lt;a href=|http://",AM1191,"/2_chronicles/30.htm","| ","title=|",AM1190,"| target=|_top|&gt;",AM1192,"&lt;/a&gt;")</f>
        <v>&lt;/li&gt;&lt;li&gt;&lt;a href=|http://basicenglishbible.com/2_chronicles/30.htm| title=|Bible in Basic English| target=|_top|&gt;BBE&lt;/a&gt;</v>
      </c>
      <c r="AN397" t="str">
        <f t="shared" si="1587"/>
        <v>&lt;/li&gt;&lt;li&gt;&lt;a href=|http://darbybible.com/2_chronicles/30.htm| title=|Darby Bible Translation| target=|_top|&gt;DBY&lt;/a&gt;</v>
      </c>
      <c r="AO39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9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9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97" t="str">
        <f>CONCATENATE("&lt;/li&gt;&lt;li&gt;&lt;a href=|http://",AR1191,"/2_chronicles/30.htm","| ","title=|",AR1190,"| target=|_top|&gt;",AR1192,"&lt;/a&gt;")</f>
        <v>&lt;/li&gt;&lt;li&gt;&lt;a href=|http://websterbible.com/2_chronicles/30.htm| title=|Webster's Bible Translation| target=|_top|&gt;WBS&lt;/a&gt;</v>
      </c>
      <c r="AS39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97" t="str">
        <f>CONCATENATE("&lt;/li&gt;&lt;li&gt;&lt;a href=|http://",AT1191,"/2_chronicles/30-1.htm","| ","title=|",AT1190,"| target=|_top|&gt;",AT1192,"&lt;/a&gt;")</f>
        <v>&lt;/li&gt;&lt;li&gt;&lt;a href=|http://biblebrowser.com/2_chronicles/30-1.htm| title=|Split View| target=|_top|&gt;Split&lt;/a&gt;</v>
      </c>
      <c r="AU397" s="2" t="s">
        <v>1276</v>
      </c>
      <c r="AV397" t="s">
        <v>64</v>
      </c>
    </row>
    <row r="398" spans="1:48">
      <c r="A398" t="s">
        <v>622</v>
      </c>
      <c r="B398" t="s">
        <v>636</v>
      </c>
      <c r="C398" t="s">
        <v>624</v>
      </c>
      <c r="D398" t="s">
        <v>1268</v>
      </c>
      <c r="E398" t="s">
        <v>1277</v>
      </c>
      <c r="F398" t="s">
        <v>1304</v>
      </c>
      <c r="G398" t="s">
        <v>1266</v>
      </c>
      <c r="H398" t="s">
        <v>1305</v>
      </c>
      <c r="I398" t="s">
        <v>1303</v>
      </c>
      <c r="J398" t="s">
        <v>1267</v>
      </c>
      <c r="K398" t="s">
        <v>1275</v>
      </c>
      <c r="L398" s="2" t="s">
        <v>1274</v>
      </c>
      <c r="M398" t="str">
        <f t="shared" ref="M398:AB398" si="1588">CONCATENATE("&lt;/li&gt;&lt;li&gt;&lt;a href=|http://",M1191,"/2_chronicles/31.htm","| ","title=|",M1190,"| target=|_top|&gt;",M1192,"&lt;/a&gt;")</f>
        <v>&lt;/li&gt;&lt;li&gt;&lt;a href=|http://niv.scripturetext.com/2_chronicles/31.htm| title=|New International Version| target=|_top|&gt;NIV&lt;/a&gt;</v>
      </c>
      <c r="N398" t="str">
        <f t="shared" si="1588"/>
        <v>&lt;/li&gt;&lt;li&gt;&lt;a href=|http://nlt.scripturetext.com/2_chronicles/31.htm| title=|New Living Translation| target=|_top|&gt;NLT&lt;/a&gt;</v>
      </c>
      <c r="O398" t="str">
        <f t="shared" si="1588"/>
        <v>&lt;/li&gt;&lt;li&gt;&lt;a href=|http://nasb.scripturetext.com/2_chronicles/31.htm| title=|New American Standard Bible| target=|_top|&gt;NAS&lt;/a&gt;</v>
      </c>
      <c r="P398" t="str">
        <f t="shared" si="1588"/>
        <v>&lt;/li&gt;&lt;li&gt;&lt;a href=|http://gwt.scripturetext.com/2_chronicles/31.htm| title=|God's Word Translation| target=|_top|&gt;GWT&lt;/a&gt;</v>
      </c>
      <c r="Q398" t="str">
        <f t="shared" si="1588"/>
        <v>&lt;/li&gt;&lt;li&gt;&lt;a href=|http://kingjbible.com/2_chronicles/31.htm| title=|King James Bible| target=|_top|&gt;KJV&lt;/a&gt;</v>
      </c>
      <c r="R398" t="str">
        <f t="shared" si="1588"/>
        <v>&lt;/li&gt;&lt;li&gt;&lt;a href=|http://asvbible.com/2_chronicles/31.htm| title=|American Standard Version| target=|_top|&gt;ASV&lt;/a&gt;</v>
      </c>
      <c r="S398" t="str">
        <f t="shared" si="1588"/>
        <v>&lt;/li&gt;&lt;li&gt;&lt;a href=|http://drb.scripturetext.com/2_chronicles/31.htm| title=|Douay-Rheims Bible| target=|_top|&gt;DRB&lt;/a&gt;</v>
      </c>
      <c r="T398" t="str">
        <f t="shared" si="1588"/>
        <v>&lt;/li&gt;&lt;li&gt;&lt;a href=|http://erv.scripturetext.com/2_chronicles/31.htm| title=|English Revised Version| target=|_top|&gt;ERV&lt;/a&gt;</v>
      </c>
      <c r="V398" t="str">
        <f>CONCATENATE("&lt;/li&gt;&lt;li&gt;&lt;a href=|http://",V1191,"/2_chronicles/31.htm","| ","title=|",V1190,"| target=|_top|&gt;",V1192,"&lt;/a&gt;")</f>
        <v>&lt;/li&gt;&lt;li&gt;&lt;a href=|http://study.interlinearbible.org/2_chronicles/31.htm| title=|Hebrew Study Bible| target=|_top|&gt;Heb Study&lt;/a&gt;</v>
      </c>
      <c r="W398" t="str">
        <f t="shared" si="1588"/>
        <v>&lt;/li&gt;&lt;li&gt;&lt;a href=|http://apostolic.interlinearbible.org/2_chronicles/31.htm| title=|Apostolic Bible Polyglot Interlinear| target=|_top|&gt;Polyglot&lt;/a&gt;</v>
      </c>
      <c r="X398" t="str">
        <f t="shared" si="1588"/>
        <v>&lt;/li&gt;&lt;li&gt;&lt;a href=|http://interlinearbible.org/2_chronicles/31.htm| title=|Interlinear Bible| target=|_top|&gt;Interlin&lt;/a&gt;</v>
      </c>
      <c r="Y398" t="str">
        <f t="shared" ref="Y398" si="1589">CONCATENATE("&lt;/li&gt;&lt;li&gt;&lt;a href=|http://",Y1191,"/2_chronicles/31.htm","| ","title=|",Y1190,"| target=|_top|&gt;",Y1192,"&lt;/a&gt;")</f>
        <v>&lt;/li&gt;&lt;li&gt;&lt;a href=|http://bibleoutline.org/2_chronicles/31.htm| title=|Outline with People and Places List| target=|_top|&gt;Outline&lt;/a&gt;</v>
      </c>
      <c r="Z398" t="str">
        <f t="shared" si="1588"/>
        <v>&lt;/li&gt;&lt;li&gt;&lt;a href=|http://kjvs.scripturetext.com/2_chronicles/31.htm| title=|King James Bible with Strong's Numbers| target=|_top|&gt;Strong's&lt;/a&gt;</v>
      </c>
      <c r="AA398" t="str">
        <f t="shared" si="1588"/>
        <v>&lt;/li&gt;&lt;li&gt;&lt;a href=|http://childrensbibleonline.com/2_chronicles/31.htm| title=|The Children's Bible| target=|_top|&gt;Children's&lt;/a&gt;</v>
      </c>
      <c r="AB398" s="2" t="str">
        <f t="shared" si="1588"/>
        <v>&lt;/li&gt;&lt;li&gt;&lt;a href=|http://tsk.scripturetext.com/2_chronicles/31.htm| title=|Treasury of Scripture Knowledge| target=|_top|&gt;TSK&lt;/a&gt;</v>
      </c>
      <c r="AC398" t="str">
        <f>CONCATENATE("&lt;a href=|http://",AC1191,"/2_chronicles/31.htm","| ","title=|",AC1190,"| target=|_top|&gt;",AC1192,"&lt;/a&gt;")</f>
        <v>&lt;a href=|http://parallelbible.com/2_chronicles/31.htm| title=|Parallel Chapters| target=|_top|&gt;PAR&lt;/a&gt;</v>
      </c>
      <c r="AD398" s="2" t="str">
        <f t="shared" ref="AD398:AK398" si="1590">CONCATENATE("&lt;/li&gt;&lt;li&gt;&lt;a href=|http://",AD1191,"/2_chronicles/31.htm","| ","title=|",AD1190,"| target=|_top|&gt;",AD1192,"&lt;/a&gt;")</f>
        <v>&lt;/li&gt;&lt;li&gt;&lt;a href=|http://gsb.biblecommenter.com/2_chronicles/31.htm| title=|Geneva Study Bible| target=|_top|&gt;GSB&lt;/a&gt;</v>
      </c>
      <c r="AE398" s="2" t="str">
        <f t="shared" si="1590"/>
        <v>&lt;/li&gt;&lt;li&gt;&lt;a href=|http://jfb.biblecommenter.com/2_chronicles/31.htm| title=|Jamieson-Fausset-Brown Bible Commentary| target=|_top|&gt;JFB&lt;/a&gt;</v>
      </c>
      <c r="AF398" s="2" t="str">
        <f t="shared" si="1590"/>
        <v>&lt;/li&gt;&lt;li&gt;&lt;a href=|http://kjt.biblecommenter.com/2_chronicles/31.htm| title=|King James Translators' Notes| target=|_top|&gt;KJT&lt;/a&gt;</v>
      </c>
      <c r="AG398" s="2" t="str">
        <f t="shared" si="1590"/>
        <v>&lt;/li&gt;&lt;li&gt;&lt;a href=|http://mhc.biblecommenter.com/2_chronicles/31.htm| title=|Matthew Henry's Concise Commentary| target=|_top|&gt;MHC&lt;/a&gt;</v>
      </c>
      <c r="AH398" s="2" t="str">
        <f t="shared" si="1590"/>
        <v>&lt;/li&gt;&lt;li&gt;&lt;a href=|http://sco.biblecommenter.com/2_chronicles/31.htm| title=|Scofield Reference Notes| target=|_top|&gt;SCO&lt;/a&gt;</v>
      </c>
      <c r="AI398" s="2" t="str">
        <f t="shared" si="1590"/>
        <v>&lt;/li&gt;&lt;li&gt;&lt;a href=|http://wes.biblecommenter.com/2_chronicles/31.htm| title=|Wesley's Notes on the Bible| target=|_top|&gt;WES&lt;/a&gt;</v>
      </c>
      <c r="AJ398" t="str">
        <f t="shared" si="1590"/>
        <v>&lt;/li&gt;&lt;li&gt;&lt;a href=|http://worldebible.com/2_chronicles/31.htm| title=|World English Bible| target=|_top|&gt;WEB&lt;/a&gt;</v>
      </c>
      <c r="AK398" t="str">
        <f t="shared" si="1590"/>
        <v>&lt;/li&gt;&lt;li&gt;&lt;a href=|http://yltbible.com/2_chronicles/31.htm| title=|Young's Literal Translation| target=|_top|&gt;YLT&lt;/a&gt;</v>
      </c>
      <c r="AL398" t="str">
        <f>CONCATENATE("&lt;a href=|http://",AL1191,"/2_chronicles/31.htm","| ","title=|",AL1190,"| target=|_top|&gt;",AL1192,"&lt;/a&gt;")</f>
        <v>&lt;a href=|http://kjv.us/2_chronicles/31.htm| title=|American King James Version| target=|_top|&gt;AKJ&lt;/a&gt;</v>
      </c>
      <c r="AM398" t="str">
        <f t="shared" ref="AM398:AN398" si="1591">CONCATENATE("&lt;/li&gt;&lt;li&gt;&lt;a href=|http://",AM1191,"/2_chronicles/31.htm","| ","title=|",AM1190,"| target=|_top|&gt;",AM1192,"&lt;/a&gt;")</f>
        <v>&lt;/li&gt;&lt;li&gt;&lt;a href=|http://basicenglishbible.com/2_chronicles/31.htm| title=|Bible in Basic English| target=|_top|&gt;BBE&lt;/a&gt;</v>
      </c>
      <c r="AN398" t="str">
        <f t="shared" si="1591"/>
        <v>&lt;/li&gt;&lt;li&gt;&lt;a href=|http://darbybible.com/2_chronicles/31.htm| title=|Darby Bible Translation| target=|_top|&gt;DBY&lt;/a&gt;</v>
      </c>
      <c r="AO39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9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9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98" t="str">
        <f>CONCATENATE("&lt;/li&gt;&lt;li&gt;&lt;a href=|http://",AR1191,"/2_chronicles/31.htm","| ","title=|",AR1190,"| target=|_top|&gt;",AR1192,"&lt;/a&gt;")</f>
        <v>&lt;/li&gt;&lt;li&gt;&lt;a href=|http://websterbible.com/2_chronicles/31.htm| title=|Webster's Bible Translation| target=|_top|&gt;WBS&lt;/a&gt;</v>
      </c>
      <c r="AS39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98" t="str">
        <f>CONCATENATE("&lt;/li&gt;&lt;li&gt;&lt;a href=|http://",AT1191,"/2_chronicles/31-1.htm","| ","title=|",AT1190,"| target=|_top|&gt;",AT1192,"&lt;/a&gt;")</f>
        <v>&lt;/li&gt;&lt;li&gt;&lt;a href=|http://biblebrowser.com/2_chronicles/31-1.htm| title=|Split View| target=|_top|&gt;Split&lt;/a&gt;</v>
      </c>
      <c r="AU398" s="2" t="s">
        <v>1276</v>
      </c>
      <c r="AV398" t="s">
        <v>64</v>
      </c>
    </row>
    <row r="399" spans="1:48">
      <c r="A399" t="s">
        <v>622</v>
      </c>
      <c r="B399" t="s">
        <v>637</v>
      </c>
      <c r="C399" t="s">
        <v>624</v>
      </c>
      <c r="D399" t="s">
        <v>1268</v>
      </c>
      <c r="E399" t="s">
        <v>1277</v>
      </c>
      <c r="F399" t="s">
        <v>1304</v>
      </c>
      <c r="G399" t="s">
        <v>1266</v>
      </c>
      <c r="H399" t="s">
        <v>1305</v>
      </c>
      <c r="I399" t="s">
        <v>1303</v>
      </c>
      <c r="J399" t="s">
        <v>1267</v>
      </c>
      <c r="K399" t="s">
        <v>1275</v>
      </c>
      <c r="L399" s="2" t="s">
        <v>1274</v>
      </c>
      <c r="M399" t="str">
        <f t="shared" ref="M399:AB399" si="1592">CONCATENATE("&lt;/li&gt;&lt;li&gt;&lt;a href=|http://",M1191,"/2_chronicles/32.htm","| ","title=|",M1190,"| target=|_top|&gt;",M1192,"&lt;/a&gt;")</f>
        <v>&lt;/li&gt;&lt;li&gt;&lt;a href=|http://niv.scripturetext.com/2_chronicles/32.htm| title=|New International Version| target=|_top|&gt;NIV&lt;/a&gt;</v>
      </c>
      <c r="N399" t="str">
        <f t="shared" si="1592"/>
        <v>&lt;/li&gt;&lt;li&gt;&lt;a href=|http://nlt.scripturetext.com/2_chronicles/32.htm| title=|New Living Translation| target=|_top|&gt;NLT&lt;/a&gt;</v>
      </c>
      <c r="O399" t="str">
        <f t="shared" si="1592"/>
        <v>&lt;/li&gt;&lt;li&gt;&lt;a href=|http://nasb.scripturetext.com/2_chronicles/32.htm| title=|New American Standard Bible| target=|_top|&gt;NAS&lt;/a&gt;</v>
      </c>
      <c r="P399" t="str">
        <f t="shared" si="1592"/>
        <v>&lt;/li&gt;&lt;li&gt;&lt;a href=|http://gwt.scripturetext.com/2_chronicles/32.htm| title=|God's Word Translation| target=|_top|&gt;GWT&lt;/a&gt;</v>
      </c>
      <c r="Q399" t="str">
        <f t="shared" si="1592"/>
        <v>&lt;/li&gt;&lt;li&gt;&lt;a href=|http://kingjbible.com/2_chronicles/32.htm| title=|King James Bible| target=|_top|&gt;KJV&lt;/a&gt;</v>
      </c>
      <c r="R399" t="str">
        <f t="shared" si="1592"/>
        <v>&lt;/li&gt;&lt;li&gt;&lt;a href=|http://asvbible.com/2_chronicles/32.htm| title=|American Standard Version| target=|_top|&gt;ASV&lt;/a&gt;</v>
      </c>
      <c r="S399" t="str">
        <f t="shared" si="1592"/>
        <v>&lt;/li&gt;&lt;li&gt;&lt;a href=|http://drb.scripturetext.com/2_chronicles/32.htm| title=|Douay-Rheims Bible| target=|_top|&gt;DRB&lt;/a&gt;</v>
      </c>
      <c r="T399" t="str">
        <f t="shared" si="1592"/>
        <v>&lt;/li&gt;&lt;li&gt;&lt;a href=|http://erv.scripturetext.com/2_chronicles/32.htm| title=|English Revised Version| target=|_top|&gt;ERV&lt;/a&gt;</v>
      </c>
      <c r="V399" t="str">
        <f>CONCATENATE("&lt;/li&gt;&lt;li&gt;&lt;a href=|http://",V1191,"/2_chronicles/32.htm","| ","title=|",V1190,"| target=|_top|&gt;",V1192,"&lt;/a&gt;")</f>
        <v>&lt;/li&gt;&lt;li&gt;&lt;a href=|http://study.interlinearbible.org/2_chronicles/32.htm| title=|Hebrew Study Bible| target=|_top|&gt;Heb Study&lt;/a&gt;</v>
      </c>
      <c r="W399" t="str">
        <f t="shared" si="1592"/>
        <v>&lt;/li&gt;&lt;li&gt;&lt;a href=|http://apostolic.interlinearbible.org/2_chronicles/32.htm| title=|Apostolic Bible Polyglot Interlinear| target=|_top|&gt;Polyglot&lt;/a&gt;</v>
      </c>
      <c r="X399" t="str">
        <f t="shared" si="1592"/>
        <v>&lt;/li&gt;&lt;li&gt;&lt;a href=|http://interlinearbible.org/2_chronicles/32.htm| title=|Interlinear Bible| target=|_top|&gt;Interlin&lt;/a&gt;</v>
      </c>
      <c r="Y399" t="str">
        <f t="shared" ref="Y399" si="1593">CONCATENATE("&lt;/li&gt;&lt;li&gt;&lt;a href=|http://",Y1191,"/2_chronicles/32.htm","| ","title=|",Y1190,"| target=|_top|&gt;",Y1192,"&lt;/a&gt;")</f>
        <v>&lt;/li&gt;&lt;li&gt;&lt;a href=|http://bibleoutline.org/2_chronicles/32.htm| title=|Outline with People and Places List| target=|_top|&gt;Outline&lt;/a&gt;</v>
      </c>
      <c r="Z399" t="str">
        <f t="shared" si="1592"/>
        <v>&lt;/li&gt;&lt;li&gt;&lt;a href=|http://kjvs.scripturetext.com/2_chronicles/32.htm| title=|King James Bible with Strong's Numbers| target=|_top|&gt;Strong's&lt;/a&gt;</v>
      </c>
      <c r="AA399" t="str">
        <f t="shared" si="1592"/>
        <v>&lt;/li&gt;&lt;li&gt;&lt;a href=|http://childrensbibleonline.com/2_chronicles/32.htm| title=|The Children's Bible| target=|_top|&gt;Children's&lt;/a&gt;</v>
      </c>
      <c r="AB399" s="2" t="str">
        <f t="shared" si="1592"/>
        <v>&lt;/li&gt;&lt;li&gt;&lt;a href=|http://tsk.scripturetext.com/2_chronicles/32.htm| title=|Treasury of Scripture Knowledge| target=|_top|&gt;TSK&lt;/a&gt;</v>
      </c>
      <c r="AC399" t="str">
        <f>CONCATENATE("&lt;a href=|http://",AC1191,"/2_chronicles/32.htm","| ","title=|",AC1190,"| target=|_top|&gt;",AC1192,"&lt;/a&gt;")</f>
        <v>&lt;a href=|http://parallelbible.com/2_chronicles/32.htm| title=|Parallel Chapters| target=|_top|&gt;PAR&lt;/a&gt;</v>
      </c>
      <c r="AD399" s="2" t="str">
        <f t="shared" ref="AD399:AK399" si="1594">CONCATENATE("&lt;/li&gt;&lt;li&gt;&lt;a href=|http://",AD1191,"/2_chronicles/32.htm","| ","title=|",AD1190,"| target=|_top|&gt;",AD1192,"&lt;/a&gt;")</f>
        <v>&lt;/li&gt;&lt;li&gt;&lt;a href=|http://gsb.biblecommenter.com/2_chronicles/32.htm| title=|Geneva Study Bible| target=|_top|&gt;GSB&lt;/a&gt;</v>
      </c>
      <c r="AE399" s="2" t="str">
        <f t="shared" si="1594"/>
        <v>&lt;/li&gt;&lt;li&gt;&lt;a href=|http://jfb.biblecommenter.com/2_chronicles/32.htm| title=|Jamieson-Fausset-Brown Bible Commentary| target=|_top|&gt;JFB&lt;/a&gt;</v>
      </c>
      <c r="AF399" s="2" t="str">
        <f t="shared" si="1594"/>
        <v>&lt;/li&gt;&lt;li&gt;&lt;a href=|http://kjt.biblecommenter.com/2_chronicles/32.htm| title=|King James Translators' Notes| target=|_top|&gt;KJT&lt;/a&gt;</v>
      </c>
      <c r="AG399" s="2" t="str">
        <f t="shared" si="1594"/>
        <v>&lt;/li&gt;&lt;li&gt;&lt;a href=|http://mhc.biblecommenter.com/2_chronicles/32.htm| title=|Matthew Henry's Concise Commentary| target=|_top|&gt;MHC&lt;/a&gt;</v>
      </c>
      <c r="AH399" s="2" t="str">
        <f t="shared" si="1594"/>
        <v>&lt;/li&gt;&lt;li&gt;&lt;a href=|http://sco.biblecommenter.com/2_chronicles/32.htm| title=|Scofield Reference Notes| target=|_top|&gt;SCO&lt;/a&gt;</v>
      </c>
      <c r="AI399" s="2" t="str">
        <f t="shared" si="1594"/>
        <v>&lt;/li&gt;&lt;li&gt;&lt;a href=|http://wes.biblecommenter.com/2_chronicles/32.htm| title=|Wesley's Notes on the Bible| target=|_top|&gt;WES&lt;/a&gt;</v>
      </c>
      <c r="AJ399" t="str">
        <f t="shared" si="1594"/>
        <v>&lt;/li&gt;&lt;li&gt;&lt;a href=|http://worldebible.com/2_chronicles/32.htm| title=|World English Bible| target=|_top|&gt;WEB&lt;/a&gt;</v>
      </c>
      <c r="AK399" t="str">
        <f t="shared" si="1594"/>
        <v>&lt;/li&gt;&lt;li&gt;&lt;a href=|http://yltbible.com/2_chronicles/32.htm| title=|Young's Literal Translation| target=|_top|&gt;YLT&lt;/a&gt;</v>
      </c>
      <c r="AL399" t="str">
        <f>CONCATENATE("&lt;a href=|http://",AL1191,"/2_chronicles/32.htm","| ","title=|",AL1190,"| target=|_top|&gt;",AL1192,"&lt;/a&gt;")</f>
        <v>&lt;a href=|http://kjv.us/2_chronicles/32.htm| title=|American King James Version| target=|_top|&gt;AKJ&lt;/a&gt;</v>
      </c>
      <c r="AM399" t="str">
        <f t="shared" ref="AM399:AN399" si="1595">CONCATENATE("&lt;/li&gt;&lt;li&gt;&lt;a href=|http://",AM1191,"/2_chronicles/32.htm","| ","title=|",AM1190,"| target=|_top|&gt;",AM1192,"&lt;/a&gt;")</f>
        <v>&lt;/li&gt;&lt;li&gt;&lt;a href=|http://basicenglishbible.com/2_chronicles/32.htm| title=|Bible in Basic English| target=|_top|&gt;BBE&lt;/a&gt;</v>
      </c>
      <c r="AN399" t="str">
        <f t="shared" si="1595"/>
        <v>&lt;/li&gt;&lt;li&gt;&lt;a href=|http://darbybible.com/2_chronicles/32.htm| title=|Darby Bible Translation| target=|_top|&gt;DBY&lt;/a&gt;</v>
      </c>
      <c r="AO39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39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39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399" t="str">
        <f>CONCATENATE("&lt;/li&gt;&lt;li&gt;&lt;a href=|http://",AR1191,"/2_chronicles/32.htm","| ","title=|",AR1190,"| target=|_top|&gt;",AR1192,"&lt;/a&gt;")</f>
        <v>&lt;/li&gt;&lt;li&gt;&lt;a href=|http://websterbible.com/2_chronicles/32.htm| title=|Webster's Bible Translation| target=|_top|&gt;WBS&lt;/a&gt;</v>
      </c>
      <c r="AS39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399" t="str">
        <f>CONCATENATE("&lt;/li&gt;&lt;li&gt;&lt;a href=|http://",AT1191,"/2_chronicles/32-1.htm","| ","title=|",AT1190,"| target=|_top|&gt;",AT1192,"&lt;/a&gt;")</f>
        <v>&lt;/li&gt;&lt;li&gt;&lt;a href=|http://biblebrowser.com/2_chronicles/32-1.htm| title=|Split View| target=|_top|&gt;Split&lt;/a&gt;</v>
      </c>
      <c r="AU399" s="2" t="s">
        <v>1276</v>
      </c>
      <c r="AV399" t="s">
        <v>64</v>
      </c>
    </row>
    <row r="400" spans="1:48">
      <c r="A400" t="s">
        <v>622</v>
      </c>
      <c r="B400" t="s">
        <v>638</v>
      </c>
      <c r="C400" t="s">
        <v>624</v>
      </c>
      <c r="D400" t="s">
        <v>1268</v>
      </c>
      <c r="E400" t="s">
        <v>1277</v>
      </c>
      <c r="F400" t="s">
        <v>1304</v>
      </c>
      <c r="G400" t="s">
        <v>1266</v>
      </c>
      <c r="H400" t="s">
        <v>1305</v>
      </c>
      <c r="I400" t="s">
        <v>1303</v>
      </c>
      <c r="J400" t="s">
        <v>1267</v>
      </c>
      <c r="K400" t="s">
        <v>1275</v>
      </c>
      <c r="L400" s="2" t="s">
        <v>1274</v>
      </c>
      <c r="M400" t="str">
        <f t="shared" ref="M400:AB400" si="1596">CONCATENATE("&lt;/li&gt;&lt;li&gt;&lt;a href=|http://",M1191,"/2_chronicles/33.htm","| ","title=|",M1190,"| target=|_top|&gt;",M1192,"&lt;/a&gt;")</f>
        <v>&lt;/li&gt;&lt;li&gt;&lt;a href=|http://niv.scripturetext.com/2_chronicles/33.htm| title=|New International Version| target=|_top|&gt;NIV&lt;/a&gt;</v>
      </c>
      <c r="N400" t="str">
        <f t="shared" si="1596"/>
        <v>&lt;/li&gt;&lt;li&gt;&lt;a href=|http://nlt.scripturetext.com/2_chronicles/33.htm| title=|New Living Translation| target=|_top|&gt;NLT&lt;/a&gt;</v>
      </c>
      <c r="O400" t="str">
        <f t="shared" si="1596"/>
        <v>&lt;/li&gt;&lt;li&gt;&lt;a href=|http://nasb.scripturetext.com/2_chronicles/33.htm| title=|New American Standard Bible| target=|_top|&gt;NAS&lt;/a&gt;</v>
      </c>
      <c r="P400" t="str">
        <f t="shared" si="1596"/>
        <v>&lt;/li&gt;&lt;li&gt;&lt;a href=|http://gwt.scripturetext.com/2_chronicles/33.htm| title=|God's Word Translation| target=|_top|&gt;GWT&lt;/a&gt;</v>
      </c>
      <c r="Q400" t="str">
        <f t="shared" si="1596"/>
        <v>&lt;/li&gt;&lt;li&gt;&lt;a href=|http://kingjbible.com/2_chronicles/33.htm| title=|King James Bible| target=|_top|&gt;KJV&lt;/a&gt;</v>
      </c>
      <c r="R400" t="str">
        <f t="shared" si="1596"/>
        <v>&lt;/li&gt;&lt;li&gt;&lt;a href=|http://asvbible.com/2_chronicles/33.htm| title=|American Standard Version| target=|_top|&gt;ASV&lt;/a&gt;</v>
      </c>
      <c r="S400" t="str">
        <f t="shared" si="1596"/>
        <v>&lt;/li&gt;&lt;li&gt;&lt;a href=|http://drb.scripturetext.com/2_chronicles/33.htm| title=|Douay-Rheims Bible| target=|_top|&gt;DRB&lt;/a&gt;</v>
      </c>
      <c r="T400" t="str">
        <f t="shared" si="1596"/>
        <v>&lt;/li&gt;&lt;li&gt;&lt;a href=|http://erv.scripturetext.com/2_chronicles/33.htm| title=|English Revised Version| target=|_top|&gt;ERV&lt;/a&gt;</v>
      </c>
      <c r="V400" t="str">
        <f>CONCATENATE("&lt;/li&gt;&lt;li&gt;&lt;a href=|http://",V1191,"/2_chronicles/33.htm","| ","title=|",V1190,"| target=|_top|&gt;",V1192,"&lt;/a&gt;")</f>
        <v>&lt;/li&gt;&lt;li&gt;&lt;a href=|http://study.interlinearbible.org/2_chronicles/33.htm| title=|Hebrew Study Bible| target=|_top|&gt;Heb Study&lt;/a&gt;</v>
      </c>
      <c r="W400" t="str">
        <f t="shared" si="1596"/>
        <v>&lt;/li&gt;&lt;li&gt;&lt;a href=|http://apostolic.interlinearbible.org/2_chronicles/33.htm| title=|Apostolic Bible Polyglot Interlinear| target=|_top|&gt;Polyglot&lt;/a&gt;</v>
      </c>
      <c r="X400" t="str">
        <f t="shared" si="1596"/>
        <v>&lt;/li&gt;&lt;li&gt;&lt;a href=|http://interlinearbible.org/2_chronicles/33.htm| title=|Interlinear Bible| target=|_top|&gt;Interlin&lt;/a&gt;</v>
      </c>
      <c r="Y400" t="str">
        <f t="shared" ref="Y400" si="1597">CONCATENATE("&lt;/li&gt;&lt;li&gt;&lt;a href=|http://",Y1191,"/2_chronicles/33.htm","| ","title=|",Y1190,"| target=|_top|&gt;",Y1192,"&lt;/a&gt;")</f>
        <v>&lt;/li&gt;&lt;li&gt;&lt;a href=|http://bibleoutline.org/2_chronicles/33.htm| title=|Outline with People and Places List| target=|_top|&gt;Outline&lt;/a&gt;</v>
      </c>
      <c r="Z400" t="str">
        <f t="shared" si="1596"/>
        <v>&lt;/li&gt;&lt;li&gt;&lt;a href=|http://kjvs.scripturetext.com/2_chronicles/33.htm| title=|King James Bible with Strong's Numbers| target=|_top|&gt;Strong's&lt;/a&gt;</v>
      </c>
      <c r="AA400" t="str">
        <f t="shared" si="1596"/>
        <v>&lt;/li&gt;&lt;li&gt;&lt;a href=|http://childrensbibleonline.com/2_chronicles/33.htm| title=|The Children's Bible| target=|_top|&gt;Children's&lt;/a&gt;</v>
      </c>
      <c r="AB400" s="2" t="str">
        <f t="shared" si="1596"/>
        <v>&lt;/li&gt;&lt;li&gt;&lt;a href=|http://tsk.scripturetext.com/2_chronicles/33.htm| title=|Treasury of Scripture Knowledge| target=|_top|&gt;TSK&lt;/a&gt;</v>
      </c>
      <c r="AC400" t="str">
        <f>CONCATENATE("&lt;a href=|http://",AC1191,"/2_chronicles/33.htm","| ","title=|",AC1190,"| target=|_top|&gt;",AC1192,"&lt;/a&gt;")</f>
        <v>&lt;a href=|http://parallelbible.com/2_chronicles/33.htm| title=|Parallel Chapters| target=|_top|&gt;PAR&lt;/a&gt;</v>
      </c>
      <c r="AD400" s="2" t="str">
        <f t="shared" ref="AD400:AK400" si="1598">CONCATENATE("&lt;/li&gt;&lt;li&gt;&lt;a href=|http://",AD1191,"/2_chronicles/33.htm","| ","title=|",AD1190,"| target=|_top|&gt;",AD1192,"&lt;/a&gt;")</f>
        <v>&lt;/li&gt;&lt;li&gt;&lt;a href=|http://gsb.biblecommenter.com/2_chronicles/33.htm| title=|Geneva Study Bible| target=|_top|&gt;GSB&lt;/a&gt;</v>
      </c>
      <c r="AE400" s="2" t="str">
        <f t="shared" si="1598"/>
        <v>&lt;/li&gt;&lt;li&gt;&lt;a href=|http://jfb.biblecommenter.com/2_chronicles/33.htm| title=|Jamieson-Fausset-Brown Bible Commentary| target=|_top|&gt;JFB&lt;/a&gt;</v>
      </c>
      <c r="AF400" s="2" t="str">
        <f t="shared" si="1598"/>
        <v>&lt;/li&gt;&lt;li&gt;&lt;a href=|http://kjt.biblecommenter.com/2_chronicles/33.htm| title=|King James Translators' Notes| target=|_top|&gt;KJT&lt;/a&gt;</v>
      </c>
      <c r="AG400" s="2" t="str">
        <f t="shared" si="1598"/>
        <v>&lt;/li&gt;&lt;li&gt;&lt;a href=|http://mhc.biblecommenter.com/2_chronicles/33.htm| title=|Matthew Henry's Concise Commentary| target=|_top|&gt;MHC&lt;/a&gt;</v>
      </c>
      <c r="AH400" s="2" t="str">
        <f t="shared" si="1598"/>
        <v>&lt;/li&gt;&lt;li&gt;&lt;a href=|http://sco.biblecommenter.com/2_chronicles/33.htm| title=|Scofield Reference Notes| target=|_top|&gt;SCO&lt;/a&gt;</v>
      </c>
      <c r="AI400" s="2" t="str">
        <f t="shared" si="1598"/>
        <v>&lt;/li&gt;&lt;li&gt;&lt;a href=|http://wes.biblecommenter.com/2_chronicles/33.htm| title=|Wesley's Notes on the Bible| target=|_top|&gt;WES&lt;/a&gt;</v>
      </c>
      <c r="AJ400" t="str">
        <f t="shared" si="1598"/>
        <v>&lt;/li&gt;&lt;li&gt;&lt;a href=|http://worldebible.com/2_chronicles/33.htm| title=|World English Bible| target=|_top|&gt;WEB&lt;/a&gt;</v>
      </c>
      <c r="AK400" t="str">
        <f t="shared" si="1598"/>
        <v>&lt;/li&gt;&lt;li&gt;&lt;a href=|http://yltbible.com/2_chronicles/33.htm| title=|Young's Literal Translation| target=|_top|&gt;YLT&lt;/a&gt;</v>
      </c>
      <c r="AL400" t="str">
        <f>CONCATENATE("&lt;a href=|http://",AL1191,"/2_chronicles/33.htm","| ","title=|",AL1190,"| target=|_top|&gt;",AL1192,"&lt;/a&gt;")</f>
        <v>&lt;a href=|http://kjv.us/2_chronicles/33.htm| title=|American King James Version| target=|_top|&gt;AKJ&lt;/a&gt;</v>
      </c>
      <c r="AM400" t="str">
        <f t="shared" ref="AM400:AN400" si="1599">CONCATENATE("&lt;/li&gt;&lt;li&gt;&lt;a href=|http://",AM1191,"/2_chronicles/33.htm","| ","title=|",AM1190,"| target=|_top|&gt;",AM1192,"&lt;/a&gt;")</f>
        <v>&lt;/li&gt;&lt;li&gt;&lt;a href=|http://basicenglishbible.com/2_chronicles/33.htm| title=|Bible in Basic English| target=|_top|&gt;BBE&lt;/a&gt;</v>
      </c>
      <c r="AN400" t="str">
        <f t="shared" si="1599"/>
        <v>&lt;/li&gt;&lt;li&gt;&lt;a href=|http://darbybible.com/2_chronicles/33.htm| title=|Darby Bible Translation| target=|_top|&gt;DBY&lt;/a&gt;</v>
      </c>
      <c r="AO40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0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0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00" t="str">
        <f>CONCATENATE("&lt;/li&gt;&lt;li&gt;&lt;a href=|http://",AR1191,"/2_chronicles/33.htm","| ","title=|",AR1190,"| target=|_top|&gt;",AR1192,"&lt;/a&gt;")</f>
        <v>&lt;/li&gt;&lt;li&gt;&lt;a href=|http://websterbible.com/2_chronicles/33.htm| title=|Webster's Bible Translation| target=|_top|&gt;WBS&lt;/a&gt;</v>
      </c>
      <c r="AS40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00" t="str">
        <f>CONCATENATE("&lt;/li&gt;&lt;li&gt;&lt;a href=|http://",AT1191,"/2_chronicles/33-1.htm","| ","title=|",AT1190,"| target=|_top|&gt;",AT1192,"&lt;/a&gt;")</f>
        <v>&lt;/li&gt;&lt;li&gt;&lt;a href=|http://biblebrowser.com/2_chronicles/33-1.htm| title=|Split View| target=|_top|&gt;Split&lt;/a&gt;</v>
      </c>
      <c r="AU400" s="2" t="s">
        <v>1276</v>
      </c>
      <c r="AV400" t="s">
        <v>64</v>
      </c>
    </row>
    <row r="401" spans="1:48">
      <c r="A401" t="s">
        <v>622</v>
      </c>
      <c r="B401" t="s">
        <v>639</v>
      </c>
      <c r="C401" t="s">
        <v>624</v>
      </c>
      <c r="D401" t="s">
        <v>1268</v>
      </c>
      <c r="E401" t="s">
        <v>1277</v>
      </c>
      <c r="F401" t="s">
        <v>1304</v>
      </c>
      <c r="G401" t="s">
        <v>1266</v>
      </c>
      <c r="H401" t="s">
        <v>1305</v>
      </c>
      <c r="I401" t="s">
        <v>1303</v>
      </c>
      <c r="J401" t="s">
        <v>1267</v>
      </c>
      <c r="K401" t="s">
        <v>1275</v>
      </c>
      <c r="L401" s="2" t="s">
        <v>1274</v>
      </c>
      <c r="M401" t="str">
        <f t="shared" ref="M401:AB401" si="1600">CONCATENATE("&lt;/li&gt;&lt;li&gt;&lt;a href=|http://",M1191,"/2_chronicles/34.htm","| ","title=|",M1190,"| target=|_top|&gt;",M1192,"&lt;/a&gt;")</f>
        <v>&lt;/li&gt;&lt;li&gt;&lt;a href=|http://niv.scripturetext.com/2_chronicles/34.htm| title=|New International Version| target=|_top|&gt;NIV&lt;/a&gt;</v>
      </c>
      <c r="N401" t="str">
        <f t="shared" si="1600"/>
        <v>&lt;/li&gt;&lt;li&gt;&lt;a href=|http://nlt.scripturetext.com/2_chronicles/34.htm| title=|New Living Translation| target=|_top|&gt;NLT&lt;/a&gt;</v>
      </c>
      <c r="O401" t="str">
        <f t="shared" si="1600"/>
        <v>&lt;/li&gt;&lt;li&gt;&lt;a href=|http://nasb.scripturetext.com/2_chronicles/34.htm| title=|New American Standard Bible| target=|_top|&gt;NAS&lt;/a&gt;</v>
      </c>
      <c r="P401" t="str">
        <f t="shared" si="1600"/>
        <v>&lt;/li&gt;&lt;li&gt;&lt;a href=|http://gwt.scripturetext.com/2_chronicles/34.htm| title=|God's Word Translation| target=|_top|&gt;GWT&lt;/a&gt;</v>
      </c>
      <c r="Q401" t="str">
        <f t="shared" si="1600"/>
        <v>&lt;/li&gt;&lt;li&gt;&lt;a href=|http://kingjbible.com/2_chronicles/34.htm| title=|King James Bible| target=|_top|&gt;KJV&lt;/a&gt;</v>
      </c>
      <c r="R401" t="str">
        <f t="shared" si="1600"/>
        <v>&lt;/li&gt;&lt;li&gt;&lt;a href=|http://asvbible.com/2_chronicles/34.htm| title=|American Standard Version| target=|_top|&gt;ASV&lt;/a&gt;</v>
      </c>
      <c r="S401" t="str">
        <f t="shared" si="1600"/>
        <v>&lt;/li&gt;&lt;li&gt;&lt;a href=|http://drb.scripturetext.com/2_chronicles/34.htm| title=|Douay-Rheims Bible| target=|_top|&gt;DRB&lt;/a&gt;</v>
      </c>
      <c r="T401" t="str">
        <f t="shared" si="1600"/>
        <v>&lt;/li&gt;&lt;li&gt;&lt;a href=|http://erv.scripturetext.com/2_chronicles/34.htm| title=|English Revised Version| target=|_top|&gt;ERV&lt;/a&gt;</v>
      </c>
      <c r="V401" t="str">
        <f>CONCATENATE("&lt;/li&gt;&lt;li&gt;&lt;a href=|http://",V1191,"/2_chronicles/34.htm","| ","title=|",V1190,"| target=|_top|&gt;",V1192,"&lt;/a&gt;")</f>
        <v>&lt;/li&gt;&lt;li&gt;&lt;a href=|http://study.interlinearbible.org/2_chronicles/34.htm| title=|Hebrew Study Bible| target=|_top|&gt;Heb Study&lt;/a&gt;</v>
      </c>
      <c r="W401" t="str">
        <f t="shared" si="1600"/>
        <v>&lt;/li&gt;&lt;li&gt;&lt;a href=|http://apostolic.interlinearbible.org/2_chronicles/34.htm| title=|Apostolic Bible Polyglot Interlinear| target=|_top|&gt;Polyglot&lt;/a&gt;</v>
      </c>
      <c r="X401" t="str">
        <f t="shared" si="1600"/>
        <v>&lt;/li&gt;&lt;li&gt;&lt;a href=|http://interlinearbible.org/2_chronicles/34.htm| title=|Interlinear Bible| target=|_top|&gt;Interlin&lt;/a&gt;</v>
      </c>
      <c r="Y401" t="str">
        <f t="shared" ref="Y401" si="1601">CONCATENATE("&lt;/li&gt;&lt;li&gt;&lt;a href=|http://",Y1191,"/2_chronicles/34.htm","| ","title=|",Y1190,"| target=|_top|&gt;",Y1192,"&lt;/a&gt;")</f>
        <v>&lt;/li&gt;&lt;li&gt;&lt;a href=|http://bibleoutline.org/2_chronicles/34.htm| title=|Outline with People and Places List| target=|_top|&gt;Outline&lt;/a&gt;</v>
      </c>
      <c r="Z401" t="str">
        <f t="shared" si="1600"/>
        <v>&lt;/li&gt;&lt;li&gt;&lt;a href=|http://kjvs.scripturetext.com/2_chronicles/34.htm| title=|King James Bible with Strong's Numbers| target=|_top|&gt;Strong's&lt;/a&gt;</v>
      </c>
      <c r="AA401" t="str">
        <f t="shared" si="1600"/>
        <v>&lt;/li&gt;&lt;li&gt;&lt;a href=|http://childrensbibleonline.com/2_chronicles/34.htm| title=|The Children's Bible| target=|_top|&gt;Children's&lt;/a&gt;</v>
      </c>
      <c r="AB401" s="2" t="str">
        <f t="shared" si="1600"/>
        <v>&lt;/li&gt;&lt;li&gt;&lt;a href=|http://tsk.scripturetext.com/2_chronicles/34.htm| title=|Treasury of Scripture Knowledge| target=|_top|&gt;TSK&lt;/a&gt;</v>
      </c>
      <c r="AC401" t="str">
        <f>CONCATENATE("&lt;a href=|http://",AC1191,"/2_chronicles/34.htm","| ","title=|",AC1190,"| target=|_top|&gt;",AC1192,"&lt;/a&gt;")</f>
        <v>&lt;a href=|http://parallelbible.com/2_chronicles/34.htm| title=|Parallel Chapters| target=|_top|&gt;PAR&lt;/a&gt;</v>
      </c>
      <c r="AD401" s="2" t="str">
        <f t="shared" ref="AD401:AK401" si="1602">CONCATENATE("&lt;/li&gt;&lt;li&gt;&lt;a href=|http://",AD1191,"/2_chronicles/34.htm","| ","title=|",AD1190,"| target=|_top|&gt;",AD1192,"&lt;/a&gt;")</f>
        <v>&lt;/li&gt;&lt;li&gt;&lt;a href=|http://gsb.biblecommenter.com/2_chronicles/34.htm| title=|Geneva Study Bible| target=|_top|&gt;GSB&lt;/a&gt;</v>
      </c>
      <c r="AE401" s="2" t="str">
        <f t="shared" si="1602"/>
        <v>&lt;/li&gt;&lt;li&gt;&lt;a href=|http://jfb.biblecommenter.com/2_chronicles/34.htm| title=|Jamieson-Fausset-Brown Bible Commentary| target=|_top|&gt;JFB&lt;/a&gt;</v>
      </c>
      <c r="AF401" s="2" t="str">
        <f t="shared" si="1602"/>
        <v>&lt;/li&gt;&lt;li&gt;&lt;a href=|http://kjt.biblecommenter.com/2_chronicles/34.htm| title=|King James Translators' Notes| target=|_top|&gt;KJT&lt;/a&gt;</v>
      </c>
      <c r="AG401" s="2" t="str">
        <f t="shared" si="1602"/>
        <v>&lt;/li&gt;&lt;li&gt;&lt;a href=|http://mhc.biblecommenter.com/2_chronicles/34.htm| title=|Matthew Henry's Concise Commentary| target=|_top|&gt;MHC&lt;/a&gt;</v>
      </c>
      <c r="AH401" s="2" t="str">
        <f t="shared" si="1602"/>
        <v>&lt;/li&gt;&lt;li&gt;&lt;a href=|http://sco.biblecommenter.com/2_chronicles/34.htm| title=|Scofield Reference Notes| target=|_top|&gt;SCO&lt;/a&gt;</v>
      </c>
      <c r="AI401" s="2" t="str">
        <f t="shared" si="1602"/>
        <v>&lt;/li&gt;&lt;li&gt;&lt;a href=|http://wes.biblecommenter.com/2_chronicles/34.htm| title=|Wesley's Notes on the Bible| target=|_top|&gt;WES&lt;/a&gt;</v>
      </c>
      <c r="AJ401" t="str">
        <f t="shared" si="1602"/>
        <v>&lt;/li&gt;&lt;li&gt;&lt;a href=|http://worldebible.com/2_chronicles/34.htm| title=|World English Bible| target=|_top|&gt;WEB&lt;/a&gt;</v>
      </c>
      <c r="AK401" t="str">
        <f t="shared" si="1602"/>
        <v>&lt;/li&gt;&lt;li&gt;&lt;a href=|http://yltbible.com/2_chronicles/34.htm| title=|Young's Literal Translation| target=|_top|&gt;YLT&lt;/a&gt;</v>
      </c>
      <c r="AL401" t="str">
        <f>CONCATENATE("&lt;a href=|http://",AL1191,"/2_chronicles/34.htm","| ","title=|",AL1190,"| target=|_top|&gt;",AL1192,"&lt;/a&gt;")</f>
        <v>&lt;a href=|http://kjv.us/2_chronicles/34.htm| title=|American King James Version| target=|_top|&gt;AKJ&lt;/a&gt;</v>
      </c>
      <c r="AM401" t="str">
        <f t="shared" ref="AM401:AN401" si="1603">CONCATENATE("&lt;/li&gt;&lt;li&gt;&lt;a href=|http://",AM1191,"/2_chronicles/34.htm","| ","title=|",AM1190,"| target=|_top|&gt;",AM1192,"&lt;/a&gt;")</f>
        <v>&lt;/li&gt;&lt;li&gt;&lt;a href=|http://basicenglishbible.com/2_chronicles/34.htm| title=|Bible in Basic English| target=|_top|&gt;BBE&lt;/a&gt;</v>
      </c>
      <c r="AN401" t="str">
        <f t="shared" si="1603"/>
        <v>&lt;/li&gt;&lt;li&gt;&lt;a href=|http://darbybible.com/2_chronicles/34.htm| title=|Darby Bible Translation| target=|_top|&gt;DBY&lt;/a&gt;</v>
      </c>
      <c r="AO40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0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0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01" t="str">
        <f>CONCATENATE("&lt;/li&gt;&lt;li&gt;&lt;a href=|http://",AR1191,"/2_chronicles/34.htm","| ","title=|",AR1190,"| target=|_top|&gt;",AR1192,"&lt;/a&gt;")</f>
        <v>&lt;/li&gt;&lt;li&gt;&lt;a href=|http://websterbible.com/2_chronicles/34.htm| title=|Webster's Bible Translation| target=|_top|&gt;WBS&lt;/a&gt;</v>
      </c>
      <c r="AS40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01" t="str">
        <f>CONCATENATE("&lt;/li&gt;&lt;li&gt;&lt;a href=|http://",AT1191,"/2_chronicles/34-1.htm","| ","title=|",AT1190,"| target=|_top|&gt;",AT1192,"&lt;/a&gt;")</f>
        <v>&lt;/li&gt;&lt;li&gt;&lt;a href=|http://biblebrowser.com/2_chronicles/34-1.htm| title=|Split View| target=|_top|&gt;Split&lt;/a&gt;</v>
      </c>
      <c r="AU401" s="2" t="s">
        <v>1276</v>
      </c>
      <c r="AV401" t="s">
        <v>64</v>
      </c>
    </row>
    <row r="402" spans="1:48">
      <c r="A402" t="s">
        <v>622</v>
      </c>
      <c r="B402" t="s">
        <v>640</v>
      </c>
      <c r="C402" t="s">
        <v>624</v>
      </c>
      <c r="D402" t="s">
        <v>1268</v>
      </c>
      <c r="E402" t="s">
        <v>1277</v>
      </c>
      <c r="F402" t="s">
        <v>1304</v>
      </c>
      <c r="G402" t="s">
        <v>1266</v>
      </c>
      <c r="H402" t="s">
        <v>1305</v>
      </c>
      <c r="I402" t="s">
        <v>1303</v>
      </c>
      <c r="J402" t="s">
        <v>1267</v>
      </c>
      <c r="K402" t="s">
        <v>1275</v>
      </c>
      <c r="L402" s="2" t="s">
        <v>1274</v>
      </c>
      <c r="M402" t="str">
        <f t="shared" ref="M402:AB402" si="1604">CONCATENATE("&lt;/li&gt;&lt;li&gt;&lt;a href=|http://",M1191,"/2_chronicles/35.htm","| ","title=|",M1190,"| target=|_top|&gt;",M1192,"&lt;/a&gt;")</f>
        <v>&lt;/li&gt;&lt;li&gt;&lt;a href=|http://niv.scripturetext.com/2_chronicles/35.htm| title=|New International Version| target=|_top|&gt;NIV&lt;/a&gt;</v>
      </c>
      <c r="N402" t="str">
        <f t="shared" si="1604"/>
        <v>&lt;/li&gt;&lt;li&gt;&lt;a href=|http://nlt.scripturetext.com/2_chronicles/35.htm| title=|New Living Translation| target=|_top|&gt;NLT&lt;/a&gt;</v>
      </c>
      <c r="O402" t="str">
        <f t="shared" si="1604"/>
        <v>&lt;/li&gt;&lt;li&gt;&lt;a href=|http://nasb.scripturetext.com/2_chronicles/35.htm| title=|New American Standard Bible| target=|_top|&gt;NAS&lt;/a&gt;</v>
      </c>
      <c r="P402" t="str">
        <f t="shared" si="1604"/>
        <v>&lt;/li&gt;&lt;li&gt;&lt;a href=|http://gwt.scripturetext.com/2_chronicles/35.htm| title=|God's Word Translation| target=|_top|&gt;GWT&lt;/a&gt;</v>
      </c>
      <c r="Q402" t="str">
        <f t="shared" si="1604"/>
        <v>&lt;/li&gt;&lt;li&gt;&lt;a href=|http://kingjbible.com/2_chronicles/35.htm| title=|King James Bible| target=|_top|&gt;KJV&lt;/a&gt;</v>
      </c>
      <c r="R402" t="str">
        <f t="shared" si="1604"/>
        <v>&lt;/li&gt;&lt;li&gt;&lt;a href=|http://asvbible.com/2_chronicles/35.htm| title=|American Standard Version| target=|_top|&gt;ASV&lt;/a&gt;</v>
      </c>
      <c r="S402" t="str">
        <f t="shared" si="1604"/>
        <v>&lt;/li&gt;&lt;li&gt;&lt;a href=|http://drb.scripturetext.com/2_chronicles/35.htm| title=|Douay-Rheims Bible| target=|_top|&gt;DRB&lt;/a&gt;</v>
      </c>
      <c r="T402" t="str">
        <f t="shared" si="1604"/>
        <v>&lt;/li&gt;&lt;li&gt;&lt;a href=|http://erv.scripturetext.com/2_chronicles/35.htm| title=|English Revised Version| target=|_top|&gt;ERV&lt;/a&gt;</v>
      </c>
      <c r="V402" t="str">
        <f>CONCATENATE("&lt;/li&gt;&lt;li&gt;&lt;a href=|http://",V1191,"/2_chronicles/35.htm","| ","title=|",V1190,"| target=|_top|&gt;",V1192,"&lt;/a&gt;")</f>
        <v>&lt;/li&gt;&lt;li&gt;&lt;a href=|http://study.interlinearbible.org/2_chronicles/35.htm| title=|Hebrew Study Bible| target=|_top|&gt;Heb Study&lt;/a&gt;</v>
      </c>
      <c r="W402" t="str">
        <f t="shared" si="1604"/>
        <v>&lt;/li&gt;&lt;li&gt;&lt;a href=|http://apostolic.interlinearbible.org/2_chronicles/35.htm| title=|Apostolic Bible Polyglot Interlinear| target=|_top|&gt;Polyglot&lt;/a&gt;</v>
      </c>
      <c r="X402" t="str">
        <f t="shared" si="1604"/>
        <v>&lt;/li&gt;&lt;li&gt;&lt;a href=|http://interlinearbible.org/2_chronicles/35.htm| title=|Interlinear Bible| target=|_top|&gt;Interlin&lt;/a&gt;</v>
      </c>
      <c r="Y402" t="str">
        <f t="shared" ref="Y402" si="1605">CONCATENATE("&lt;/li&gt;&lt;li&gt;&lt;a href=|http://",Y1191,"/2_chronicles/35.htm","| ","title=|",Y1190,"| target=|_top|&gt;",Y1192,"&lt;/a&gt;")</f>
        <v>&lt;/li&gt;&lt;li&gt;&lt;a href=|http://bibleoutline.org/2_chronicles/35.htm| title=|Outline with People and Places List| target=|_top|&gt;Outline&lt;/a&gt;</v>
      </c>
      <c r="Z402" t="str">
        <f t="shared" si="1604"/>
        <v>&lt;/li&gt;&lt;li&gt;&lt;a href=|http://kjvs.scripturetext.com/2_chronicles/35.htm| title=|King James Bible with Strong's Numbers| target=|_top|&gt;Strong's&lt;/a&gt;</v>
      </c>
      <c r="AA402" t="str">
        <f t="shared" si="1604"/>
        <v>&lt;/li&gt;&lt;li&gt;&lt;a href=|http://childrensbibleonline.com/2_chronicles/35.htm| title=|The Children's Bible| target=|_top|&gt;Children's&lt;/a&gt;</v>
      </c>
      <c r="AB402" s="2" t="str">
        <f t="shared" si="1604"/>
        <v>&lt;/li&gt;&lt;li&gt;&lt;a href=|http://tsk.scripturetext.com/2_chronicles/35.htm| title=|Treasury of Scripture Knowledge| target=|_top|&gt;TSK&lt;/a&gt;</v>
      </c>
      <c r="AC402" t="str">
        <f>CONCATENATE("&lt;a href=|http://",AC1191,"/2_chronicles/35.htm","| ","title=|",AC1190,"| target=|_top|&gt;",AC1192,"&lt;/a&gt;")</f>
        <v>&lt;a href=|http://parallelbible.com/2_chronicles/35.htm| title=|Parallel Chapters| target=|_top|&gt;PAR&lt;/a&gt;</v>
      </c>
      <c r="AD402" s="2" t="str">
        <f t="shared" ref="AD402:AK402" si="1606">CONCATENATE("&lt;/li&gt;&lt;li&gt;&lt;a href=|http://",AD1191,"/2_chronicles/35.htm","| ","title=|",AD1190,"| target=|_top|&gt;",AD1192,"&lt;/a&gt;")</f>
        <v>&lt;/li&gt;&lt;li&gt;&lt;a href=|http://gsb.biblecommenter.com/2_chronicles/35.htm| title=|Geneva Study Bible| target=|_top|&gt;GSB&lt;/a&gt;</v>
      </c>
      <c r="AE402" s="2" t="str">
        <f t="shared" si="1606"/>
        <v>&lt;/li&gt;&lt;li&gt;&lt;a href=|http://jfb.biblecommenter.com/2_chronicles/35.htm| title=|Jamieson-Fausset-Brown Bible Commentary| target=|_top|&gt;JFB&lt;/a&gt;</v>
      </c>
      <c r="AF402" s="2" t="str">
        <f t="shared" si="1606"/>
        <v>&lt;/li&gt;&lt;li&gt;&lt;a href=|http://kjt.biblecommenter.com/2_chronicles/35.htm| title=|King James Translators' Notes| target=|_top|&gt;KJT&lt;/a&gt;</v>
      </c>
      <c r="AG402" s="2" t="str">
        <f t="shared" si="1606"/>
        <v>&lt;/li&gt;&lt;li&gt;&lt;a href=|http://mhc.biblecommenter.com/2_chronicles/35.htm| title=|Matthew Henry's Concise Commentary| target=|_top|&gt;MHC&lt;/a&gt;</v>
      </c>
      <c r="AH402" s="2" t="str">
        <f t="shared" si="1606"/>
        <v>&lt;/li&gt;&lt;li&gt;&lt;a href=|http://sco.biblecommenter.com/2_chronicles/35.htm| title=|Scofield Reference Notes| target=|_top|&gt;SCO&lt;/a&gt;</v>
      </c>
      <c r="AI402" s="2" t="str">
        <f t="shared" si="1606"/>
        <v>&lt;/li&gt;&lt;li&gt;&lt;a href=|http://wes.biblecommenter.com/2_chronicles/35.htm| title=|Wesley's Notes on the Bible| target=|_top|&gt;WES&lt;/a&gt;</v>
      </c>
      <c r="AJ402" t="str">
        <f t="shared" si="1606"/>
        <v>&lt;/li&gt;&lt;li&gt;&lt;a href=|http://worldebible.com/2_chronicles/35.htm| title=|World English Bible| target=|_top|&gt;WEB&lt;/a&gt;</v>
      </c>
      <c r="AK402" t="str">
        <f t="shared" si="1606"/>
        <v>&lt;/li&gt;&lt;li&gt;&lt;a href=|http://yltbible.com/2_chronicles/35.htm| title=|Young's Literal Translation| target=|_top|&gt;YLT&lt;/a&gt;</v>
      </c>
      <c r="AL402" t="str">
        <f>CONCATENATE("&lt;a href=|http://",AL1191,"/2_chronicles/35.htm","| ","title=|",AL1190,"| target=|_top|&gt;",AL1192,"&lt;/a&gt;")</f>
        <v>&lt;a href=|http://kjv.us/2_chronicles/35.htm| title=|American King James Version| target=|_top|&gt;AKJ&lt;/a&gt;</v>
      </c>
      <c r="AM402" t="str">
        <f t="shared" ref="AM402:AN402" si="1607">CONCATENATE("&lt;/li&gt;&lt;li&gt;&lt;a href=|http://",AM1191,"/2_chronicles/35.htm","| ","title=|",AM1190,"| target=|_top|&gt;",AM1192,"&lt;/a&gt;")</f>
        <v>&lt;/li&gt;&lt;li&gt;&lt;a href=|http://basicenglishbible.com/2_chronicles/35.htm| title=|Bible in Basic English| target=|_top|&gt;BBE&lt;/a&gt;</v>
      </c>
      <c r="AN402" t="str">
        <f t="shared" si="1607"/>
        <v>&lt;/li&gt;&lt;li&gt;&lt;a href=|http://darbybible.com/2_chronicles/35.htm| title=|Darby Bible Translation| target=|_top|&gt;DBY&lt;/a&gt;</v>
      </c>
      <c r="AO40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0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0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02" t="str">
        <f>CONCATENATE("&lt;/li&gt;&lt;li&gt;&lt;a href=|http://",AR1191,"/2_chronicles/35.htm","| ","title=|",AR1190,"| target=|_top|&gt;",AR1192,"&lt;/a&gt;")</f>
        <v>&lt;/li&gt;&lt;li&gt;&lt;a href=|http://websterbible.com/2_chronicles/35.htm| title=|Webster's Bible Translation| target=|_top|&gt;WBS&lt;/a&gt;</v>
      </c>
      <c r="AS40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02" t="str">
        <f>CONCATENATE("&lt;/li&gt;&lt;li&gt;&lt;a href=|http://",AT1191,"/2_chronicles/35-1.htm","| ","title=|",AT1190,"| target=|_top|&gt;",AT1192,"&lt;/a&gt;")</f>
        <v>&lt;/li&gt;&lt;li&gt;&lt;a href=|http://biblebrowser.com/2_chronicles/35-1.htm| title=|Split View| target=|_top|&gt;Split&lt;/a&gt;</v>
      </c>
      <c r="AU402" s="2" t="s">
        <v>1276</v>
      </c>
      <c r="AV402" t="s">
        <v>64</v>
      </c>
    </row>
    <row r="403" spans="1:48">
      <c r="A403" t="s">
        <v>622</v>
      </c>
      <c r="B403" t="s">
        <v>641</v>
      </c>
      <c r="C403" t="s">
        <v>624</v>
      </c>
      <c r="D403" t="s">
        <v>1268</v>
      </c>
      <c r="E403" t="s">
        <v>1277</v>
      </c>
      <c r="F403" t="s">
        <v>1304</v>
      </c>
      <c r="G403" t="s">
        <v>1266</v>
      </c>
      <c r="H403" t="s">
        <v>1305</v>
      </c>
      <c r="I403" t="s">
        <v>1303</v>
      </c>
      <c r="J403" t="s">
        <v>1267</v>
      </c>
      <c r="K403" t="s">
        <v>1275</v>
      </c>
      <c r="L403" s="2" t="s">
        <v>1274</v>
      </c>
      <c r="M403" t="str">
        <f t="shared" ref="M403:AB403" si="1608">CONCATENATE("&lt;/li&gt;&lt;li&gt;&lt;a href=|http://",M1191,"/2_chronicles/36.htm","| ","title=|",M1190,"| target=|_top|&gt;",M1192,"&lt;/a&gt;")</f>
        <v>&lt;/li&gt;&lt;li&gt;&lt;a href=|http://niv.scripturetext.com/2_chronicles/36.htm| title=|New International Version| target=|_top|&gt;NIV&lt;/a&gt;</v>
      </c>
      <c r="N403" t="str">
        <f t="shared" si="1608"/>
        <v>&lt;/li&gt;&lt;li&gt;&lt;a href=|http://nlt.scripturetext.com/2_chronicles/36.htm| title=|New Living Translation| target=|_top|&gt;NLT&lt;/a&gt;</v>
      </c>
      <c r="O403" t="str">
        <f t="shared" si="1608"/>
        <v>&lt;/li&gt;&lt;li&gt;&lt;a href=|http://nasb.scripturetext.com/2_chronicles/36.htm| title=|New American Standard Bible| target=|_top|&gt;NAS&lt;/a&gt;</v>
      </c>
      <c r="P403" t="str">
        <f t="shared" si="1608"/>
        <v>&lt;/li&gt;&lt;li&gt;&lt;a href=|http://gwt.scripturetext.com/2_chronicles/36.htm| title=|God's Word Translation| target=|_top|&gt;GWT&lt;/a&gt;</v>
      </c>
      <c r="Q403" t="str">
        <f t="shared" si="1608"/>
        <v>&lt;/li&gt;&lt;li&gt;&lt;a href=|http://kingjbible.com/2_chronicles/36.htm| title=|King James Bible| target=|_top|&gt;KJV&lt;/a&gt;</v>
      </c>
      <c r="R403" t="str">
        <f t="shared" si="1608"/>
        <v>&lt;/li&gt;&lt;li&gt;&lt;a href=|http://asvbible.com/2_chronicles/36.htm| title=|American Standard Version| target=|_top|&gt;ASV&lt;/a&gt;</v>
      </c>
      <c r="S403" t="str">
        <f t="shared" si="1608"/>
        <v>&lt;/li&gt;&lt;li&gt;&lt;a href=|http://drb.scripturetext.com/2_chronicles/36.htm| title=|Douay-Rheims Bible| target=|_top|&gt;DRB&lt;/a&gt;</v>
      </c>
      <c r="T403" t="str">
        <f t="shared" si="1608"/>
        <v>&lt;/li&gt;&lt;li&gt;&lt;a href=|http://erv.scripturetext.com/2_chronicles/36.htm| title=|English Revised Version| target=|_top|&gt;ERV&lt;/a&gt;</v>
      </c>
      <c r="V403" t="str">
        <f>CONCATENATE("&lt;/li&gt;&lt;li&gt;&lt;a href=|http://",V1191,"/2_chronicles/36.htm","| ","title=|",V1190,"| target=|_top|&gt;",V1192,"&lt;/a&gt;")</f>
        <v>&lt;/li&gt;&lt;li&gt;&lt;a href=|http://study.interlinearbible.org/2_chronicles/36.htm| title=|Hebrew Study Bible| target=|_top|&gt;Heb Study&lt;/a&gt;</v>
      </c>
      <c r="W403" t="str">
        <f t="shared" si="1608"/>
        <v>&lt;/li&gt;&lt;li&gt;&lt;a href=|http://apostolic.interlinearbible.org/2_chronicles/36.htm| title=|Apostolic Bible Polyglot Interlinear| target=|_top|&gt;Polyglot&lt;/a&gt;</v>
      </c>
      <c r="X403" t="str">
        <f t="shared" si="1608"/>
        <v>&lt;/li&gt;&lt;li&gt;&lt;a href=|http://interlinearbible.org/2_chronicles/36.htm| title=|Interlinear Bible| target=|_top|&gt;Interlin&lt;/a&gt;</v>
      </c>
      <c r="Y403" t="str">
        <f t="shared" ref="Y403" si="1609">CONCATENATE("&lt;/li&gt;&lt;li&gt;&lt;a href=|http://",Y1191,"/2_chronicles/36.htm","| ","title=|",Y1190,"| target=|_top|&gt;",Y1192,"&lt;/a&gt;")</f>
        <v>&lt;/li&gt;&lt;li&gt;&lt;a href=|http://bibleoutline.org/2_chronicles/36.htm| title=|Outline with People and Places List| target=|_top|&gt;Outline&lt;/a&gt;</v>
      </c>
      <c r="Z403" t="str">
        <f t="shared" si="1608"/>
        <v>&lt;/li&gt;&lt;li&gt;&lt;a href=|http://kjvs.scripturetext.com/2_chronicles/36.htm| title=|King James Bible with Strong's Numbers| target=|_top|&gt;Strong's&lt;/a&gt;</v>
      </c>
      <c r="AA403" t="str">
        <f t="shared" si="1608"/>
        <v>&lt;/li&gt;&lt;li&gt;&lt;a href=|http://childrensbibleonline.com/2_chronicles/36.htm| title=|The Children's Bible| target=|_top|&gt;Children's&lt;/a&gt;</v>
      </c>
      <c r="AB403" s="2" t="str">
        <f t="shared" si="1608"/>
        <v>&lt;/li&gt;&lt;li&gt;&lt;a href=|http://tsk.scripturetext.com/2_chronicles/36.htm| title=|Treasury of Scripture Knowledge| target=|_top|&gt;TSK&lt;/a&gt;</v>
      </c>
      <c r="AC403" t="str">
        <f>CONCATENATE("&lt;a href=|http://",AC1191,"/2_chronicles/36.htm","| ","title=|",AC1190,"| target=|_top|&gt;",AC1192,"&lt;/a&gt;")</f>
        <v>&lt;a href=|http://parallelbible.com/2_chronicles/36.htm| title=|Parallel Chapters| target=|_top|&gt;PAR&lt;/a&gt;</v>
      </c>
      <c r="AD403" s="2" t="str">
        <f t="shared" ref="AD403:AK403" si="1610">CONCATENATE("&lt;/li&gt;&lt;li&gt;&lt;a href=|http://",AD1191,"/2_chronicles/36.htm","| ","title=|",AD1190,"| target=|_top|&gt;",AD1192,"&lt;/a&gt;")</f>
        <v>&lt;/li&gt;&lt;li&gt;&lt;a href=|http://gsb.biblecommenter.com/2_chronicles/36.htm| title=|Geneva Study Bible| target=|_top|&gt;GSB&lt;/a&gt;</v>
      </c>
      <c r="AE403" s="2" t="str">
        <f t="shared" si="1610"/>
        <v>&lt;/li&gt;&lt;li&gt;&lt;a href=|http://jfb.biblecommenter.com/2_chronicles/36.htm| title=|Jamieson-Fausset-Brown Bible Commentary| target=|_top|&gt;JFB&lt;/a&gt;</v>
      </c>
      <c r="AF403" s="2" t="str">
        <f t="shared" si="1610"/>
        <v>&lt;/li&gt;&lt;li&gt;&lt;a href=|http://kjt.biblecommenter.com/2_chronicles/36.htm| title=|King James Translators' Notes| target=|_top|&gt;KJT&lt;/a&gt;</v>
      </c>
      <c r="AG403" s="2" t="str">
        <f t="shared" si="1610"/>
        <v>&lt;/li&gt;&lt;li&gt;&lt;a href=|http://mhc.biblecommenter.com/2_chronicles/36.htm| title=|Matthew Henry's Concise Commentary| target=|_top|&gt;MHC&lt;/a&gt;</v>
      </c>
      <c r="AH403" s="2" t="str">
        <f t="shared" si="1610"/>
        <v>&lt;/li&gt;&lt;li&gt;&lt;a href=|http://sco.biblecommenter.com/2_chronicles/36.htm| title=|Scofield Reference Notes| target=|_top|&gt;SCO&lt;/a&gt;</v>
      </c>
      <c r="AI403" s="2" t="str">
        <f t="shared" si="1610"/>
        <v>&lt;/li&gt;&lt;li&gt;&lt;a href=|http://wes.biblecommenter.com/2_chronicles/36.htm| title=|Wesley's Notes on the Bible| target=|_top|&gt;WES&lt;/a&gt;</v>
      </c>
      <c r="AJ403" t="str">
        <f t="shared" si="1610"/>
        <v>&lt;/li&gt;&lt;li&gt;&lt;a href=|http://worldebible.com/2_chronicles/36.htm| title=|World English Bible| target=|_top|&gt;WEB&lt;/a&gt;</v>
      </c>
      <c r="AK403" t="str">
        <f t="shared" si="1610"/>
        <v>&lt;/li&gt;&lt;li&gt;&lt;a href=|http://yltbible.com/2_chronicles/36.htm| title=|Young's Literal Translation| target=|_top|&gt;YLT&lt;/a&gt;</v>
      </c>
      <c r="AL403" t="str">
        <f>CONCATENATE("&lt;a href=|http://",AL1191,"/2_chronicles/36.htm","| ","title=|",AL1190,"| target=|_top|&gt;",AL1192,"&lt;/a&gt;")</f>
        <v>&lt;a href=|http://kjv.us/2_chronicles/36.htm| title=|American King James Version| target=|_top|&gt;AKJ&lt;/a&gt;</v>
      </c>
      <c r="AM403" t="str">
        <f t="shared" ref="AM403:AN403" si="1611">CONCATENATE("&lt;/li&gt;&lt;li&gt;&lt;a href=|http://",AM1191,"/2_chronicles/36.htm","| ","title=|",AM1190,"| target=|_top|&gt;",AM1192,"&lt;/a&gt;")</f>
        <v>&lt;/li&gt;&lt;li&gt;&lt;a href=|http://basicenglishbible.com/2_chronicles/36.htm| title=|Bible in Basic English| target=|_top|&gt;BBE&lt;/a&gt;</v>
      </c>
      <c r="AN403" t="str">
        <f t="shared" si="1611"/>
        <v>&lt;/li&gt;&lt;li&gt;&lt;a href=|http://darbybible.com/2_chronicles/36.htm| title=|Darby Bible Translation| target=|_top|&gt;DBY&lt;/a&gt;</v>
      </c>
      <c r="AO40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0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0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03" t="str">
        <f>CONCATENATE("&lt;/li&gt;&lt;li&gt;&lt;a href=|http://",AR1191,"/2_chronicles/36.htm","| ","title=|",AR1190,"| target=|_top|&gt;",AR1192,"&lt;/a&gt;")</f>
        <v>&lt;/li&gt;&lt;li&gt;&lt;a href=|http://websterbible.com/2_chronicles/36.htm| title=|Webster's Bible Translation| target=|_top|&gt;WBS&lt;/a&gt;</v>
      </c>
      <c r="AS40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03" t="str">
        <f>CONCATENATE("&lt;/li&gt;&lt;li&gt;&lt;a href=|http://",AT1191,"/2_chronicles/36-1.htm","| ","title=|",AT1190,"| target=|_top|&gt;",AT1192,"&lt;/a&gt;")</f>
        <v>&lt;/li&gt;&lt;li&gt;&lt;a href=|http://biblebrowser.com/2_chronicles/36-1.htm| title=|Split View| target=|_top|&gt;Split&lt;/a&gt;</v>
      </c>
      <c r="AU403" s="2" t="s">
        <v>1276</v>
      </c>
      <c r="AV403" t="s">
        <v>64</v>
      </c>
    </row>
    <row r="404" spans="1:48">
      <c r="A404" t="s">
        <v>622</v>
      </c>
      <c r="B404" t="s">
        <v>642</v>
      </c>
      <c r="C404" t="s">
        <v>624</v>
      </c>
      <c r="D404" t="s">
        <v>1268</v>
      </c>
      <c r="E404" t="s">
        <v>1277</v>
      </c>
      <c r="F404" t="s">
        <v>1304</v>
      </c>
      <c r="G404" t="s">
        <v>1266</v>
      </c>
      <c r="H404" t="s">
        <v>1305</v>
      </c>
      <c r="I404" t="s">
        <v>1303</v>
      </c>
      <c r="J404" t="s">
        <v>1267</v>
      </c>
      <c r="K404" t="s">
        <v>1275</v>
      </c>
      <c r="L404" s="2" t="s">
        <v>1274</v>
      </c>
      <c r="M404" t="str">
        <f t="shared" ref="M404:AB404" si="1612">CONCATENATE("&lt;/li&gt;&lt;li&gt;&lt;a href=|http://",M1191,"/ezra/1.htm","| ","title=|",M1190,"| target=|_top|&gt;",M1192,"&lt;/a&gt;")</f>
        <v>&lt;/li&gt;&lt;li&gt;&lt;a href=|http://niv.scripturetext.com/ezra/1.htm| title=|New International Version| target=|_top|&gt;NIV&lt;/a&gt;</v>
      </c>
      <c r="N404" t="str">
        <f t="shared" si="1612"/>
        <v>&lt;/li&gt;&lt;li&gt;&lt;a href=|http://nlt.scripturetext.com/ezra/1.htm| title=|New Living Translation| target=|_top|&gt;NLT&lt;/a&gt;</v>
      </c>
      <c r="O404" t="str">
        <f t="shared" si="1612"/>
        <v>&lt;/li&gt;&lt;li&gt;&lt;a href=|http://nasb.scripturetext.com/ezra/1.htm| title=|New American Standard Bible| target=|_top|&gt;NAS&lt;/a&gt;</v>
      </c>
      <c r="P404" t="str">
        <f t="shared" si="1612"/>
        <v>&lt;/li&gt;&lt;li&gt;&lt;a href=|http://gwt.scripturetext.com/ezra/1.htm| title=|God's Word Translation| target=|_top|&gt;GWT&lt;/a&gt;</v>
      </c>
      <c r="Q404" t="str">
        <f t="shared" si="1612"/>
        <v>&lt;/li&gt;&lt;li&gt;&lt;a href=|http://kingjbible.com/ezra/1.htm| title=|King James Bible| target=|_top|&gt;KJV&lt;/a&gt;</v>
      </c>
      <c r="R404" t="str">
        <f t="shared" si="1612"/>
        <v>&lt;/li&gt;&lt;li&gt;&lt;a href=|http://asvbible.com/ezra/1.htm| title=|American Standard Version| target=|_top|&gt;ASV&lt;/a&gt;</v>
      </c>
      <c r="S404" t="str">
        <f t="shared" si="1612"/>
        <v>&lt;/li&gt;&lt;li&gt;&lt;a href=|http://drb.scripturetext.com/ezra/1.htm| title=|Douay-Rheims Bible| target=|_top|&gt;DRB&lt;/a&gt;</v>
      </c>
      <c r="T404" t="str">
        <f t="shared" si="1612"/>
        <v>&lt;/li&gt;&lt;li&gt;&lt;a href=|http://erv.scripturetext.com/ezra/1.htm| title=|English Revised Version| target=|_top|&gt;ERV&lt;/a&gt;</v>
      </c>
      <c r="V404" t="str">
        <f>CONCATENATE("&lt;/li&gt;&lt;li&gt;&lt;a href=|http://",V1191,"/ezra/1.htm","| ","title=|",V1190,"| target=|_top|&gt;",V1192,"&lt;/a&gt;")</f>
        <v>&lt;/li&gt;&lt;li&gt;&lt;a href=|http://study.interlinearbible.org/ezra/1.htm| title=|Hebrew Study Bible| target=|_top|&gt;Heb Study&lt;/a&gt;</v>
      </c>
      <c r="W404" t="str">
        <f t="shared" si="1612"/>
        <v>&lt;/li&gt;&lt;li&gt;&lt;a href=|http://apostolic.interlinearbible.org/ezra/1.htm| title=|Apostolic Bible Polyglot Interlinear| target=|_top|&gt;Polyglot&lt;/a&gt;</v>
      </c>
      <c r="X404" t="str">
        <f t="shared" si="1612"/>
        <v>&lt;/li&gt;&lt;li&gt;&lt;a href=|http://interlinearbible.org/ezra/1.htm| title=|Interlinear Bible| target=|_top|&gt;Interlin&lt;/a&gt;</v>
      </c>
      <c r="Y404" t="str">
        <f t="shared" ref="Y404" si="1613">CONCATENATE("&lt;/li&gt;&lt;li&gt;&lt;a href=|http://",Y1191,"/ezra/1.htm","| ","title=|",Y1190,"| target=|_top|&gt;",Y1192,"&lt;/a&gt;")</f>
        <v>&lt;/li&gt;&lt;li&gt;&lt;a href=|http://bibleoutline.org/ezra/1.htm| title=|Outline with People and Places List| target=|_top|&gt;Outline&lt;/a&gt;</v>
      </c>
      <c r="Z404" t="str">
        <f t="shared" si="1612"/>
        <v>&lt;/li&gt;&lt;li&gt;&lt;a href=|http://kjvs.scripturetext.com/ezra/1.htm| title=|King James Bible with Strong's Numbers| target=|_top|&gt;Strong's&lt;/a&gt;</v>
      </c>
      <c r="AA404" t="str">
        <f t="shared" si="1612"/>
        <v>&lt;/li&gt;&lt;li&gt;&lt;a href=|http://childrensbibleonline.com/ezra/1.htm| title=|The Children's Bible| target=|_top|&gt;Children's&lt;/a&gt;</v>
      </c>
      <c r="AB404" s="2" t="str">
        <f t="shared" si="1612"/>
        <v>&lt;/li&gt;&lt;li&gt;&lt;a href=|http://tsk.scripturetext.com/ezra/1.htm| title=|Treasury of Scripture Knowledge| target=|_top|&gt;TSK&lt;/a&gt;</v>
      </c>
      <c r="AC404" t="str">
        <f>CONCATENATE("&lt;a href=|http://",AC1191,"/ezra/1.htm","| ","title=|",AC1190,"| target=|_top|&gt;",AC1192,"&lt;/a&gt;")</f>
        <v>&lt;a href=|http://parallelbible.com/ezra/1.htm| title=|Parallel Chapters| target=|_top|&gt;PAR&lt;/a&gt;</v>
      </c>
      <c r="AD404" s="2" t="str">
        <f t="shared" ref="AD404:AK404" si="1614">CONCATENATE("&lt;/li&gt;&lt;li&gt;&lt;a href=|http://",AD1191,"/ezra/1.htm","| ","title=|",AD1190,"| target=|_top|&gt;",AD1192,"&lt;/a&gt;")</f>
        <v>&lt;/li&gt;&lt;li&gt;&lt;a href=|http://gsb.biblecommenter.com/ezra/1.htm| title=|Geneva Study Bible| target=|_top|&gt;GSB&lt;/a&gt;</v>
      </c>
      <c r="AE404" s="2" t="str">
        <f t="shared" si="1614"/>
        <v>&lt;/li&gt;&lt;li&gt;&lt;a href=|http://jfb.biblecommenter.com/ezra/1.htm| title=|Jamieson-Fausset-Brown Bible Commentary| target=|_top|&gt;JFB&lt;/a&gt;</v>
      </c>
      <c r="AF404" s="2" t="str">
        <f t="shared" si="1614"/>
        <v>&lt;/li&gt;&lt;li&gt;&lt;a href=|http://kjt.biblecommenter.com/ezra/1.htm| title=|King James Translators' Notes| target=|_top|&gt;KJT&lt;/a&gt;</v>
      </c>
      <c r="AG404" s="2" t="str">
        <f t="shared" si="1614"/>
        <v>&lt;/li&gt;&lt;li&gt;&lt;a href=|http://mhc.biblecommenter.com/ezra/1.htm| title=|Matthew Henry's Concise Commentary| target=|_top|&gt;MHC&lt;/a&gt;</v>
      </c>
      <c r="AH404" s="2" t="str">
        <f t="shared" si="1614"/>
        <v>&lt;/li&gt;&lt;li&gt;&lt;a href=|http://sco.biblecommenter.com/ezra/1.htm| title=|Scofield Reference Notes| target=|_top|&gt;SCO&lt;/a&gt;</v>
      </c>
      <c r="AI404" s="2" t="str">
        <f t="shared" si="1614"/>
        <v>&lt;/li&gt;&lt;li&gt;&lt;a href=|http://wes.biblecommenter.com/ezra/1.htm| title=|Wesley's Notes on the Bible| target=|_top|&gt;WES&lt;/a&gt;</v>
      </c>
      <c r="AJ404" t="str">
        <f t="shared" si="1614"/>
        <v>&lt;/li&gt;&lt;li&gt;&lt;a href=|http://worldebible.com/ezra/1.htm| title=|World English Bible| target=|_top|&gt;WEB&lt;/a&gt;</v>
      </c>
      <c r="AK404" t="str">
        <f t="shared" si="1614"/>
        <v>&lt;/li&gt;&lt;li&gt;&lt;a href=|http://yltbible.com/ezra/1.htm| title=|Young's Literal Translation| target=|_top|&gt;YLT&lt;/a&gt;</v>
      </c>
      <c r="AL404" t="str">
        <f>CONCATENATE("&lt;a href=|http://",AL1191,"/ezra/1.htm","| ","title=|",AL1190,"| target=|_top|&gt;",AL1192,"&lt;/a&gt;")</f>
        <v>&lt;a href=|http://kjv.us/ezra/1.htm| title=|American King James Version| target=|_top|&gt;AKJ&lt;/a&gt;</v>
      </c>
      <c r="AM404" t="str">
        <f t="shared" ref="AM404:AN404" si="1615">CONCATENATE("&lt;/li&gt;&lt;li&gt;&lt;a href=|http://",AM1191,"/ezra/1.htm","| ","title=|",AM1190,"| target=|_top|&gt;",AM1192,"&lt;/a&gt;")</f>
        <v>&lt;/li&gt;&lt;li&gt;&lt;a href=|http://basicenglishbible.com/ezra/1.htm| title=|Bible in Basic English| target=|_top|&gt;BBE&lt;/a&gt;</v>
      </c>
      <c r="AN404" t="str">
        <f t="shared" si="1615"/>
        <v>&lt;/li&gt;&lt;li&gt;&lt;a href=|http://darbybible.com/ezra/1.htm| title=|Darby Bible Translation| target=|_top|&gt;DBY&lt;/a&gt;</v>
      </c>
      <c r="AO40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0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0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04" t="str">
        <f>CONCATENATE("&lt;/li&gt;&lt;li&gt;&lt;a href=|http://",AR1191,"/ezra/1.htm","| ","title=|",AR1190,"| target=|_top|&gt;",AR1192,"&lt;/a&gt;")</f>
        <v>&lt;/li&gt;&lt;li&gt;&lt;a href=|http://websterbible.com/ezra/1.htm| title=|Webster's Bible Translation| target=|_top|&gt;WBS&lt;/a&gt;</v>
      </c>
      <c r="AS40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04" t="str">
        <f>CONCATENATE("&lt;/li&gt;&lt;li&gt;&lt;a href=|http://",AT1191,"/ezra/1-1.htm","| ","title=|",AT1190,"| target=|_top|&gt;",AT1192,"&lt;/a&gt;")</f>
        <v>&lt;/li&gt;&lt;li&gt;&lt;a href=|http://biblebrowser.com/ezra/1-1.htm| title=|Split View| target=|_top|&gt;Split&lt;/a&gt;</v>
      </c>
      <c r="AU404" s="2" t="s">
        <v>1276</v>
      </c>
      <c r="AV404" t="s">
        <v>64</v>
      </c>
    </row>
    <row r="405" spans="1:48">
      <c r="A405" t="s">
        <v>622</v>
      </c>
      <c r="B405" t="s">
        <v>643</v>
      </c>
      <c r="C405" t="s">
        <v>624</v>
      </c>
      <c r="D405" t="s">
        <v>1268</v>
      </c>
      <c r="E405" t="s">
        <v>1277</v>
      </c>
      <c r="F405" t="s">
        <v>1304</v>
      </c>
      <c r="G405" t="s">
        <v>1266</v>
      </c>
      <c r="H405" t="s">
        <v>1305</v>
      </c>
      <c r="I405" t="s">
        <v>1303</v>
      </c>
      <c r="J405" t="s">
        <v>1267</v>
      </c>
      <c r="K405" t="s">
        <v>1275</v>
      </c>
      <c r="L405" s="2" t="s">
        <v>1274</v>
      </c>
      <c r="M405" t="str">
        <f t="shared" ref="M405:AB405" si="1616">CONCATENATE("&lt;/li&gt;&lt;li&gt;&lt;a href=|http://",M1191,"/ezra/2.htm","| ","title=|",M1190,"| target=|_top|&gt;",M1192,"&lt;/a&gt;")</f>
        <v>&lt;/li&gt;&lt;li&gt;&lt;a href=|http://niv.scripturetext.com/ezra/2.htm| title=|New International Version| target=|_top|&gt;NIV&lt;/a&gt;</v>
      </c>
      <c r="N405" t="str">
        <f t="shared" si="1616"/>
        <v>&lt;/li&gt;&lt;li&gt;&lt;a href=|http://nlt.scripturetext.com/ezra/2.htm| title=|New Living Translation| target=|_top|&gt;NLT&lt;/a&gt;</v>
      </c>
      <c r="O405" t="str">
        <f t="shared" si="1616"/>
        <v>&lt;/li&gt;&lt;li&gt;&lt;a href=|http://nasb.scripturetext.com/ezra/2.htm| title=|New American Standard Bible| target=|_top|&gt;NAS&lt;/a&gt;</v>
      </c>
      <c r="P405" t="str">
        <f t="shared" si="1616"/>
        <v>&lt;/li&gt;&lt;li&gt;&lt;a href=|http://gwt.scripturetext.com/ezra/2.htm| title=|God's Word Translation| target=|_top|&gt;GWT&lt;/a&gt;</v>
      </c>
      <c r="Q405" t="str">
        <f t="shared" si="1616"/>
        <v>&lt;/li&gt;&lt;li&gt;&lt;a href=|http://kingjbible.com/ezra/2.htm| title=|King James Bible| target=|_top|&gt;KJV&lt;/a&gt;</v>
      </c>
      <c r="R405" t="str">
        <f t="shared" si="1616"/>
        <v>&lt;/li&gt;&lt;li&gt;&lt;a href=|http://asvbible.com/ezra/2.htm| title=|American Standard Version| target=|_top|&gt;ASV&lt;/a&gt;</v>
      </c>
      <c r="S405" t="str">
        <f t="shared" si="1616"/>
        <v>&lt;/li&gt;&lt;li&gt;&lt;a href=|http://drb.scripturetext.com/ezra/2.htm| title=|Douay-Rheims Bible| target=|_top|&gt;DRB&lt;/a&gt;</v>
      </c>
      <c r="T405" t="str">
        <f t="shared" si="1616"/>
        <v>&lt;/li&gt;&lt;li&gt;&lt;a href=|http://erv.scripturetext.com/ezra/2.htm| title=|English Revised Version| target=|_top|&gt;ERV&lt;/a&gt;</v>
      </c>
      <c r="V405" t="str">
        <f>CONCATENATE("&lt;/li&gt;&lt;li&gt;&lt;a href=|http://",V1191,"/ezra/2.htm","| ","title=|",V1190,"| target=|_top|&gt;",V1192,"&lt;/a&gt;")</f>
        <v>&lt;/li&gt;&lt;li&gt;&lt;a href=|http://study.interlinearbible.org/ezra/2.htm| title=|Hebrew Study Bible| target=|_top|&gt;Heb Study&lt;/a&gt;</v>
      </c>
      <c r="W405" t="str">
        <f t="shared" si="1616"/>
        <v>&lt;/li&gt;&lt;li&gt;&lt;a href=|http://apostolic.interlinearbible.org/ezra/2.htm| title=|Apostolic Bible Polyglot Interlinear| target=|_top|&gt;Polyglot&lt;/a&gt;</v>
      </c>
      <c r="X405" t="str">
        <f t="shared" si="1616"/>
        <v>&lt;/li&gt;&lt;li&gt;&lt;a href=|http://interlinearbible.org/ezra/2.htm| title=|Interlinear Bible| target=|_top|&gt;Interlin&lt;/a&gt;</v>
      </c>
      <c r="Y405" t="str">
        <f t="shared" ref="Y405" si="1617">CONCATENATE("&lt;/li&gt;&lt;li&gt;&lt;a href=|http://",Y1191,"/ezra/2.htm","| ","title=|",Y1190,"| target=|_top|&gt;",Y1192,"&lt;/a&gt;")</f>
        <v>&lt;/li&gt;&lt;li&gt;&lt;a href=|http://bibleoutline.org/ezra/2.htm| title=|Outline with People and Places List| target=|_top|&gt;Outline&lt;/a&gt;</v>
      </c>
      <c r="Z405" t="str">
        <f t="shared" si="1616"/>
        <v>&lt;/li&gt;&lt;li&gt;&lt;a href=|http://kjvs.scripturetext.com/ezra/2.htm| title=|King James Bible with Strong's Numbers| target=|_top|&gt;Strong's&lt;/a&gt;</v>
      </c>
      <c r="AA405" t="str">
        <f t="shared" si="1616"/>
        <v>&lt;/li&gt;&lt;li&gt;&lt;a href=|http://childrensbibleonline.com/ezra/2.htm| title=|The Children's Bible| target=|_top|&gt;Children's&lt;/a&gt;</v>
      </c>
      <c r="AB405" s="2" t="str">
        <f t="shared" si="1616"/>
        <v>&lt;/li&gt;&lt;li&gt;&lt;a href=|http://tsk.scripturetext.com/ezra/2.htm| title=|Treasury of Scripture Knowledge| target=|_top|&gt;TSK&lt;/a&gt;</v>
      </c>
      <c r="AC405" t="str">
        <f>CONCATENATE("&lt;a href=|http://",AC1191,"/ezra/2.htm","| ","title=|",AC1190,"| target=|_top|&gt;",AC1192,"&lt;/a&gt;")</f>
        <v>&lt;a href=|http://parallelbible.com/ezra/2.htm| title=|Parallel Chapters| target=|_top|&gt;PAR&lt;/a&gt;</v>
      </c>
      <c r="AD405" s="2" t="str">
        <f t="shared" ref="AD405:AK405" si="1618">CONCATENATE("&lt;/li&gt;&lt;li&gt;&lt;a href=|http://",AD1191,"/ezra/2.htm","| ","title=|",AD1190,"| target=|_top|&gt;",AD1192,"&lt;/a&gt;")</f>
        <v>&lt;/li&gt;&lt;li&gt;&lt;a href=|http://gsb.biblecommenter.com/ezra/2.htm| title=|Geneva Study Bible| target=|_top|&gt;GSB&lt;/a&gt;</v>
      </c>
      <c r="AE405" s="2" t="str">
        <f t="shared" si="1618"/>
        <v>&lt;/li&gt;&lt;li&gt;&lt;a href=|http://jfb.biblecommenter.com/ezra/2.htm| title=|Jamieson-Fausset-Brown Bible Commentary| target=|_top|&gt;JFB&lt;/a&gt;</v>
      </c>
      <c r="AF405" s="2" t="str">
        <f t="shared" si="1618"/>
        <v>&lt;/li&gt;&lt;li&gt;&lt;a href=|http://kjt.biblecommenter.com/ezra/2.htm| title=|King James Translators' Notes| target=|_top|&gt;KJT&lt;/a&gt;</v>
      </c>
      <c r="AG405" s="2" t="str">
        <f t="shared" si="1618"/>
        <v>&lt;/li&gt;&lt;li&gt;&lt;a href=|http://mhc.biblecommenter.com/ezra/2.htm| title=|Matthew Henry's Concise Commentary| target=|_top|&gt;MHC&lt;/a&gt;</v>
      </c>
      <c r="AH405" s="2" t="str">
        <f t="shared" si="1618"/>
        <v>&lt;/li&gt;&lt;li&gt;&lt;a href=|http://sco.biblecommenter.com/ezra/2.htm| title=|Scofield Reference Notes| target=|_top|&gt;SCO&lt;/a&gt;</v>
      </c>
      <c r="AI405" s="2" t="str">
        <f t="shared" si="1618"/>
        <v>&lt;/li&gt;&lt;li&gt;&lt;a href=|http://wes.biblecommenter.com/ezra/2.htm| title=|Wesley's Notes on the Bible| target=|_top|&gt;WES&lt;/a&gt;</v>
      </c>
      <c r="AJ405" t="str">
        <f t="shared" si="1618"/>
        <v>&lt;/li&gt;&lt;li&gt;&lt;a href=|http://worldebible.com/ezra/2.htm| title=|World English Bible| target=|_top|&gt;WEB&lt;/a&gt;</v>
      </c>
      <c r="AK405" t="str">
        <f t="shared" si="1618"/>
        <v>&lt;/li&gt;&lt;li&gt;&lt;a href=|http://yltbible.com/ezra/2.htm| title=|Young's Literal Translation| target=|_top|&gt;YLT&lt;/a&gt;</v>
      </c>
      <c r="AL405" t="str">
        <f>CONCATENATE("&lt;a href=|http://",AL1191,"/ezra/2.htm","| ","title=|",AL1190,"| target=|_top|&gt;",AL1192,"&lt;/a&gt;")</f>
        <v>&lt;a href=|http://kjv.us/ezra/2.htm| title=|American King James Version| target=|_top|&gt;AKJ&lt;/a&gt;</v>
      </c>
      <c r="AM405" t="str">
        <f t="shared" ref="AM405:AN405" si="1619">CONCATENATE("&lt;/li&gt;&lt;li&gt;&lt;a href=|http://",AM1191,"/ezra/2.htm","| ","title=|",AM1190,"| target=|_top|&gt;",AM1192,"&lt;/a&gt;")</f>
        <v>&lt;/li&gt;&lt;li&gt;&lt;a href=|http://basicenglishbible.com/ezra/2.htm| title=|Bible in Basic English| target=|_top|&gt;BBE&lt;/a&gt;</v>
      </c>
      <c r="AN405" t="str">
        <f t="shared" si="1619"/>
        <v>&lt;/li&gt;&lt;li&gt;&lt;a href=|http://darbybible.com/ezra/2.htm| title=|Darby Bible Translation| target=|_top|&gt;DBY&lt;/a&gt;</v>
      </c>
      <c r="AO40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0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0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05" t="str">
        <f>CONCATENATE("&lt;/li&gt;&lt;li&gt;&lt;a href=|http://",AR1191,"/ezra/2.htm","| ","title=|",AR1190,"| target=|_top|&gt;",AR1192,"&lt;/a&gt;")</f>
        <v>&lt;/li&gt;&lt;li&gt;&lt;a href=|http://websterbible.com/ezra/2.htm| title=|Webster's Bible Translation| target=|_top|&gt;WBS&lt;/a&gt;</v>
      </c>
      <c r="AS40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05" t="str">
        <f>CONCATENATE("&lt;/li&gt;&lt;li&gt;&lt;a href=|http://",AT1191,"/ezra/2-1.htm","| ","title=|",AT1190,"| target=|_top|&gt;",AT1192,"&lt;/a&gt;")</f>
        <v>&lt;/li&gt;&lt;li&gt;&lt;a href=|http://biblebrowser.com/ezra/2-1.htm| title=|Split View| target=|_top|&gt;Split&lt;/a&gt;</v>
      </c>
      <c r="AU405" s="2" t="s">
        <v>1276</v>
      </c>
      <c r="AV405" t="s">
        <v>64</v>
      </c>
    </row>
    <row r="406" spans="1:48">
      <c r="A406" t="s">
        <v>622</v>
      </c>
      <c r="B406" t="s">
        <v>644</v>
      </c>
      <c r="C406" t="s">
        <v>624</v>
      </c>
      <c r="D406" t="s">
        <v>1268</v>
      </c>
      <c r="E406" t="s">
        <v>1277</v>
      </c>
      <c r="F406" t="s">
        <v>1304</v>
      </c>
      <c r="G406" t="s">
        <v>1266</v>
      </c>
      <c r="H406" t="s">
        <v>1305</v>
      </c>
      <c r="I406" t="s">
        <v>1303</v>
      </c>
      <c r="J406" t="s">
        <v>1267</v>
      </c>
      <c r="K406" t="s">
        <v>1275</v>
      </c>
      <c r="L406" s="2" t="s">
        <v>1274</v>
      </c>
      <c r="M406" t="str">
        <f t="shared" ref="M406:AB406" si="1620">CONCATENATE("&lt;/li&gt;&lt;li&gt;&lt;a href=|http://",M1191,"/ezra/3.htm","| ","title=|",M1190,"| target=|_top|&gt;",M1192,"&lt;/a&gt;")</f>
        <v>&lt;/li&gt;&lt;li&gt;&lt;a href=|http://niv.scripturetext.com/ezra/3.htm| title=|New International Version| target=|_top|&gt;NIV&lt;/a&gt;</v>
      </c>
      <c r="N406" t="str">
        <f t="shared" si="1620"/>
        <v>&lt;/li&gt;&lt;li&gt;&lt;a href=|http://nlt.scripturetext.com/ezra/3.htm| title=|New Living Translation| target=|_top|&gt;NLT&lt;/a&gt;</v>
      </c>
      <c r="O406" t="str">
        <f t="shared" si="1620"/>
        <v>&lt;/li&gt;&lt;li&gt;&lt;a href=|http://nasb.scripturetext.com/ezra/3.htm| title=|New American Standard Bible| target=|_top|&gt;NAS&lt;/a&gt;</v>
      </c>
      <c r="P406" t="str">
        <f t="shared" si="1620"/>
        <v>&lt;/li&gt;&lt;li&gt;&lt;a href=|http://gwt.scripturetext.com/ezra/3.htm| title=|God's Word Translation| target=|_top|&gt;GWT&lt;/a&gt;</v>
      </c>
      <c r="Q406" t="str">
        <f t="shared" si="1620"/>
        <v>&lt;/li&gt;&lt;li&gt;&lt;a href=|http://kingjbible.com/ezra/3.htm| title=|King James Bible| target=|_top|&gt;KJV&lt;/a&gt;</v>
      </c>
      <c r="R406" t="str">
        <f t="shared" si="1620"/>
        <v>&lt;/li&gt;&lt;li&gt;&lt;a href=|http://asvbible.com/ezra/3.htm| title=|American Standard Version| target=|_top|&gt;ASV&lt;/a&gt;</v>
      </c>
      <c r="S406" t="str">
        <f t="shared" si="1620"/>
        <v>&lt;/li&gt;&lt;li&gt;&lt;a href=|http://drb.scripturetext.com/ezra/3.htm| title=|Douay-Rheims Bible| target=|_top|&gt;DRB&lt;/a&gt;</v>
      </c>
      <c r="T406" t="str">
        <f t="shared" si="1620"/>
        <v>&lt;/li&gt;&lt;li&gt;&lt;a href=|http://erv.scripturetext.com/ezra/3.htm| title=|English Revised Version| target=|_top|&gt;ERV&lt;/a&gt;</v>
      </c>
      <c r="V406" t="str">
        <f>CONCATENATE("&lt;/li&gt;&lt;li&gt;&lt;a href=|http://",V1191,"/ezra/3.htm","| ","title=|",V1190,"| target=|_top|&gt;",V1192,"&lt;/a&gt;")</f>
        <v>&lt;/li&gt;&lt;li&gt;&lt;a href=|http://study.interlinearbible.org/ezra/3.htm| title=|Hebrew Study Bible| target=|_top|&gt;Heb Study&lt;/a&gt;</v>
      </c>
      <c r="W406" t="str">
        <f t="shared" si="1620"/>
        <v>&lt;/li&gt;&lt;li&gt;&lt;a href=|http://apostolic.interlinearbible.org/ezra/3.htm| title=|Apostolic Bible Polyglot Interlinear| target=|_top|&gt;Polyglot&lt;/a&gt;</v>
      </c>
      <c r="X406" t="str">
        <f t="shared" si="1620"/>
        <v>&lt;/li&gt;&lt;li&gt;&lt;a href=|http://interlinearbible.org/ezra/3.htm| title=|Interlinear Bible| target=|_top|&gt;Interlin&lt;/a&gt;</v>
      </c>
      <c r="Y406" t="str">
        <f t="shared" ref="Y406" si="1621">CONCATENATE("&lt;/li&gt;&lt;li&gt;&lt;a href=|http://",Y1191,"/ezra/3.htm","| ","title=|",Y1190,"| target=|_top|&gt;",Y1192,"&lt;/a&gt;")</f>
        <v>&lt;/li&gt;&lt;li&gt;&lt;a href=|http://bibleoutline.org/ezra/3.htm| title=|Outline with People and Places List| target=|_top|&gt;Outline&lt;/a&gt;</v>
      </c>
      <c r="Z406" t="str">
        <f t="shared" si="1620"/>
        <v>&lt;/li&gt;&lt;li&gt;&lt;a href=|http://kjvs.scripturetext.com/ezra/3.htm| title=|King James Bible with Strong's Numbers| target=|_top|&gt;Strong's&lt;/a&gt;</v>
      </c>
      <c r="AA406" t="str">
        <f t="shared" si="1620"/>
        <v>&lt;/li&gt;&lt;li&gt;&lt;a href=|http://childrensbibleonline.com/ezra/3.htm| title=|The Children's Bible| target=|_top|&gt;Children's&lt;/a&gt;</v>
      </c>
      <c r="AB406" s="2" t="str">
        <f t="shared" si="1620"/>
        <v>&lt;/li&gt;&lt;li&gt;&lt;a href=|http://tsk.scripturetext.com/ezra/3.htm| title=|Treasury of Scripture Knowledge| target=|_top|&gt;TSK&lt;/a&gt;</v>
      </c>
      <c r="AC406" t="str">
        <f>CONCATENATE("&lt;a href=|http://",AC1191,"/ezra/3.htm","| ","title=|",AC1190,"| target=|_top|&gt;",AC1192,"&lt;/a&gt;")</f>
        <v>&lt;a href=|http://parallelbible.com/ezra/3.htm| title=|Parallel Chapters| target=|_top|&gt;PAR&lt;/a&gt;</v>
      </c>
      <c r="AD406" s="2" t="str">
        <f t="shared" ref="AD406:AK406" si="1622">CONCATENATE("&lt;/li&gt;&lt;li&gt;&lt;a href=|http://",AD1191,"/ezra/3.htm","| ","title=|",AD1190,"| target=|_top|&gt;",AD1192,"&lt;/a&gt;")</f>
        <v>&lt;/li&gt;&lt;li&gt;&lt;a href=|http://gsb.biblecommenter.com/ezra/3.htm| title=|Geneva Study Bible| target=|_top|&gt;GSB&lt;/a&gt;</v>
      </c>
      <c r="AE406" s="2" t="str">
        <f t="shared" si="1622"/>
        <v>&lt;/li&gt;&lt;li&gt;&lt;a href=|http://jfb.biblecommenter.com/ezra/3.htm| title=|Jamieson-Fausset-Brown Bible Commentary| target=|_top|&gt;JFB&lt;/a&gt;</v>
      </c>
      <c r="AF406" s="2" t="str">
        <f t="shared" si="1622"/>
        <v>&lt;/li&gt;&lt;li&gt;&lt;a href=|http://kjt.biblecommenter.com/ezra/3.htm| title=|King James Translators' Notes| target=|_top|&gt;KJT&lt;/a&gt;</v>
      </c>
      <c r="AG406" s="2" t="str">
        <f t="shared" si="1622"/>
        <v>&lt;/li&gt;&lt;li&gt;&lt;a href=|http://mhc.biblecommenter.com/ezra/3.htm| title=|Matthew Henry's Concise Commentary| target=|_top|&gt;MHC&lt;/a&gt;</v>
      </c>
      <c r="AH406" s="2" t="str">
        <f t="shared" si="1622"/>
        <v>&lt;/li&gt;&lt;li&gt;&lt;a href=|http://sco.biblecommenter.com/ezra/3.htm| title=|Scofield Reference Notes| target=|_top|&gt;SCO&lt;/a&gt;</v>
      </c>
      <c r="AI406" s="2" t="str">
        <f t="shared" si="1622"/>
        <v>&lt;/li&gt;&lt;li&gt;&lt;a href=|http://wes.biblecommenter.com/ezra/3.htm| title=|Wesley's Notes on the Bible| target=|_top|&gt;WES&lt;/a&gt;</v>
      </c>
      <c r="AJ406" t="str">
        <f t="shared" si="1622"/>
        <v>&lt;/li&gt;&lt;li&gt;&lt;a href=|http://worldebible.com/ezra/3.htm| title=|World English Bible| target=|_top|&gt;WEB&lt;/a&gt;</v>
      </c>
      <c r="AK406" t="str">
        <f t="shared" si="1622"/>
        <v>&lt;/li&gt;&lt;li&gt;&lt;a href=|http://yltbible.com/ezra/3.htm| title=|Young's Literal Translation| target=|_top|&gt;YLT&lt;/a&gt;</v>
      </c>
      <c r="AL406" t="str">
        <f>CONCATENATE("&lt;a href=|http://",AL1191,"/ezra/3.htm","| ","title=|",AL1190,"| target=|_top|&gt;",AL1192,"&lt;/a&gt;")</f>
        <v>&lt;a href=|http://kjv.us/ezra/3.htm| title=|American King James Version| target=|_top|&gt;AKJ&lt;/a&gt;</v>
      </c>
      <c r="AM406" t="str">
        <f t="shared" ref="AM406:AN406" si="1623">CONCATENATE("&lt;/li&gt;&lt;li&gt;&lt;a href=|http://",AM1191,"/ezra/3.htm","| ","title=|",AM1190,"| target=|_top|&gt;",AM1192,"&lt;/a&gt;")</f>
        <v>&lt;/li&gt;&lt;li&gt;&lt;a href=|http://basicenglishbible.com/ezra/3.htm| title=|Bible in Basic English| target=|_top|&gt;BBE&lt;/a&gt;</v>
      </c>
      <c r="AN406" t="str">
        <f t="shared" si="1623"/>
        <v>&lt;/li&gt;&lt;li&gt;&lt;a href=|http://darbybible.com/ezra/3.htm| title=|Darby Bible Translation| target=|_top|&gt;DBY&lt;/a&gt;</v>
      </c>
      <c r="AO40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0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0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06" t="str">
        <f>CONCATENATE("&lt;/li&gt;&lt;li&gt;&lt;a href=|http://",AR1191,"/ezra/3.htm","| ","title=|",AR1190,"| target=|_top|&gt;",AR1192,"&lt;/a&gt;")</f>
        <v>&lt;/li&gt;&lt;li&gt;&lt;a href=|http://websterbible.com/ezra/3.htm| title=|Webster's Bible Translation| target=|_top|&gt;WBS&lt;/a&gt;</v>
      </c>
      <c r="AS40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06" t="str">
        <f>CONCATENATE("&lt;/li&gt;&lt;li&gt;&lt;a href=|http://",AT1191,"/ezra/3-1.htm","| ","title=|",AT1190,"| target=|_top|&gt;",AT1192,"&lt;/a&gt;")</f>
        <v>&lt;/li&gt;&lt;li&gt;&lt;a href=|http://biblebrowser.com/ezra/3-1.htm| title=|Split View| target=|_top|&gt;Split&lt;/a&gt;</v>
      </c>
      <c r="AU406" s="2" t="s">
        <v>1276</v>
      </c>
      <c r="AV406" t="s">
        <v>64</v>
      </c>
    </row>
    <row r="407" spans="1:48">
      <c r="A407" t="s">
        <v>622</v>
      </c>
      <c r="B407" t="s">
        <v>645</v>
      </c>
      <c r="C407" t="s">
        <v>624</v>
      </c>
      <c r="D407" t="s">
        <v>1268</v>
      </c>
      <c r="E407" t="s">
        <v>1277</v>
      </c>
      <c r="F407" t="s">
        <v>1304</v>
      </c>
      <c r="G407" t="s">
        <v>1266</v>
      </c>
      <c r="H407" t="s">
        <v>1305</v>
      </c>
      <c r="I407" t="s">
        <v>1303</v>
      </c>
      <c r="J407" t="s">
        <v>1267</v>
      </c>
      <c r="K407" t="s">
        <v>1275</v>
      </c>
      <c r="L407" s="2" t="s">
        <v>1274</v>
      </c>
      <c r="M407" t="str">
        <f t="shared" ref="M407:AB407" si="1624">CONCATENATE("&lt;/li&gt;&lt;li&gt;&lt;a href=|http://",M1191,"/ezra/4.htm","| ","title=|",M1190,"| target=|_top|&gt;",M1192,"&lt;/a&gt;")</f>
        <v>&lt;/li&gt;&lt;li&gt;&lt;a href=|http://niv.scripturetext.com/ezra/4.htm| title=|New International Version| target=|_top|&gt;NIV&lt;/a&gt;</v>
      </c>
      <c r="N407" t="str">
        <f t="shared" si="1624"/>
        <v>&lt;/li&gt;&lt;li&gt;&lt;a href=|http://nlt.scripturetext.com/ezra/4.htm| title=|New Living Translation| target=|_top|&gt;NLT&lt;/a&gt;</v>
      </c>
      <c r="O407" t="str">
        <f t="shared" si="1624"/>
        <v>&lt;/li&gt;&lt;li&gt;&lt;a href=|http://nasb.scripturetext.com/ezra/4.htm| title=|New American Standard Bible| target=|_top|&gt;NAS&lt;/a&gt;</v>
      </c>
      <c r="P407" t="str">
        <f t="shared" si="1624"/>
        <v>&lt;/li&gt;&lt;li&gt;&lt;a href=|http://gwt.scripturetext.com/ezra/4.htm| title=|God's Word Translation| target=|_top|&gt;GWT&lt;/a&gt;</v>
      </c>
      <c r="Q407" t="str">
        <f t="shared" si="1624"/>
        <v>&lt;/li&gt;&lt;li&gt;&lt;a href=|http://kingjbible.com/ezra/4.htm| title=|King James Bible| target=|_top|&gt;KJV&lt;/a&gt;</v>
      </c>
      <c r="R407" t="str">
        <f t="shared" si="1624"/>
        <v>&lt;/li&gt;&lt;li&gt;&lt;a href=|http://asvbible.com/ezra/4.htm| title=|American Standard Version| target=|_top|&gt;ASV&lt;/a&gt;</v>
      </c>
      <c r="S407" t="str">
        <f t="shared" si="1624"/>
        <v>&lt;/li&gt;&lt;li&gt;&lt;a href=|http://drb.scripturetext.com/ezra/4.htm| title=|Douay-Rheims Bible| target=|_top|&gt;DRB&lt;/a&gt;</v>
      </c>
      <c r="T407" t="str">
        <f t="shared" si="1624"/>
        <v>&lt;/li&gt;&lt;li&gt;&lt;a href=|http://erv.scripturetext.com/ezra/4.htm| title=|English Revised Version| target=|_top|&gt;ERV&lt;/a&gt;</v>
      </c>
      <c r="V407" t="str">
        <f>CONCATENATE("&lt;/li&gt;&lt;li&gt;&lt;a href=|http://",V1191,"/ezra/4.htm","| ","title=|",V1190,"| target=|_top|&gt;",V1192,"&lt;/a&gt;")</f>
        <v>&lt;/li&gt;&lt;li&gt;&lt;a href=|http://study.interlinearbible.org/ezra/4.htm| title=|Hebrew Study Bible| target=|_top|&gt;Heb Study&lt;/a&gt;</v>
      </c>
      <c r="W407" t="str">
        <f t="shared" si="1624"/>
        <v>&lt;/li&gt;&lt;li&gt;&lt;a href=|http://apostolic.interlinearbible.org/ezra/4.htm| title=|Apostolic Bible Polyglot Interlinear| target=|_top|&gt;Polyglot&lt;/a&gt;</v>
      </c>
      <c r="X407" t="str">
        <f t="shared" si="1624"/>
        <v>&lt;/li&gt;&lt;li&gt;&lt;a href=|http://interlinearbible.org/ezra/4.htm| title=|Interlinear Bible| target=|_top|&gt;Interlin&lt;/a&gt;</v>
      </c>
      <c r="Y407" t="str">
        <f t="shared" ref="Y407" si="1625">CONCATENATE("&lt;/li&gt;&lt;li&gt;&lt;a href=|http://",Y1191,"/ezra/4.htm","| ","title=|",Y1190,"| target=|_top|&gt;",Y1192,"&lt;/a&gt;")</f>
        <v>&lt;/li&gt;&lt;li&gt;&lt;a href=|http://bibleoutline.org/ezra/4.htm| title=|Outline with People and Places List| target=|_top|&gt;Outline&lt;/a&gt;</v>
      </c>
      <c r="Z407" t="str">
        <f t="shared" si="1624"/>
        <v>&lt;/li&gt;&lt;li&gt;&lt;a href=|http://kjvs.scripturetext.com/ezra/4.htm| title=|King James Bible with Strong's Numbers| target=|_top|&gt;Strong's&lt;/a&gt;</v>
      </c>
      <c r="AA407" t="str">
        <f t="shared" si="1624"/>
        <v>&lt;/li&gt;&lt;li&gt;&lt;a href=|http://childrensbibleonline.com/ezra/4.htm| title=|The Children's Bible| target=|_top|&gt;Children's&lt;/a&gt;</v>
      </c>
      <c r="AB407" s="2" t="str">
        <f t="shared" si="1624"/>
        <v>&lt;/li&gt;&lt;li&gt;&lt;a href=|http://tsk.scripturetext.com/ezra/4.htm| title=|Treasury of Scripture Knowledge| target=|_top|&gt;TSK&lt;/a&gt;</v>
      </c>
      <c r="AC407" t="str">
        <f>CONCATENATE("&lt;a href=|http://",AC1191,"/ezra/4.htm","| ","title=|",AC1190,"| target=|_top|&gt;",AC1192,"&lt;/a&gt;")</f>
        <v>&lt;a href=|http://parallelbible.com/ezra/4.htm| title=|Parallel Chapters| target=|_top|&gt;PAR&lt;/a&gt;</v>
      </c>
      <c r="AD407" s="2" t="str">
        <f t="shared" ref="AD407:AK407" si="1626">CONCATENATE("&lt;/li&gt;&lt;li&gt;&lt;a href=|http://",AD1191,"/ezra/4.htm","| ","title=|",AD1190,"| target=|_top|&gt;",AD1192,"&lt;/a&gt;")</f>
        <v>&lt;/li&gt;&lt;li&gt;&lt;a href=|http://gsb.biblecommenter.com/ezra/4.htm| title=|Geneva Study Bible| target=|_top|&gt;GSB&lt;/a&gt;</v>
      </c>
      <c r="AE407" s="2" t="str">
        <f t="shared" si="1626"/>
        <v>&lt;/li&gt;&lt;li&gt;&lt;a href=|http://jfb.biblecommenter.com/ezra/4.htm| title=|Jamieson-Fausset-Brown Bible Commentary| target=|_top|&gt;JFB&lt;/a&gt;</v>
      </c>
      <c r="AF407" s="2" t="str">
        <f t="shared" si="1626"/>
        <v>&lt;/li&gt;&lt;li&gt;&lt;a href=|http://kjt.biblecommenter.com/ezra/4.htm| title=|King James Translators' Notes| target=|_top|&gt;KJT&lt;/a&gt;</v>
      </c>
      <c r="AG407" s="2" t="str">
        <f t="shared" si="1626"/>
        <v>&lt;/li&gt;&lt;li&gt;&lt;a href=|http://mhc.biblecommenter.com/ezra/4.htm| title=|Matthew Henry's Concise Commentary| target=|_top|&gt;MHC&lt;/a&gt;</v>
      </c>
      <c r="AH407" s="2" t="str">
        <f t="shared" si="1626"/>
        <v>&lt;/li&gt;&lt;li&gt;&lt;a href=|http://sco.biblecommenter.com/ezra/4.htm| title=|Scofield Reference Notes| target=|_top|&gt;SCO&lt;/a&gt;</v>
      </c>
      <c r="AI407" s="2" t="str">
        <f t="shared" si="1626"/>
        <v>&lt;/li&gt;&lt;li&gt;&lt;a href=|http://wes.biblecommenter.com/ezra/4.htm| title=|Wesley's Notes on the Bible| target=|_top|&gt;WES&lt;/a&gt;</v>
      </c>
      <c r="AJ407" t="str">
        <f t="shared" si="1626"/>
        <v>&lt;/li&gt;&lt;li&gt;&lt;a href=|http://worldebible.com/ezra/4.htm| title=|World English Bible| target=|_top|&gt;WEB&lt;/a&gt;</v>
      </c>
      <c r="AK407" t="str">
        <f t="shared" si="1626"/>
        <v>&lt;/li&gt;&lt;li&gt;&lt;a href=|http://yltbible.com/ezra/4.htm| title=|Young's Literal Translation| target=|_top|&gt;YLT&lt;/a&gt;</v>
      </c>
      <c r="AL407" t="str">
        <f>CONCATENATE("&lt;a href=|http://",AL1191,"/ezra/4.htm","| ","title=|",AL1190,"| target=|_top|&gt;",AL1192,"&lt;/a&gt;")</f>
        <v>&lt;a href=|http://kjv.us/ezra/4.htm| title=|American King James Version| target=|_top|&gt;AKJ&lt;/a&gt;</v>
      </c>
      <c r="AM407" t="str">
        <f t="shared" ref="AM407:AN407" si="1627">CONCATENATE("&lt;/li&gt;&lt;li&gt;&lt;a href=|http://",AM1191,"/ezra/4.htm","| ","title=|",AM1190,"| target=|_top|&gt;",AM1192,"&lt;/a&gt;")</f>
        <v>&lt;/li&gt;&lt;li&gt;&lt;a href=|http://basicenglishbible.com/ezra/4.htm| title=|Bible in Basic English| target=|_top|&gt;BBE&lt;/a&gt;</v>
      </c>
      <c r="AN407" t="str">
        <f t="shared" si="1627"/>
        <v>&lt;/li&gt;&lt;li&gt;&lt;a href=|http://darbybible.com/ezra/4.htm| title=|Darby Bible Translation| target=|_top|&gt;DBY&lt;/a&gt;</v>
      </c>
      <c r="AO40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0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0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07" t="str">
        <f>CONCATENATE("&lt;/li&gt;&lt;li&gt;&lt;a href=|http://",AR1191,"/ezra/4.htm","| ","title=|",AR1190,"| target=|_top|&gt;",AR1192,"&lt;/a&gt;")</f>
        <v>&lt;/li&gt;&lt;li&gt;&lt;a href=|http://websterbible.com/ezra/4.htm| title=|Webster's Bible Translation| target=|_top|&gt;WBS&lt;/a&gt;</v>
      </c>
      <c r="AS40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07" t="str">
        <f>CONCATENATE("&lt;/li&gt;&lt;li&gt;&lt;a href=|http://",AT1191,"/ezra/4-1.htm","| ","title=|",AT1190,"| target=|_top|&gt;",AT1192,"&lt;/a&gt;")</f>
        <v>&lt;/li&gt;&lt;li&gt;&lt;a href=|http://biblebrowser.com/ezra/4-1.htm| title=|Split View| target=|_top|&gt;Split&lt;/a&gt;</v>
      </c>
      <c r="AU407" s="2" t="s">
        <v>1276</v>
      </c>
      <c r="AV407" t="s">
        <v>64</v>
      </c>
    </row>
    <row r="408" spans="1:48">
      <c r="A408" t="s">
        <v>622</v>
      </c>
      <c r="B408" t="s">
        <v>646</v>
      </c>
      <c r="C408" t="s">
        <v>624</v>
      </c>
      <c r="D408" t="s">
        <v>1268</v>
      </c>
      <c r="E408" t="s">
        <v>1277</v>
      </c>
      <c r="F408" t="s">
        <v>1304</v>
      </c>
      <c r="G408" t="s">
        <v>1266</v>
      </c>
      <c r="H408" t="s">
        <v>1305</v>
      </c>
      <c r="I408" t="s">
        <v>1303</v>
      </c>
      <c r="J408" t="s">
        <v>1267</v>
      </c>
      <c r="K408" t="s">
        <v>1275</v>
      </c>
      <c r="L408" s="2" t="s">
        <v>1274</v>
      </c>
      <c r="M408" t="str">
        <f t="shared" ref="M408:AB408" si="1628">CONCATENATE("&lt;/li&gt;&lt;li&gt;&lt;a href=|http://",M1191,"/ezra/5.htm","| ","title=|",M1190,"| target=|_top|&gt;",M1192,"&lt;/a&gt;")</f>
        <v>&lt;/li&gt;&lt;li&gt;&lt;a href=|http://niv.scripturetext.com/ezra/5.htm| title=|New International Version| target=|_top|&gt;NIV&lt;/a&gt;</v>
      </c>
      <c r="N408" t="str">
        <f t="shared" si="1628"/>
        <v>&lt;/li&gt;&lt;li&gt;&lt;a href=|http://nlt.scripturetext.com/ezra/5.htm| title=|New Living Translation| target=|_top|&gt;NLT&lt;/a&gt;</v>
      </c>
      <c r="O408" t="str">
        <f t="shared" si="1628"/>
        <v>&lt;/li&gt;&lt;li&gt;&lt;a href=|http://nasb.scripturetext.com/ezra/5.htm| title=|New American Standard Bible| target=|_top|&gt;NAS&lt;/a&gt;</v>
      </c>
      <c r="P408" t="str">
        <f t="shared" si="1628"/>
        <v>&lt;/li&gt;&lt;li&gt;&lt;a href=|http://gwt.scripturetext.com/ezra/5.htm| title=|God's Word Translation| target=|_top|&gt;GWT&lt;/a&gt;</v>
      </c>
      <c r="Q408" t="str">
        <f t="shared" si="1628"/>
        <v>&lt;/li&gt;&lt;li&gt;&lt;a href=|http://kingjbible.com/ezra/5.htm| title=|King James Bible| target=|_top|&gt;KJV&lt;/a&gt;</v>
      </c>
      <c r="R408" t="str">
        <f t="shared" si="1628"/>
        <v>&lt;/li&gt;&lt;li&gt;&lt;a href=|http://asvbible.com/ezra/5.htm| title=|American Standard Version| target=|_top|&gt;ASV&lt;/a&gt;</v>
      </c>
      <c r="S408" t="str">
        <f t="shared" si="1628"/>
        <v>&lt;/li&gt;&lt;li&gt;&lt;a href=|http://drb.scripturetext.com/ezra/5.htm| title=|Douay-Rheims Bible| target=|_top|&gt;DRB&lt;/a&gt;</v>
      </c>
      <c r="T408" t="str">
        <f t="shared" si="1628"/>
        <v>&lt;/li&gt;&lt;li&gt;&lt;a href=|http://erv.scripturetext.com/ezra/5.htm| title=|English Revised Version| target=|_top|&gt;ERV&lt;/a&gt;</v>
      </c>
      <c r="V408" t="str">
        <f>CONCATENATE("&lt;/li&gt;&lt;li&gt;&lt;a href=|http://",V1191,"/ezra/5.htm","| ","title=|",V1190,"| target=|_top|&gt;",V1192,"&lt;/a&gt;")</f>
        <v>&lt;/li&gt;&lt;li&gt;&lt;a href=|http://study.interlinearbible.org/ezra/5.htm| title=|Hebrew Study Bible| target=|_top|&gt;Heb Study&lt;/a&gt;</v>
      </c>
      <c r="W408" t="str">
        <f t="shared" si="1628"/>
        <v>&lt;/li&gt;&lt;li&gt;&lt;a href=|http://apostolic.interlinearbible.org/ezra/5.htm| title=|Apostolic Bible Polyglot Interlinear| target=|_top|&gt;Polyglot&lt;/a&gt;</v>
      </c>
      <c r="X408" t="str">
        <f t="shared" si="1628"/>
        <v>&lt;/li&gt;&lt;li&gt;&lt;a href=|http://interlinearbible.org/ezra/5.htm| title=|Interlinear Bible| target=|_top|&gt;Interlin&lt;/a&gt;</v>
      </c>
      <c r="Y408" t="str">
        <f t="shared" ref="Y408" si="1629">CONCATENATE("&lt;/li&gt;&lt;li&gt;&lt;a href=|http://",Y1191,"/ezra/5.htm","| ","title=|",Y1190,"| target=|_top|&gt;",Y1192,"&lt;/a&gt;")</f>
        <v>&lt;/li&gt;&lt;li&gt;&lt;a href=|http://bibleoutline.org/ezra/5.htm| title=|Outline with People and Places List| target=|_top|&gt;Outline&lt;/a&gt;</v>
      </c>
      <c r="Z408" t="str">
        <f t="shared" si="1628"/>
        <v>&lt;/li&gt;&lt;li&gt;&lt;a href=|http://kjvs.scripturetext.com/ezra/5.htm| title=|King James Bible with Strong's Numbers| target=|_top|&gt;Strong's&lt;/a&gt;</v>
      </c>
      <c r="AA408" t="str">
        <f t="shared" si="1628"/>
        <v>&lt;/li&gt;&lt;li&gt;&lt;a href=|http://childrensbibleonline.com/ezra/5.htm| title=|The Children's Bible| target=|_top|&gt;Children's&lt;/a&gt;</v>
      </c>
      <c r="AB408" s="2" t="str">
        <f t="shared" si="1628"/>
        <v>&lt;/li&gt;&lt;li&gt;&lt;a href=|http://tsk.scripturetext.com/ezra/5.htm| title=|Treasury of Scripture Knowledge| target=|_top|&gt;TSK&lt;/a&gt;</v>
      </c>
      <c r="AC408" t="str">
        <f>CONCATENATE("&lt;a href=|http://",AC1191,"/ezra/5.htm","| ","title=|",AC1190,"| target=|_top|&gt;",AC1192,"&lt;/a&gt;")</f>
        <v>&lt;a href=|http://parallelbible.com/ezra/5.htm| title=|Parallel Chapters| target=|_top|&gt;PAR&lt;/a&gt;</v>
      </c>
      <c r="AD408" s="2" t="str">
        <f t="shared" ref="AD408:AK408" si="1630">CONCATENATE("&lt;/li&gt;&lt;li&gt;&lt;a href=|http://",AD1191,"/ezra/5.htm","| ","title=|",AD1190,"| target=|_top|&gt;",AD1192,"&lt;/a&gt;")</f>
        <v>&lt;/li&gt;&lt;li&gt;&lt;a href=|http://gsb.biblecommenter.com/ezra/5.htm| title=|Geneva Study Bible| target=|_top|&gt;GSB&lt;/a&gt;</v>
      </c>
      <c r="AE408" s="2" t="str">
        <f t="shared" si="1630"/>
        <v>&lt;/li&gt;&lt;li&gt;&lt;a href=|http://jfb.biblecommenter.com/ezra/5.htm| title=|Jamieson-Fausset-Brown Bible Commentary| target=|_top|&gt;JFB&lt;/a&gt;</v>
      </c>
      <c r="AF408" s="2" t="str">
        <f t="shared" si="1630"/>
        <v>&lt;/li&gt;&lt;li&gt;&lt;a href=|http://kjt.biblecommenter.com/ezra/5.htm| title=|King James Translators' Notes| target=|_top|&gt;KJT&lt;/a&gt;</v>
      </c>
      <c r="AG408" s="2" t="str">
        <f t="shared" si="1630"/>
        <v>&lt;/li&gt;&lt;li&gt;&lt;a href=|http://mhc.biblecommenter.com/ezra/5.htm| title=|Matthew Henry's Concise Commentary| target=|_top|&gt;MHC&lt;/a&gt;</v>
      </c>
      <c r="AH408" s="2" t="str">
        <f t="shared" si="1630"/>
        <v>&lt;/li&gt;&lt;li&gt;&lt;a href=|http://sco.biblecommenter.com/ezra/5.htm| title=|Scofield Reference Notes| target=|_top|&gt;SCO&lt;/a&gt;</v>
      </c>
      <c r="AI408" s="2" t="str">
        <f t="shared" si="1630"/>
        <v>&lt;/li&gt;&lt;li&gt;&lt;a href=|http://wes.biblecommenter.com/ezra/5.htm| title=|Wesley's Notes on the Bible| target=|_top|&gt;WES&lt;/a&gt;</v>
      </c>
      <c r="AJ408" t="str">
        <f t="shared" si="1630"/>
        <v>&lt;/li&gt;&lt;li&gt;&lt;a href=|http://worldebible.com/ezra/5.htm| title=|World English Bible| target=|_top|&gt;WEB&lt;/a&gt;</v>
      </c>
      <c r="AK408" t="str">
        <f t="shared" si="1630"/>
        <v>&lt;/li&gt;&lt;li&gt;&lt;a href=|http://yltbible.com/ezra/5.htm| title=|Young's Literal Translation| target=|_top|&gt;YLT&lt;/a&gt;</v>
      </c>
      <c r="AL408" t="str">
        <f>CONCATENATE("&lt;a href=|http://",AL1191,"/ezra/5.htm","| ","title=|",AL1190,"| target=|_top|&gt;",AL1192,"&lt;/a&gt;")</f>
        <v>&lt;a href=|http://kjv.us/ezra/5.htm| title=|American King James Version| target=|_top|&gt;AKJ&lt;/a&gt;</v>
      </c>
      <c r="AM408" t="str">
        <f t="shared" ref="AM408:AN408" si="1631">CONCATENATE("&lt;/li&gt;&lt;li&gt;&lt;a href=|http://",AM1191,"/ezra/5.htm","| ","title=|",AM1190,"| target=|_top|&gt;",AM1192,"&lt;/a&gt;")</f>
        <v>&lt;/li&gt;&lt;li&gt;&lt;a href=|http://basicenglishbible.com/ezra/5.htm| title=|Bible in Basic English| target=|_top|&gt;BBE&lt;/a&gt;</v>
      </c>
      <c r="AN408" t="str">
        <f t="shared" si="1631"/>
        <v>&lt;/li&gt;&lt;li&gt;&lt;a href=|http://darbybible.com/ezra/5.htm| title=|Darby Bible Translation| target=|_top|&gt;DBY&lt;/a&gt;</v>
      </c>
      <c r="AO40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0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0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08" t="str">
        <f>CONCATENATE("&lt;/li&gt;&lt;li&gt;&lt;a href=|http://",AR1191,"/ezra/5.htm","| ","title=|",AR1190,"| target=|_top|&gt;",AR1192,"&lt;/a&gt;")</f>
        <v>&lt;/li&gt;&lt;li&gt;&lt;a href=|http://websterbible.com/ezra/5.htm| title=|Webster's Bible Translation| target=|_top|&gt;WBS&lt;/a&gt;</v>
      </c>
      <c r="AS40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08" t="str">
        <f>CONCATENATE("&lt;/li&gt;&lt;li&gt;&lt;a href=|http://",AT1191,"/ezra/5-1.htm","| ","title=|",AT1190,"| target=|_top|&gt;",AT1192,"&lt;/a&gt;")</f>
        <v>&lt;/li&gt;&lt;li&gt;&lt;a href=|http://biblebrowser.com/ezra/5-1.htm| title=|Split View| target=|_top|&gt;Split&lt;/a&gt;</v>
      </c>
      <c r="AU408" s="2" t="s">
        <v>1276</v>
      </c>
      <c r="AV408" t="s">
        <v>64</v>
      </c>
    </row>
    <row r="409" spans="1:48">
      <c r="A409" t="s">
        <v>622</v>
      </c>
      <c r="B409" t="s">
        <v>647</v>
      </c>
      <c r="C409" t="s">
        <v>624</v>
      </c>
      <c r="D409" t="s">
        <v>1268</v>
      </c>
      <c r="E409" t="s">
        <v>1277</v>
      </c>
      <c r="F409" t="s">
        <v>1304</v>
      </c>
      <c r="G409" t="s">
        <v>1266</v>
      </c>
      <c r="H409" t="s">
        <v>1305</v>
      </c>
      <c r="I409" t="s">
        <v>1303</v>
      </c>
      <c r="J409" t="s">
        <v>1267</v>
      </c>
      <c r="K409" t="s">
        <v>1275</v>
      </c>
      <c r="L409" s="2" t="s">
        <v>1274</v>
      </c>
      <c r="M409" t="str">
        <f t="shared" ref="M409:AB409" si="1632">CONCATENATE("&lt;/li&gt;&lt;li&gt;&lt;a href=|http://",M1191,"/ezra/6.htm","| ","title=|",M1190,"| target=|_top|&gt;",M1192,"&lt;/a&gt;")</f>
        <v>&lt;/li&gt;&lt;li&gt;&lt;a href=|http://niv.scripturetext.com/ezra/6.htm| title=|New International Version| target=|_top|&gt;NIV&lt;/a&gt;</v>
      </c>
      <c r="N409" t="str">
        <f t="shared" si="1632"/>
        <v>&lt;/li&gt;&lt;li&gt;&lt;a href=|http://nlt.scripturetext.com/ezra/6.htm| title=|New Living Translation| target=|_top|&gt;NLT&lt;/a&gt;</v>
      </c>
      <c r="O409" t="str">
        <f t="shared" si="1632"/>
        <v>&lt;/li&gt;&lt;li&gt;&lt;a href=|http://nasb.scripturetext.com/ezra/6.htm| title=|New American Standard Bible| target=|_top|&gt;NAS&lt;/a&gt;</v>
      </c>
      <c r="P409" t="str">
        <f t="shared" si="1632"/>
        <v>&lt;/li&gt;&lt;li&gt;&lt;a href=|http://gwt.scripturetext.com/ezra/6.htm| title=|God's Word Translation| target=|_top|&gt;GWT&lt;/a&gt;</v>
      </c>
      <c r="Q409" t="str">
        <f t="shared" si="1632"/>
        <v>&lt;/li&gt;&lt;li&gt;&lt;a href=|http://kingjbible.com/ezra/6.htm| title=|King James Bible| target=|_top|&gt;KJV&lt;/a&gt;</v>
      </c>
      <c r="R409" t="str">
        <f t="shared" si="1632"/>
        <v>&lt;/li&gt;&lt;li&gt;&lt;a href=|http://asvbible.com/ezra/6.htm| title=|American Standard Version| target=|_top|&gt;ASV&lt;/a&gt;</v>
      </c>
      <c r="S409" t="str">
        <f t="shared" si="1632"/>
        <v>&lt;/li&gt;&lt;li&gt;&lt;a href=|http://drb.scripturetext.com/ezra/6.htm| title=|Douay-Rheims Bible| target=|_top|&gt;DRB&lt;/a&gt;</v>
      </c>
      <c r="T409" t="str">
        <f t="shared" si="1632"/>
        <v>&lt;/li&gt;&lt;li&gt;&lt;a href=|http://erv.scripturetext.com/ezra/6.htm| title=|English Revised Version| target=|_top|&gt;ERV&lt;/a&gt;</v>
      </c>
      <c r="V409" t="str">
        <f>CONCATENATE("&lt;/li&gt;&lt;li&gt;&lt;a href=|http://",V1191,"/ezra/6.htm","| ","title=|",V1190,"| target=|_top|&gt;",V1192,"&lt;/a&gt;")</f>
        <v>&lt;/li&gt;&lt;li&gt;&lt;a href=|http://study.interlinearbible.org/ezra/6.htm| title=|Hebrew Study Bible| target=|_top|&gt;Heb Study&lt;/a&gt;</v>
      </c>
      <c r="W409" t="str">
        <f t="shared" si="1632"/>
        <v>&lt;/li&gt;&lt;li&gt;&lt;a href=|http://apostolic.interlinearbible.org/ezra/6.htm| title=|Apostolic Bible Polyglot Interlinear| target=|_top|&gt;Polyglot&lt;/a&gt;</v>
      </c>
      <c r="X409" t="str">
        <f t="shared" si="1632"/>
        <v>&lt;/li&gt;&lt;li&gt;&lt;a href=|http://interlinearbible.org/ezra/6.htm| title=|Interlinear Bible| target=|_top|&gt;Interlin&lt;/a&gt;</v>
      </c>
      <c r="Y409" t="str">
        <f t="shared" ref="Y409" si="1633">CONCATENATE("&lt;/li&gt;&lt;li&gt;&lt;a href=|http://",Y1191,"/ezra/6.htm","| ","title=|",Y1190,"| target=|_top|&gt;",Y1192,"&lt;/a&gt;")</f>
        <v>&lt;/li&gt;&lt;li&gt;&lt;a href=|http://bibleoutline.org/ezra/6.htm| title=|Outline with People and Places List| target=|_top|&gt;Outline&lt;/a&gt;</v>
      </c>
      <c r="Z409" t="str">
        <f t="shared" si="1632"/>
        <v>&lt;/li&gt;&lt;li&gt;&lt;a href=|http://kjvs.scripturetext.com/ezra/6.htm| title=|King James Bible with Strong's Numbers| target=|_top|&gt;Strong's&lt;/a&gt;</v>
      </c>
      <c r="AA409" t="str">
        <f t="shared" si="1632"/>
        <v>&lt;/li&gt;&lt;li&gt;&lt;a href=|http://childrensbibleonline.com/ezra/6.htm| title=|The Children's Bible| target=|_top|&gt;Children's&lt;/a&gt;</v>
      </c>
      <c r="AB409" s="2" t="str">
        <f t="shared" si="1632"/>
        <v>&lt;/li&gt;&lt;li&gt;&lt;a href=|http://tsk.scripturetext.com/ezra/6.htm| title=|Treasury of Scripture Knowledge| target=|_top|&gt;TSK&lt;/a&gt;</v>
      </c>
      <c r="AC409" t="str">
        <f>CONCATENATE("&lt;a href=|http://",AC1191,"/ezra/6.htm","| ","title=|",AC1190,"| target=|_top|&gt;",AC1192,"&lt;/a&gt;")</f>
        <v>&lt;a href=|http://parallelbible.com/ezra/6.htm| title=|Parallel Chapters| target=|_top|&gt;PAR&lt;/a&gt;</v>
      </c>
      <c r="AD409" s="2" t="str">
        <f t="shared" ref="AD409:AK409" si="1634">CONCATENATE("&lt;/li&gt;&lt;li&gt;&lt;a href=|http://",AD1191,"/ezra/6.htm","| ","title=|",AD1190,"| target=|_top|&gt;",AD1192,"&lt;/a&gt;")</f>
        <v>&lt;/li&gt;&lt;li&gt;&lt;a href=|http://gsb.biblecommenter.com/ezra/6.htm| title=|Geneva Study Bible| target=|_top|&gt;GSB&lt;/a&gt;</v>
      </c>
      <c r="AE409" s="2" t="str">
        <f t="shared" si="1634"/>
        <v>&lt;/li&gt;&lt;li&gt;&lt;a href=|http://jfb.biblecommenter.com/ezra/6.htm| title=|Jamieson-Fausset-Brown Bible Commentary| target=|_top|&gt;JFB&lt;/a&gt;</v>
      </c>
      <c r="AF409" s="2" t="str">
        <f t="shared" si="1634"/>
        <v>&lt;/li&gt;&lt;li&gt;&lt;a href=|http://kjt.biblecommenter.com/ezra/6.htm| title=|King James Translators' Notes| target=|_top|&gt;KJT&lt;/a&gt;</v>
      </c>
      <c r="AG409" s="2" t="str">
        <f t="shared" si="1634"/>
        <v>&lt;/li&gt;&lt;li&gt;&lt;a href=|http://mhc.biblecommenter.com/ezra/6.htm| title=|Matthew Henry's Concise Commentary| target=|_top|&gt;MHC&lt;/a&gt;</v>
      </c>
      <c r="AH409" s="2" t="str">
        <f t="shared" si="1634"/>
        <v>&lt;/li&gt;&lt;li&gt;&lt;a href=|http://sco.biblecommenter.com/ezra/6.htm| title=|Scofield Reference Notes| target=|_top|&gt;SCO&lt;/a&gt;</v>
      </c>
      <c r="AI409" s="2" t="str">
        <f t="shared" si="1634"/>
        <v>&lt;/li&gt;&lt;li&gt;&lt;a href=|http://wes.biblecommenter.com/ezra/6.htm| title=|Wesley's Notes on the Bible| target=|_top|&gt;WES&lt;/a&gt;</v>
      </c>
      <c r="AJ409" t="str">
        <f t="shared" si="1634"/>
        <v>&lt;/li&gt;&lt;li&gt;&lt;a href=|http://worldebible.com/ezra/6.htm| title=|World English Bible| target=|_top|&gt;WEB&lt;/a&gt;</v>
      </c>
      <c r="AK409" t="str">
        <f t="shared" si="1634"/>
        <v>&lt;/li&gt;&lt;li&gt;&lt;a href=|http://yltbible.com/ezra/6.htm| title=|Young's Literal Translation| target=|_top|&gt;YLT&lt;/a&gt;</v>
      </c>
      <c r="AL409" t="str">
        <f>CONCATENATE("&lt;a href=|http://",AL1191,"/ezra/6.htm","| ","title=|",AL1190,"| target=|_top|&gt;",AL1192,"&lt;/a&gt;")</f>
        <v>&lt;a href=|http://kjv.us/ezra/6.htm| title=|American King James Version| target=|_top|&gt;AKJ&lt;/a&gt;</v>
      </c>
      <c r="AM409" t="str">
        <f t="shared" ref="AM409:AN409" si="1635">CONCATENATE("&lt;/li&gt;&lt;li&gt;&lt;a href=|http://",AM1191,"/ezra/6.htm","| ","title=|",AM1190,"| target=|_top|&gt;",AM1192,"&lt;/a&gt;")</f>
        <v>&lt;/li&gt;&lt;li&gt;&lt;a href=|http://basicenglishbible.com/ezra/6.htm| title=|Bible in Basic English| target=|_top|&gt;BBE&lt;/a&gt;</v>
      </c>
      <c r="AN409" t="str">
        <f t="shared" si="1635"/>
        <v>&lt;/li&gt;&lt;li&gt;&lt;a href=|http://darbybible.com/ezra/6.htm| title=|Darby Bible Translation| target=|_top|&gt;DBY&lt;/a&gt;</v>
      </c>
      <c r="AO40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0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0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09" t="str">
        <f>CONCATENATE("&lt;/li&gt;&lt;li&gt;&lt;a href=|http://",AR1191,"/ezra/6.htm","| ","title=|",AR1190,"| target=|_top|&gt;",AR1192,"&lt;/a&gt;")</f>
        <v>&lt;/li&gt;&lt;li&gt;&lt;a href=|http://websterbible.com/ezra/6.htm| title=|Webster's Bible Translation| target=|_top|&gt;WBS&lt;/a&gt;</v>
      </c>
      <c r="AS40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09" t="str">
        <f>CONCATENATE("&lt;/li&gt;&lt;li&gt;&lt;a href=|http://",AT1191,"/ezra/6-1.htm","| ","title=|",AT1190,"| target=|_top|&gt;",AT1192,"&lt;/a&gt;")</f>
        <v>&lt;/li&gt;&lt;li&gt;&lt;a href=|http://biblebrowser.com/ezra/6-1.htm| title=|Split View| target=|_top|&gt;Split&lt;/a&gt;</v>
      </c>
      <c r="AU409" s="2" t="s">
        <v>1276</v>
      </c>
      <c r="AV409" t="s">
        <v>64</v>
      </c>
    </row>
    <row r="410" spans="1:48">
      <c r="A410" t="s">
        <v>622</v>
      </c>
      <c r="B410" t="s">
        <v>648</v>
      </c>
      <c r="C410" t="s">
        <v>624</v>
      </c>
      <c r="D410" t="s">
        <v>1268</v>
      </c>
      <c r="E410" t="s">
        <v>1277</v>
      </c>
      <c r="F410" t="s">
        <v>1304</v>
      </c>
      <c r="G410" t="s">
        <v>1266</v>
      </c>
      <c r="H410" t="s">
        <v>1305</v>
      </c>
      <c r="I410" t="s">
        <v>1303</v>
      </c>
      <c r="J410" t="s">
        <v>1267</v>
      </c>
      <c r="K410" t="s">
        <v>1275</v>
      </c>
      <c r="L410" s="2" t="s">
        <v>1274</v>
      </c>
      <c r="M410" t="str">
        <f t="shared" ref="M410:AB410" si="1636">CONCATENATE("&lt;/li&gt;&lt;li&gt;&lt;a href=|http://",M1191,"/ezra/7.htm","| ","title=|",M1190,"| target=|_top|&gt;",M1192,"&lt;/a&gt;")</f>
        <v>&lt;/li&gt;&lt;li&gt;&lt;a href=|http://niv.scripturetext.com/ezra/7.htm| title=|New International Version| target=|_top|&gt;NIV&lt;/a&gt;</v>
      </c>
      <c r="N410" t="str">
        <f t="shared" si="1636"/>
        <v>&lt;/li&gt;&lt;li&gt;&lt;a href=|http://nlt.scripturetext.com/ezra/7.htm| title=|New Living Translation| target=|_top|&gt;NLT&lt;/a&gt;</v>
      </c>
      <c r="O410" t="str">
        <f t="shared" si="1636"/>
        <v>&lt;/li&gt;&lt;li&gt;&lt;a href=|http://nasb.scripturetext.com/ezra/7.htm| title=|New American Standard Bible| target=|_top|&gt;NAS&lt;/a&gt;</v>
      </c>
      <c r="P410" t="str">
        <f t="shared" si="1636"/>
        <v>&lt;/li&gt;&lt;li&gt;&lt;a href=|http://gwt.scripturetext.com/ezra/7.htm| title=|God's Word Translation| target=|_top|&gt;GWT&lt;/a&gt;</v>
      </c>
      <c r="Q410" t="str">
        <f t="shared" si="1636"/>
        <v>&lt;/li&gt;&lt;li&gt;&lt;a href=|http://kingjbible.com/ezra/7.htm| title=|King James Bible| target=|_top|&gt;KJV&lt;/a&gt;</v>
      </c>
      <c r="R410" t="str">
        <f t="shared" si="1636"/>
        <v>&lt;/li&gt;&lt;li&gt;&lt;a href=|http://asvbible.com/ezra/7.htm| title=|American Standard Version| target=|_top|&gt;ASV&lt;/a&gt;</v>
      </c>
      <c r="S410" t="str">
        <f t="shared" si="1636"/>
        <v>&lt;/li&gt;&lt;li&gt;&lt;a href=|http://drb.scripturetext.com/ezra/7.htm| title=|Douay-Rheims Bible| target=|_top|&gt;DRB&lt;/a&gt;</v>
      </c>
      <c r="T410" t="str">
        <f t="shared" si="1636"/>
        <v>&lt;/li&gt;&lt;li&gt;&lt;a href=|http://erv.scripturetext.com/ezra/7.htm| title=|English Revised Version| target=|_top|&gt;ERV&lt;/a&gt;</v>
      </c>
      <c r="V410" t="str">
        <f>CONCATENATE("&lt;/li&gt;&lt;li&gt;&lt;a href=|http://",V1191,"/ezra/7.htm","| ","title=|",V1190,"| target=|_top|&gt;",V1192,"&lt;/a&gt;")</f>
        <v>&lt;/li&gt;&lt;li&gt;&lt;a href=|http://study.interlinearbible.org/ezra/7.htm| title=|Hebrew Study Bible| target=|_top|&gt;Heb Study&lt;/a&gt;</v>
      </c>
      <c r="W410" t="str">
        <f t="shared" si="1636"/>
        <v>&lt;/li&gt;&lt;li&gt;&lt;a href=|http://apostolic.interlinearbible.org/ezra/7.htm| title=|Apostolic Bible Polyglot Interlinear| target=|_top|&gt;Polyglot&lt;/a&gt;</v>
      </c>
      <c r="X410" t="str">
        <f t="shared" si="1636"/>
        <v>&lt;/li&gt;&lt;li&gt;&lt;a href=|http://interlinearbible.org/ezra/7.htm| title=|Interlinear Bible| target=|_top|&gt;Interlin&lt;/a&gt;</v>
      </c>
      <c r="Y410" t="str">
        <f t="shared" ref="Y410" si="1637">CONCATENATE("&lt;/li&gt;&lt;li&gt;&lt;a href=|http://",Y1191,"/ezra/7.htm","| ","title=|",Y1190,"| target=|_top|&gt;",Y1192,"&lt;/a&gt;")</f>
        <v>&lt;/li&gt;&lt;li&gt;&lt;a href=|http://bibleoutline.org/ezra/7.htm| title=|Outline with People and Places List| target=|_top|&gt;Outline&lt;/a&gt;</v>
      </c>
      <c r="Z410" t="str">
        <f t="shared" si="1636"/>
        <v>&lt;/li&gt;&lt;li&gt;&lt;a href=|http://kjvs.scripturetext.com/ezra/7.htm| title=|King James Bible with Strong's Numbers| target=|_top|&gt;Strong's&lt;/a&gt;</v>
      </c>
      <c r="AA410" t="str">
        <f t="shared" si="1636"/>
        <v>&lt;/li&gt;&lt;li&gt;&lt;a href=|http://childrensbibleonline.com/ezra/7.htm| title=|The Children's Bible| target=|_top|&gt;Children's&lt;/a&gt;</v>
      </c>
      <c r="AB410" s="2" t="str">
        <f t="shared" si="1636"/>
        <v>&lt;/li&gt;&lt;li&gt;&lt;a href=|http://tsk.scripturetext.com/ezra/7.htm| title=|Treasury of Scripture Knowledge| target=|_top|&gt;TSK&lt;/a&gt;</v>
      </c>
      <c r="AC410" t="str">
        <f>CONCATENATE("&lt;a href=|http://",AC1191,"/ezra/7.htm","| ","title=|",AC1190,"| target=|_top|&gt;",AC1192,"&lt;/a&gt;")</f>
        <v>&lt;a href=|http://parallelbible.com/ezra/7.htm| title=|Parallel Chapters| target=|_top|&gt;PAR&lt;/a&gt;</v>
      </c>
      <c r="AD410" s="2" t="str">
        <f t="shared" ref="AD410:AK410" si="1638">CONCATENATE("&lt;/li&gt;&lt;li&gt;&lt;a href=|http://",AD1191,"/ezra/7.htm","| ","title=|",AD1190,"| target=|_top|&gt;",AD1192,"&lt;/a&gt;")</f>
        <v>&lt;/li&gt;&lt;li&gt;&lt;a href=|http://gsb.biblecommenter.com/ezra/7.htm| title=|Geneva Study Bible| target=|_top|&gt;GSB&lt;/a&gt;</v>
      </c>
      <c r="AE410" s="2" t="str">
        <f t="shared" si="1638"/>
        <v>&lt;/li&gt;&lt;li&gt;&lt;a href=|http://jfb.biblecommenter.com/ezra/7.htm| title=|Jamieson-Fausset-Brown Bible Commentary| target=|_top|&gt;JFB&lt;/a&gt;</v>
      </c>
      <c r="AF410" s="2" t="str">
        <f t="shared" si="1638"/>
        <v>&lt;/li&gt;&lt;li&gt;&lt;a href=|http://kjt.biblecommenter.com/ezra/7.htm| title=|King James Translators' Notes| target=|_top|&gt;KJT&lt;/a&gt;</v>
      </c>
      <c r="AG410" s="2" t="str">
        <f t="shared" si="1638"/>
        <v>&lt;/li&gt;&lt;li&gt;&lt;a href=|http://mhc.biblecommenter.com/ezra/7.htm| title=|Matthew Henry's Concise Commentary| target=|_top|&gt;MHC&lt;/a&gt;</v>
      </c>
      <c r="AH410" s="2" t="str">
        <f t="shared" si="1638"/>
        <v>&lt;/li&gt;&lt;li&gt;&lt;a href=|http://sco.biblecommenter.com/ezra/7.htm| title=|Scofield Reference Notes| target=|_top|&gt;SCO&lt;/a&gt;</v>
      </c>
      <c r="AI410" s="2" t="str">
        <f t="shared" si="1638"/>
        <v>&lt;/li&gt;&lt;li&gt;&lt;a href=|http://wes.biblecommenter.com/ezra/7.htm| title=|Wesley's Notes on the Bible| target=|_top|&gt;WES&lt;/a&gt;</v>
      </c>
      <c r="AJ410" t="str">
        <f t="shared" si="1638"/>
        <v>&lt;/li&gt;&lt;li&gt;&lt;a href=|http://worldebible.com/ezra/7.htm| title=|World English Bible| target=|_top|&gt;WEB&lt;/a&gt;</v>
      </c>
      <c r="AK410" t="str">
        <f t="shared" si="1638"/>
        <v>&lt;/li&gt;&lt;li&gt;&lt;a href=|http://yltbible.com/ezra/7.htm| title=|Young's Literal Translation| target=|_top|&gt;YLT&lt;/a&gt;</v>
      </c>
      <c r="AL410" t="str">
        <f>CONCATENATE("&lt;a href=|http://",AL1191,"/ezra/7.htm","| ","title=|",AL1190,"| target=|_top|&gt;",AL1192,"&lt;/a&gt;")</f>
        <v>&lt;a href=|http://kjv.us/ezra/7.htm| title=|American King James Version| target=|_top|&gt;AKJ&lt;/a&gt;</v>
      </c>
      <c r="AM410" t="str">
        <f t="shared" ref="AM410:AN410" si="1639">CONCATENATE("&lt;/li&gt;&lt;li&gt;&lt;a href=|http://",AM1191,"/ezra/7.htm","| ","title=|",AM1190,"| target=|_top|&gt;",AM1192,"&lt;/a&gt;")</f>
        <v>&lt;/li&gt;&lt;li&gt;&lt;a href=|http://basicenglishbible.com/ezra/7.htm| title=|Bible in Basic English| target=|_top|&gt;BBE&lt;/a&gt;</v>
      </c>
      <c r="AN410" t="str">
        <f t="shared" si="1639"/>
        <v>&lt;/li&gt;&lt;li&gt;&lt;a href=|http://darbybible.com/ezra/7.htm| title=|Darby Bible Translation| target=|_top|&gt;DBY&lt;/a&gt;</v>
      </c>
      <c r="AO41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1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1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10" t="str">
        <f>CONCATENATE("&lt;/li&gt;&lt;li&gt;&lt;a href=|http://",AR1191,"/ezra/7.htm","| ","title=|",AR1190,"| target=|_top|&gt;",AR1192,"&lt;/a&gt;")</f>
        <v>&lt;/li&gt;&lt;li&gt;&lt;a href=|http://websterbible.com/ezra/7.htm| title=|Webster's Bible Translation| target=|_top|&gt;WBS&lt;/a&gt;</v>
      </c>
      <c r="AS41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10" t="str">
        <f>CONCATENATE("&lt;/li&gt;&lt;li&gt;&lt;a href=|http://",AT1191,"/ezra/7-1.htm","| ","title=|",AT1190,"| target=|_top|&gt;",AT1192,"&lt;/a&gt;")</f>
        <v>&lt;/li&gt;&lt;li&gt;&lt;a href=|http://biblebrowser.com/ezra/7-1.htm| title=|Split View| target=|_top|&gt;Split&lt;/a&gt;</v>
      </c>
      <c r="AU410" s="2" t="s">
        <v>1276</v>
      </c>
      <c r="AV410" t="s">
        <v>64</v>
      </c>
    </row>
    <row r="411" spans="1:48">
      <c r="A411" t="s">
        <v>622</v>
      </c>
      <c r="B411" t="s">
        <v>649</v>
      </c>
      <c r="C411" t="s">
        <v>624</v>
      </c>
      <c r="D411" t="s">
        <v>1268</v>
      </c>
      <c r="E411" t="s">
        <v>1277</v>
      </c>
      <c r="F411" t="s">
        <v>1304</v>
      </c>
      <c r="G411" t="s">
        <v>1266</v>
      </c>
      <c r="H411" t="s">
        <v>1305</v>
      </c>
      <c r="I411" t="s">
        <v>1303</v>
      </c>
      <c r="J411" t="s">
        <v>1267</v>
      </c>
      <c r="K411" t="s">
        <v>1275</v>
      </c>
      <c r="L411" s="2" t="s">
        <v>1274</v>
      </c>
      <c r="M411" t="str">
        <f t="shared" ref="M411:AB411" si="1640">CONCATENATE("&lt;/li&gt;&lt;li&gt;&lt;a href=|http://",M1191,"/ezra/8.htm","| ","title=|",M1190,"| target=|_top|&gt;",M1192,"&lt;/a&gt;")</f>
        <v>&lt;/li&gt;&lt;li&gt;&lt;a href=|http://niv.scripturetext.com/ezra/8.htm| title=|New International Version| target=|_top|&gt;NIV&lt;/a&gt;</v>
      </c>
      <c r="N411" t="str">
        <f t="shared" si="1640"/>
        <v>&lt;/li&gt;&lt;li&gt;&lt;a href=|http://nlt.scripturetext.com/ezra/8.htm| title=|New Living Translation| target=|_top|&gt;NLT&lt;/a&gt;</v>
      </c>
      <c r="O411" t="str">
        <f t="shared" si="1640"/>
        <v>&lt;/li&gt;&lt;li&gt;&lt;a href=|http://nasb.scripturetext.com/ezra/8.htm| title=|New American Standard Bible| target=|_top|&gt;NAS&lt;/a&gt;</v>
      </c>
      <c r="P411" t="str">
        <f t="shared" si="1640"/>
        <v>&lt;/li&gt;&lt;li&gt;&lt;a href=|http://gwt.scripturetext.com/ezra/8.htm| title=|God's Word Translation| target=|_top|&gt;GWT&lt;/a&gt;</v>
      </c>
      <c r="Q411" t="str">
        <f t="shared" si="1640"/>
        <v>&lt;/li&gt;&lt;li&gt;&lt;a href=|http://kingjbible.com/ezra/8.htm| title=|King James Bible| target=|_top|&gt;KJV&lt;/a&gt;</v>
      </c>
      <c r="R411" t="str">
        <f t="shared" si="1640"/>
        <v>&lt;/li&gt;&lt;li&gt;&lt;a href=|http://asvbible.com/ezra/8.htm| title=|American Standard Version| target=|_top|&gt;ASV&lt;/a&gt;</v>
      </c>
      <c r="S411" t="str">
        <f t="shared" si="1640"/>
        <v>&lt;/li&gt;&lt;li&gt;&lt;a href=|http://drb.scripturetext.com/ezra/8.htm| title=|Douay-Rheims Bible| target=|_top|&gt;DRB&lt;/a&gt;</v>
      </c>
      <c r="T411" t="str">
        <f t="shared" si="1640"/>
        <v>&lt;/li&gt;&lt;li&gt;&lt;a href=|http://erv.scripturetext.com/ezra/8.htm| title=|English Revised Version| target=|_top|&gt;ERV&lt;/a&gt;</v>
      </c>
      <c r="V411" t="str">
        <f>CONCATENATE("&lt;/li&gt;&lt;li&gt;&lt;a href=|http://",V1191,"/ezra/8.htm","| ","title=|",V1190,"| target=|_top|&gt;",V1192,"&lt;/a&gt;")</f>
        <v>&lt;/li&gt;&lt;li&gt;&lt;a href=|http://study.interlinearbible.org/ezra/8.htm| title=|Hebrew Study Bible| target=|_top|&gt;Heb Study&lt;/a&gt;</v>
      </c>
      <c r="W411" t="str">
        <f t="shared" si="1640"/>
        <v>&lt;/li&gt;&lt;li&gt;&lt;a href=|http://apostolic.interlinearbible.org/ezra/8.htm| title=|Apostolic Bible Polyglot Interlinear| target=|_top|&gt;Polyglot&lt;/a&gt;</v>
      </c>
      <c r="X411" t="str">
        <f t="shared" si="1640"/>
        <v>&lt;/li&gt;&lt;li&gt;&lt;a href=|http://interlinearbible.org/ezra/8.htm| title=|Interlinear Bible| target=|_top|&gt;Interlin&lt;/a&gt;</v>
      </c>
      <c r="Y411" t="str">
        <f t="shared" ref="Y411" si="1641">CONCATENATE("&lt;/li&gt;&lt;li&gt;&lt;a href=|http://",Y1191,"/ezra/8.htm","| ","title=|",Y1190,"| target=|_top|&gt;",Y1192,"&lt;/a&gt;")</f>
        <v>&lt;/li&gt;&lt;li&gt;&lt;a href=|http://bibleoutline.org/ezra/8.htm| title=|Outline with People and Places List| target=|_top|&gt;Outline&lt;/a&gt;</v>
      </c>
      <c r="Z411" t="str">
        <f t="shared" si="1640"/>
        <v>&lt;/li&gt;&lt;li&gt;&lt;a href=|http://kjvs.scripturetext.com/ezra/8.htm| title=|King James Bible with Strong's Numbers| target=|_top|&gt;Strong's&lt;/a&gt;</v>
      </c>
      <c r="AA411" t="str">
        <f t="shared" si="1640"/>
        <v>&lt;/li&gt;&lt;li&gt;&lt;a href=|http://childrensbibleonline.com/ezra/8.htm| title=|The Children's Bible| target=|_top|&gt;Children's&lt;/a&gt;</v>
      </c>
      <c r="AB411" s="2" t="str">
        <f t="shared" si="1640"/>
        <v>&lt;/li&gt;&lt;li&gt;&lt;a href=|http://tsk.scripturetext.com/ezra/8.htm| title=|Treasury of Scripture Knowledge| target=|_top|&gt;TSK&lt;/a&gt;</v>
      </c>
      <c r="AC411" t="str">
        <f>CONCATENATE("&lt;a href=|http://",AC1191,"/ezra/8.htm","| ","title=|",AC1190,"| target=|_top|&gt;",AC1192,"&lt;/a&gt;")</f>
        <v>&lt;a href=|http://parallelbible.com/ezra/8.htm| title=|Parallel Chapters| target=|_top|&gt;PAR&lt;/a&gt;</v>
      </c>
      <c r="AD411" s="2" t="str">
        <f t="shared" ref="AD411:AK411" si="1642">CONCATENATE("&lt;/li&gt;&lt;li&gt;&lt;a href=|http://",AD1191,"/ezra/8.htm","| ","title=|",AD1190,"| target=|_top|&gt;",AD1192,"&lt;/a&gt;")</f>
        <v>&lt;/li&gt;&lt;li&gt;&lt;a href=|http://gsb.biblecommenter.com/ezra/8.htm| title=|Geneva Study Bible| target=|_top|&gt;GSB&lt;/a&gt;</v>
      </c>
      <c r="AE411" s="2" t="str">
        <f t="shared" si="1642"/>
        <v>&lt;/li&gt;&lt;li&gt;&lt;a href=|http://jfb.biblecommenter.com/ezra/8.htm| title=|Jamieson-Fausset-Brown Bible Commentary| target=|_top|&gt;JFB&lt;/a&gt;</v>
      </c>
      <c r="AF411" s="2" t="str">
        <f t="shared" si="1642"/>
        <v>&lt;/li&gt;&lt;li&gt;&lt;a href=|http://kjt.biblecommenter.com/ezra/8.htm| title=|King James Translators' Notes| target=|_top|&gt;KJT&lt;/a&gt;</v>
      </c>
      <c r="AG411" s="2" t="str">
        <f t="shared" si="1642"/>
        <v>&lt;/li&gt;&lt;li&gt;&lt;a href=|http://mhc.biblecommenter.com/ezra/8.htm| title=|Matthew Henry's Concise Commentary| target=|_top|&gt;MHC&lt;/a&gt;</v>
      </c>
      <c r="AH411" s="2" t="str">
        <f t="shared" si="1642"/>
        <v>&lt;/li&gt;&lt;li&gt;&lt;a href=|http://sco.biblecommenter.com/ezra/8.htm| title=|Scofield Reference Notes| target=|_top|&gt;SCO&lt;/a&gt;</v>
      </c>
      <c r="AI411" s="2" t="str">
        <f t="shared" si="1642"/>
        <v>&lt;/li&gt;&lt;li&gt;&lt;a href=|http://wes.biblecommenter.com/ezra/8.htm| title=|Wesley's Notes on the Bible| target=|_top|&gt;WES&lt;/a&gt;</v>
      </c>
      <c r="AJ411" t="str">
        <f t="shared" si="1642"/>
        <v>&lt;/li&gt;&lt;li&gt;&lt;a href=|http://worldebible.com/ezra/8.htm| title=|World English Bible| target=|_top|&gt;WEB&lt;/a&gt;</v>
      </c>
      <c r="AK411" t="str">
        <f t="shared" si="1642"/>
        <v>&lt;/li&gt;&lt;li&gt;&lt;a href=|http://yltbible.com/ezra/8.htm| title=|Young's Literal Translation| target=|_top|&gt;YLT&lt;/a&gt;</v>
      </c>
      <c r="AL411" t="str">
        <f>CONCATENATE("&lt;a href=|http://",AL1191,"/ezra/8.htm","| ","title=|",AL1190,"| target=|_top|&gt;",AL1192,"&lt;/a&gt;")</f>
        <v>&lt;a href=|http://kjv.us/ezra/8.htm| title=|American King James Version| target=|_top|&gt;AKJ&lt;/a&gt;</v>
      </c>
      <c r="AM411" t="str">
        <f t="shared" ref="AM411:AN411" si="1643">CONCATENATE("&lt;/li&gt;&lt;li&gt;&lt;a href=|http://",AM1191,"/ezra/8.htm","| ","title=|",AM1190,"| target=|_top|&gt;",AM1192,"&lt;/a&gt;")</f>
        <v>&lt;/li&gt;&lt;li&gt;&lt;a href=|http://basicenglishbible.com/ezra/8.htm| title=|Bible in Basic English| target=|_top|&gt;BBE&lt;/a&gt;</v>
      </c>
      <c r="AN411" t="str">
        <f t="shared" si="1643"/>
        <v>&lt;/li&gt;&lt;li&gt;&lt;a href=|http://darbybible.com/ezra/8.htm| title=|Darby Bible Translation| target=|_top|&gt;DBY&lt;/a&gt;</v>
      </c>
      <c r="AO41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1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1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11" t="str">
        <f>CONCATENATE("&lt;/li&gt;&lt;li&gt;&lt;a href=|http://",AR1191,"/ezra/8.htm","| ","title=|",AR1190,"| target=|_top|&gt;",AR1192,"&lt;/a&gt;")</f>
        <v>&lt;/li&gt;&lt;li&gt;&lt;a href=|http://websterbible.com/ezra/8.htm| title=|Webster's Bible Translation| target=|_top|&gt;WBS&lt;/a&gt;</v>
      </c>
      <c r="AS41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11" t="str">
        <f>CONCATENATE("&lt;/li&gt;&lt;li&gt;&lt;a href=|http://",AT1191,"/ezra/8-1.htm","| ","title=|",AT1190,"| target=|_top|&gt;",AT1192,"&lt;/a&gt;")</f>
        <v>&lt;/li&gt;&lt;li&gt;&lt;a href=|http://biblebrowser.com/ezra/8-1.htm| title=|Split View| target=|_top|&gt;Split&lt;/a&gt;</v>
      </c>
      <c r="AU411" s="2" t="s">
        <v>1276</v>
      </c>
      <c r="AV411" t="s">
        <v>64</v>
      </c>
    </row>
    <row r="412" spans="1:48">
      <c r="A412" t="s">
        <v>622</v>
      </c>
      <c r="B412" t="s">
        <v>650</v>
      </c>
      <c r="C412" t="s">
        <v>624</v>
      </c>
      <c r="D412" t="s">
        <v>1268</v>
      </c>
      <c r="E412" t="s">
        <v>1277</v>
      </c>
      <c r="F412" t="s">
        <v>1304</v>
      </c>
      <c r="G412" t="s">
        <v>1266</v>
      </c>
      <c r="H412" t="s">
        <v>1305</v>
      </c>
      <c r="I412" t="s">
        <v>1303</v>
      </c>
      <c r="J412" t="s">
        <v>1267</v>
      </c>
      <c r="K412" t="s">
        <v>1275</v>
      </c>
      <c r="L412" s="2" t="s">
        <v>1274</v>
      </c>
      <c r="M412" t="str">
        <f t="shared" ref="M412:AB412" si="1644">CONCATENATE("&lt;/li&gt;&lt;li&gt;&lt;a href=|http://",M1191,"/ezra/9.htm","| ","title=|",M1190,"| target=|_top|&gt;",M1192,"&lt;/a&gt;")</f>
        <v>&lt;/li&gt;&lt;li&gt;&lt;a href=|http://niv.scripturetext.com/ezra/9.htm| title=|New International Version| target=|_top|&gt;NIV&lt;/a&gt;</v>
      </c>
      <c r="N412" t="str">
        <f t="shared" si="1644"/>
        <v>&lt;/li&gt;&lt;li&gt;&lt;a href=|http://nlt.scripturetext.com/ezra/9.htm| title=|New Living Translation| target=|_top|&gt;NLT&lt;/a&gt;</v>
      </c>
      <c r="O412" t="str">
        <f t="shared" si="1644"/>
        <v>&lt;/li&gt;&lt;li&gt;&lt;a href=|http://nasb.scripturetext.com/ezra/9.htm| title=|New American Standard Bible| target=|_top|&gt;NAS&lt;/a&gt;</v>
      </c>
      <c r="P412" t="str">
        <f t="shared" si="1644"/>
        <v>&lt;/li&gt;&lt;li&gt;&lt;a href=|http://gwt.scripturetext.com/ezra/9.htm| title=|God's Word Translation| target=|_top|&gt;GWT&lt;/a&gt;</v>
      </c>
      <c r="Q412" t="str">
        <f t="shared" si="1644"/>
        <v>&lt;/li&gt;&lt;li&gt;&lt;a href=|http://kingjbible.com/ezra/9.htm| title=|King James Bible| target=|_top|&gt;KJV&lt;/a&gt;</v>
      </c>
      <c r="R412" t="str">
        <f t="shared" si="1644"/>
        <v>&lt;/li&gt;&lt;li&gt;&lt;a href=|http://asvbible.com/ezra/9.htm| title=|American Standard Version| target=|_top|&gt;ASV&lt;/a&gt;</v>
      </c>
      <c r="S412" t="str">
        <f t="shared" si="1644"/>
        <v>&lt;/li&gt;&lt;li&gt;&lt;a href=|http://drb.scripturetext.com/ezra/9.htm| title=|Douay-Rheims Bible| target=|_top|&gt;DRB&lt;/a&gt;</v>
      </c>
      <c r="T412" t="str">
        <f t="shared" si="1644"/>
        <v>&lt;/li&gt;&lt;li&gt;&lt;a href=|http://erv.scripturetext.com/ezra/9.htm| title=|English Revised Version| target=|_top|&gt;ERV&lt;/a&gt;</v>
      </c>
      <c r="V412" t="str">
        <f>CONCATENATE("&lt;/li&gt;&lt;li&gt;&lt;a href=|http://",V1191,"/ezra/9.htm","| ","title=|",V1190,"| target=|_top|&gt;",V1192,"&lt;/a&gt;")</f>
        <v>&lt;/li&gt;&lt;li&gt;&lt;a href=|http://study.interlinearbible.org/ezra/9.htm| title=|Hebrew Study Bible| target=|_top|&gt;Heb Study&lt;/a&gt;</v>
      </c>
      <c r="W412" t="str">
        <f t="shared" si="1644"/>
        <v>&lt;/li&gt;&lt;li&gt;&lt;a href=|http://apostolic.interlinearbible.org/ezra/9.htm| title=|Apostolic Bible Polyglot Interlinear| target=|_top|&gt;Polyglot&lt;/a&gt;</v>
      </c>
      <c r="X412" t="str">
        <f t="shared" si="1644"/>
        <v>&lt;/li&gt;&lt;li&gt;&lt;a href=|http://interlinearbible.org/ezra/9.htm| title=|Interlinear Bible| target=|_top|&gt;Interlin&lt;/a&gt;</v>
      </c>
      <c r="Y412" t="str">
        <f t="shared" ref="Y412" si="1645">CONCATENATE("&lt;/li&gt;&lt;li&gt;&lt;a href=|http://",Y1191,"/ezra/9.htm","| ","title=|",Y1190,"| target=|_top|&gt;",Y1192,"&lt;/a&gt;")</f>
        <v>&lt;/li&gt;&lt;li&gt;&lt;a href=|http://bibleoutline.org/ezra/9.htm| title=|Outline with People and Places List| target=|_top|&gt;Outline&lt;/a&gt;</v>
      </c>
      <c r="Z412" t="str">
        <f t="shared" si="1644"/>
        <v>&lt;/li&gt;&lt;li&gt;&lt;a href=|http://kjvs.scripturetext.com/ezra/9.htm| title=|King James Bible with Strong's Numbers| target=|_top|&gt;Strong's&lt;/a&gt;</v>
      </c>
      <c r="AA412" t="str">
        <f t="shared" si="1644"/>
        <v>&lt;/li&gt;&lt;li&gt;&lt;a href=|http://childrensbibleonline.com/ezra/9.htm| title=|The Children's Bible| target=|_top|&gt;Children's&lt;/a&gt;</v>
      </c>
      <c r="AB412" s="2" t="str">
        <f t="shared" si="1644"/>
        <v>&lt;/li&gt;&lt;li&gt;&lt;a href=|http://tsk.scripturetext.com/ezra/9.htm| title=|Treasury of Scripture Knowledge| target=|_top|&gt;TSK&lt;/a&gt;</v>
      </c>
      <c r="AC412" t="str">
        <f>CONCATENATE("&lt;a href=|http://",AC1191,"/ezra/9.htm","| ","title=|",AC1190,"| target=|_top|&gt;",AC1192,"&lt;/a&gt;")</f>
        <v>&lt;a href=|http://parallelbible.com/ezra/9.htm| title=|Parallel Chapters| target=|_top|&gt;PAR&lt;/a&gt;</v>
      </c>
      <c r="AD412" s="2" t="str">
        <f t="shared" ref="AD412:AK412" si="1646">CONCATENATE("&lt;/li&gt;&lt;li&gt;&lt;a href=|http://",AD1191,"/ezra/9.htm","| ","title=|",AD1190,"| target=|_top|&gt;",AD1192,"&lt;/a&gt;")</f>
        <v>&lt;/li&gt;&lt;li&gt;&lt;a href=|http://gsb.biblecommenter.com/ezra/9.htm| title=|Geneva Study Bible| target=|_top|&gt;GSB&lt;/a&gt;</v>
      </c>
      <c r="AE412" s="2" t="str">
        <f t="shared" si="1646"/>
        <v>&lt;/li&gt;&lt;li&gt;&lt;a href=|http://jfb.biblecommenter.com/ezra/9.htm| title=|Jamieson-Fausset-Brown Bible Commentary| target=|_top|&gt;JFB&lt;/a&gt;</v>
      </c>
      <c r="AF412" s="2" t="str">
        <f t="shared" si="1646"/>
        <v>&lt;/li&gt;&lt;li&gt;&lt;a href=|http://kjt.biblecommenter.com/ezra/9.htm| title=|King James Translators' Notes| target=|_top|&gt;KJT&lt;/a&gt;</v>
      </c>
      <c r="AG412" s="2" t="str">
        <f t="shared" si="1646"/>
        <v>&lt;/li&gt;&lt;li&gt;&lt;a href=|http://mhc.biblecommenter.com/ezra/9.htm| title=|Matthew Henry's Concise Commentary| target=|_top|&gt;MHC&lt;/a&gt;</v>
      </c>
      <c r="AH412" s="2" t="str">
        <f t="shared" si="1646"/>
        <v>&lt;/li&gt;&lt;li&gt;&lt;a href=|http://sco.biblecommenter.com/ezra/9.htm| title=|Scofield Reference Notes| target=|_top|&gt;SCO&lt;/a&gt;</v>
      </c>
      <c r="AI412" s="2" t="str">
        <f t="shared" si="1646"/>
        <v>&lt;/li&gt;&lt;li&gt;&lt;a href=|http://wes.biblecommenter.com/ezra/9.htm| title=|Wesley's Notes on the Bible| target=|_top|&gt;WES&lt;/a&gt;</v>
      </c>
      <c r="AJ412" t="str">
        <f t="shared" si="1646"/>
        <v>&lt;/li&gt;&lt;li&gt;&lt;a href=|http://worldebible.com/ezra/9.htm| title=|World English Bible| target=|_top|&gt;WEB&lt;/a&gt;</v>
      </c>
      <c r="AK412" t="str">
        <f t="shared" si="1646"/>
        <v>&lt;/li&gt;&lt;li&gt;&lt;a href=|http://yltbible.com/ezra/9.htm| title=|Young's Literal Translation| target=|_top|&gt;YLT&lt;/a&gt;</v>
      </c>
      <c r="AL412" t="str">
        <f>CONCATENATE("&lt;a href=|http://",AL1191,"/ezra/9.htm","| ","title=|",AL1190,"| target=|_top|&gt;",AL1192,"&lt;/a&gt;")</f>
        <v>&lt;a href=|http://kjv.us/ezra/9.htm| title=|American King James Version| target=|_top|&gt;AKJ&lt;/a&gt;</v>
      </c>
      <c r="AM412" t="str">
        <f t="shared" ref="AM412:AN412" si="1647">CONCATENATE("&lt;/li&gt;&lt;li&gt;&lt;a href=|http://",AM1191,"/ezra/9.htm","| ","title=|",AM1190,"| target=|_top|&gt;",AM1192,"&lt;/a&gt;")</f>
        <v>&lt;/li&gt;&lt;li&gt;&lt;a href=|http://basicenglishbible.com/ezra/9.htm| title=|Bible in Basic English| target=|_top|&gt;BBE&lt;/a&gt;</v>
      </c>
      <c r="AN412" t="str">
        <f t="shared" si="1647"/>
        <v>&lt;/li&gt;&lt;li&gt;&lt;a href=|http://darbybible.com/ezra/9.htm| title=|Darby Bible Translation| target=|_top|&gt;DBY&lt;/a&gt;</v>
      </c>
      <c r="AO41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1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1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12" t="str">
        <f>CONCATENATE("&lt;/li&gt;&lt;li&gt;&lt;a href=|http://",AR1191,"/ezra/9.htm","| ","title=|",AR1190,"| target=|_top|&gt;",AR1192,"&lt;/a&gt;")</f>
        <v>&lt;/li&gt;&lt;li&gt;&lt;a href=|http://websterbible.com/ezra/9.htm| title=|Webster's Bible Translation| target=|_top|&gt;WBS&lt;/a&gt;</v>
      </c>
      <c r="AS41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12" t="str">
        <f>CONCATENATE("&lt;/li&gt;&lt;li&gt;&lt;a href=|http://",AT1191,"/ezra/9-1.htm","| ","title=|",AT1190,"| target=|_top|&gt;",AT1192,"&lt;/a&gt;")</f>
        <v>&lt;/li&gt;&lt;li&gt;&lt;a href=|http://biblebrowser.com/ezra/9-1.htm| title=|Split View| target=|_top|&gt;Split&lt;/a&gt;</v>
      </c>
      <c r="AU412" s="2" t="s">
        <v>1276</v>
      </c>
      <c r="AV412" t="s">
        <v>64</v>
      </c>
    </row>
    <row r="413" spans="1:48">
      <c r="A413" t="s">
        <v>622</v>
      </c>
      <c r="B413" t="s">
        <v>651</v>
      </c>
      <c r="C413" t="s">
        <v>624</v>
      </c>
      <c r="D413" t="s">
        <v>1268</v>
      </c>
      <c r="E413" t="s">
        <v>1277</v>
      </c>
      <c r="F413" t="s">
        <v>1304</v>
      </c>
      <c r="G413" t="s">
        <v>1266</v>
      </c>
      <c r="H413" t="s">
        <v>1305</v>
      </c>
      <c r="I413" t="s">
        <v>1303</v>
      </c>
      <c r="J413" t="s">
        <v>1267</v>
      </c>
      <c r="K413" t="s">
        <v>1275</v>
      </c>
      <c r="L413" s="2" t="s">
        <v>1274</v>
      </c>
      <c r="M413" t="str">
        <f t="shared" ref="M413:AB413" si="1648">CONCATENATE("&lt;/li&gt;&lt;li&gt;&lt;a href=|http://",M1191,"/ezra/10.htm","| ","title=|",M1190,"| target=|_top|&gt;",M1192,"&lt;/a&gt;")</f>
        <v>&lt;/li&gt;&lt;li&gt;&lt;a href=|http://niv.scripturetext.com/ezra/10.htm| title=|New International Version| target=|_top|&gt;NIV&lt;/a&gt;</v>
      </c>
      <c r="N413" t="str">
        <f t="shared" si="1648"/>
        <v>&lt;/li&gt;&lt;li&gt;&lt;a href=|http://nlt.scripturetext.com/ezra/10.htm| title=|New Living Translation| target=|_top|&gt;NLT&lt;/a&gt;</v>
      </c>
      <c r="O413" t="str">
        <f t="shared" si="1648"/>
        <v>&lt;/li&gt;&lt;li&gt;&lt;a href=|http://nasb.scripturetext.com/ezra/10.htm| title=|New American Standard Bible| target=|_top|&gt;NAS&lt;/a&gt;</v>
      </c>
      <c r="P413" t="str">
        <f t="shared" si="1648"/>
        <v>&lt;/li&gt;&lt;li&gt;&lt;a href=|http://gwt.scripturetext.com/ezra/10.htm| title=|God's Word Translation| target=|_top|&gt;GWT&lt;/a&gt;</v>
      </c>
      <c r="Q413" t="str">
        <f t="shared" si="1648"/>
        <v>&lt;/li&gt;&lt;li&gt;&lt;a href=|http://kingjbible.com/ezra/10.htm| title=|King James Bible| target=|_top|&gt;KJV&lt;/a&gt;</v>
      </c>
      <c r="R413" t="str">
        <f t="shared" si="1648"/>
        <v>&lt;/li&gt;&lt;li&gt;&lt;a href=|http://asvbible.com/ezra/10.htm| title=|American Standard Version| target=|_top|&gt;ASV&lt;/a&gt;</v>
      </c>
      <c r="S413" t="str">
        <f t="shared" si="1648"/>
        <v>&lt;/li&gt;&lt;li&gt;&lt;a href=|http://drb.scripturetext.com/ezra/10.htm| title=|Douay-Rheims Bible| target=|_top|&gt;DRB&lt;/a&gt;</v>
      </c>
      <c r="T413" t="str">
        <f t="shared" si="1648"/>
        <v>&lt;/li&gt;&lt;li&gt;&lt;a href=|http://erv.scripturetext.com/ezra/10.htm| title=|English Revised Version| target=|_top|&gt;ERV&lt;/a&gt;</v>
      </c>
      <c r="V413" t="str">
        <f>CONCATENATE("&lt;/li&gt;&lt;li&gt;&lt;a href=|http://",V1191,"/ezra/10.htm","| ","title=|",V1190,"| target=|_top|&gt;",V1192,"&lt;/a&gt;")</f>
        <v>&lt;/li&gt;&lt;li&gt;&lt;a href=|http://study.interlinearbible.org/ezra/10.htm| title=|Hebrew Study Bible| target=|_top|&gt;Heb Study&lt;/a&gt;</v>
      </c>
      <c r="W413" t="str">
        <f t="shared" si="1648"/>
        <v>&lt;/li&gt;&lt;li&gt;&lt;a href=|http://apostolic.interlinearbible.org/ezra/10.htm| title=|Apostolic Bible Polyglot Interlinear| target=|_top|&gt;Polyglot&lt;/a&gt;</v>
      </c>
      <c r="X413" t="str">
        <f t="shared" si="1648"/>
        <v>&lt;/li&gt;&lt;li&gt;&lt;a href=|http://interlinearbible.org/ezra/10.htm| title=|Interlinear Bible| target=|_top|&gt;Interlin&lt;/a&gt;</v>
      </c>
      <c r="Y413" t="str">
        <f t="shared" ref="Y413" si="1649">CONCATENATE("&lt;/li&gt;&lt;li&gt;&lt;a href=|http://",Y1191,"/ezra/10.htm","| ","title=|",Y1190,"| target=|_top|&gt;",Y1192,"&lt;/a&gt;")</f>
        <v>&lt;/li&gt;&lt;li&gt;&lt;a href=|http://bibleoutline.org/ezra/10.htm| title=|Outline with People and Places List| target=|_top|&gt;Outline&lt;/a&gt;</v>
      </c>
      <c r="Z413" t="str">
        <f t="shared" si="1648"/>
        <v>&lt;/li&gt;&lt;li&gt;&lt;a href=|http://kjvs.scripturetext.com/ezra/10.htm| title=|King James Bible with Strong's Numbers| target=|_top|&gt;Strong's&lt;/a&gt;</v>
      </c>
      <c r="AA413" t="str">
        <f t="shared" si="1648"/>
        <v>&lt;/li&gt;&lt;li&gt;&lt;a href=|http://childrensbibleonline.com/ezra/10.htm| title=|The Children's Bible| target=|_top|&gt;Children's&lt;/a&gt;</v>
      </c>
      <c r="AB413" s="2" t="str">
        <f t="shared" si="1648"/>
        <v>&lt;/li&gt;&lt;li&gt;&lt;a href=|http://tsk.scripturetext.com/ezra/10.htm| title=|Treasury of Scripture Knowledge| target=|_top|&gt;TSK&lt;/a&gt;</v>
      </c>
      <c r="AC413" t="str">
        <f>CONCATENATE("&lt;a href=|http://",AC1191,"/ezra/10.htm","| ","title=|",AC1190,"| target=|_top|&gt;",AC1192,"&lt;/a&gt;")</f>
        <v>&lt;a href=|http://parallelbible.com/ezra/10.htm| title=|Parallel Chapters| target=|_top|&gt;PAR&lt;/a&gt;</v>
      </c>
      <c r="AD413" s="2" t="str">
        <f t="shared" ref="AD413:AK413" si="1650">CONCATENATE("&lt;/li&gt;&lt;li&gt;&lt;a href=|http://",AD1191,"/ezra/10.htm","| ","title=|",AD1190,"| target=|_top|&gt;",AD1192,"&lt;/a&gt;")</f>
        <v>&lt;/li&gt;&lt;li&gt;&lt;a href=|http://gsb.biblecommenter.com/ezra/10.htm| title=|Geneva Study Bible| target=|_top|&gt;GSB&lt;/a&gt;</v>
      </c>
      <c r="AE413" s="2" t="str">
        <f t="shared" si="1650"/>
        <v>&lt;/li&gt;&lt;li&gt;&lt;a href=|http://jfb.biblecommenter.com/ezra/10.htm| title=|Jamieson-Fausset-Brown Bible Commentary| target=|_top|&gt;JFB&lt;/a&gt;</v>
      </c>
      <c r="AF413" s="2" t="str">
        <f t="shared" si="1650"/>
        <v>&lt;/li&gt;&lt;li&gt;&lt;a href=|http://kjt.biblecommenter.com/ezra/10.htm| title=|King James Translators' Notes| target=|_top|&gt;KJT&lt;/a&gt;</v>
      </c>
      <c r="AG413" s="2" t="str">
        <f t="shared" si="1650"/>
        <v>&lt;/li&gt;&lt;li&gt;&lt;a href=|http://mhc.biblecommenter.com/ezra/10.htm| title=|Matthew Henry's Concise Commentary| target=|_top|&gt;MHC&lt;/a&gt;</v>
      </c>
      <c r="AH413" s="2" t="str">
        <f t="shared" si="1650"/>
        <v>&lt;/li&gt;&lt;li&gt;&lt;a href=|http://sco.biblecommenter.com/ezra/10.htm| title=|Scofield Reference Notes| target=|_top|&gt;SCO&lt;/a&gt;</v>
      </c>
      <c r="AI413" s="2" t="str">
        <f t="shared" si="1650"/>
        <v>&lt;/li&gt;&lt;li&gt;&lt;a href=|http://wes.biblecommenter.com/ezra/10.htm| title=|Wesley's Notes on the Bible| target=|_top|&gt;WES&lt;/a&gt;</v>
      </c>
      <c r="AJ413" t="str">
        <f t="shared" si="1650"/>
        <v>&lt;/li&gt;&lt;li&gt;&lt;a href=|http://worldebible.com/ezra/10.htm| title=|World English Bible| target=|_top|&gt;WEB&lt;/a&gt;</v>
      </c>
      <c r="AK413" t="str">
        <f t="shared" si="1650"/>
        <v>&lt;/li&gt;&lt;li&gt;&lt;a href=|http://yltbible.com/ezra/10.htm| title=|Young's Literal Translation| target=|_top|&gt;YLT&lt;/a&gt;</v>
      </c>
      <c r="AL413" t="str">
        <f>CONCATENATE("&lt;a href=|http://",AL1191,"/ezra/10.htm","| ","title=|",AL1190,"| target=|_top|&gt;",AL1192,"&lt;/a&gt;")</f>
        <v>&lt;a href=|http://kjv.us/ezra/10.htm| title=|American King James Version| target=|_top|&gt;AKJ&lt;/a&gt;</v>
      </c>
      <c r="AM413" t="str">
        <f t="shared" ref="AM413:AN413" si="1651">CONCATENATE("&lt;/li&gt;&lt;li&gt;&lt;a href=|http://",AM1191,"/ezra/10.htm","| ","title=|",AM1190,"| target=|_top|&gt;",AM1192,"&lt;/a&gt;")</f>
        <v>&lt;/li&gt;&lt;li&gt;&lt;a href=|http://basicenglishbible.com/ezra/10.htm| title=|Bible in Basic English| target=|_top|&gt;BBE&lt;/a&gt;</v>
      </c>
      <c r="AN413" t="str">
        <f t="shared" si="1651"/>
        <v>&lt;/li&gt;&lt;li&gt;&lt;a href=|http://darbybible.com/ezra/10.htm| title=|Darby Bible Translation| target=|_top|&gt;DBY&lt;/a&gt;</v>
      </c>
      <c r="AO41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1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1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13" t="str">
        <f>CONCATENATE("&lt;/li&gt;&lt;li&gt;&lt;a href=|http://",AR1191,"/ezra/10.htm","| ","title=|",AR1190,"| target=|_top|&gt;",AR1192,"&lt;/a&gt;")</f>
        <v>&lt;/li&gt;&lt;li&gt;&lt;a href=|http://websterbible.com/ezra/10.htm| title=|Webster's Bible Translation| target=|_top|&gt;WBS&lt;/a&gt;</v>
      </c>
      <c r="AS41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13" t="str">
        <f>CONCATENATE("&lt;/li&gt;&lt;li&gt;&lt;a href=|http://",AT1191,"/ezra/10-1.htm","| ","title=|",AT1190,"| target=|_top|&gt;",AT1192,"&lt;/a&gt;")</f>
        <v>&lt;/li&gt;&lt;li&gt;&lt;a href=|http://biblebrowser.com/ezra/10-1.htm| title=|Split View| target=|_top|&gt;Split&lt;/a&gt;</v>
      </c>
      <c r="AU413" s="2" t="s">
        <v>1276</v>
      </c>
      <c r="AV413" t="s">
        <v>64</v>
      </c>
    </row>
    <row r="414" spans="1:48">
      <c r="A414" t="s">
        <v>622</v>
      </c>
      <c r="B414" t="s">
        <v>652</v>
      </c>
      <c r="C414" t="s">
        <v>624</v>
      </c>
      <c r="D414" t="s">
        <v>1268</v>
      </c>
      <c r="E414" t="s">
        <v>1277</v>
      </c>
      <c r="F414" t="s">
        <v>1304</v>
      </c>
      <c r="G414" t="s">
        <v>1266</v>
      </c>
      <c r="H414" t="s">
        <v>1305</v>
      </c>
      <c r="I414" t="s">
        <v>1303</v>
      </c>
      <c r="J414" t="s">
        <v>1267</v>
      </c>
      <c r="K414" t="s">
        <v>1275</v>
      </c>
      <c r="L414" s="2" t="s">
        <v>1274</v>
      </c>
      <c r="M414" t="str">
        <f t="shared" ref="M414:AB414" si="1652">CONCATENATE("&lt;/li&gt;&lt;li&gt;&lt;a href=|http://",M1191,"/nehemiah/1.htm","| ","title=|",M1190,"| target=|_top|&gt;",M1192,"&lt;/a&gt;")</f>
        <v>&lt;/li&gt;&lt;li&gt;&lt;a href=|http://niv.scripturetext.com/nehemiah/1.htm| title=|New International Version| target=|_top|&gt;NIV&lt;/a&gt;</v>
      </c>
      <c r="N414" t="str">
        <f t="shared" si="1652"/>
        <v>&lt;/li&gt;&lt;li&gt;&lt;a href=|http://nlt.scripturetext.com/nehemiah/1.htm| title=|New Living Translation| target=|_top|&gt;NLT&lt;/a&gt;</v>
      </c>
      <c r="O414" t="str">
        <f t="shared" si="1652"/>
        <v>&lt;/li&gt;&lt;li&gt;&lt;a href=|http://nasb.scripturetext.com/nehemiah/1.htm| title=|New American Standard Bible| target=|_top|&gt;NAS&lt;/a&gt;</v>
      </c>
      <c r="P414" t="str">
        <f t="shared" si="1652"/>
        <v>&lt;/li&gt;&lt;li&gt;&lt;a href=|http://gwt.scripturetext.com/nehemiah/1.htm| title=|God's Word Translation| target=|_top|&gt;GWT&lt;/a&gt;</v>
      </c>
      <c r="Q414" t="str">
        <f t="shared" si="1652"/>
        <v>&lt;/li&gt;&lt;li&gt;&lt;a href=|http://kingjbible.com/nehemiah/1.htm| title=|King James Bible| target=|_top|&gt;KJV&lt;/a&gt;</v>
      </c>
      <c r="R414" t="str">
        <f t="shared" si="1652"/>
        <v>&lt;/li&gt;&lt;li&gt;&lt;a href=|http://asvbible.com/nehemiah/1.htm| title=|American Standard Version| target=|_top|&gt;ASV&lt;/a&gt;</v>
      </c>
      <c r="S414" t="str">
        <f t="shared" si="1652"/>
        <v>&lt;/li&gt;&lt;li&gt;&lt;a href=|http://drb.scripturetext.com/nehemiah/1.htm| title=|Douay-Rheims Bible| target=|_top|&gt;DRB&lt;/a&gt;</v>
      </c>
      <c r="T414" t="str">
        <f t="shared" si="1652"/>
        <v>&lt;/li&gt;&lt;li&gt;&lt;a href=|http://erv.scripturetext.com/nehemiah/1.htm| title=|English Revised Version| target=|_top|&gt;ERV&lt;/a&gt;</v>
      </c>
      <c r="V414" t="str">
        <f>CONCATENATE("&lt;/li&gt;&lt;li&gt;&lt;a href=|http://",V1191,"/nehemiah/1.htm","| ","title=|",V1190,"| target=|_top|&gt;",V1192,"&lt;/a&gt;")</f>
        <v>&lt;/li&gt;&lt;li&gt;&lt;a href=|http://study.interlinearbible.org/nehemiah/1.htm| title=|Hebrew Study Bible| target=|_top|&gt;Heb Study&lt;/a&gt;</v>
      </c>
      <c r="W414" t="str">
        <f t="shared" si="1652"/>
        <v>&lt;/li&gt;&lt;li&gt;&lt;a href=|http://apostolic.interlinearbible.org/nehemiah/1.htm| title=|Apostolic Bible Polyglot Interlinear| target=|_top|&gt;Polyglot&lt;/a&gt;</v>
      </c>
      <c r="X414" t="str">
        <f t="shared" si="1652"/>
        <v>&lt;/li&gt;&lt;li&gt;&lt;a href=|http://interlinearbible.org/nehemiah/1.htm| title=|Interlinear Bible| target=|_top|&gt;Interlin&lt;/a&gt;</v>
      </c>
      <c r="Y414" t="str">
        <f t="shared" ref="Y414" si="1653">CONCATENATE("&lt;/li&gt;&lt;li&gt;&lt;a href=|http://",Y1191,"/nehemiah/1.htm","| ","title=|",Y1190,"| target=|_top|&gt;",Y1192,"&lt;/a&gt;")</f>
        <v>&lt;/li&gt;&lt;li&gt;&lt;a href=|http://bibleoutline.org/nehemiah/1.htm| title=|Outline with People and Places List| target=|_top|&gt;Outline&lt;/a&gt;</v>
      </c>
      <c r="Z414" t="str">
        <f t="shared" si="1652"/>
        <v>&lt;/li&gt;&lt;li&gt;&lt;a href=|http://kjvs.scripturetext.com/nehemiah/1.htm| title=|King James Bible with Strong's Numbers| target=|_top|&gt;Strong's&lt;/a&gt;</v>
      </c>
      <c r="AA414" t="str">
        <f t="shared" si="1652"/>
        <v>&lt;/li&gt;&lt;li&gt;&lt;a href=|http://childrensbibleonline.com/nehemiah/1.htm| title=|The Children's Bible| target=|_top|&gt;Children's&lt;/a&gt;</v>
      </c>
      <c r="AB414" s="2" t="str">
        <f t="shared" si="1652"/>
        <v>&lt;/li&gt;&lt;li&gt;&lt;a href=|http://tsk.scripturetext.com/nehemiah/1.htm| title=|Treasury of Scripture Knowledge| target=|_top|&gt;TSK&lt;/a&gt;</v>
      </c>
      <c r="AC414" t="str">
        <f>CONCATENATE("&lt;a href=|http://",AC1191,"/nehemiah/1.htm","| ","title=|",AC1190,"| target=|_top|&gt;",AC1192,"&lt;/a&gt;")</f>
        <v>&lt;a href=|http://parallelbible.com/nehemiah/1.htm| title=|Parallel Chapters| target=|_top|&gt;PAR&lt;/a&gt;</v>
      </c>
      <c r="AD414" s="2" t="str">
        <f t="shared" ref="AD414:AK414" si="1654">CONCATENATE("&lt;/li&gt;&lt;li&gt;&lt;a href=|http://",AD1191,"/nehemiah/1.htm","| ","title=|",AD1190,"| target=|_top|&gt;",AD1192,"&lt;/a&gt;")</f>
        <v>&lt;/li&gt;&lt;li&gt;&lt;a href=|http://gsb.biblecommenter.com/nehemiah/1.htm| title=|Geneva Study Bible| target=|_top|&gt;GSB&lt;/a&gt;</v>
      </c>
      <c r="AE414" s="2" t="str">
        <f t="shared" si="1654"/>
        <v>&lt;/li&gt;&lt;li&gt;&lt;a href=|http://jfb.biblecommenter.com/nehemiah/1.htm| title=|Jamieson-Fausset-Brown Bible Commentary| target=|_top|&gt;JFB&lt;/a&gt;</v>
      </c>
      <c r="AF414" s="2" t="str">
        <f t="shared" si="1654"/>
        <v>&lt;/li&gt;&lt;li&gt;&lt;a href=|http://kjt.biblecommenter.com/nehemiah/1.htm| title=|King James Translators' Notes| target=|_top|&gt;KJT&lt;/a&gt;</v>
      </c>
      <c r="AG414" s="2" t="str">
        <f t="shared" si="1654"/>
        <v>&lt;/li&gt;&lt;li&gt;&lt;a href=|http://mhc.biblecommenter.com/nehemiah/1.htm| title=|Matthew Henry's Concise Commentary| target=|_top|&gt;MHC&lt;/a&gt;</v>
      </c>
      <c r="AH414" s="2" t="str">
        <f t="shared" si="1654"/>
        <v>&lt;/li&gt;&lt;li&gt;&lt;a href=|http://sco.biblecommenter.com/nehemiah/1.htm| title=|Scofield Reference Notes| target=|_top|&gt;SCO&lt;/a&gt;</v>
      </c>
      <c r="AI414" s="2" t="str">
        <f t="shared" si="1654"/>
        <v>&lt;/li&gt;&lt;li&gt;&lt;a href=|http://wes.biblecommenter.com/nehemiah/1.htm| title=|Wesley's Notes on the Bible| target=|_top|&gt;WES&lt;/a&gt;</v>
      </c>
      <c r="AJ414" t="str">
        <f t="shared" si="1654"/>
        <v>&lt;/li&gt;&lt;li&gt;&lt;a href=|http://worldebible.com/nehemiah/1.htm| title=|World English Bible| target=|_top|&gt;WEB&lt;/a&gt;</v>
      </c>
      <c r="AK414" t="str">
        <f t="shared" si="1654"/>
        <v>&lt;/li&gt;&lt;li&gt;&lt;a href=|http://yltbible.com/nehemiah/1.htm| title=|Young's Literal Translation| target=|_top|&gt;YLT&lt;/a&gt;</v>
      </c>
      <c r="AL414" t="str">
        <f>CONCATENATE("&lt;a href=|http://",AL1191,"/nehemiah/1.htm","| ","title=|",AL1190,"| target=|_top|&gt;",AL1192,"&lt;/a&gt;")</f>
        <v>&lt;a href=|http://kjv.us/nehemiah/1.htm| title=|American King James Version| target=|_top|&gt;AKJ&lt;/a&gt;</v>
      </c>
      <c r="AM414" t="str">
        <f t="shared" ref="AM414:AN414" si="1655">CONCATENATE("&lt;/li&gt;&lt;li&gt;&lt;a href=|http://",AM1191,"/nehemiah/1.htm","| ","title=|",AM1190,"| target=|_top|&gt;",AM1192,"&lt;/a&gt;")</f>
        <v>&lt;/li&gt;&lt;li&gt;&lt;a href=|http://basicenglishbible.com/nehemiah/1.htm| title=|Bible in Basic English| target=|_top|&gt;BBE&lt;/a&gt;</v>
      </c>
      <c r="AN414" t="str">
        <f t="shared" si="1655"/>
        <v>&lt;/li&gt;&lt;li&gt;&lt;a href=|http://darbybible.com/nehemiah/1.htm| title=|Darby Bible Translation| target=|_top|&gt;DBY&lt;/a&gt;</v>
      </c>
      <c r="AO41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1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1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14" t="str">
        <f>CONCATENATE("&lt;/li&gt;&lt;li&gt;&lt;a href=|http://",AR1191,"/nehemiah/1.htm","| ","title=|",AR1190,"| target=|_top|&gt;",AR1192,"&lt;/a&gt;")</f>
        <v>&lt;/li&gt;&lt;li&gt;&lt;a href=|http://websterbible.com/nehemiah/1.htm| title=|Webster's Bible Translation| target=|_top|&gt;WBS&lt;/a&gt;</v>
      </c>
      <c r="AS41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14" t="str">
        <f>CONCATENATE("&lt;/li&gt;&lt;li&gt;&lt;a href=|http://",AT1191,"/nehemiah/1-1.htm","| ","title=|",AT1190,"| target=|_top|&gt;",AT1192,"&lt;/a&gt;")</f>
        <v>&lt;/li&gt;&lt;li&gt;&lt;a href=|http://biblebrowser.com/nehemiah/1-1.htm| title=|Split View| target=|_top|&gt;Split&lt;/a&gt;</v>
      </c>
      <c r="AU414" s="2" t="s">
        <v>1276</v>
      </c>
      <c r="AV414" t="s">
        <v>64</v>
      </c>
    </row>
    <row r="415" spans="1:48">
      <c r="A415" t="s">
        <v>622</v>
      </c>
      <c r="B415" t="s">
        <v>653</v>
      </c>
      <c r="C415" t="s">
        <v>624</v>
      </c>
      <c r="D415" t="s">
        <v>1268</v>
      </c>
      <c r="E415" t="s">
        <v>1277</v>
      </c>
      <c r="F415" t="s">
        <v>1304</v>
      </c>
      <c r="G415" t="s">
        <v>1266</v>
      </c>
      <c r="H415" t="s">
        <v>1305</v>
      </c>
      <c r="I415" t="s">
        <v>1303</v>
      </c>
      <c r="J415" t="s">
        <v>1267</v>
      </c>
      <c r="K415" t="s">
        <v>1275</v>
      </c>
      <c r="L415" s="2" t="s">
        <v>1274</v>
      </c>
      <c r="M415" t="str">
        <f t="shared" ref="M415:AB415" si="1656">CONCATENATE("&lt;/li&gt;&lt;li&gt;&lt;a href=|http://",M1191,"/nehemiah/2.htm","| ","title=|",M1190,"| target=|_top|&gt;",M1192,"&lt;/a&gt;")</f>
        <v>&lt;/li&gt;&lt;li&gt;&lt;a href=|http://niv.scripturetext.com/nehemiah/2.htm| title=|New International Version| target=|_top|&gt;NIV&lt;/a&gt;</v>
      </c>
      <c r="N415" t="str">
        <f t="shared" si="1656"/>
        <v>&lt;/li&gt;&lt;li&gt;&lt;a href=|http://nlt.scripturetext.com/nehemiah/2.htm| title=|New Living Translation| target=|_top|&gt;NLT&lt;/a&gt;</v>
      </c>
      <c r="O415" t="str">
        <f t="shared" si="1656"/>
        <v>&lt;/li&gt;&lt;li&gt;&lt;a href=|http://nasb.scripturetext.com/nehemiah/2.htm| title=|New American Standard Bible| target=|_top|&gt;NAS&lt;/a&gt;</v>
      </c>
      <c r="P415" t="str">
        <f t="shared" si="1656"/>
        <v>&lt;/li&gt;&lt;li&gt;&lt;a href=|http://gwt.scripturetext.com/nehemiah/2.htm| title=|God's Word Translation| target=|_top|&gt;GWT&lt;/a&gt;</v>
      </c>
      <c r="Q415" t="str">
        <f t="shared" si="1656"/>
        <v>&lt;/li&gt;&lt;li&gt;&lt;a href=|http://kingjbible.com/nehemiah/2.htm| title=|King James Bible| target=|_top|&gt;KJV&lt;/a&gt;</v>
      </c>
      <c r="R415" t="str">
        <f t="shared" si="1656"/>
        <v>&lt;/li&gt;&lt;li&gt;&lt;a href=|http://asvbible.com/nehemiah/2.htm| title=|American Standard Version| target=|_top|&gt;ASV&lt;/a&gt;</v>
      </c>
      <c r="S415" t="str">
        <f t="shared" si="1656"/>
        <v>&lt;/li&gt;&lt;li&gt;&lt;a href=|http://drb.scripturetext.com/nehemiah/2.htm| title=|Douay-Rheims Bible| target=|_top|&gt;DRB&lt;/a&gt;</v>
      </c>
      <c r="T415" t="str">
        <f t="shared" si="1656"/>
        <v>&lt;/li&gt;&lt;li&gt;&lt;a href=|http://erv.scripturetext.com/nehemiah/2.htm| title=|English Revised Version| target=|_top|&gt;ERV&lt;/a&gt;</v>
      </c>
      <c r="V415" t="str">
        <f>CONCATENATE("&lt;/li&gt;&lt;li&gt;&lt;a href=|http://",V1191,"/nehemiah/2.htm","| ","title=|",V1190,"| target=|_top|&gt;",V1192,"&lt;/a&gt;")</f>
        <v>&lt;/li&gt;&lt;li&gt;&lt;a href=|http://study.interlinearbible.org/nehemiah/2.htm| title=|Hebrew Study Bible| target=|_top|&gt;Heb Study&lt;/a&gt;</v>
      </c>
      <c r="W415" t="str">
        <f t="shared" si="1656"/>
        <v>&lt;/li&gt;&lt;li&gt;&lt;a href=|http://apostolic.interlinearbible.org/nehemiah/2.htm| title=|Apostolic Bible Polyglot Interlinear| target=|_top|&gt;Polyglot&lt;/a&gt;</v>
      </c>
      <c r="X415" t="str">
        <f t="shared" si="1656"/>
        <v>&lt;/li&gt;&lt;li&gt;&lt;a href=|http://interlinearbible.org/nehemiah/2.htm| title=|Interlinear Bible| target=|_top|&gt;Interlin&lt;/a&gt;</v>
      </c>
      <c r="Y415" t="str">
        <f t="shared" ref="Y415" si="1657">CONCATENATE("&lt;/li&gt;&lt;li&gt;&lt;a href=|http://",Y1191,"/nehemiah/2.htm","| ","title=|",Y1190,"| target=|_top|&gt;",Y1192,"&lt;/a&gt;")</f>
        <v>&lt;/li&gt;&lt;li&gt;&lt;a href=|http://bibleoutline.org/nehemiah/2.htm| title=|Outline with People and Places List| target=|_top|&gt;Outline&lt;/a&gt;</v>
      </c>
      <c r="Z415" t="str">
        <f t="shared" si="1656"/>
        <v>&lt;/li&gt;&lt;li&gt;&lt;a href=|http://kjvs.scripturetext.com/nehemiah/2.htm| title=|King James Bible with Strong's Numbers| target=|_top|&gt;Strong's&lt;/a&gt;</v>
      </c>
      <c r="AA415" t="str">
        <f t="shared" si="1656"/>
        <v>&lt;/li&gt;&lt;li&gt;&lt;a href=|http://childrensbibleonline.com/nehemiah/2.htm| title=|The Children's Bible| target=|_top|&gt;Children's&lt;/a&gt;</v>
      </c>
      <c r="AB415" s="2" t="str">
        <f t="shared" si="1656"/>
        <v>&lt;/li&gt;&lt;li&gt;&lt;a href=|http://tsk.scripturetext.com/nehemiah/2.htm| title=|Treasury of Scripture Knowledge| target=|_top|&gt;TSK&lt;/a&gt;</v>
      </c>
      <c r="AC415" t="str">
        <f>CONCATENATE("&lt;a href=|http://",AC1191,"/nehemiah/2.htm","| ","title=|",AC1190,"| target=|_top|&gt;",AC1192,"&lt;/a&gt;")</f>
        <v>&lt;a href=|http://parallelbible.com/nehemiah/2.htm| title=|Parallel Chapters| target=|_top|&gt;PAR&lt;/a&gt;</v>
      </c>
      <c r="AD415" s="2" t="str">
        <f t="shared" ref="AD415:AK415" si="1658">CONCATENATE("&lt;/li&gt;&lt;li&gt;&lt;a href=|http://",AD1191,"/nehemiah/2.htm","| ","title=|",AD1190,"| target=|_top|&gt;",AD1192,"&lt;/a&gt;")</f>
        <v>&lt;/li&gt;&lt;li&gt;&lt;a href=|http://gsb.biblecommenter.com/nehemiah/2.htm| title=|Geneva Study Bible| target=|_top|&gt;GSB&lt;/a&gt;</v>
      </c>
      <c r="AE415" s="2" t="str">
        <f t="shared" si="1658"/>
        <v>&lt;/li&gt;&lt;li&gt;&lt;a href=|http://jfb.biblecommenter.com/nehemiah/2.htm| title=|Jamieson-Fausset-Brown Bible Commentary| target=|_top|&gt;JFB&lt;/a&gt;</v>
      </c>
      <c r="AF415" s="2" t="str">
        <f t="shared" si="1658"/>
        <v>&lt;/li&gt;&lt;li&gt;&lt;a href=|http://kjt.biblecommenter.com/nehemiah/2.htm| title=|King James Translators' Notes| target=|_top|&gt;KJT&lt;/a&gt;</v>
      </c>
      <c r="AG415" s="2" t="str">
        <f t="shared" si="1658"/>
        <v>&lt;/li&gt;&lt;li&gt;&lt;a href=|http://mhc.biblecommenter.com/nehemiah/2.htm| title=|Matthew Henry's Concise Commentary| target=|_top|&gt;MHC&lt;/a&gt;</v>
      </c>
      <c r="AH415" s="2" t="str">
        <f t="shared" si="1658"/>
        <v>&lt;/li&gt;&lt;li&gt;&lt;a href=|http://sco.biblecommenter.com/nehemiah/2.htm| title=|Scofield Reference Notes| target=|_top|&gt;SCO&lt;/a&gt;</v>
      </c>
      <c r="AI415" s="2" t="str">
        <f t="shared" si="1658"/>
        <v>&lt;/li&gt;&lt;li&gt;&lt;a href=|http://wes.biblecommenter.com/nehemiah/2.htm| title=|Wesley's Notes on the Bible| target=|_top|&gt;WES&lt;/a&gt;</v>
      </c>
      <c r="AJ415" t="str">
        <f t="shared" si="1658"/>
        <v>&lt;/li&gt;&lt;li&gt;&lt;a href=|http://worldebible.com/nehemiah/2.htm| title=|World English Bible| target=|_top|&gt;WEB&lt;/a&gt;</v>
      </c>
      <c r="AK415" t="str">
        <f t="shared" si="1658"/>
        <v>&lt;/li&gt;&lt;li&gt;&lt;a href=|http://yltbible.com/nehemiah/2.htm| title=|Young's Literal Translation| target=|_top|&gt;YLT&lt;/a&gt;</v>
      </c>
      <c r="AL415" t="str">
        <f>CONCATENATE("&lt;a href=|http://",AL1191,"/nehemiah/2.htm","| ","title=|",AL1190,"| target=|_top|&gt;",AL1192,"&lt;/a&gt;")</f>
        <v>&lt;a href=|http://kjv.us/nehemiah/2.htm| title=|American King James Version| target=|_top|&gt;AKJ&lt;/a&gt;</v>
      </c>
      <c r="AM415" t="str">
        <f t="shared" ref="AM415:AN415" si="1659">CONCATENATE("&lt;/li&gt;&lt;li&gt;&lt;a href=|http://",AM1191,"/nehemiah/2.htm","| ","title=|",AM1190,"| target=|_top|&gt;",AM1192,"&lt;/a&gt;")</f>
        <v>&lt;/li&gt;&lt;li&gt;&lt;a href=|http://basicenglishbible.com/nehemiah/2.htm| title=|Bible in Basic English| target=|_top|&gt;BBE&lt;/a&gt;</v>
      </c>
      <c r="AN415" t="str">
        <f t="shared" si="1659"/>
        <v>&lt;/li&gt;&lt;li&gt;&lt;a href=|http://darbybible.com/nehemiah/2.htm| title=|Darby Bible Translation| target=|_top|&gt;DBY&lt;/a&gt;</v>
      </c>
      <c r="AO41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1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1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15" t="str">
        <f>CONCATENATE("&lt;/li&gt;&lt;li&gt;&lt;a href=|http://",AR1191,"/nehemiah/2.htm","| ","title=|",AR1190,"| target=|_top|&gt;",AR1192,"&lt;/a&gt;")</f>
        <v>&lt;/li&gt;&lt;li&gt;&lt;a href=|http://websterbible.com/nehemiah/2.htm| title=|Webster's Bible Translation| target=|_top|&gt;WBS&lt;/a&gt;</v>
      </c>
      <c r="AS41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15" t="str">
        <f>CONCATENATE("&lt;/li&gt;&lt;li&gt;&lt;a href=|http://",AT1191,"/nehemiah/2-1.htm","| ","title=|",AT1190,"| target=|_top|&gt;",AT1192,"&lt;/a&gt;")</f>
        <v>&lt;/li&gt;&lt;li&gt;&lt;a href=|http://biblebrowser.com/nehemiah/2-1.htm| title=|Split View| target=|_top|&gt;Split&lt;/a&gt;</v>
      </c>
      <c r="AU415" s="2" t="s">
        <v>1276</v>
      </c>
      <c r="AV415" t="s">
        <v>64</v>
      </c>
    </row>
    <row r="416" spans="1:48">
      <c r="A416" t="s">
        <v>622</v>
      </c>
      <c r="B416" t="s">
        <v>654</v>
      </c>
      <c r="C416" t="s">
        <v>624</v>
      </c>
      <c r="D416" t="s">
        <v>1268</v>
      </c>
      <c r="E416" t="s">
        <v>1277</v>
      </c>
      <c r="F416" t="s">
        <v>1304</v>
      </c>
      <c r="G416" t="s">
        <v>1266</v>
      </c>
      <c r="H416" t="s">
        <v>1305</v>
      </c>
      <c r="I416" t="s">
        <v>1303</v>
      </c>
      <c r="J416" t="s">
        <v>1267</v>
      </c>
      <c r="K416" t="s">
        <v>1275</v>
      </c>
      <c r="L416" s="2" t="s">
        <v>1274</v>
      </c>
      <c r="M416" t="str">
        <f t="shared" ref="M416:AB416" si="1660">CONCATENATE("&lt;/li&gt;&lt;li&gt;&lt;a href=|http://",M1191,"/nehemiah/3.htm","| ","title=|",M1190,"| target=|_top|&gt;",M1192,"&lt;/a&gt;")</f>
        <v>&lt;/li&gt;&lt;li&gt;&lt;a href=|http://niv.scripturetext.com/nehemiah/3.htm| title=|New International Version| target=|_top|&gt;NIV&lt;/a&gt;</v>
      </c>
      <c r="N416" t="str">
        <f t="shared" si="1660"/>
        <v>&lt;/li&gt;&lt;li&gt;&lt;a href=|http://nlt.scripturetext.com/nehemiah/3.htm| title=|New Living Translation| target=|_top|&gt;NLT&lt;/a&gt;</v>
      </c>
      <c r="O416" t="str">
        <f t="shared" si="1660"/>
        <v>&lt;/li&gt;&lt;li&gt;&lt;a href=|http://nasb.scripturetext.com/nehemiah/3.htm| title=|New American Standard Bible| target=|_top|&gt;NAS&lt;/a&gt;</v>
      </c>
      <c r="P416" t="str">
        <f t="shared" si="1660"/>
        <v>&lt;/li&gt;&lt;li&gt;&lt;a href=|http://gwt.scripturetext.com/nehemiah/3.htm| title=|God's Word Translation| target=|_top|&gt;GWT&lt;/a&gt;</v>
      </c>
      <c r="Q416" t="str">
        <f t="shared" si="1660"/>
        <v>&lt;/li&gt;&lt;li&gt;&lt;a href=|http://kingjbible.com/nehemiah/3.htm| title=|King James Bible| target=|_top|&gt;KJV&lt;/a&gt;</v>
      </c>
      <c r="R416" t="str">
        <f t="shared" si="1660"/>
        <v>&lt;/li&gt;&lt;li&gt;&lt;a href=|http://asvbible.com/nehemiah/3.htm| title=|American Standard Version| target=|_top|&gt;ASV&lt;/a&gt;</v>
      </c>
      <c r="S416" t="str">
        <f t="shared" si="1660"/>
        <v>&lt;/li&gt;&lt;li&gt;&lt;a href=|http://drb.scripturetext.com/nehemiah/3.htm| title=|Douay-Rheims Bible| target=|_top|&gt;DRB&lt;/a&gt;</v>
      </c>
      <c r="T416" t="str">
        <f t="shared" si="1660"/>
        <v>&lt;/li&gt;&lt;li&gt;&lt;a href=|http://erv.scripturetext.com/nehemiah/3.htm| title=|English Revised Version| target=|_top|&gt;ERV&lt;/a&gt;</v>
      </c>
      <c r="V416" t="str">
        <f>CONCATENATE("&lt;/li&gt;&lt;li&gt;&lt;a href=|http://",V1191,"/nehemiah/3.htm","| ","title=|",V1190,"| target=|_top|&gt;",V1192,"&lt;/a&gt;")</f>
        <v>&lt;/li&gt;&lt;li&gt;&lt;a href=|http://study.interlinearbible.org/nehemiah/3.htm| title=|Hebrew Study Bible| target=|_top|&gt;Heb Study&lt;/a&gt;</v>
      </c>
      <c r="W416" t="str">
        <f t="shared" si="1660"/>
        <v>&lt;/li&gt;&lt;li&gt;&lt;a href=|http://apostolic.interlinearbible.org/nehemiah/3.htm| title=|Apostolic Bible Polyglot Interlinear| target=|_top|&gt;Polyglot&lt;/a&gt;</v>
      </c>
      <c r="X416" t="str">
        <f t="shared" si="1660"/>
        <v>&lt;/li&gt;&lt;li&gt;&lt;a href=|http://interlinearbible.org/nehemiah/3.htm| title=|Interlinear Bible| target=|_top|&gt;Interlin&lt;/a&gt;</v>
      </c>
      <c r="Y416" t="str">
        <f t="shared" ref="Y416" si="1661">CONCATENATE("&lt;/li&gt;&lt;li&gt;&lt;a href=|http://",Y1191,"/nehemiah/3.htm","| ","title=|",Y1190,"| target=|_top|&gt;",Y1192,"&lt;/a&gt;")</f>
        <v>&lt;/li&gt;&lt;li&gt;&lt;a href=|http://bibleoutline.org/nehemiah/3.htm| title=|Outline with People and Places List| target=|_top|&gt;Outline&lt;/a&gt;</v>
      </c>
      <c r="Z416" t="str">
        <f t="shared" si="1660"/>
        <v>&lt;/li&gt;&lt;li&gt;&lt;a href=|http://kjvs.scripturetext.com/nehemiah/3.htm| title=|King James Bible with Strong's Numbers| target=|_top|&gt;Strong's&lt;/a&gt;</v>
      </c>
      <c r="AA416" t="str">
        <f t="shared" si="1660"/>
        <v>&lt;/li&gt;&lt;li&gt;&lt;a href=|http://childrensbibleonline.com/nehemiah/3.htm| title=|The Children's Bible| target=|_top|&gt;Children's&lt;/a&gt;</v>
      </c>
      <c r="AB416" s="2" t="str">
        <f t="shared" si="1660"/>
        <v>&lt;/li&gt;&lt;li&gt;&lt;a href=|http://tsk.scripturetext.com/nehemiah/3.htm| title=|Treasury of Scripture Knowledge| target=|_top|&gt;TSK&lt;/a&gt;</v>
      </c>
      <c r="AC416" t="str">
        <f>CONCATENATE("&lt;a href=|http://",AC1191,"/nehemiah/3.htm","| ","title=|",AC1190,"| target=|_top|&gt;",AC1192,"&lt;/a&gt;")</f>
        <v>&lt;a href=|http://parallelbible.com/nehemiah/3.htm| title=|Parallel Chapters| target=|_top|&gt;PAR&lt;/a&gt;</v>
      </c>
      <c r="AD416" s="2" t="str">
        <f t="shared" ref="AD416:AK416" si="1662">CONCATENATE("&lt;/li&gt;&lt;li&gt;&lt;a href=|http://",AD1191,"/nehemiah/3.htm","| ","title=|",AD1190,"| target=|_top|&gt;",AD1192,"&lt;/a&gt;")</f>
        <v>&lt;/li&gt;&lt;li&gt;&lt;a href=|http://gsb.biblecommenter.com/nehemiah/3.htm| title=|Geneva Study Bible| target=|_top|&gt;GSB&lt;/a&gt;</v>
      </c>
      <c r="AE416" s="2" t="str">
        <f t="shared" si="1662"/>
        <v>&lt;/li&gt;&lt;li&gt;&lt;a href=|http://jfb.biblecommenter.com/nehemiah/3.htm| title=|Jamieson-Fausset-Brown Bible Commentary| target=|_top|&gt;JFB&lt;/a&gt;</v>
      </c>
      <c r="AF416" s="2" t="str">
        <f t="shared" si="1662"/>
        <v>&lt;/li&gt;&lt;li&gt;&lt;a href=|http://kjt.biblecommenter.com/nehemiah/3.htm| title=|King James Translators' Notes| target=|_top|&gt;KJT&lt;/a&gt;</v>
      </c>
      <c r="AG416" s="2" t="str">
        <f t="shared" si="1662"/>
        <v>&lt;/li&gt;&lt;li&gt;&lt;a href=|http://mhc.biblecommenter.com/nehemiah/3.htm| title=|Matthew Henry's Concise Commentary| target=|_top|&gt;MHC&lt;/a&gt;</v>
      </c>
      <c r="AH416" s="2" t="str">
        <f t="shared" si="1662"/>
        <v>&lt;/li&gt;&lt;li&gt;&lt;a href=|http://sco.biblecommenter.com/nehemiah/3.htm| title=|Scofield Reference Notes| target=|_top|&gt;SCO&lt;/a&gt;</v>
      </c>
      <c r="AI416" s="2" t="str">
        <f t="shared" si="1662"/>
        <v>&lt;/li&gt;&lt;li&gt;&lt;a href=|http://wes.biblecommenter.com/nehemiah/3.htm| title=|Wesley's Notes on the Bible| target=|_top|&gt;WES&lt;/a&gt;</v>
      </c>
      <c r="AJ416" t="str">
        <f t="shared" si="1662"/>
        <v>&lt;/li&gt;&lt;li&gt;&lt;a href=|http://worldebible.com/nehemiah/3.htm| title=|World English Bible| target=|_top|&gt;WEB&lt;/a&gt;</v>
      </c>
      <c r="AK416" t="str">
        <f t="shared" si="1662"/>
        <v>&lt;/li&gt;&lt;li&gt;&lt;a href=|http://yltbible.com/nehemiah/3.htm| title=|Young's Literal Translation| target=|_top|&gt;YLT&lt;/a&gt;</v>
      </c>
      <c r="AL416" t="str">
        <f>CONCATENATE("&lt;a href=|http://",AL1191,"/nehemiah/3.htm","| ","title=|",AL1190,"| target=|_top|&gt;",AL1192,"&lt;/a&gt;")</f>
        <v>&lt;a href=|http://kjv.us/nehemiah/3.htm| title=|American King James Version| target=|_top|&gt;AKJ&lt;/a&gt;</v>
      </c>
      <c r="AM416" t="str">
        <f t="shared" ref="AM416:AN416" si="1663">CONCATENATE("&lt;/li&gt;&lt;li&gt;&lt;a href=|http://",AM1191,"/nehemiah/3.htm","| ","title=|",AM1190,"| target=|_top|&gt;",AM1192,"&lt;/a&gt;")</f>
        <v>&lt;/li&gt;&lt;li&gt;&lt;a href=|http://basicenglishbible.com/nehemiah/3.htm| title=|Bible in Basic English| target=|_top|&gt;BBE&lt;/a&gt;</v>
      </c>
      <c r="AN416" t="str">
        <f t="shared" si="1663"/>
        <v>&lt;/li&gt;&lt;li&gt;&lt;a href=|http://darbybible.com/nehemiah/3.htm| title=|Darby Bible Translation| target=|_top|&gt;DBY&lt;/a&gt;</v>
      </c>
      <c r="AO41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1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1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16" t="str">
        <f>CONCATENATE("&lt;/li&gt;&lt;li&gt;&lt;a href=|http://",AR1191,"/nehemiah/3.htm","| ","title=|",AR1190,"| target=|_top|&gt;",AR1192,"&lt;/a&gt;")</f>
        <v>&lt;/li&gt;&lt;li&gt;&lt;a href=|http://websterbible.com/nehemiah/3.htm| title=|Webster's Bible Translation| target=|_top|&gt;WBS&lt;/a&gt;</v>
      </c>
      <c r="AS41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16" t="str">
        <f>CONCATENATE("&lt;/li&gt;&lt;li&gt;&lt;a href=|http://",AT1191,"/nehemiah/3-1.htm","| ","title=|",AT1190,"| target=|_top|&gt;",AT1192,"&lt;/a&gt;")</f>
        <v>&lt;/li&gt;&lt;li&gt;&lt;a href=|http://biblebrowser.com/nehemiah/3-1.htm| title=|Split View| target=|_top|&gt;Split&lt;/a&gt;</v>
      </c>
      <c r="AU416" s="2" t="s">
        <v>1276</v>
      </c>
      <c r="AV416" t="s">
        <v>64</v>
      </c>
    </row>
    <row r="417" spans="1:48">
      <c r="A417" t="s">
        <v>622</v>
      </c>
      <c r="B417" t="s">
        <v>655</v>
      </c>
      <c r="C417" t="s">
        <v>624</v>
      </c>
      <c r="D417" t="s">
        <v>1268</v>
      </c>
      <c r="E417" t="s">
        <v>1277</v>
      </c>
      <c r="F417" t="s">
        <v>1304</v>
      </c>
      <c r="G417" t="s">
        <v>1266</v>
      </c>
      <c r="H417" t="s">
        <v>1305</v>
      </c>
      <c r="I417" t="s">
        <v>1303</v>
      </c>
      <c r="J417" t="s">
        <v>1267</v>
      </c>
      <c r="K417" t="s">
        <v>1275</v>
      </c>
      <c r="L417" s="2" t="s">
        <v>1274</v>
      </c>
      <c r="M417" t="str">
        <f t="shared" ref="M417:AB417" si="1664">CONCATENATE("&lt;/li&gt;&lt;li&gt;&lt;a href=|http://",M1191,"/nehemiah/4.htm","| ","title=|",M1190,"| target=|_top|&gt;",M1192,"&lt;/a&gt;")</f>
        <v>&lt;/li&gt;&lt;li&gt;&lt;a href=|http://niv.scripturetext.com/nehemiah/4.htm| title=|New International Version| target=|_top|&gt;NIV&lt;/a&gt;</v>
      </c>
      <c r="N417" t="str">
        <f t="shared" si="1664"/>
        <v>&lt;/li&gt;&lt;li&gt;&lt;a href=|http://nlt.scripturetext.com/nehemiah/4.htm| title=|New Living Translation| target=|_top|&gt;NLT&lt;/a&gt;</v>
      </c>
      <c r="O417" t="str">
        <f t="shared" si="1664"/>
        <v>&lt;/li&gt;&lt;li&gt;&lt;a href=|http://nasb.scripturetext.com/nehemiah/4.htm| title=|New American Standard Bible| target=|_top|&gt;NAS&lt;/a&gt;</v>
      </c>
      <c r="P417" t="str">
        <f t="shared" si="1664"/>
        <v>&lt;/li&gt;&lt;li&gt;&lt;a href=|http://gwt.scripturetext.com/nehemiah/4.htm| title=|God's Word Translation| target=|_top|&gt;GWT&lt;/a&gt;</v>
      </c>
      <c r="Q417" t="str">
        <f t="shared" si="1664"/>
        <v>&lt;/li&gt;&lt;li&gt;&lt;a href=|http://kingjbible.com/nehemiah/4.htm| title=|King James Bible| target=|_top|&gt;KJV&lt;/a&gt;</v>
      </c>
      <c r="R417" t="str">
        <f t="shared" si="1664"/>
        <v>&lt;/li&gt;&lt;li&gt;&lt;a href=|http://asvbible.com/nehemiah/4.htm| title=|American Standard Version| target=|_top|&gt;ASV&lt;/a&gt;</v>
      </c>
      <c r="S417" t="str">
        <f t="shared" si="1664"/>
        <v>&lt;/li&gt;&lt;li&gt;&lt;a href=|http://drb.scripturetext.com/nehemiah/4.htm| title=|Douay-Rheims Bible| target=|_top|&gt;DRB&lt;/a&gt;</v>
      </c>
      <c r="T417" t="str">
        <f t="shared" si="1664"/>
        <v>&lt;/li&gt;&lt;li&gt;&lt;a href=|http://erv.scripturetext.com/nehemiah/4.htm| title=|English Revised Version| target=|_top|&gt;ERV&lt;/a&gt;</v>
      </c>
      <c r="V417" t="str">
        <f>CONCATENATE("&lt;/li&gt;&lt;li&gt;&lt;a href=|http://",V1191,"/nehemiah/4.htm","| ","title=|",V1190,"| target=|_top|&gt;",V1192,"&lt;/a&gt;")</f>
        <v>&lt;/li&gt;&lt;li&gt;&lt;a href=|http://study.interlinearbible.org/nehemiah/4.htm| title=|Hebrew Study Bible| target=|_top|&gt;Heb Study&lt;/a&gt;</v>
      </c>
      <c r="W417" t="str">
        <f t="shared" si="1664"/>
        <v>&lt;/li&gt;&lt;li&gt;&lt;a href=|http://apostolic.interlinearbible.org/nehemiah/4.htm| title=|Apostolic Bible Polyglot Interlinear| target=|_top|&gt;Polyglot&lt;/a&gt;</v>
      </c>
      <c r="X417" t="str">
        <f t="shared" si="1664"/>
        <v>&lt;/li&gt;&lt;li&gt;&lt;a href=|http://interlinearbible.org/nehemiah/4.htm| title=|Interlinear Bible| target=|_top|&gt;Interlin&lt;/a&gt;</v>
      </c>
      <c r="Y417" t="str">
        <f t="shared" ref="Y417" si="1665">CONCATENATE("&lt;/li&gt;&lt;li&gt;&lt;a href=|http://",Y1191,"/nehemiah/4.htm","| ","title=|",Y1190,"| target=|_top|&gt;",Y1192,"&lt;/a&gt;")</f>
        <v>&lt;/li&gt;&lt;li&gt;&lt;a href=|http://bibleoutline.org/nehemiah/4.htm| title=|Outline with People and Places List| target=|_top|&gt;Outline&lt;/a&gt;</v>
      </c>
      <c r="Z417" t="str">
        <f t="shared" si="1664"/>
        <v>&lt;/li&gt;&lt;li&gt;&lt;a href=|http://kjvs.scripturetext.com/nehemiah/4.htm| title=|King James Bible with Strong's Numbers| target=|_top|&gt;Strong's&lt;/a&gt;</v>
      </c>
      <c r="AA417" t="str">
        <f t="shared" si="1664"/>
        <v>&lt;/li&gt;&lt;li&gt;&lt;a href=|http://childrensbibleonline.com/nehemiah/4.htm| title=|The Children's Bible| target=|_top|&gt;Children's&lt;/a&gt;</v>
      </c>
      <c r="AB417" s="2" t="str">
        <f t="shared" si="1664"/>
        <v>&lt;/li&gt;&lt;li&gt;&lt;a href=|http://tsk.scripturetext.com/nehemiah/4.htm| title=|Treasury of Scripture Knowledge| target=|_top|&gt;TSK&lt;/a&gt;</v>
      </c>
      <c r="AC417" t="str">
        <f>CONCATENATE("&lt;a href=|http://",AC1191,"/nehemiah/4.htm","| ","title=|",AC1190,"| target=|_top|&gt;",AC1192,"&lt;/a&gt;")</f>
        <v>&lt;a href=|http://parallelbible.com/nehemiah/4.htm| title=|Parallel Chapters| target=|_top|&gt;PAR&lt;/a&gt;</v>
      </c>
      <c r="AD417" s="2" t="str">
        <f t="shared" ref="AD417:AK417" si="1666">CONCATENATE("&lt;/li&gt;&lt;li&gt;&lt;a href=|http://",AD1191,"/nehemiah/4.htm","| ","title=|",AD1190,"| target=|_top|&gt;",AD1192,"&lt;/a&gt;")</f>
        <v>&lt;/li&gt;&lt;li&gt;&lt;a href=|http://gsb.biblecommenter.com/nehemiah/4.htm| title=|Geneva Study Bible| target=|_top|&gt;GSB&lt;/a&gt;</v>
      </c>
      <c r="AE417" s="2" t="str">
        <f t="shared" si="1666"/>
        <v>&lt;/li&gt;&lt;li&gt;&lt;a href=|http://jfb.biblecommenter.com/nehemiah/4.htm| title=|Jamieson-Fausset-Brown Bible Commentary| target=|_top|&gt;JFB&lt;/a&gt;</v>
      </c>
      <c r="AF417" s="2" t="str">
        <f t="shared" si="1666"/>
        <v>&lt;/li&gt;&lt;li&gt;&lt;a href=|http://kjt.biblecommenter.com/nehemiah/4.htm| title=|King James Translators' Notes| target=|_top|&gt;KJT&lt;/a&gt;</v>
      </c>
      <c r="AG417" s="2" t="str">
        <f t="shared" si="1666"/>
        <v>&lt;/li&gt;&lt;li&gt;&lt;a href=|http://mhc.biblecommenter.com/nehemiah/4.htm| title=|Matthew Henry's Concise Commentary| target=|_top|&gt;MHC&lt;/a&gt;</v>
      </c>
      <c r="AH417" s="2" t="str">
        <f t="shared" si="1666"/>
        <v>&lt;/li&gt;&lt;li&gt;&lt;a href=|http://sco.biblecommenter.com/nehemiah/4.htm| title=|Scofield Reference Notes| target=|_top|&gt;SCO&lt;/a&gt;</v>
      </c>
      <c r="AI417" s="2" t="str">
        <f t="shared" si="1666"/>
        <v>&lt;/li&gt;&lt;li&gt;&lt;a href=|http://wes.biblecommenter.com/nehemiah/4.htm| title=|Wesley's Notes on the Bible| target=|_top|&gt;WES&lt;/a&gt;</v>
      </c>
      <c r="AJ417" t="str">
        <f t="shared" si="1666"/>
        <v>&lt;/li&gt;&lt;li&gt;&lt;a href=|http://worldebible.com/nehemiah/4.htm| title=|World English Bible| target=|_top|&gt;WEB&lt;/a&gt;</v>
      </c>
      <c r="AK417" t="str">
        <f t="shared" si="1666"/>
        <v>&lt;/li&gt;&lt;li&gt;&lt;a href=|http://yltbible.com/nehemiah/4.htm| title=|Young's Literal Translation| target=|_top|&gt;YLT&lt;/a&gt;</v>
      </c>
      <c r="AL417" t="str">
        <f>CONCATENATE("&lt;a href=|http://",AL1191,"/nehemiah/4.htm","| ","title=|",AL1190,"| target=|_top|&gt;",AL1192,"&lt;/a&gt;")</f>
        <v>&lt;a href=|http://kjv.us/nehemiah/4.htm| title=|American King James Version| target=|_top|&gt;AKJ&lt;/a&gt;</v>
      </c>
      <c r="AM417" t="str">
        <f t="shared" ref="AM417:AN417" si="1667">CONCATENATE("&lt;/li&gt;&lt;li&gt;&lt;a href=|http://",AM1191,"/nehemiah/4.htm","| ","title=|",AM1190,"| target=|_top|&gt;",AM1192,"&lt;/a&gt;")</f>
        <v>&lt;/li&gt;&lt;li&gt;&lt;a href=|http://basicenglishbible.com/nehemiah/4.htm| title=|Bible in Basic English| target=|_top|&gt;BBE&lt;/a&gt;</v>
      </c>
      <c r="AN417" t="str">
        <f t="shared" si="1667"/>
        <v>&lt;/li&gt;&lt;li&gt;&lt;a href=|http://darbybible.com/nehemiah/4.htm| title=|Darby Bible Translation| target=|_top|&gt;DBY&lt;/a&gt;</v>
      </c>
      <c r="AO41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1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1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17" t="str">
        <f>CONCATENATE("&lt;/li&gt;&lt;li&gt;&lt;a href=|http://",AR1191,"/nehemiah/4.htm","| ","title=|",AR1190,"| target=|_top|&gt;",AR1192,"&lt;/a&gt;")</f>
        <v>&lt;/li&gt;&lt;li&gt;&lt;a href=|http://websterbible.com/nehemiah/4.htm| title=|Webster's Bible Translation| target=|_top|&gt;WBS&lt;/a&gt;</v>
      </c>
      <c r="AS41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17" t="str">
        <f>CONCATENATE("&lt;/li&gt;&lt;li&gt;&lt;a href=|http://",AT1191,"/nehemiah/4-1.htm","| ","title=|",AT1190,"| target=|_top|&gt;",AT1192,"&lt;/a&gt;")</f>
        <v>&lt;/li&gt;&lt;li&gt;&lt;a href=|http://biblebrowser.com/nehemiah/4-1.htm| title=|Split View| target=|_top|&gt;Split&lt;/a&gt;</v>
      </c>
      <c r="AU417" s="2" t="s">
        <v>1276</v>
      </c>
      <c r="AV417" t="s">
        <v>64</v>
      </c>
    </row>
    <row r="418" spans="1:48">
      <c r="A418" t="s">
        <v>622</v>
      </c>
      <c r="B418" t="s">
        <v>656</v>
      </c>
      <c r="C418" t="s">
        <v>624</v>
      </c>
      <c r="D418" t="s">
        <v>1268</v>
      </c>
      <c r="E418" t="s">
        <v>1277</v>
      </c>
      <c r="F418" t="s">
        <v>1304</v>
      </c>
      <c r="G418" t="s">
        <v>1266</v>
      </c>
      <c r="H418" t="s">
        <v>1305</v>
      </c>
      <c r="I418" t="s">
        <v>1303</v>
      </c>
      <c r="J418" t="s">
        <v>1267</v>
      </c>
      <c r="K418" t="s">
        <v>1275</v>
      </c>
      <c r="L418" s="2" t="s">
        <v>1274</v>
      </c>
      <c r="M418" t="str">
        <f t="shared" ref="M418:AB418" si="1668">CONCATENATE("&lt;/li&gt;&lt;li&gt;&lt;a href=|http://",M1191,"/nehemiah/5.htm","| ","title=|",M1190,"| target=|_top|&gt;",M1192,"&lt;/a&gt;")</f>
        <v>&lt;/li&gt;&lt;li&gt;&lt;a href=|http://niv.scripturetext.com/nehemiah/5.htm| title=|New International Version| target=|_top|&gt;NIV&lt;/a&gt;</v>
      </c>
      <c r="N418" t="str">
        <f t="shared" si="1668"/>
        <v>&lt;/li&gt;&lt;li&gt;&lt;a href=|http://nlt.scripturetext.com/nehemiah/5.htm| title=|New Living Translation| target=|_top|&gt;NLT&lt;/a&gt;</v>
      </c>
      <c r="O418" t="str">
        <f t="shared" si="1668"/>
        <v>&lt;/li&gt;&lt;li&gt;&lt;a href=|http://nasb.scripturetext.com/nehemiah/5.htm| title=|New American Standard Bible| target=|_top|&gt;NAS&lt;/a&gt;</v>
      </c>
      <c r="P418" t="str">
        <f t="shared" si="1668"/>
        <v>&lt;/li&gt;&lt;li&gt;&lt;a href=|http://gwt.scripturetext.com/nehemiah/5.htm| title=|God's Word Translation| target=|_top|&gt;GWT&lt;/a&gt;</v>
      </c>
      <c r="Q418" t="str">
        <f t="shared" si="1668"/>
        <v>&lt;/li&gt;&lt;li&gt;&lt;a href=|http://kingjbible.com/nehemiah/5.htm| title=|King James Bible| target=|_top|&gt;KJV&lt;/a&gt;</v>
      </c>
      <c r="R418" t="str">
        <f t="shared" si="1668"/>
        <v>&lt;/li&gt;&lt;li&gt;&lt;a href=|http://asvbible.com/nehemiah/5.htm| title=|American Standard Version| target=|_top|&gt;ASV&lt;/a&gt;</v>
      </c>
      <c r="S418" t="str">
        <f t="shared" si="1668"/>
        <v>&lt;/li&gt;&lt;li&gt;&lt;a href=|http://drb.scripturetext.com/nehemiah/5.htm| title=|Douay-Rheims Bible| target=|_top|&gt;DRB&lt;/a&gt;</v>
      </c>
      <c r="T418" t="str">
        <f t="shared" si="1668"/>
        <v>&lt;/li&gt;&lt;li&gt;&lt;a href=|http://erv.scripturetext.com/nehemiah/5.htm| title=|English Revised Version| target=|_top|&gt;ERV&lt;/a&gt;</v>
      </c>
      <c r="V418" t="str">
        <f>CONCATENATE("&lt;/li&gt;&lt;li&gt;&lt;a href=|http://",V1191,"/nehemiah/5.htm","| ","title=|",V1190,"| target=|_top|&gt;",V1192,"&lt;/a&gt;")</f>
        <v>&lt;/li&gt;&lt;li&gt;&lt;a href=|http://study.interlinearbible.org/nehemiah/5.htm| title=|Hebrew Study Bible| target=|_top|&gt;Heb Study&lt;/a&gt;</v>
      </c>
      <c r="W418" t="str">
        <f t="shared" si="1668"/>
        <v>&lt;/li&gt;&lt;li&gt;&lt;a href=|http://apostolic.interlinearbible.org/nehemiah/5.htm| title=|Apostolic Bible Polyglot Interlinear| target=|_top|&gt;Polyglot&lt;/a&gt;</v>
      </c>
      <c r="X418" t="str">
        <f t="shared" si="1668"/>
        <v>&lt;/li&gt;&lt;li&gt;&lt;a href=|http://interlinearbible.org/nehemiah/5.htm| title=|Interlinear Bible| target=|_top|&gt;Interlin&lt;/a&gt;</v>
      </c>
      <c r="Y418" t="str">
        <f t="shared" ref="Y418" si="1669">CONCATENATE("&lt;/li&gt;&lt;li&gt;&lt;a href=|http://",Y1191,"/nehemiah/5.htm","| ","title=|",Y1190,"| target=|_top|&gt;",Y1192,"&lt;/a&gt;")</f>
        <v>&lt;/li&gt;&lt;li&gt;&lt;a href=|http://bibleoutline.org/nehemiah/5.htm| title=|Outline with People and Places List| target=|_top|&gt;Outline&lt;/a&gt;</v>
      </c>
      <c r="Z418" t="str">
        <f t="shared" si="1668"/>
        <v>&lt;/li&gt;&lt;li&gt;&lt;a href=|http://kjvs.scripturetext.com/nehemiah/5.htm| title=|King James Bible with Strong's Numbers| target=|_top|&gt;Strong's&lt;/a&gt;</v>
      </c>
      <c r="AA418" t="str">
        <f t="shared" si="1668"/>
        <v>&lt;/li&gt;&lt;li&gt;&lt;a href=|http://childrensbibleonline.com/nehemiah/5.htm| title=|The Children's Bible| target=|_top|&gt;Children's&lt;/a&gt;</v>
      </c>
      <c r="AB418" s="2" t="str">
        <f t="shared" si="1668"/>
        <v>&lt;/li&gt;&lt;li&gt;&lt;a href=|http://tsk.scripturetext.com/nehemiah/5.htm| title=|Treasury of Scripture Knowledge| target=|_top|&gt;TSK&lt;/a&gt;</v>
      </c>
      <c r="AC418" t="str">
        <f>CONCATENATE("&lt;a href=|http://",AC1191,"/nehemiah/5.htm","| ","title=|",AC1190,"| target=|_top|&gt;",AC1192,"&lt;/a&gt;")</f>
        <v>&lt;a href=|http://parallelbible.com/nehemiah/5.htm| title=|Parallel Chapters| target=|_top|&gt;PAR&lt;/a&gt;</v>
      </c>
      <c r="AD418" s="2" t="str">
        <f t="shared" ref="AD418:AK418" si="1670">CONCATENATE("&lt;/li&gt;&lt;li&gt;&lt;a href=|http://",AD1191,"/nehemiah/5.htm","| ","title=|",AD1190,"| target=|_top|&gt;",AD1192,"&lt;/a&gt;")</f>
        <v>&lt;/li&gt;&lt;li&gt;&lt;a href=|http://gsb.biblecommenter.com/nehemiah/5.htm| title=|Geneva Study Bible| target=|_top|&gt;GSB&lt;/a&gt;</v>
      </c>
      <c r="AE418" s="2" t="str">
        <f t="shared" si="1670"/>
        <v>&lt;/li&gt;&lt;li&gt;&lt;a href=|http://jfb.biblecommenter.com/nehemiah/5.htm| title=|Jamieson-Fausset-Brown Bible Commentary| target=|_top|&gt;JFB&lt;/a&gt;</v>
      </c>
      <c r="AF418" s="2" t="str">
        <f t="shared" si="1670"/>
        <v>&lt;/li&gt;&lt;li&gt;&lt;a href=|http://kjt.biblecommenter.com/nehemiah/5.htm| title=|King James Translators' Notes| target=|_top|&gt;KJT&lt;/a&gt;</v>
      </c>
      <c r="AG418" s="2" t="str">
        <f t="shared" si="1670"/>
        <v>&lt;/li&gt;&lt;li&gt;&lt;a href=|http://mhc.biblecommenter.com/nehemiah/5.htm| title=|Matthew Henry's Concise Commentary| target=|_top|&gt;MHC&lt;/a&gt;</v>
      </c>
      <c r="AH418" s="2" t="str">
        <f t="shared" si="1670"/>
        <v>&lt;/li&gt;&lt;li&gt;&lt;a href=|http://sco.biblecommenter.com/nehemiah/5.htm| title=|Scofield Reference Notes| target=|_top|&gt;SCO&lt;/a&gt;</v>
      </c>
      <c r="AI418" s="2" t="str">
        <f t="shared" si="1670"/>
        <v>&lt;/li&gt;&lt;li&gt;&lt;a href=|http://wes.biblecommenter.com/nehemiah/5.htm| title=|Wesley's Notes on the Bible| target=|_top|&gt;WES&lt;/a&gt;</v>
      </c>
      <c r="AJ418" t="str">
        <f t="shared" si="1670"/>
        <v>&lt;/li&gt;&lt;li&gt;&lt;a href=|http://worldebible.com/nehemiah/5.htm| title=|World English Bible| target=|_top|&gt;WEB&lt;/a&gt;</v>
      </c>
      <c r="AK418" t="str">
        <f t="shared" si="1670"/>
        <v>&lt;/li&gt;&lt;li&gt;&lt;a href=|http://yltbible.com/nehemiah/5.htm| title=|Young's Literal Translation| target=|_top|&gt;YLT&lt;/a&gt;</v>
      </c>
      <c r="AL418" t="str">
        <f>CONCATENATE("&lt;a href=|http://",AL1191,"/nehemiah/5.htm","| ","title=|",AL1190,"| target=|_top|&gt;",AL1192,"&lt;/a&gt;")</f>
        <v>&lt;a href=|http://kjv.us/nehemiah/5.htm| title=|American King James Version| target=|_top|&gt;AKJ&lt;/a&gt;</v>
      </c>
      <c r="AM418" t="str">
        <f t="shared" ref="AM418:AN418" si="1671">CONCATENATE("&lt;/li&gt;&lt;li&gt;&lt;a href=|http://",AM1191,"/nehemiah/5.htm","| ","title=|",AM1190,"| target=|_top|&gt;",AM1192,"&lt;/a&gt;")</f>
        <v>&lt;/li&gt;&lt;li&gt;&lt;a href=|http://basicenglishbible.com/nehemiah/5.htm| title=|Bible in Basic English| target=|_top|&gt;BBE&lt;/a&gt;</v>
      </c>
      <c r="AN418" t="str">
        <f t="shared" si="1671"/>
        <v>&lt;/li&gt;&lt;li&gt;&lt;a href=|http://darbybible.com/nehemiah/5.htm| title=|Darby Bible Translation| target=|_top|&gt;DBY&lt;/a&gt;</v>
      </c>
      <c r="AO41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1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1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18" t="str">
        <f>CONCATENATE("&lt;/li&gt;&lt;li&gt;&lt;a href=|http://",AR1191,"/nehemiah/5.htm","| ","title=|",AR1190,"| target=|_top|&gt;",AR1192,"&lt;/a&gt;")</f>
        <v>&lt;/li&gt;&lt;li&gt;&lt;a href=|http://websterbible.com/nehemiah/5.htm| title=|Webster's Bible Translation| target=|_top|&gt;WBS&lt;/a&gt;</v>
      </c>
      <c r="AS41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18" t="str">
        <f>CONCATENATE("&lt;/li&gt;&lt;li&gt;&lt;a href=|http://",AT1191,"/nehemiah/5-1.htm","| ","title=|",AT1190,"| target=|_top|&gt;",AT1192,"&lt;/a&gt;")</f>
        <v>&lt;/li&gt;&lt;li&gt;&lt;a href=|http://biblebrowser.com/nehemiah/5-1.htm| title=|Split View| target=|_top|&gt;Split&lt;/a&gt;</v>
      </c>
      <c r="AU418" s="2" t="s">
        <v>1276</v>
      </c>
      <c r="AV418" t="s">
        <v>64</v>
      </c>
    </row>
    <row r="419" spans="1:48">
      <c r="A419" t="s">
        <v>622</v>
      </c>
      <c r="B419" t="s">
        <v>657</v>
      </c>
      <c r="C419" t="s">
        <v>624</v>
      </c>
      <c r="D419" t="s">
        <v>1268</v>
      </c>
      <c r="E419" t="s">
        <v>1277</v>
      </c>
      <c r="F419" t="s">
        <v>1304</v>
      </c>
      <c r="G419" t="s">
        <v>1266</v>
      </c>
      <c r="H419" t="s">
        <v>1305</v>
      </c>
      <c r="I419" t="s">
        <v>1303</v>
      </c>
      <c r="J419" t="s">
        <v>1267</v>
      </c>
      <c r="K419" t="s">
        <v>1275</v>
      </c>
      <c r="L419" s="2" t="s">
        <v>1274</v>
      </c>
      <c r="M419" t="str">
        <f t="shared" ref="M419:AB419" si="1672">CONCATENATE("&lt;/li&gt;&lt;li&gt;&lt;a href=|http://",M1191,"/nehemiah/6.htm","| ","title=|",M1190,"| target=|_top|&gt;",M1192,"&lt;/a&gt;")</f>
        <v>&lt;/li&gt;&lt;li&gt;&lt;a href=|http://niv.scripturetext.com/nehemiah/6.htm| title=|New International Version| target=|_top|&gt;NIV&lt;/a&gt;</v>
      </c>
      <c r="N419" t="str">
        <f t="shared" si="1672"/>
        <v>&lt;/li&gt;&lt;li&gt;&lt;a href=|http://nlt.scripturetext.com/nehemiah/6.htm| title=|New Living Translation| target=|_top|&gt;NLT&lt;/a&gt;</v>
      </c>
      <c r="O419" t="str">
        <f t="shared" si="1672"/>
        <v>&lt;/li&gt;&lt;li&gt;&lt;a href=|http://nasb.scripturetext.com/nehemiah/6.htm| title=|New American Standard Bible| target=|_top|&gt;NAS&lt;/a&gt;</v>
      </c>
      <c r="P419" t="str">
        <f t="shared" si="1672"/>
        <v>&lt;/li&gt;&lt;li&gt;&lt;a href=|http://gwt.scripturetext.com/nehemiah/6.htm| title=|God's Word Translation| target=|_top|&gt;GWT&lt;/a&gt;</v>
      </c>
      <c r="Q419" t="str">
        <f t="shared" si="1672"/>
        <v>&lt;/li&gt;&lt;li&gt;&lt;a href=|http://kingjbible.com/nehemiah/6.htm| title=|King James Bible| target=|_top|&gt;KJV&lt;/a&gt;</v>
      </c>
      <c r="R419" t="str">
        <f t="shared" si="1672"/>
        <v>&lt;/li&gt;&lt;li&gt;&lt;a href=|http://asvbible.com/nehemiah/6.htm| title=|American Standard Version| target=|_top|&gt;ASV&lt;/a&gt;</v>
      </c>
      <c r="S419" t="str">
        <f t="shared" si="1672"/>
        <v>&lt;/li&gt;&lt;li&gt;&lt;a href=|http://drb.scripturetext.com/nehemiah/6.htm| title=|Douay-Rheims Bible| target=|_top|&gt;DRB&lt;/a&gt;</v>
      </c>
      <c r="T419" t="str">
        <f t="shared" si="1672"/>
        <v>&lt;/li&gt;&lt;li&gt;&lt;a href=|http://erv.scripturetext.com/nehemiah/6.htm| title=|English Revised Version| target=|_top|&gt;ERV&lt;/a&gt;</v>
      </c>
      <c r="V419" t="str">
        <f>CONCATENATE("&lt;/li&gt;&lt;li&gt;&lt;a href=|http://",V1191,"/nehemiah/6.htm","| ","title=|",V1190,"| target=|_top|&gt;",V1192,"&lt;/a&gt;")</f>
        <v>&lt;/li&gt;&lt;li&gt;&lt;a href=|http://study.interlinearbible.org/nehemiah/6.htm| title=|Hebrew Study Bible| target=|_top|&gt;Heb Study&lt;/a&gt;</v>
      </c>
      <c r="W419" t="str">
        <f t="shared" si="1672"/>
        <v>&lt;/li&gt;&lt;li&gt;&lt;a href=|http://apostolic.interlinearbible.org/nehemiah/6.htm| title=|Apostolic Bible Polyglot Interlinear| target=|_top|&gt;Polyglot&lt;/a&gt;</v>
      </c>
      <c r="X419" t="str">
        <f t="shared" si="1672"/>
        <v>&lt;/li&gt;&lt;li&gt;&lt;a href=|http://interlinearbible.org/nehemiah/6.htm| title=|Interlinear Bible| target=|_top|&gt;Interlin&lt;/a&gt;</v>
      </c>
      <c r="Y419" t="str">
        <f t="shared" ref="Y419" si="1673">CONCATENATE("&lt;/li&gt;&lt;li&gt;&lt;a href=|http://",Y1191,"/nehemiah/6.htm","| ","title=|",Y1190,"| target=|_top|&gt;",Y1192,"&lt;/a&gt;")</f>
        <v>&lt;/li&gt;&lt;li&gt;&lt;a href=|http://bibleoutline.org/nehemiah/6.htm| title=|Outline with People and Places List| target=|_top|&gt;Outline&lt;/a&gt;</v>
      </c>
      <c r="Z419" t="str">
        <f t="shared" si="1672"/>
        <v>&lt;/li&gt;&lt;li&gt;&lt;a href=|http://kjvs.scripturetext.com/nehemiah/6.htm| title=|King James Bible with Strong's Numbers| target=|_top|&gt;Strong's&lt;/a&gt;</v>
      </c>
      <c r="AA419" t="str">
        <f t="shared" si="1672"/>
        <v>&lt;/li&gt;&lt;li&gt;&lt;a href=|http://childrensbibleonline.com/nehemiah/6.htm| title=|The Children's Bible| target=|_top|&gt;Children's&lt;/a&gt;</v>
      </c>
      <c r="AB419" s="2" t="str">
        <f t="shared" si="1672"/>
        <v>&lt;/li&gt;&lt;li&gt;&lt;a href=|http://tsk.scripturetext.com/nehemiah/6.htm| title=|Treasury of Scripture Knowledge| target=|_top|&gt;TSK&lt;/a&gt;</v>
      </c>
      <c r="AC419" t="str">
        <f>CONCATENATE("&lt;a href=|http://",AC1191,"/nehemiah/6.htm","| ","title=|",AC1190,"| target=|_top|&gt;",AC1192,"&lt;/a&gt;")</f>
        <v>&lt;a href=|http://parallelbible.com/nehemiah/6.htm| title=|Parallel Chapters| target=|_top|&gt;PAR&lt;/a&gt;</v>
      </c>
      <c r="AD419" s="2" t="str">
        <f t="shared" ref="AD419:AK419" si="1674">CONCATENATE("&lt;/li&gt;&lt;li&gt;&lt;a href=|http://",AD1191,"/nehemiah/6.htm","| ","title=|",AD1190,"| target=|_top|&gt;",AD1192,"&lt;/a&gt;")</f>
        <v>&lt;/li&gt;&lt;li&gt;&lt;a href=|http://gsb.biblecommenter.com/nehemiah/6.htm| title=|Geneva Study Bible| target=|_top|&gt;GSB&lt;/a&gt;</v>
      </c>
      <c r="AE419" s="2" t="str">
        <f t="shared" si="1674"/>
        <v>&lt;/li&gt;&lt;li&gt;&lt;a href=|http://jfb.biblecommenter.com/nehemiah/6.htm| title=|Jamieson-Fausset-Brown Bible Commentary| target=|_top|&gt;JFB&lt;/a&gt;</v>
      </c>
      <c r="AF419" s="2" t="str">
        <f t="shared" si="1674"/>
        <v>&lt;/li&gt;&lt;li&gt;&lt;a href=|http://kjt.biblecommenter.com/nehemiah/6.htm| title=|King James Translators' Notes| target=|_top|&gt;KJT&lt;/a&gt;</v>
      </c>
      <c r="AG419" s="2" t="str">
        <f t="shared" si="1674"/>
        <v>&lt;/li&gt;&lt;li&gt;&lt;a href=|http://mhc.biblecommenter.com/nehemiah/6.htm| title=|Matthew Henry's Concise Commentary| target=|_top|&gt;MHC&lt;/a&gt;</v>
      </c>
      <c r="AH419" s="2" t="str">
        <f t="shared" si="1674"/>
        <v>&lt;/li&gt;&lt;li&gt;&lt;a href=|http://sco.biblecommenter.com/nehemiah/6.htm| title=|Scofield Reference Notes| target=|_top|&gt;SCO&lt;/a&gt;</v>
      </c>
      <c r="AI419" s="2" t="str">
        <f t="shared" si="1674"/>
        <v>&lt;/li&gt;&lt;li&gt;&lt;a href=|http://wes.biblecommenter.com/nehemiah/6.htm| title=|Wesley's Notes on the Bible| target=|_top|&gt;WES&lt;/a&gt;</v>
      </c>
      <c r="AJ419" t="str">
        <f t="shared" si="1674"/>
        <v>&lt;/li&gt;&lt;li&gt;&lt;a href=|http://worldebible.com/nehemiah/6.htm| title=|World English Bible| target=|_top|&gt;WEB&lt;/a&gt;</v>
      </c>
      <c r="AK419" t="str">
        <f t="shared" si="1674"/>
        <v>&lt;/li&gt;&lt;li&gt;&lt;a href=|http://yltbible.com/nehemiah/6.htm| title=|Young's Literal Translation| target=|_top|&gt;YLT&lt;/a&gt;</v>
      </c>
      <c r="AL419" t="str">
        <f>CONCATENATE("&lt;a href=|http://",AL1191,"/nehemiah/6.htm","| ","title=|",AL1190,"| target=|_top|&gt;",AL1192,"&lt;/a&gt;")</f>
        <v>&lt;a href=|http://kjv.us/nehemiah/6.htm| title=|American King James Version| target=|_top|&gt;AKJ&lt;/a&gt;</v>
      </c>
      <c r="AM419" t="str">
        <f t="shared" ref="AM419:AN419" si="1675">CONCATENATE("&lt;/li&gt;&lt;li&gt;&lt;a href=|http://",AM1191,"/nehemiah/6.htm","| ","title=|",AM1190,"| target=|_top|&gt;",AM1192,"&lt;/a&gt;")</f>
        <v>&lt;/li&gt;&lt;li&gt;&lt;a href=|http://basicenglishbible.com/nehemiah/6.htm| title=|Bible in Basic English| target=|_top|&gt;BBE&lt;/a&gt;</v>
      </c>
      <c r="AN419" t="str">
        <f t="shared" si="1675"/>
        <v>&lt;/li&gt;&lt;li&gt;&lt;a href=|http://darbybible.com/nehemiah/6.htm| title=|Darby Bible Translation| target=|_top|&gt;DBY&lt;/a&gt;</v>
      </c>
      <c r="AO41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1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1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19" t="str">
        <f>CONCATENATE("&lt;/li&gt;&lt;li&gt;&lt;a href=|http://",AR1191,"/nehemiah/6.htm","| ","title=|",AR1190,"| target=|_top|&gt;",AR1192,"&lt;/a&gt;")</f>
        <v>&lt;/li&gt;&lt;li&gt;&lt;a href=|http://websterbible.com/nehemiah/6.htm| title=|Webster's Bible Translation| target=|_top|&gt;WBS&lt;/a&gt;</v>
      </c>
      <c r="AS41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19" t="str">
        <f>CONCATENATE("&lt;/li&gt;&lt;li&gt;&lt;a href=|http://",AT1191,"/nehemiah/6-1.htm","| ","title=|",AT1190,"| target=|_top|&gt;",AT1192,"&lt;/a&gt;")</f>
        <v>&lt;/li&gt;&lt;li&gt;&lt;a href=|http://biblebrowser.com/nehemiah/6-1.htm| title=|Split View| target=|_top|&gt;Split&lt;/a&gt;</v>
      </c>
      <c r="AU419" s="2" t="s">
        <v>1276</v>
      </c>
      <c r="AV419" t="s">
        <v>64</v>
      </c>
    </row>
    <row r="420" spans="1:48">
      <c r="A420" t="s">
        <v>622</v>
      </c>
      <c r="B420" t="s">
        <v>658</v>
      </c>
      <c r="C420" t="s">
        <v>624</v>
      </c>
      <c r="D420" t="s">
        <v>1268</v>
      </c>
      <c r="E420" t="s">
        <v>1277</v>
      </c>
      <c r="F420" t="s">
        <v>1304</v>
      </c>
      <c r="G420" t="s">
        <v>1266</v>
      </c>
      <c r="H420" t="s">
        <v>1305</v>
      </c>
      <c r="I420" t="s">
        <v>1303</v>
      </c>
      <c r="J420" t="s">
        <v>1267</v>
      </c>
      <c r="K420" t="s">
        <v>1275</v>
      </c>
      <c r="L420" s="2" t="s">
        <v>1274</v>
      </c>
      <c r="M420" t="str">
        <f t="shared" ref="M420:AB420" si="1676">CONCATENATE("&lt;/li&gt;&lt;li&gt;&lt;a href=|http://",M1191,"/nehemiah/7.htm","| ","title=|",M1190,"| target=|_top|&gt;",M1192,"&lt;/a&gt;")</f>
        <v>&lt;/li&gt;&lt;li&gt;&lt;a href=|http://niv.scripturetext.com/nehemiah/7.htm| title=|New International Version| target=|_top|&gt;NIV&lt;/a&gt;</v>
      </c>
      <c r="N420" t="str">
        <f t="shared" si="1676"/>
        <v>&lt;/li&gt;&lt;li&gt;&lt;a href=|http://nlt.scripturetext.com/nehemiah/7.htm| title=|New Living Translation| target=|_top|&gt;NLT&lt;/a&gt;</v>
      </c>
      <c r="O420" t="str">
        <f t="shared" si="1676"/>
        <v>&lt;/li&gt;&lt;li&gt;&lt;a href=|http://nasb.scripturetext.com/nehemiah/7.htm| title=|New American Standard Bible| target=|_top|&gt;NAS&lt;/a&gt;</v>
      </c>
      <c r="P420" t="str">
        <f t="shared" si="1676"/>
        <v>&lt;/li&gt;&lt;li&gt;&lt;a href=|http://gwt.scripturetext.com/nehemiah/7.htm| title=|God's Word Translation| target=|_top|&gt;GWT&lt;/a&gt;</v>
      </c>
      <c r="Q420" t="str">
        <f t="shared" si="1676"/>
        <v>&lt;/li&gt;&lt;li&gt;&lt;a href=|http://kingjbible.com/nehemiah/7.htm| title=|King James Bible| target=|_top|&gt;KJV&lt;/a&gt;</v>
      </c>
      <c r="R420" t="str">
        <f t="shared" si="1676"/>
        <v>&lt;/li&gt;&lt;li&gt;&lt;a href=|http://asvbible.com/nehemiah/7.htm| title=|American Standard Version| target=|_top|&gt;ASV&lt;/a&gt;</v>
      </c>
      <c r="S420" t="str">
        <f t="shared" si="1676"/>
        <v>&lt;/li&gt;&lt;li&gt;&lt;a href=|http://drb.scripturetext.com/nehemiah/7.htm| title=|Douay-Rheims Bible| target=|_top|&gt;DRB&lt;/a&gt;</v>
      </c>
      <c r="T420" t="str">
        <f t="shared" si="1676"/>
        <v>&lt;/li&gt;&lt;li&gt;&lt;a href=|http://erv.scripturetext.com/nehemiah/7.htm| title=|English Revised Version| target=|_top|&gt;ERV&lt;/a&gt;</v>
      </c>
      <c r="V420" t="str">
        <f>CONCATENATE("&lt;/li&gt;&lt;li&gt;&lt;a href=|http://",V1191,"/nehemiah/7.htm","| ","title=|",V1190,"| target=|_top|&gt;",V1192,"&lt;/a&gt;")</f>
        <v>&lt;/li&gt;&lt;li&gt;&lt;a href=|http://study.interlinearbible.org/nehemiah/7.htm| title=|Hebrew Study Bible| target=|_top|&gt;Heb Study&lt;/a&gt;</v>
      </c>
      <c r="W420" t="str">
        <f t="shared" si="1676"/>
        <v>&lt;/li&gt;&lt;li&gt;&lt;a href=|http://apostolic.interlinearbible.org/nehemiah/7.htm| title=|Apostolic Bible Polyglot Interlinear| target=|_top|&gt;Polyglot&lt;/a&gt;</v>
      </c>
      <c r="X420" t="str">
        <f t="shared" si="1676"/>
        <v>&lt;/li&gt;&lt;li&gt;&lt;a href=|http://interlinearbible.org/nehemiah/7.htm| title=|Interlinear Bible| target=|_top|&gt;Interlin&lt;/a&gt;</v>
      </c>
      <c r="Y420" t="str">
        <f t="shared" ref="Y420" si="1677">CONCATENATE("&lt;/li&gt;&lt;li&gt;&lt;a href=|http://",Y1191,"/nehemiah/7.htm","| ","title=|",Y1190,"| target=|_top|&gt;",Y1192,"&lt;/a&gt;")</f>
        <v>&lt;/li&gt;&lt;li&gt;&lt;a href=|http://bibleoutline.org/nehemiah/7.htm| title=|Outline with People and Places List| target=|_top|&gt;Outline&lt;/a&gt;</v>
      </c>
      <c r="Z420" t="str">
        <f t="shared" si="1676"/>
        <v>&lt;/li&gt;&lt;li&gt;&lt;a href=|http://kjvs.scripturetext.com/nehemiah/7.htm| title=|King James Bible with Strong's Numbers| target=|_top|&gt;Strong's&lt;/a&gt;</v>
      </c>
      <c r="AA420" t="str">
        <f t="shared" si="1676"/>
        <v>&lt;/li&gt;&lt;li&gt;&lt;a href=|http://childrensbibleonline.com/nehemiah/7.htm| title=|The Children's Bible| target=|_top|&gt;Children's&lt;/a&gt;</v>
      </c>
      <c r="AB420" s="2" t="str">
        <f t="shared" si="1676"/>
        <v>&lt;/li&gt;&lt;li&gt;&lt;a href=|http://tsk.scripturetext.com/nehemiah/7.htm| title=|Treasury of Scripture Knowledge| target=|_top|&gt;TSK&lt;/a&gt;</v>
      </c>
      <c r="AC420" t="str">
        <f>CONCATENATE("&lt;a href=|http://",AC1191,"/nehemiah/7.htm","| ","title=|",AC1190,"| target=|_top|&gt;",AC1192,"&lt;/a&gt;")</f>
        <v>&lt;a href=|http://parallelbible.com/nehemiah/7.htm| title=|Parallel Chapters| target=|_top|&gt;PAR&lt;/a&gt;</v>
      </c>
      <c r="AD420" s="2" t="str">
        <f t="shared" ref="AD420:AK420" si="1678">CONCATENATE("&lt;/li&gt;&lt;li&gt;&lt;a href=|http://",AD1191,"/nehemiah/7.htm","| ","title=|",AD1190,"| target=|_top|&gt;",AD1192,"&lt;/a&gt;")</f>
        <v>&lt;/li&gt;&lt;li&gt;&lt;a href=|http://gsb.biblecommenter.com/nehemiah/7.htm| title=|Geneva Study Bible| target=|_top|&gt;GSB&lt;/a&gt;</v>
      </c>
      <c r="AE420" s="2" t="str">
        <f t="shared" si="1678"/>
        <v>&lt;/li&gt;&lt;li&gt;&lt;a href=|http://jfb.biblecommenter.com/nehemiah/7.htm| title=|Jamieson-Fausset-Brown Bible Commentary| target=|_top|&gt;JFB&lt;/a&gt;</v>
      </c>
      <c r="AF420" s="2" t="str">
        <f t="shared" si="1678"/>
        <v>&lt;/li&gt;&lt;li&gt;&lt;a href=|http://kjt.biblecommenter.com/nehemiah/7.htm| title=|King James Translators' Notes| target=|_top|&gt;KJT&lt;/a&gt;</v>
      </c>
      <c r="AG420" s="2" t="str">
        <f t="shared" si="1678"/>
        <v>&lt;/li&gt;&lt;li&gt;&lt;a href=|http://mhc.biblecommenter.com/nehemiah/7.htm| title=|Matthew Henry's Concise Commentary| target=|_top|&gt;MHC&lt;/a&gt;</v>
      </c>
      <c r="AH420" s="2" t="str">
        <f t="shared" si="1678"/>
        <v>&lt;/li&gt;&lt;li&gt;&lt;a href=|http://sco.biblecommenter.com/nehemiah/7.htm| title=|Scofield Reference Notes| target=|_top|&gt;SCO&lt;/a&gt;</v>
      </c>
      <c r="AI420" s="2" t="str">
        <f t="shared" si="1678"/>
        <v>&lt;/li&gt;&lt;li&gt;&lt;a href=|http://wes.biblecommenter.com/nehemiah/7.htm| title=|Wesley's Notes on the Bible| target=|_top|&gt;WES&lt;/a&gt;</v>
      </c>
      <c r="AJ420" t="str">
        <f t="shared" si="1678"/>
        <v>&lt;/li&gt;&lt;li&gt;&lt;a href=|http://worldebible.com/nehemiah/7.htm| title=|World English Bible| target=|_top|&gt;WEB&lt;/a&gt;</v>
      </c>
      <c r="AK420" t="str">
        <f t="shared" si="1678"/>
        <v>&lt;/li&gt;&lt;li&gt;&lt;a href=|http://yltbible.com/nehemiah/7.htm| title=|Young's Literal Translation| target=|_top|&gt;YLT&lt;/a&gt;</v>
      </c>
      <c r="AL420" t="str">
        <f>CONCATENATE("&lt;a href=|http://",AL1191,"/nehemiah/7.htm","| ","title=|",AL1190,"| target=|_top|&gt;",AL1192,"&lt;/a&gt;")</f>
        <v>&lt;a href=|http://kjv.us/nehemiah/7.htm| title=|American King James Version| target=|_top|&gt;AKJ&lt;/a&gt;</v>
      </c>
      <c r="AM420" t="str">
        <f t="shared" ref="AM420:AN420" si="1679">CONCATENATE("&lt;/li&gt;&lt;li&gt;&lt;a href=|http://",AM1191,"/nehemiah/7.htm","| ","title=|",AM1190,"| target=|_top|&gt;",AM1192,"&lt;/a&gt;")</f>
        <v>&lt;/li&gt;&lt;li&gt;&lt;a href=|http://basicenglishbible.com/nehemiah/7.htm| title=|Bible in Basic English| target=|_top|&gt;BBE&lt;/a&gt;</v>
      </c>
      <c r="AN420" t="str">
        <f t="shared" si="1679"/>
        <v>&lt;/li&gt;&lt;li&gt;&lt;a href=|http://darbybible.com/nehemiah/7.htm| title=|Darby Bible Translation| target=|_top|&gt;DBY&lt;/a&gt;</v>
      </c>
      <c r="AO42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2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2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20" t="str">
        <f>CONCATENATE("&lt;/li&gt;&lt;li&gt;&lt;a href=|http://",AR1191,"/nehemiah/7.htm","| ","title=|",AR1190,"| target=|_top|&gt;",AR1192,"&lt;/a&gt;")</f>
        <v>&lt;/li&gt;&lt;li&gt;&lt;a href=|http://websterbible.com/nehemiah/7.htm| title=|Webster's Bible Translation| target=|_top|&gt;WBS&lt;/a&gt;</v>
      </c>
      <c r="AS42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20" t="str">
        <f>CONCATENATE("&lt;/li&gt;&lt;li&gt;&lt;a href=|http://",AT1191,"/nehemiah/7-1.htm","| ","title=|",AT1190,"| target=|_top|&gt;",AT1192,"&lt;/a&gt;")</f>
        <v>&lt;/li&gt;&lt;li&gt;&lt;a href=|http://biblebrowser.com/nehemiah/7-1.htm| title=|Split View| target=|_top|&gt;Split&lt;/a&gt;</v>
      </c>
      <c r="AU420" s="2" t="s">
        <v>1276</v>
      </c>
      <c r="AV420" t="s">
        <v>64</v>
      </c>
    </row>
    <row r="421" spans="1:48">
      <c r="A421" t="s">
        <v>622</v>
      </c>
      <c r="B421" t="s">
        <v>659</v>
      </c>
      <c r="C421" t="s">
        <v>624</v>
      </c>
      <c r="D421" t="s">
        <v>1268</v>
      </c>
      <c r="E421" t="s">
        <v>1277</v>
      </c>
      <c r="F421" t="s">
        <v>1304</v>
      </c>
      <c r="G421" t="s">
        <v>1266</v>
      </c>
      <c r="H421" t="s">
        <v>1305</v>
      </c>
      <c r="I421" t="s">
        <v>1303</v>
      </c>
      <c r="J421" t="s">
        <v>1267</v>
      </c>
      <c r="K421" t="s">
        <v>1275</v>
      </c>
      <c r="L421" s="2" t="s">
        <v>1274</v>
      </c>
      <c r="M421" t="str">
        <f t="shared" ref="M421:AB421" si="1680">CONCATENATE("&lt;/li&gt;&lt;li&gt;&lt;a href=|http://",M1191,"/nehemiah/8.htm","| ","title=|",M1190,"| target=|_top|&gt;",M1192,"&lt;/a&gt;")</f>
        <v>&lt;/li&gt;&lt;li&gt;&lt;a href=|http://niv.scripturetext.com/nehemiah/8.htm| title=|New International Version| target=|_top|&gt;NIV&lt;/a&gt;</v>
      </c>
      <c r="N421" t="str">
        <f t="shared" si="1680"/>
        <v>&lt;/li&gt;&lt;li&gt;&lt;a href=|http://nlt.scripturetext.com/nehemiah/8.htm| title=|New Living Translation| target=|_top|&gt;NLT&lt;/a&gt;</v>
      </c>
      <c r="O421" t="str">
        <f t="shared" si="1680"/>
        <v>&lt;/li&gt;&lt;li&gt;&lt;a href=|http://nasb.scripturetext.com/nehemiah/8.htm| title=|New American Standard Bible| target=|_top|&gt;NAS&lt;/a&gt;</v>
      </c>
      <c r="P421" t="str">
        <f t="shared" si="1680"/>
        <v>&lt;/li&gt;&lt;li&gt;&lt;a href=|http://gwt.scripturetext.com/nehemiah/8.htm| title=|God's Word Translation| target=|_top|&gt;GWT&lt;/a&gt;</v>
      </c>
      <c r="Q421" t="str">
        <f t="shared" si="1680"/>
        <v>&lt;/li&gt;&lt;li&gt;&lt;a href=|http://kingjbible.com/nehemiah/8.htm| title=|King James Bible| target=|_top|&gt;KJV&lt;/a&gt;</v>
      </c>
      <c r="R421" t="str">
        <f t="shared" si="1680"/>
        <v>&lt;/li&gt;&lt;li&gt;&lt;a href=|http://asvbible.com/nehemiah/8.htm| title=|American Standard Version| target=|_top|&gt;ASV&lt;/a&gt;</v>
      </c>
      <c r="S421" t="str">
        <f t="shared" si="1680"/>
        <v>&lt;/li&gt;&lt;li&gt;&lt;a href=|http://drb.scripturetext.com/nehemiah/8.htm| title=|Douay-Rheims Bible| target=|_top|&gt;DRB&lt;/a&gt;</v>
      </c>
      <c r="T421" t="str">
        <f t="shared" si="1680"/>
        <v>&lt;/li&gt;&lt;li&gt;&lt;a href=|http://erv.scripturetext.com/nehemiah/8.htm| title=|English Revised Version| target=|_top|&gt;ERV&lt;/a&gt;</v>
      </c>
      <c r="V421" t="str">
        <f>CONCATENATE("&lt;/li&gt;&lt;li&gt;&lt;a href=|http://",V1191,"/nehemiah/8.htm","| ","title=|",V1190,"| target=|_top|&gt;",V1192,"&lt;/a&gt;")</f>
        <v>&lt;/li&gt;&lt;li&gt;&lt;a href=|http://study.interlinearbible.org/nehemiah/8.htm| title=|Hebrew Study Bible| target=|_top|&gt;Heb Study&lt;/a&gt;</v>
      </c>
      <c r="W421" t="str">
        <f t="shared" si="1680"/>
        <v>&lt;/li&gt;&lt;li&gt;&lt;a href=|http://apostolic.interlinearbible.org/nehemiah/8.htm| title=|Apostolic Bible Polyglot Interlinear| target=|_top|&gt;Polyglot&lt;/a&gt;</v>
      </c>
      <c r="X421" t="str">
        <f t="shared" si="1680"/>
        <v>&lt;/li&gt;&lt;li&gt;&lt;a href=|http://interlinearbible.org/nehemiah/8.htm| title=|Interlinear Bible| target=|_top|&gt;Interlin&lt;/a&gt;</v>
      </c>
      <c r="Y421" t="str">
        <f t="shared" ref="Y421" si="1681">CONCATENATE("&lt;/li&gt;&lt;li&gt;&lt;a href=|http://",Y1191,"/nehemiah/8.htm","| ","title=|",Y1190,"| target=|_top|&gt;",Y1192,"&lt;/a&gt;")</f>
        <v>&lt;/li&gt;&lt;li&gt;&lt;a href=|http://bibleoutline.org/nehemiah/8.htm| title=|Outline with People and Places List| target=|_top|&gt;Outline&lt;/a&gt;</v>
      </c>
      <c r="Z421" t="str">
        <f t="shared" si="1680"/>
        <v>&lt;/li&gt;&lt;li&gt;&lt;a href=|http://kjvs.scripturetext.com/nehemiah/8.htm| title=|King James Bible with Strong's Numbers| target=|_top|&gt;Strong's&lt;/a&gt;</v>
      </c>
      <c r="AA421" t="str">
        <f t="shared" si="1680"/>
        <v>&lt;/li&gt;&lt;li&gt;&lt;a href=|http://childrensbibleonline.com/nehemiah/8.htm| title=|The Children's Bible| target=|_top|&gt;Children's&lt;/a&gt;</v>
      </c>
      <c r="AB421" s="2" t="str">
        <f t="shared" si="1680"/>
        <v>&lt;/li&gt;&lt;li&gt;&lt;a href=|http://tsk.scripturetext.com/nehemiah/8.htm| title=|Treasury of Scripture Knowledge| target=|_top|&gt;TSK&lt;/a&gt;</v>
      </c>
      <c r="AC421" t="str">
        <f>CONCATENATE("&lt;a href=|http://",AC1191,"/nehemiah/8.htm","| ","title=|",AC1190,"| target=|_top|&gt;",AC1192,"&lt;/a&gt;")</f>
        <v>&lt;a href=|http://parallelbible.com/nehemiah/8.htm| title=|Parallel Chapters| target=|_top|&gt;PAR&lt;/a&gt;</v>
      </c>
      <c r="AD421" s="2" t="str">
        <f t="shared" ref="AD421:AK421" si="1682">CONCATENATE("&lt;/li&gt;&lt;li&gt;&lt;a href=|http://",AD1191,"/nehemiah/8.htm","| ","title=|",AD1190,"| target=|_top|&gt;",AD1192,"&lt;/a&gt;")</f>
        <v>&lt;/li&gt;&lt;li&gt;&lt;a href=|http://gsb.biblecommenter.com/nehemiah/8.htm| title=|Geneva Study Bible| target=|_top|&gt;GSB&lt;/a&gt;</v>
      </c>
      <c r="AE421" s="2" t="str">
        <f t="shared" si="1682"/>
        <v>&lt;/li&gt;&lt;li&gt;&lt;a href=|http://jfb.biblecommenter.com/nehemiah/8.htm| title=|Jamieson-Fausset-Brown Bible Commentary| target=|_top|&gt;JFB&lt;/a&gt;</v>
      </c>
      <c r="AF421" s="2" t="str">
        <f t="shared" si="1682"/>
        <v>&lt;/li&gt;&lt;li&gt;&lt;a href=|http://kjt.biblecommenter.com/nehemiah/8.htm| title=|King James Translators' Notes| target=|_top|&gt;KJT&lt;/a&gt;</v>
      </c>
      <c r="AG421" s="2" t="str">
        <f t="shared" si="1682"/>
        <v>&lt;/li&gt;&lt;li&gt;&lt;a href=|http://mhc.biblecommenter.com/nehemiah/8.htm| title=|Matthew Henry's Concise Commentary| target=|_top|&gt;MHC&lt;/a&gt;</v>
      </c>
      <c r="AH421" s="2" t="str">
        <f t="shared" si="1682"/>
        <v>&lt;/li&gt;&lt;li&gt;&lt;a href=|http://sco.biblecommenter.com/nehemiah/8.htm| title=|Scofield Reference Notes| target=|_top|&gt;SCO&lt;/a&gt;</v>
      </c>
      <c r="AI421" s="2" t="str">
        <f t="shared" si="1682"/>
        <v>&lt;/li&gt;&lt;li&gt;&lt;a href=|http://wes.biblecommenter.com/nehemiah/8.htm| title=|Wesley's Notes on the Bible| target=|_top|&gt;WES&lt;/a&gt;</v>
      </c>
      <c r="AJ421" t="str">
        <f t="shared" si="1682"/>
        <v>&lt;/li&gt;&lt;li&gt;&lt;a href=|http://worldebible.com/nehemiah/8.htm| title=|World English Bible| target=|_top|&gt;WEB&lt;/a&gt;</v>
      </c>
      <c r="AK421" t="str">
        <f t="shared" si="1682"/>
        <v>&lt;/li&gt;&lt;li&gt;&lt;a href=|http://yltbible.com/nehemiah/8.htm| title=|Young's Literal Translation| target=|_top|&gt;YLT&lt;/a&gt;</v>
      </c>
      <c r="AL421" t="str">
        <f>CONCATENATE("&lt;a href=|http://",AL1191,"/nehemiah/8.htm","| ","title=|",AL1190,"| target=|_top|&gt;",AL1192,"&lt;/a&gt;")</f>
        <v>&lt;a href=|http://kjv.us/nehemiah/8.htm| title=|American King James Version| target=|_top|&gt;AKJ&lt;/a&gt;</v>
      </c>
      <c r="AM421" t="str">
        <f t="shared" ref="AM421:AN421" si="1683">CONCATENATE("&lt;/li&gt;&lt;li&gt;&lt;a href=|http://",AM1191,"/nehemiah/8.htm","| ","title=|",AM1190,"| target=|_top|&gt;",AM1192,"&lt;/a&gt;")</f>
        <v>&lt;/li&gt;&lt;li&gt;&lt;a href=|http://basicenglishbible.com/nehemiah/8.htm| title=|Bible in Basic English| target=|_top|&gt;BBE&lt;/a&gt;</v>
      </c>
      <c r="AN421" t="str">
        <f t="shared" si="1683"/>
        <v>&lt;/li&gt;&lt;li&gt;&lt;a href=|http://darbybible.com/nehemiah/8.htm| title=|Darby Bible Translation| target=|_top|&gt;DBY&lt;/a&gt;</v>
      </c>
      <c r="AO42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2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2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21" t="str">
        <f>CONCATENATE("&lt;/li&gt;&lt;li&gt;&lt;a href=|http://",AR1191,"/nehemiah/8.htm","| ","title=|",AR1190,"| target=|_top|&gt;",AR1192,"&lt;/a&gt;")</f>
        <v>&lt;/li&gt;&lt;li&gt;&lt;a href=|http://websterbible.com/nehemiah/8.htm| title=|Webster's Bible Translation| target=|_top|&gt;WBS&lt;/a&gt;</v>
      </c>
      <c r="AS42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21" t="str">
        <f>CONCATENATE("&lt;/li&gt;&lt;li&gt;&lt;a href=|http://",AT1191,"/nehemiah/8-1.htm","| ","title=|",AT1190,"| target=|_top|&gt;",AT1192,"&lt;/a&gt;")</f>
        <v>&lt;/li&gt;&lt;li&gt;&lt;a href=|http://biblebrowser.com/nehemiah/8-1.htm| title=|Split View| target=|_top|&gt;Split&lt;/a&gt;</v>
      </c>
      <c r="AU421" s="2" t="s">
        <v>1276</v>
      </c>
      <c r="AV421" t="s">
        <v>64</v>
      </c>
    </row>
    <row r="422" spans="1:48">
      <c r="A422" t="s">
        <v>622</v>
      </c>
      <c r="B422" t="s">
        <v>660</v>
      </c>
      <c r="C422" t="s">
        <v>624</v>
      </c>
      <c r="D422" t="s">
        <v>1268</v>
      </c>
      <c r="E422" t="s">
        <v>1277</v>
      </c>
      <c r="F422" t="s">
        <v>1304</v>
      </c>
      <c r="G422" t="s">
        <v>1266</v>
      </c>
      <c r="H422" t="s">
        <v>1305</v>
      </c>
      <c r="I422" t="s">
        <v>1303</v>
      </c>
      <c r="J422" t="s">
        <v>1267</v>
      </c>
      <c r="K422" t="s">
        <v>1275</v>
      </c>
      <c r="L422" s="2" t="s">
        <v>1274</v>
      </c>
      <c r="M422" t="str">
        <f t="shared" ref="M422:AB422" si="1684">CONCATENATE("&lt;/li&gt;&lt;li&gt;&lt;a href=|http://",M1191,"/nehemiah/9.htm","| ","title=|",M1190,"| target=|_top|&gt;",M1192,"&lt;/a&gt;")</f>
        <v>&lt;/li&gt;&lt;li&gt;&lt;a href=|http://niv.scripturetext.com/nehemiah/9.htm| title=|New International Version| target=|_top|&gt;NIV&lt;/a&gt;</v>
      </c>
      <c r="N422" t="str">
        <f t="shared" si="1684"/>
        <v>&lt;/li&gt;&lt;li&gt;&lt;a href=|http://nlt.scripturetext.com/nehemiah/9.htm| title=|New Living Translation| target=|_top|&gt;NLT&lt;/a&gt;</v>
      </c>
      <c r="O422" t="str">
        <f t="shared" si="1684"/>
        <v>&lt;/li&gt;&lt;li&gt;&lt;a href=|http://nasb.scripturetext.com/nehemiah/9.htm| title=|New American Standard Bible| target=|_top|&gt;NAS&lt;/a&gt;</v>
      </c>
      <c r="P422" t="str">
        <f t="shared" si="1684"/>
        <v>&lt;/li&gt;&lt;li&gt;&lt;a href=|http://gwt.scripturetext.com/nehemiah/9.htm| title=|God's Word Translation| target=|_top|&gt;GWT&lt;/a&gt;</v>
      </c>
      <c r="Q422" t="str">
        <f t="shared" si="1684"/>
        <v>&lt;/li&gt;&lt;li&gt;&lt;a href=|http://kingjbible.com/nehemiah/9.htm| title=|King James Bible| target=|_top|&gt;KJV&lt;/a&gt;</v>
      </c>
      <c r="R422" t="str">
        <f t="shared" si="1684"/>
        <v>&lt;/li&gt;&lt;li&gt;&lt;a href=|http://asvbible.com/nehemiah/9.htm| title=|American Standard Version| target=|_top|&gt;ASV&lt;/a&gt;</v>
      </c>
      <c r="S422" t="str">
        <f t="shared" si="1684"/>
        <v>&lt;/li&gt;&lt;li&gt;&lt;a href=|http://drb.scripturetext.com/nehemiah/9.htm| title=|Douay-Rheims Bible| target=|_top|&gt;DRB&lt;/a&gt;</v>
      </c>
      <c r="T422" t="str">
        <f t="shared" si="1684"/>
        <v>&lt;/li&gt;&lt;li&gt;&lt;a href=|http://erv.scripturetext.com/nehemiah/9.htm| title=|English Revised Version| target=|_top|&gt;ERV&lt;/a&gt;</v>
      </c>
      <c r="V422" t="str">
        <f>CONCATENATE("&lt;/li&gt;&lt;li&gt;&lt;a href=|http://",V1191,"/nehemiah/9.htm","| ","title=|",V1190,"| target=|_top|&gt;",V1192,"&lt;/a&gt;")</f>
        <v>&lt;/li&gt;&lt;li&gt;&lt;a href=|http://study.interlinearbible.org/nehemiah/9.htm| title=|Hebrew Study Bible| target=|_top|&gt;Heb Study&lt;/a&gt;</v>
      </c>
      <c r="W422" t="str">
        <f t="shared" si="1684"/>
        <v>&lt;/li&gt;&lt;li&gt;&lt;a href=|http://apostolic.interlinearbible.org/nehemiah/9.htm| title=|Apostolic Bible Polyglot Interlinear| target=|_top|&gt;Polyglot&lt;/a&gt;</v>
      </c>
      <c r="X422" t="str">
        <f t="shared" si="1684"/>
        <v>&lt;/li&gt;&lt;li&gt;&lt;a href=|http://interlinearbible.org/nehemiah/9.htm| title=|Interlinear Bible| target=|_top|&gt;Interlin&lt;/a&gt;</v>
      </c>
      <c r="Y422" t="str">
        <f t="shared" ref="Y422" si="1685">CONCATENATE("&lt;/li&gt;&lt;li&gt;&lt;a href=|http://",Y1191,"/nehemiah/9.htm","| ","title=|",Y1190,"| target=|_top|&gt;",Y1192,"&lt;/a&gt;")</f>
        <v>&lt;/li&gt;&lt;li&gt;&lt;a href=|http://bibleoutline.org/nehemiah/9.htm| title=|Outline with People and Places List| target=|_top|&gt;Outline&lt;/a&gt;</v>
      </c>
      <c r="Z422" t="str">
        <f t="shared" si="1684"/>
        <v>&lt;/li&gt;&lt;li&gt;&lt;a href=|http://kjvs.scripturetext.com/nehemiah/9.htm| title=|King James Bible with Strong's Numbers| target=|_top|&gt;Strong's&lt;/a&gt;</v>
      </c>
      <c r="AA422" t="str">
        <f t="shared" si="1684"/>
        <v>&lt;/li&gt;&lt;li&gt;&lt;a href=|http://childrensbibleonline.com/nehemiah/9.htm| title=|The Children's Bible| target=|_top|&gt;Children's&lt;/a&gt;</v>
      </c>
      <c r="AB422" s="2" t="str">
        <f t="shared" si="1684"/>
        <v>&lt;/li&gt;&lt;li&gt;&lt;a href=|http://tsk.scripturetext.com/nehemiah/9.htm| title=|Treasury of Scripture Knowledge| target=|_top|&gt;TSK&lt;/a&gt;</v>
      </c>
      <c r="AC422" t="str">
        <f>CONCATENATE("&lt;a href=|http://",AC1191,"/nehemiah/9.htm","| ","title=|",AC1190,"| target=|_top|&gt;",AC1192,"&lt;/a&gt;")</f>
        <v>&lt;a href=|http://parallelbible.com/nehemiah/9.htm| title=|Parallel Chapters| target=|_top|&gt;PAR&lt;/a&gt;</v>
      </c>
      <c r="AD422" s="2" t="str">
        <f t="shared" ref="AD422:AK422" si="1686">CONCATENATE("&lt;/li&gt;&lt;li&gt;&lt;a href=|http://",AD1191,"/nehemiah/9.htm","| ","title=|",AD1190,"| target=|_top|&gt;",AD1192,"&lt;/a&gt;")</f>
        <v>&lt;/li&gt;&lt;li&gt;&lt;a href=|http://gsb.biblecommenter.com/nehemiah/9.htm| title=|Geneva Study Bible| target=|_top|&gt;GSB&lt;/a&gt;</v>
      </c>
      <c r="AE422" s="2" t="str">
        <f t="shared" si="1686"/>
        <v>&lt;/li&gt;&lt;li&gt;&lt;a href=|http://jfb.biblecommenter.com/nehemiah/9.htm| title=|Jamieson-Fausset-Brown Bible Commentary| target=|_top|&gt;JFB&lt;/a&gt;</v>
      </c>
      <c r="AF422" s="2" t="str">
        <f t="shared" si="1686"/>
        <v>&lt;/li&gt;&lt;li&gt;&lt;a href=|http://kjt.biblecommenter.com/nehemiah/9.htm| title=|King James Translators' Notes| target=|_top|&gt;KJT&lt;/a&gt;</v>
      </c>
      <c r="AG422" s="2" t="str">
        <f t="shared" si="1686"/>
        <v>&lt;/li&gt;&lt;li&gt;&lt;a href=|http://mhc.biblecommenter.com/nehemiah/9.htm| title=|Matthew Henry's Concise Commentary| target=|_top|&gt;MHC&lt;/a&gt;</v>
      </c>
      <c r="AH422" s="2" t="str">
        <f t="shared" si="1686"/>
        <v>&lt;/li&gt;&lt;li&gt;&lt;a href=|http://sco.biblecommenter.com/nehemiah/9.htm| title=|Scofield Reference Notes| target=|_top|&gt;SCO&lt;/a&gt;</v>
      </c>
      <c r="AI422" s="2" t="str">
        <f t="shared" si="1686"/>
        <v>&lt;/li&gt;&lt;li&gt;&lt;a href=|http://wes.biblecommenter.com/nehemiah/9.htm| title=|Wesley's Notes on the Bible| target=|_top|&gt;WES&lt;/a&gt;</v>
      </c>
      <c r="AJ422" t="str">
        <f t="shared" si="1686"/>
        <v>&lt;/li&gt;&lt;li&gt;&lt;a href=|http://worldebible.com/nehemiah/9.htm| title=|World English Bible| target=|_top|&gt;WEB&lt;/a&gt;</v>
      </c>
      <c r="AK422" t="str">
        <f t="shared" si="1686"/>
        <v>&lt;/li&gt;&lt;li&gt;&lt;a href=|http://yltbible.com/nehemiah/9.htm| title=|Young's Literal Translation| target=|_top|&gt;YLT&lt;/a&gt;</v>
      </c>
      <c r="AL422" t="str">
        <f>CONCATENATE("&lt;a href=|http://",AL1191,"/nehemiah/9.htm","| ","title=|",AL1190,"| target=|_top|&gt;",AL1192,"&lt;/a&gt;")</f>
        <v>&lt;a href=|http://kjv.us/nehemiah/9.htm| title=|American King James Version| target=|_top|&gt;AKJ&lt;/a&gt;</v>
      </c>
      <c r="AM422" t="str">
        <f t="shared" ref="AM422:AN422" si="1687">CONCATENATE("&lt;/li&gt;&lt;li&gt;&lt;a href=|http://",AM1191,"/nehemiah/9.htm","| ","title=|",AM1190,"| target=|_top|&gt;",AM1192,"&lt;/a&gt;")</f>
        <v>&lt;/li&gt;&lt;li&gt;&lt;a href=|http://basicenglishbible.com/nehemiah/9.htm| title=|Bible in Basic English| target=|_top|&gt;BBE&lt;/a&gt;</v>
      </c>
      <c r="AN422" t="str">
        <f t="shared" si="1687"/>
        <v>&lt;/li&gt;&lt;li&gt;&lt;a href=|http://darbybible.com/nehemiah/9.htm| title=|Darby Bible Translation| target=|_top|&gt;DBY&lt;/a&gt;</v>
      </c>
      <c r="AO42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2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2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22" t="str">
        <f>CONCATENATE("&lt;/li&gt;&lt;li&gt;&lt;a href=|http://",AR1191,"/nehemiah/9.htm","| ","title=|",AR1190,"| target=|_top|&gt;",AR1192,"&lt;/a&gt;")</f>
        <v>&lt;/li&gt;&lt;li&gt;&lt;a href=|http://websterbible.com/nehemiah/9.htm| title=|Webster's Bible Translation| target=|_top|&gt;WBS&lt;/a&gt;</v>
      </c>
      <c r="AS42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22" t="str">
        <f>CONCATENATE("&lt;/li&gt;&lt;li&gt;&lt;a href=|http://",AT1191,"/nehemiah/9-1.htm","| ","title=|",AT1190,"| target=|_top|&gt;",AT1192,"&lt;/a&gt;")</f>
        <v>&lt;/li&gt;&lt;li&gt;&lt;a href=|http://biblebrowser.com/nehemiah/9-1.htm| title=|Split View| target=|_top|&gt;Split&lt;/a&gt;</v>
      </c>
      <c r="AU422" s="2" t="s">
        <v>1276</v>
      </c>
      <c r="AV422" t="s">
        <v>64</v>
      </c>
    </row>
    <row r="423" spans="1:48">
      <c r="A423" t="s">
        <v>622</v>
      </c>
      <c r="B423" t="s">
        <v>661</v>
      </c>
      <c r="C423" t="s">
        <v>624</v>
      </c>
      <c r="D423" t="s">
        <v>1268</v>
      </c>
      <c r="E423" t="s">
        <v>1277</v>
      </c>
      <c r="F423" t="s">
        <v>1304</v>
      </c>
      <c r="G423" t="s">
        <v>1266</v>
      </c>
      <c r="H423" t="s">
        <v>1305</v>
      </c>
      <c r="I423" t="s">
        <v>1303</v>
      </c>
      <c r="J423" t="s">
        <v>1267</v>
      </c>
      <c r="K423" t="s">
        <v>1275</v>
      </c>
      <c r="L423" s="2" t="s">
        <v>1274</v>
      </c>
      <c r="M423" t="str">
        <f t="shared" ref="M423:AB423" si="1688">CONCATENATE("&lt;/li&gt;&lt;li&gt;&lt;a href=|http://",M1191,"/nehemiah/10.htm","| ","title=|",M1190,"| target=|_top|&gt;",M1192,"&lt;/a&gt;")</f>
        <v>&lt;/li&gt;&lt;li&gt;&lt;a href=|http://niv.scripturetext.com/nehemiah/10.htm| title=|New International Version| target=|_top|&gt;NIV&lt;/a&gt;</v>
      </c>
      <c r="N423" t="str">
        <f t="shared" si="1688"/>
        <v>&lt;/li&gt;&lt;li&gt;&lt;a href=|http://nlt.scripturetext.com/nehemiah/10.htm| title=|New Living Translation| target=|_top|&gt;NLT&lt;/a&gt;</v>
      </c>
      <c r="O423" t="str">
        <f t="shared" si="1688"/>
        <v>&lt;/li&gt;&lt;li&gt;&lt;a href=|http://nasb.scripturetext.com/nehemiah/10.htm| title=|New American Standard Bible| target=|_top|&gt;NAS&lt;/a&gt;</v>
      </c>
      <c r="P423" t="str">
        <f t="shared" si="1688"/>
        <v>&lt;/li&gt;&lt;li&gt;&lt;a href=|http://gwt.scripturetext.com/nehemiah/10.htm| title=|God's Word Translation| target=|_top|&gt;GWT&lt;/a&gt;</v>
      </c>
      <c r="Q423" t="str">
        <f t="shared" si="1688"/>
        <v>&lt;/li&gt;&lt;li&gt;&lt;a href=|http://kingjbible.com/nehemiah/10.htm| title=|King James Bible| target=|_top|&gt;KJV&lt;/a&gt;</v>
      </c>
      <c r="R423" t="str">
        <f t="shared" si="1688"/>
        <v>&lt;/li&gt;&lt;li&gt;&lt;a href=|http://asvbible.com/nehemiah/10.htm| title=|American Standard Version| target=|_top|&gt;ASV&lt;/a&gt;</v>
      </c>
      <c r="S423" t="str">
        <f t="shared" si="1688"/>
        <v>&lt;/li&gt;&lt;li&gt;&lt;a href=|http://drb.scripturetext.com/nehemiah/10.htm| title=|Douay-Rheims Bible| target=|_top|&gt;DRB&lt;/a&gt;</v>
      </c>
      <c r="T423" t="str">
        <f t="shared" si="1688"/>
        <v>&lt;/li&gt;&lt;li&gt;&lt;a href=|http://erv.scripturetext.com/nehemiah/10.htm| title=|English Revised Version| target=|_top|&gt;ERV&lt;/a&gt;</v>
      </c>
      <c r="V423" t="str">
        <f>CONCATENATE("&lt;/li&gt;&lt;li&gt;&lt;a href=|http://",V1191,"/nehemiah/10.htm","| ","title=|",V1190,"| target=|_top|&gt;",V1192,"&lt;/a&gt;")</f>
        <v>&lt;/li&gt;&lt;li&gt;&lt;a href=|http://study.interlinearbible.org/nehemiah/10.htm| title=|Hebrew Study Bible| target=|_top|&gt;Heb Study&lt;/a&gt;</v>
      </c>
      <c r="W423" t="str">
        <f t="shared" si="1688"/>
        <v>&lt;/li&gt;&lt;li&gt;&lt;a href=|http://apostolic.interlinearbible.org/nehemiah/10.htm| title=|Apostolic Bible Polyglot Interlinear| target=|_top|&gt;Polyglot&lt;/a&gt;</v>
      </c>
      <c r="X423" t="str">
        <f t="shared" si="1688"/>
        <v>&lt;/li&gt;&lt;li&gt;&lt;a href=|http://interlinearbible.org/nehemiah/10.htm| title=|Interlinear Bible| target=|_top|&gt;Interlin&lt;/a&gt;</v>
      </c>
      <c r="Y423" t="str">
        <f t="shared" ref="Y423" si="1689">CONCATENATE("&lt;/li&gt;&lt;li&gt;&lt;a href=|http://",Y1191,"/nehemiah/10.htm","| ","title=|",Y1190,"| target=|_top|&gt;",Y1192,"&lt;/a&gt;")</f>
        <v>&lt;/li&gt;&lt;li&gt;&lt;a href=|http://bibleoutline.org/nehemiah/10.htm| title=|Outline with People and Places List| target=|_top|&gt;Outline&lt;/a&gt;</v>
      </c>
      <c r="Z423" t="str">
        <f t="shared" si="1688"/>
        <v>&lt;/li&gt;&lt;li&gt;&lt;a href=|http://kjvs.scripturetext.com/nehemiah/10.htm| title=|King James Bible with Strong's Numbers| target=|_top|&gt;Strong's&lt;/a&gt;</v>
      </c>
      <c r="AA423" t="str">
        <f t="shared" si="1688"/>
        <v>&lt;/li&gt;&lt;li&gt;&lt;a href=|http://childrensbibleonline.com/nehemiah/10.htm| title=|The Children's Bible| target=|_top|&gt;Children's&lt;/a&gt;</v>
      </c>
      <c r="AB423" s="2" t="str">
        <f t="shared" si="1688"/>
        <v>&lt;/li&gt;&lt;li&gt;&lt;a href=|http://tsk.scripturetext.com/nehemiah/10.htm| title=|Treasury of Scripture Knowledge| target=|_top|&gt;TSK&lt;/a&gt;</v>
      </c>
      <c r="AC423" t="str">
        <f>CONCATENATE("&lt;a href=|http://",AC1191,"/nehemiah/10.htm","| ","title=|",AC1190,"| target=|_top|&gt;",AC1192,"&lt;/a&gt;")</f>
        <v>&lt;a href=|http://parallelbible.com/nehemiah/10.htm| title=|Parallel Chapters| target=|_top|&gt;PAR&lt;/a&gt;</v>
      </c>
      <c r="AD423" s="2" t="str">
        <f t="shared" ref="AD423:AK423" si="1690">CONCATENATE("&lt;/li&gt;&lt;li&gt;&lt;a href=|http://",AD1191,"/nehemiah/10.htm","| ","title=|",AD1190,"| target=|_top|&gt;",AD1192,"&lt;/a&gt;")</f>
        <v>&lt;/li&gt;&lt;li&gt;&lt;a href=|http://gsb.biblecommenter.com/nehemiah/10.htm| title=|Geneva Study Bible| target=|_top|&gt;GSB&lt;/a&gt;</v>
      </c>
      <c r="AE423" s="2" t="str">
        <f t="shared" si="1690"/>
        <v>&lt;/li&gt;&lt;li&gt;&lt;a href=|http://jfb.biblecommenter.com/nehemiah/10.htm| title=|Jamieson-Fausset-Brown Bible Commentary| target=|_top|&gt;JFB&lt;/a&gt;</v>
      </c>
      <c r="AF423" s="2" t="str">
        <f t="shared" si="1690"/>
        <v>&lt;/li&gt;&lt;li&gt;&lt;a href=|http://kjt.biblecommenter.com/nehemiah/10.htm| title=|King James Translators' Notes| target=|_top|&gt;KJT&lt;/a&gt;</v>
      </c>
      <c r="AG423" s="2" t="str">
        <f t="shared" si="1690"/>
        <v>&lt;/li&gt;&lt;li&gt;&lt;a href=|http://mhc.biblecommenter.com/nehemiah/10.htm| title=|Matthew Henry's Concise Commentary| target=|_top|&gt;MHC&lt;/a&gt;</v>
      </c>
      <c r="AH423" s="2" t="str">
        <f t="shared" si="1690"/>
        <v>&lt;/li&gt;&lt;li&gt;&lt;a href=|http://sco.biblecommenter.com/nehemiah/10.htm| title=|Scofield Reference Notes| target=|_top|&gt;SCO&lt;/a&gt;</v>
      </c>
      <c r="AI423" s="2" t="str">
        <f t="shared" si="1690"/>
        <v>&lt;/li&gt;&lt;li&gt;&lt;a href=|http://wes.biblecommenter.com/nehemiah/10.htm| title=|Wesley's Notes on the Bible| target=|_top|&gt;WES&lt;/a&gt;</v>
      </c>
      <c r="AJ423" t="str">
        <f t="shared" si="1690"/>
        <v>&lt;/li&gt;&lt;li&gt;&lt;a href=|http://worldebible.com/nehemiah/10.htm| title=|World English Bible| target=|_top|&gt;WEB&lt;/a&gt;</v>
      </c>
      <c r="AK423" t="str">
        <f t="shared" si="1690"/>
        <v>&lt;/li&gt;&lt;li&gt;&lt;a href=|http://yltbible.com/nehemiah/10.htm| title=|Young's Literal Translation| target=|_top|&gt;YLT&lt;/a&gt;</v>
      </c>
      <c r="AL423" t="str">
        <f>CONCATENATE("&lt;a href=|http://",AL1191,"/nehemiah/10.htm","| ","title=|",AL1190,"| target=|_top|&gt;",AL1192,"&lt;/a&gt;")</f>
        <v>&lt;a href=|http://kjv.us/nehemiah/10.htm| title=|American King James Version| target=|_top|&gt;AKJ&lt;/a&gt;</v>
      </c>
      <c r="AM423" t="str">
        <f t="shared" ref="AM423:AN423" si="1691">CONCATENATE("&lt;/li&gt;&lt;li&gt;&lt;a href=|http://",AM1191,"/nehemiah/10.htm","| ","title=|",AM1190,"| target=|_top|&gt;",AM1192,"&lt;/a&gt;")</f>
        <v>&lt;/li&gt;&lt;li&gt;&lt;a href=|http://basicenglishbible.com/nehemiah/10.htm| title=|Bible in Basic English| target=|_top|&gt;BBE&lt;/a&gt;</v>
      </c>
      <c r="AN423" t="str">
        <f t="shared" si="1691"/>
        <v>&lt;/li&gt;&lt;li&gt;&lt;a href=|http://darbybible.com/nehemiah/10.htm| title=|Darby Bible Translation| target=|_top|&gt;DBY&lt;/a&gt;</v>
      </c>
      <c r="AO42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2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2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23" t="str">
        <f>CONCATENATE("&lt;/li&gt;&lt;li&gt;&lt;a href=|http://",AR1191,"/nehemiah/10.htm","| ","title=|",AR1190,"| target=|_top|&gt;",AR1192,"&lt;/a&gt;")</f>
        <v>&lt;/li&gt;&lt;li&gt;&lt;a href=|http://websterbible.com/nehemiah/10.htm| title=|Webster's Bible Translation| target=|_top|&gt;WBS&lt;/a&gt;</v>
      </c>
      <c r="AS42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23" t="str">
        <f>CONCATENATE("&lt;/li&gt;&lt;li&gt;&lt;a href=|http://",AT1191,"/nehemiah/10-1.htm","| ","title=|",AT1190,"| target=|_top|&gt;",AT1192,"&lt;/a&gt;")</f>
        <v>&lt;/li&gt;&lt;li&gt;&lt;a href=|http://biblebrowser.com/nehemiah/10-1.htm| title=|Split View| target=|_top|&gt;Split&lt;/a&gt;</v>
      </c>
      <c r="AU423" s="2" t="s">
        <v>1276</v>
      </c>
      <c r="AV423" t="s">
        <v>64</v>
      </c>
    </row>
    <row r="424" spans="1:48">
      <c r="A424" t="s">
        <v>622</v>
      </c>
      <c r="B424" t="s">
        <v>662</v>
      </c>
      <c r="C424" t="s">
        <v>624</v>
      </c>
      <c r="D424" t="s">
        <v>1268</v>
      </c>
      <c r="E424" t="s">
        <v>1277</v>
      </c>
      <c r="F424" t="s">
        <v>1304</v>
      </c>
      <c r="G424" t="s">
        <v>1266</v>
      </c>
      <c r="H424" t="s">
        <v>1305</v>
      </c>
      <c r="I424" t="s">
        <v>1303</v>
      </c>
      <c r="J424" t="s">
        <v>1267</v>
      </c>
      <c r="K424" t="s">
        <v>1275</v>
      </c>
      <c r="L424" s="2" t="s">
        <v>1274</v>
      </c>
      <c r="M424" t="str">
        <f t="shared" ref="M424:AB424" si="1692">CONCATENATE("&lt;/li&gt;&lt;li&gt;&lt;a href=|http://",M1191,"/nehemiah/11.htm","| ","title=|",M1190,"| target=|_top|&gt;",M1192,"&lt;/a&gt;")</f>
        <v>&lt;/li&gt;&lt;li&gt;&lt;a href=|http://niv.scripturetext.com/nehemiah/11.htm| title=|New International Version| target=|_top|&gt;NIV&lt;/a&gt;</v>
      </c>
      <c r="N424" t="str">
        <f t="shared" si="1692"/>
        <v>&lt;/li&gt;&lt;li&gt;&lt;a href=|http://nlt.scripturetext.com/nehemiah/11.htm| title=|New Living Translation| target=|_top|&gt;NLT&lt;/a&gt;</v>
      </c>
      <c r="O424" t="str">
        <f t="shared" si="1692"/>
        <v>&lt;/li&gt;&lt;li&gt;&lt;a href=|http://nasb.scripturetext.com/nehemiah/11.htm| title=|New American Standard Bible| target=|_top|&gt;NAS&lt;/a&gt;</v>
      </c>
      <c r="P424" t="str">
        <f t="shared" si="1692"/>
        <v>&lt;/li&gt;&lt;li&gt;&lt;a href=|http://gwt.scripturetext.com/nehemiah/11.htm| title=|God's Word Translation| target=|_top|&gt;GWT&lt;/a&gt;</v>
      </c>
      <c r="Q424" t="str">
        <f t="shared" si="1692"/>
        <v>&lt;/li&gt;&lt;li&gt;&lt;a href=|http://kingjbible.com/nehemiah/11.htm| title=|King James Bible| target=|_top|&gt;KJV&lt;/a&gt;</v>
      </c>
      <c r="R424" t="str">
        <f t="shared" si="1692"/>
        <v>&lt;/li&gt;&lt;li&gt;&lt;a href=|http://asvbible.com/nehemiah/11.htm| title=|American Standard Version| target=|_top|&gt;ASV&lt;/a&gt;</v>
      </c>
      <c r="S424" t="str">
        <f t="shared" si="1692"/>
        <v>&lt;/li&gt;&lt;li&gt;&lt;a href=|http://drb.scripturetext.com/nehemiah/11.htm| title=|Douay-Rheims Bible| target=|_top|&gt;DRB&lt;/a&gt;</v>
      </c>
      <c r="T424" t="str">
        <f t="shared" si="1692"/>
        <v>&lt;/li&gt;&lt;li&gt;&lt;a href=|http://erv.scripturetext.com/nehemiah/11.htm| title=|English Revised Version| target=|_top|&gt;ERV&lt;/a&gt;</v>
      </c>
      <c r="V424" t="str">
        <f>CONCATENATE("&lt;/li&gt;&lt;li&gt;&lt;a href=|http://",V1191,"/nehemiah/11.htm","| ","title=|",V1190,"| target=|_top|&gt;",V1192,"&lt;/a&gt;")</f>
        <v>&lt;/li&gt;&lt;li&gt;&lt;a href=|http://study.interlinearbible.org/nehemiah/11.htm| title=|Hebrew Study Bible| target=|_top|&gt;Heb Study&lt;/a&gt;</v>
      </c>
      <c r="W424" t="str">
        <f t="shared" si="1692"/>
        <v>&lt;/li&gt;&lt;li&gt;&lt;a href=|http://apostolic.interlinearbible.org/nehemiah/11.htm| title=|Apostolic Bible Polyglot Interlinear| target=|_top|&gt;Polyglot&lt;/a&gt;</v>
      </c>
      <c r="X424" t="str">
        <f t="shared" si="1692"/>
        <v>&lt;/li&gt;&lt;li&gt;&lt;a href=|http://interlinearbible.org/nehemiah/11.htm| title=|Interlinear Bible| target=|_top|&gt;Interlin&lt;/a&gt;</v>
      </c>
      <c r="Y424" t="str">
        <f t="shared" ref="Y424" si="1693">CONCATENATE("&lt;/li&gt;&lt;li&gt;&lt;a href=|http://",Y1191,"/nehemiah/11.htm","| ","title=|",Y1190,"| target=|_top|&gt;",Y1192,"&lt;/a&gt;")</f>
        <v>&lt;/li&gt;&lt;li&gt;&lt;a href=|http://bibleoutline.org/nehemiah/11.htm| title=|Outline with People and Places List| target=|_top|&gt;Outline&lt;/a&gt;</v>
      </c>
      <c r="Z424" t="str">
        <f t="shared" si="1692"/>
        <v>&lt;/li&gt;&lt;li&gt;&lt;a href=|http://kjvs.scripturetext.com/nehemiah/11.htm| title=|King James Bible with Strong's Numbers| target=|_top|&gt;Strong's&lt;/a&gt;</v>
      </c>
      <c r="AA424" t="str">
        <f t="shared" si="1692"/>
        <v>&lt;/li&gt;&lt;li&gt;&lt;a href=|http://childrensbibleonline.com/nehemiah/11.htm| title=|The Children's Bible| target=|_top|&gt;Children's&lt;/a&gt;</v>
      </c>
      <c r="AB424" s="2" t="str">
        <f t="shared" si="1692"/>
        <v>&lt;/li&gt;&lt;li&gt;&lt;a href=|http://tsk.scripturetext.com/nehemiah/11.htm| title=|Treasury of Scripture Knowledge| target=|_top|&gt;TSK&lt;/a&gt;</v>
      </c>
      <c r="AC424" t="str">
        <f>CONCATENATE("&lt;a href=|http://",AC1191,"/nehemiah/11.htm","| ","title=|",AC1190,"| target=|_top|&gt;",AC1192,"&lt;/a&gt;")</f>
        <v>&lt;a href=|http://parallelbible.com/nehemiah/11.htm| title=|Parallel Chapters| target=|_top|&gt;PAR&lt;/a&gt;</v>
      </c>
      <c r="AD424" s="2" t="str">
        <f t="shared" ref="AD424:AK424" si="1694">CONCATENATE("&lt;/li&gt;&lt;li&gt;&lt;a href=|http://",AD1191,"/nehemiah/11.htm","| ","title=|",AD1190,"| target=|_top|&gt;",AD1192,"&lt;/a&gt;")</f>
        <v>&lt;/li&gt;&lt;li&gt;&lt;a href=|http://gsb.biblecommenter.com/nehemiah/11.htm| title=|Geneva Study Bible| target=|_top|&gt;GSB&lt;/a&gt;</v>
      </c>
      <c r="AE424" s="2" t="str">
        <f t="shared" si="1694"/>
        <v>&lt;/li&gt;&lt;li&gt;&lt;a href=|http://jfb.biblecommenter.com/nehemiah/11.htm| title=|Jamieson-Fausset-Brown Bible Commentary| target=|_top|&gt;JFB&lt;/a&gt;</v>
      </c>
      <c r="AF424" s="2" t="str">
        <f t="shared" si="1694"/>
        <v>&lt;/li&gt;&lt;li&gt;&lt;a href=|http://kjt.biblecommenter.com/nehemiah/11.htm| title=|King James Translators' Notes| target=|_top|&gt;KJT&lt;/a&gt;</v>
      </c>
      <c r="AG424" s="2" t="str">
        <f t="shared" si="1694"/>
        <v>&lt;/li&gt;&lt;li&gt;&lt;a href=|http://mhc.biblecommenter.com/nehemiah/11.htm| title=|Matthew Henry's Concise Commentary| target=|_top|&gt;MHC&lt;/a&gt;</v>
      </c>
      <c r="AH424" s="2" t="str">
        <f t="shared" si="1694"/>
        <v>&lt;/li&gt;&lt;li&gt;&lt;a href=|http://sco.biblecommenter.com/nehemiah/11.htm| title=|Scofield Reference Notes| target=|_top|&gt;SCO&lt;/a&gt;</v>
      </c>
      <c r="AI424" s="2" t="str">
        <f t="shared" si="1694"/>
        <v>&lt;/li&gt;&lt;li&gt;&lt;a href=|http://wes.biblecommenter.com/nehemiah/11.htm| title=|Wesley's Notes on the Bible| target=|_top|&gt;WES&lt;/a&gt;</v>
      </c>
      <c r="AJ424" t="str">
        <f t="shared" si="1694"/>
        <v>&lt;/li&gt;&lt;li&gt;&lt;a href=|http://worldebible.com/nehemiah/11.htm| title=|World English Bible| target=|_top|&gt;WEB&lt;/a&gt;</v>
      </c>
      <c r="AK424" t="str">
        <f t="shared" si="1694"/>
        <v>&lt;/li&gt;&lt;li&gt;&lt;a href=|http://yltbible.com/nehemiah/11.htm| title=|Young's Literal Translation| target=|_top|&gt;YLT&lt;/a&gt;</v>
      </c>
      <c r="AL424" t="str">
        <f>CONCATENATE("&lt;a href=|http://",AL1191,"/nehemiah/11.htm","| ","title=|",AL1190,"| target=|_top|&gt;",AL1192,"&lt;/a&gt;")</f>
        <v>&lt;a href=|http://kjv.us/nehemiah/11.htm| title=|American King James Version| target=|_top|&gt;AKJ&lt;/a&gt;</v>
      </c>
      <c r="AM424" t="str">
        <f t="shared" ref="AM424:AN424" si="1695">CONCATENATE("&lt;/li&gt;&lt;li&gt;&lt;a href=|http://",AM1191,"/nehemiah/11.htm","| ","title=|",AM1190,"| target=|_top|&gt;",AM1192,"&lt;/a&gt;")</f>
        <v>&lt;/li&gt;&lt;li&gt;&lt;a href=|http://basicenglishbible.com/nehemiah/11.htm| title=|Bible in Basic English| target=|_top|&gt;BBE&lt;/a&gt;</v>
      </c>
      <c r="AN424" t="str">
        <f t="shared" si="1695"/>
        <v>&lt;/li&gt;&lt;li&gt;&lt;a href=|http://darbybible.com/nehemiah/11.htm| title=|Darby Bible Translation| target=|_top|&gt;DBY&lt;/a&gt;</v>
      </c>
      <c r="AO42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2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2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24" t="str">
        <f>CONCATENATE("&lt;/li&gt;&lt;li&gt;&lt;a href=|http://",AR1191,"/nehemiah/11.htm","| ","title=|",AR1190,"| target=|_top|&gt;",AR1192,"&lt;/a&gt;")</f>
        <v>&lt;/li&gt;&lt;li&gt;&lt;a href=|http://websterbible.com/nehemiah/11.htm| title=|Webster's Bible Translation| target=|_top|&gt;WBS&lt;/a&gt;</v>
      </c>
      <c r="AS42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24" t="str">
        <f>CONCATENATE("&lt;/li&gt;&lt;li&gt;&lt;a href=|http://",AT1191,"/nehemiah/11-1.htm","| ","title=|",AT1190,"| target=|_top|&gt;",AT1192,"&lt;/a&gt;")</f>
        <v>&lt;/li&gt;&lt;li&gt;&lt;a href=|http://biblebrowser.com/nehemiah/11-1.htm| title=|Split View| target=|_top|&gt;Split&lt;/a&gt;</v>
      </c>
      <c r="AU424" s="2" t="s">
        <v>1276</v>
      </c>
      <c r="AV424" t="s">
        <v>64</v>
      </c>
    </row>
    <row r="425" spans="1:48">
      <c r="A425" t="s">
        <v>622</v>
      </c>
      <c r="B425" t="s">
        <v>663</v>
      </c>
      <c r="C425" t="s">
        <v>624</v>
      </c>
      <c r="D425" t="s">
        <v>1268</v>
      </c>
      <c r="E425" t="s">
        <v>1277</v>
      </c>
      <c r="F425" t="s">
        <v>1304</v>
      </c>
      <c r="G425" t="s">
        <v>1266</v>
      </c>
      <c r="H425" t="s">
        <v>1305</v>
      </c>
      <c r="I425" t="s">
        <v>1303</v>
      </c>
      <c r="J425" t="s">
        <v>1267</v>
      </c>
      <c r="K425" t="s">
        <v>1275</v>
      </c>
      <c r="L425" s="2" t="s">
        <v>1274</v>
      </c>
      <c r="M425" t="str">
        <f t="shared" ref="M425:AB425" si="1696">CONCATENATE("&lt;/li&gt;&lt;li&gt;&lt;a href=|http://",M1191,"/nehemiah/12.htm","| ","title=|",M1190,"| target=|_top|&gt;",M1192,"&lt;/a&gt;")</f>
        <v>&lt;/li&gt;&lt;li&gt;&lt;a href=|http://niv.scripturetext.com/nehemiah/12.htm| title=|New International Version| target=|_top|&gt;NIV&lt;/a&gt;</v>
      </c>
      <c r="N425" t="str">
        <f t="shared" si="1696"/>
        <v>&lt;/li&gt;&lt;li&gt;&lt;a href=|http://nlt.scripturetext.com/nehemiah/12.htm| title=|New Living Translation| target=|_top|&gt;NLT&lt;/a&gt;</v>
      </c>
      <c r="O425" t="str">
        <f t="shared" si="1696"/>
        <v>&lt;/li&gt;&lt;li&gt;&lt;a href=|http://nasb.scripturetext.com/nehemiah/12.htm| title=|New American Standard Bible| target=|_top|&gt;NAS&lt;/a&gt;</v>
      </c>
      <c r="P425" t="str">
        <f t="shared" si="1696"/>
        <v>&lt;/li&gt;&lt;li&gt;&lt;a href=|http://gwt.scripturetext.com/nehemiah/12.htm| title=|God's Word Translation| target=|_top|&gt;GWT&lt;/a&gt;</v>
      </c>
      <c r="Q425" t="str">
        <f t="shared" si="1696"/>
        <v>&lt;/li&gt;&lt;li&gt;&lt;a href=|http://kingjbible.com/nehemiah/12.htm| title=|King James Bible| target=|_top|&gt;KJV&lt;/a&gt;</v>
      </c>
      <c r="R425" t="str">
        <f t="shared" si="1696"/>
        <v>&lt;/li&gt;&lt;li&gt;&lt;a href=|http://asvbible.com/nehemiah/12.htm| title=|American Standard Version| target=|_top|&gt;ASV&lt;/a&gt;</v>
      </c>
      <c r="S425" t="str">
        <f t="shared" si="1696"/>
        <v>&lt;/li&gt;&lt;li&gt;&lt;a href=|http://drb.scripturetext.com/nehemiah/12.htm| title=|Douay-Rheims Bible| target=|_top|&gt;DRB&lt;/a&gt;</v>
      </c>
      <c r="T425" t="str">
        <f t="shared" si="1696"/>
        <v>&lt;/li&gt;&lt;li&gt;&lt;a href=|http://erv.scripturetext.com/nehemiah/12.htm| title=|English Revised Version| target=|_top|&gt;ERV&lt;/a&gt;</v>
      </c>
      <c r="V425" t="str">
        <f>CONCATENATE("&lt;/li&gt;&lt;li&gt;&lt;a href=|http://",V1191,"/nehemiah/12.htm","| ","title=|",V1190,"| target=|_top|&gt;",V1192,"&lt;/a&gt;")</f>
        <v>&lt;/li&gt;&lt;li&gt;&lt;a href=|http://study.interlinearbible.org/nehemiah/12.htm| title=|Hebrew Study Bible| target=|_top|&gt;Heb Study&lt;/a&gt;</v>
      </c>
      <c r="W425" t="str">
        <f t="shared" si="1696"/>
        <v>&lt;/li&gt;&lt;li&gt;&lt;a href=|http://apostolic.interlinearbible.org/nehemiah/12.htm| title=|Apostolic Bible Polyglot Interlinear| target=|_top|&gt;Polyglot&lt;/a&gt;</v>
      </c>
      <c r="X425" t="str">
        <f t="shared" si="1696"/>
        <v>&lt;/li&gt;&lt;li&gt;&lt;a href=|http://interlinearbible.org/nehemiah/12.htm| title=|Interlinear Bible| target=|_top|&gt;Interlin&lt;/a&gt;</v>
      </c>
      <c r="Y425" t="str">
        <f t="shared" ref="Y425" si="1697">CONCATENATE("&lt;/li&gt;&lt;li&gt;&lt;a href=|http://",Y1191,"/nehemiah/12.htm","| ","title=|",Y1190,"| target=|_top|&gt;",Y1192,"&lt;/a&gt;")</f>
        <v>&lt;/li&gt;&lt;li&gt;&lt;a href=|http://bibleoutline.org/nehemiah/12.htm| title=|Outline with People and Places List| target=|_top|&gt;Outline&lt;/a&gt;</v>
      </c>
      <c r="Z425" t="str">
        <f t="shared" si="1696"/>
        <v>&lt;/li&gt;&lt;li&gt;&lt;a href=|http://kjvs.scripturetext.com/nehemiah/12.htm| title=|King James Bible with Strong's Numbers| target=|_top|&gt;Strong's&lt;/a&gt;</v>
      </c>
      <c r="AA425" t="str">
        <f t="shared" si="1696"/>
        <v>&lt;/li&gt;&lt;li&gt;&lt;a href=|http://childrensbibleonline.com/nehemiah/12.htm| title=|The Children's Bible| target=|_top|&gt;Children's&lt;/a&gt;</v>
      </c>
      <c r="AB425" s="2" t="str">
        <f t="shared" si="1696"/>
        <v>&lt;/li&gt;&lt;li&gt;&lt;a href=|http://tsk.scripturetext.com/nehemiah/12.htm| title=|Treasury of Scripture Knowledge| target=|_top|&gt;TSK&lt;/a&gt;</v>
      </c>
      <c r="AC425" t="str">
        <f>CONCATENATE("&lt;a href=|http://",AC1191,"/nehemiah/12.htm","| ","title=|",AC1190,"| target=|_top|&gt;",AC1192,"&lt;/a&gt;")</f>
        <v>&lt;a href=|http://parallelbible.com/nehemiah/12.htm| title=|Parallel Chapters| target=|_top|&gt;PAR&lt;/a&gt;</v>
      </c>
      <c r="AD425" s="2" t="str">
        <f t="shared" ref="AD425:AK425" si="1698">CONCATENATE("&lt;/li&gt;&lt;li&gt;&lt;a href=|http://",AD1191,"/nehemiah/12.htm","| ","title=|",AD1190,"| target=|_top|&gt;",AD1192,"&lt;/a&gt;")</f>
        <v>&lt;/li&gt;&lt;li&gt;&lt;a href=|http://gsb.biblecommenter.com/nehemiah/12.htm| title=|Geneva Study Bible| target=|_top|&gt;GSB&lt;/a&gt;</v>
      </c>
      <c r="AE425" s="2" t="str">
        <f t="shared" si="1698"/>
        <v>&lt;/li&gt;&lt;li&gt;&lt;a href=|http://jfb.biblecommenter.com/nehemiah/12.htm| title=|Jamieson-Fausset-Brown Bible Commentary| target=|_top|&gt;JFB&lt;/a&gt;</v>
      </c>
      <c r="AF425" s="2" t="str">
        <f t="shared" si="1698"/>
        <v>&lt;/li&gt;&lt;li&gt;&lt;a href=|http://kjt.biblecommenter.com/nehemiah/12.htm| title=|King James Translators' Notes| target=|_top|&gt;KJT&lt;/a&gt;</v>
      </c>
      <c r="AG425" s="2" t="str">
        <f t="shared" si="1698"/>
        <v>&lt;/li&gt;&lt;li&gt;&lt;a href=|http://mhc.biblecommenter.com/nehemiah/12.htm| title=|Matthew Henry's Concise Commentary| target=|_top|&gt;MHC&lt;/a&gt;</v>
      </c>
      <c r="AH425" s="2" t="str">
        <f t="shared" si="1698"/>
        <v>&lt;/li&gt;&lt;li&gt;&lt;a href=|http://sco.biblecommenter.com/nehemiah/12.htm| title=|Scofield Reference Notes| target=|_top|&gt;SCO&lt;/a&gt;</v>
      </c>
      <c r="AI425" s="2" t="str">
        <f t="shared" si="1698"/>
        <v>&lt;/li&gt;&lt;li&gt;&lt;a href=|http://wes.biblecommenter.com/nehemiah/12.htm| title=|Wesley's Notes on the Bible| target=|_top|&gt;WES&lt;/a&gt;</v>
      </c>
      <c r="AJ425" t="str">
        <f t="shared" si="1698"/>
        <v>&lt;/li&gt;&lt;li&gt;&lt;a href=|http://worldebible.com/nehemiah/12.htm| title=|World English Bible| target=|_top|&gt;WEB&lt;/a&gt;</v>
      </c>
      <c r="AK425" t="str">
        <f t="shared" si="1698"/>
        <v>&lt;/li&gt;&lt;li&gt;&lt;a href=|http://yltbible.com/nehemiah/12.htm| title=|Young's Literal Translation| target=|_top|&gt;YLT&lt;/a&gt;</v>
      </c>
      <c r="AL425" t="str">
        <f>CONCATENATE("&lt;a href=|http://",AL1191,"/nehemiah/12.htm","| ","title=|",AL1190,"| target=|_top|&gt;",AL1192,"&lt;/a&gt;")</f>
        <v>&lt;a href=|http://kjv.us/nehemiah/12.htm| title=|American King James Version| target=|_top|&gt;AKJ&lt;/a&gt;</v>
      </c>
      <c r="AM425" t="str">
        <f t="shared" ref="AM425:AN425" si="1699">CONCATENATE("&lt;/li&gt;&lt;li&gt;&lt;a href=|http://",AM1191,"/nehemiah/12.htm","| ","title=|",AM1190,"| target=|_top|&gt;",AM1192,"&lt;/a&gt;")</f>
        <v>&lt;/li&gt;&lt;li&gt;&lt;a href=|http://basicenglishbible.com/nehemiah/12.htm| title=|Bible in Basic English| target=|_top|&gt;BBE&lt;/a&gt;</v>
      </c>
      <c r="AN425" t="str">
        <f t="shared" si="1699"/>
        <v>&lt;/li&gt;&lt;li&gt;&lt;a href=|http://darbybible.com/nehemiah/12.htm| title=|Darby Bible Translation| target=|_top|&gt;DBY&lt;/a&gt;</v>
      </c>
      <c r="AO42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2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2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25" t="str">
        <f>CONCATENATE("&lt;/li&gt;&lt;li&gt;&lt;a href=|http://",AR1191,"/nehemiah/12.htm","| ","title=|",AR1190,"| target=|_top|&gt;",AR1192,"&lt;/a&gt;")</f>
        <v>&lt;/li&gt;&lt;li&gt;&lt;a href=|http://websterbible.com/nehemiah/12.htm| title=|Webster's Bible Translation| target=|_top|&gt;WBS&lt;/a&gt;</v>
      </c>
      <c r="AS42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25" t="str">
        <f>CONCATENATE("&lt;/li&gt;&lt;li&gt;&lt;a href=|http://",AT1191,"/nehemiah/12-1.htm","| ","title=|",AT1190,"| target=|_top|&gt;",AT1192,"&lt;/a&gt;")</f>
        <v>&lt;/li&gt;&lt;li&gt;&lt;a href=|http://biblebrowser.com/nehemiah/12-1.htm| title=|Split View| target=|_top|&gt;Split&lt;/a&gt;</v>
      </c>
      <c r="AU425" s="2" t="s">
        <v>1276</v>
      </c>
      <c r="AV425" t="s">
        <v>64</v>
      </c>
    </row>
    <row r="426" spans="1:48">
      <c r="A426" t="s">
        <v>622</v>
      </c>
      <c r="B426" t="s">
        <v>664</v>
      </c>
      <c r="C426" t="s">
        <v>624</v>
      </c>
      <c r="D426" t="s">
        <v>1268</v>
      </c>
      <c r="E426" t="s">
        <v>1277</v>
      </c>
      <c r="F426" t="s">
        <v>1304</v>
      </c>
      <c r="G426" t="s">
        <v>1266</v>
      </c>
      <c r="H426" t="s">
        <v>1305</v>
      </c>
      <c r="I426" t="s">
        <v>1303</v>
      </c>
      <c r="J426" t="s">
        <v>1267</v>
      </c>
      <c r="K426" t="s">
        <v>1275</v>
      </c>
      <c r="L426" s="2" t="s">
        <v>1274</v>
      </c>
      <c r="M426" t="str">
        <f t="shared" ref="M426:AB426" si="1700">CONCATENATE("&lt;/li&gt;&lt;li&gt;&lt;a href=|http://",M1191,"/nehemiah/13.htm","| ","title=|",M1190,"| target=|_top|&gt;",M1192,"&lt;/a&gt;")</f>
        <v>&lt;/li&gt;&lt;li&gt;&lt;a href=|http://niv.scripturetext.com/nehemiah/13.htm| title=|New International Version| target=|_top|&gt;NIV&lt;/a&gt;</v>
      </c>
      <c r="N426" t="str">
        <f t="shared" si="1700"/>
        <v>&lt;/li&gt;&lt;li&gt;&lt;a href=|http://nlt.scripturetext.com/nehemiah/13.htm| title=|New Living Translation| target=|_top|&gt;NLT&lt;/a&gt;</v>
      </c>
      <c r="O426" t="str">
        <f t="shared" si="1700"/>
        <v>&lt;/li&gt;&lt;li&gt;&lt;a href=|http://nasb.scripturetext.com/nehemiah/13.htm| title=|New American Standard Bible| target=|_top|&gt;NAS&lt;/a&gt;</v>
      </c>
      <c r="P426" t="str">
        <f t="shared" si="1700"/>
        <v>&lt;/li&gt;&lt;li&gt;&lt;a href=|http://gwt.scripturetext.com/nehemiah/13.htm| title=|God's Word Translation| target=|_top|&gt;GWT&lt;/a&gt;</v>
      </c>
      <c r="Q426" t="str">
        <f t="shared" si="1700"/>
        <v>&lt;/li&gt;&lt;li&gt;&lt;a href=|http://kingjbible.com/nehemiah/13.htm| title=|King James Bible| target=|_top|&gt;KJV&lt;/a&gt;</v>
      </c>
      <c r="R426" t="str">
        <f t="shared" si="1700"/>
        <v>&lt;/li&gt;&lt;li&gt;&lt;a href=|http://asvbible.com/nehemiah/13.htm| title=|American Standard Version| target=|_top|&gt;ASV&lt;/a&gt;</v>
      </c>
      <c r="S426" t="str">
        <f t="shared" si="1700"/>
        <v>&lt;/li&gt;&lt;li&gt;&lt;a href=|http://drb.scripturetext.com/nehemiah/13.htm| title=|Douay-Rheims Bible| target=|_top|&gt;DRB&lt;/a&gt;</v>
      </c>
      <c r="T426" t="str">
        <f t="shared" si="1700"/>
        <v>&lt;/li&gt;&lt;li&gt;&lt;a href=|http://erv.scripturetext.com/nehemiah/13.htm| title=|English Revised Version| target=|_top|&gt;ERV&lt;/a&gt;</v>
      </c>
      <c r="V426" t="str">
        <f>CONCATENATE("&lt;/li&gt;&lt;li&gt;&lt;a href=|http://",V1191,"/nehemiah/13.htm","| ","title=|",V1190,"| target=|_top|&gt;",V1192,"&lt;/a&gt;")</f>
        <v>&lt;/li&gt;&lt;li&gt;&lt;a href=|http://study.interlinearbible.org/nehemiah/13.htm| title=|Hebrew Study Bible| target=|_top|&gt;Heb Study&lt;/a&gt;</v>
      </c>
      <c r="W426" t="str">
        <f t="shared" si="1700"/>
        <v>&lt;/li&gt;&lt;li&gt;&lt;a href=|http://apostolic.interlinearbible.org/nehemiah/13.htm| title=|Apostolic Bible Polyglot Interlinear| target=|_top|&gt;Polyglot&lt;/a&gt;</v>
      </c>
      <c r="X426" t="str">
        <f t="shared" si="1700"/>
        <v>&lt;/li&gt;&lt;li&gt;&lt;a href=|http://interlinearbible.org/nehemiah/13.htm| title=|Interlinear Bible| target=|_top|&gt;Interlin&lt;/a&gt;</v>
      </c>
      <c r="Y426" t="str">
        <f t="shared" ref="Y426" si="1701">CONCATENATE("&lt;/li&gt;&lt;li&gt;&lt;a href=|http://",Y1191,"/nehemiah/13.htm","| ","title=|",Y1190,"| target=|_top|&gt;",Y1192,"&lt;/a&gt;")</f>
        <v>&lt;/li&gt;&lt;li&gt;&lt;a href=|http://bibleoutline.org/nehemiah/13.htm| title=|Outline with People and Places List| target=|_top|&gt;Outline&lt;/a&gt;</v>
      </c>
      <c r="Z426" t="str">
        <f t="shared" si="1700"/>
        <v>&lt;/li&gt;&lt;li&gt;&lt;a href=|http://kjvs.scripturetext.com/nehemiah/13.htm| title=|King James Bible with Strong's Numbers| target=|_top|&gt;Strong's&lt;/a&gt;</v>
      </c>
      <c r="AA426" t="str">
        <f t="shared" si="1700"/>
        <v>&lt;/li&gt;&lt;li&gt;&lt;a href=|http://childrensbibleonline.com/nehemiah/13.htm| title=|The Children's Bible| target=|_top|&gt;Children's&lt;/a&gt;</v>
      </c>
      <c r="AB426" s="2" t="str">
        <f t="shared" si="1700"/>
        <v>&lt;/li&gt;&lt;li&gt;&lt;a href=|http://tsk.scripturetext.com/nehemiah/13.htm| title=|Treasury of Scripture Knowledge| target=|_top|&gt;TSK&lt;/a&gt;</v>
      </c>
      <c r="AC426" t="str">
        <f>CONCATENATE("&lt;a href=|http://",AC1191,"/nehemiah/13.htm","| ","title=|",AC1190,"| target=|_top|&gt;",AC1192,"&lt;/a&gt;")</f>
        <v>&lt;a href=|http://parallelbible.com/nehemiah/13.htm| title=|Parallel Chapters| target=|_top|&gt;PAR&lt;/a&gt;</v>
      </c>
      <c r="AD426" s="2" t="str">
        <f t="shared" ref="AD426:AK426" si="1702">CONCATENATE("&lt;/li&gt;&lt;li&gt;&lt;a href=|http://",AD1191,"/nehemiah/13.htm","| ","title=|",AD1190,"| target=|_top|&gt;",AD1192,"&lt;/a&gt;")</f>
        <v>&lt;/li&gt;&lt;li&gt;&lt;a href=|http://gsb.biblecommenter.com/nehemiah/13.htm| title=|Geneva Study Bible| target=|_top|&gt;GSB&lt;/a&gt;</v>
      </c>
      <c r="AE426" s="2" t="str">
        <f t="shared" si="1702"/>
        <v>&lt;/li&gt;&lt;li&gt;&lt;a href=|http://jfb.biblecommenter.com/nehemiah/13.htm| title=|Jamieson-Fausset-Brown Bible Commentary| target=|_top|&gt;JFB&lt;/a&gt;</v>
      </c>
      <c r="AF426" s="2" t="str">
        <f t="shared" si="1702"/>
        <v>&lt;/li&gt;&lt;li&gt;&lt;a href=|http://kjt.biblecommenter.com/nehemiah/13.htm| title=|King James Translators' Notes| target=|_top|&gt;KJT&lt;/a&gt;</v>
      </c>
      <c r="AG426" s="2" t="str">
        <f t="shared" si="1702"/>
        <v>&lt;/li&gt;&lt;li&gt;&lt;a href=|http://mhc.biblecommenter.com/nehemiah/13.htm| title=|Matthew Henry's Concise Commentary| target=|_top|&gt;MHC&lt;/a&gt;</v>
      </c>
      <c r="AH426" s="2" t="str">
        <f t="shared" si="1702"/>
        <v>&lt;/li&gt;&lt;li&gt;&lt;a href=|http://sco.biblecommenter.com/nehemiah/13.htm| title=|Scofield Reference Notes| target=|_top|&gt;SCO&lt;/a&gt;</v>
      </c>
      <c r="AI426" s="2" t="str">
        <f t="shared" si="1702"/>
        <v>&lt;/li&gt;&lt;li&gt;&lt;a href=|http://wes.biblecommenter.com/nehemiah/13.htm| title=|Wesley's Notes on the Bible| target=|_top|&gt;WES&lt;/a&gt;</v>
      </c>
      <c r="AJ426" t="str">
        <f t="shared" si="1702"/>
        <v>&lt;/li&gt;&lt;li&gt;&lt;a href=|http://worldebible.com/nehemiah/13.htm| title=|World English Bible| target=|_top|&gt;WEB&lt;/a&gt;</v>
      </c>
      <c r="AK426" t="str">
        <f t="shared" si="1702"/>
        <v>&lt;/li&gt;&lt;li&gt;&lt;a href=|http://yltbible.com/nehemiah/13.htm| title=|Young's Literal Translation| target=|_top|&gt;YLT&lt;/a&gt;</v>
      </c>
      <c r="AL426" t="str">
        <f>CONCATENATE("&lt;a href=|http://",AL1191,"/nehemiah/13.htm","| ","title=|",AL1190,"| target=|_top|&gt;",AL1192,"&lt;/a&gt;")</f>
        <v>&lt;a href=|http://kjv.us/nehemiah/13.htm| title=|American King James Version| target=|_top|&gt;AKJ&lt;/a&gt;</v>
      </c>
      <c r="AM426" t="str">
        <f t="shared" ref="AM426:AN426" si="1703">CONCATENATE("&lt;/li&gt;&lt;li&gt;&lt;a href=|http://",AM1191,"/nehemiah/13.htm","| ","title=|",AM1190,"| target=|_top|&gt;",AM1192,"&lt;/a&gt;")</f>
        <v>&lt;/li&gt;&lt;li&gt;&lt;a href=|http://basicenglishbible.com/nehemiah/13.htm| title=|Bible in Basic English| target=|_top|&gt;BBE&lt;/a&gt;</v>
      </c>
      <c r="AN426" t="str">
        <f t="shared" si="1703"/>
        <v>&lt;/li&gt;&lt;li&gt;&lt;a href=|http://darbybible.com/nehemiah/13.htm| title=|Darby Bible Translation| target=|_top|&gt;DBY&lt;/a&gt;</v>
      </c>
      <c r="AO42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2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2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26" t="str">
        <f>CONCATENATE("&lt;/li&gt;&lt;li&gt;&lt;a href=|http://",AR1191,"/nehemiah/13.htm","| ","title=|",AR1190,"| target=|_top|&gt;",AR1192,"&lt;/a&gt;")</f>
        <v>&lt;/li&gt;&lt;li&gt;&lt;a href=|http://websterbible.com/nehemiah/13.htm| title=|Webster's Bible Translation| target=|_top|&gt;WBS&lt;/a&gt;</v>
      </c>
      <c r="AS42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26" t="str">
        <f>CONCATENATE("&lt;/li&gt;&lt;li&gt;&lt;a href=|http://",AT1191,"/nehemiah/13-1.htm","| ","title=|",AT1190,"| target=|_top|&gt;",AT1192,"&lt;/a&gt;")</f>
        <v>&lt;/li&gt;&lt;li&gt;&lt;a href=|http://biblebrowser.com/nehemiah/13-1.htm| title=|Split View| target=|_top|&gt;Split&lt;/a&gt;</v>
      </c>
      <c r="AU426" s="2" t="s">
        <v>1276</v>
      </c>
      <c r="AV426" t="s">
        <v>64</v>
      </c>
    </row>
    <row r="427" spans="1:48">
      <c r="A427" t="s">
        <v>622</v>
      </c>
      <c r="B427" t="s">
        <v>665</v>
      </c>
      <c r="C427" t="s">
        <v>624</v>
      </c>
      <c r="D427" t="s">
        <v>1268</v>
      </c>
      <c r="E427" t="s">
        <v>1277</v>
      </c>
      <c r="F427" t="s">
        <v>1304</v>
      </c>
      <c r="G427" t="s">
        <v>1266</v>
      </c>
      <c r="H427" t="s">
        <v>1305</v>
      </c>
      <c r="I427" t="s">
        <v>1303</v>
      </c>
      <c r="J427" t="s">
        <v>1267</v>
      </c>
      <c r="K427" t="s">
        <v>1275</v>
      </c>
      <c r="L427" s="2" t="s">
        <v>1274</v>
      </c>
      <c r="M427" t="str">
        <f t="shared" ref="M427:AB427" si="1704">CONCATENATE("&lt;/li&gt;&lt;li&gt;&lt;a href=|http://",M1191,"/esther/1.htm","| ","title=|",M1190,"| target=|_top|&gt;",M1192,"&lt;/a&gt;")</f>
        <v>&lt;/li&gt;&lt;li&gt;&lt;a href=|http://niv.scripturetext.com/esther/1.htm| title=|New International Version| target=|_top|&gt;NIV&lt;/a&gt;</v>
      </c>
      <c r="N427" t="str">
        <f t="shared" si="1704"/>
        <v>&lt;/li&gt;&lt;li&gt;&lt;a href=|http://nlt.scripturetext.com/esther/1.htm| title=|New Living Translation| target=|_top|&gt;NLT&lt;/a&gt;</v>
      </c>
      <c r="O427" t="str">
        <f t="shared" si="1704"/>
        <v>&lt;/li&gt;&lt;li&gt;&lt;a href=|http://nasb.scripturetext.com/esther/1.htm| title=|New American Standard Bible| target=|_top|&gt;NAS&lt;/a&gt;</v>
      </c>
      <c r="P427" t="str">
        <f t="shared" si="1704"/>
        <v>&lt;/li&gt;&lt;li&gt;&lt;a href=|http://gwt.scripturetext.com/esther/1.htm| title=|God's Word Translation| target=|_top|&gt;GWT&lt;/a&gt;</v>
      </c>
      <c r="Q427" t="str">
        <f t="shared" si="1704"/>
        <v>&lt;/li&gt;&lt;li&gt;&lt;a href=|http://kingjbible.com/esther/1.htm| title=|King James Bible| target=|_top|&gt;KJV&lt;/a&gt;</v>
      </c>
      <c r="R427" t="str">
        <f t="shared" si="1704"/>
        <v>&lt;/li&gt;&lt;li&gt;&lt;a href=|http://asvbible.com/esther/1.htm| title=|American Standard Version| target=|_top|&gt;ASV&lt;/a&gt;</v>
      </c>
      <c r="S427" t="str">
        <f t="shared" si="1704"/>
        <v>&lt;/li&gt;&lt;li&gt;&lt;a href=|http://drb.scripturetext.com/esther/1.htm| title=|Douay-Rheims Bible| target=|_top|&gt;DRB&lt;/a&gt;</v>
      </c>
      <c r="T427" t="str">
        <f t="shared" si="1704"/>
        <v>&lt;/li&gt;&lt;li&gt;&lt;a href=|http://erv.scripturetext.com/esther/1.htm| title=|English Revised Version| target=|_top|&gt;ERV&lt;/a&gt;</v>
      </c>
      <c r="V427" t="str">
        <f>CONCATENATE("&lt;/li&gt;&lt;li&gt;&lt;a href=|http://",V1191,"/esther/1.htm","| ","title=|",V1190,"| target=|_top|&gt;",V1192,"&lt;/a&gt;")</f>
        <v>&lt;/li&gt;&lt;li&gt;&lt;a href=|http://study.interlinearbible.org/esther/1.htm| title=|Hebrew Study Bible| target=|_top|&gt;Heb Study&lt;/a&gt;</v>
      </c>
      <c r="W427" t="str">
        <f t="shared" si="1704"/>
        <v>&lt;/li&gt;&lt;li&gt;&lt;a href=|http://apostolic.interlinearbible.org/esther/1.htm| title=|Apostolic Bible Polyglot Interlinear| target=|_top|&gt;Polyglot&lt;/a&gt;</v>
      </c>
      <c r="X427" t="str">
        <f t="shared" si="1704"/>
        <v>&lt;/li&gt;&lt;li&gt;&lt;a href=|http://interlinearbible.org/esther/1.htm| title=|Interlinear Bible| target=|_top|&gt;Interlin&lt;/a&gt;</v>
      </c>
      <c r="Y427" t="str">
        <f t="shared" ref="Y427" si="1705">CONCATENATE("&lt;/li&gt;&lt;li&gt;&lt;a href=|http://",Y1191,"/esther/1.htm","| ","title=|",Y1190,"| target=|_top|&gt;",Y1192,"&lt;/a&gt;")</f>
        <v>&lt;/li&gt;&lt;li&gt;&lt;a href=|http://bibleoutline.org/esther/1.htm| title=|Outline with People and Places List| target=|_top|&gt;Outline&lt;/a&gt;</v>
      </c>
      <c r="Z427" t="str">
        <f t="shared" si="1704"/>
        <v>&lt;/li&gt;&lt;li&gt;&lt;a href=|http://kjvs.scripturetext.com/esther/1.htm| title=|King James Bible with Strong's Numbers| target=|_top|&gt;Strong's&lt;/a&gt;</v>
      </c>
      <c r="AA427" t="str">
        <f t="shared" si="1704"/>
        <v>&lt;/li&gt;&lt;li&gt;&lt;a href=|http://childrensbibleonline.com/esther/1.htm| title=|The Children's Bible| target=|_top|&gt;Children's&lt;/a&gt;</v>
      </c>
      <c r="AB427" s="2" t="str">
        <f t="shared" si="1704"/>
        <v>&lt;/li&gt;&lt;li&gt;&lt;a href=|http://tsk.scripturetext.com/esther/1.htm| title=|Treasury of Scripture Knowledge| target=|_top|&gt;TSK&lt;/a&gt;</v>
      </c>
      <c r="AC427" t="str">
        <f>CONCATENATE("&lt;a href=|http://",AC1191,"/esther/1.htm","| ","title=|",AC1190,"| target=|_top|&gt;",AC1192,"&lt;/a&gt;")</f>
        <v>&lt;a href=|http://parallelbible.com/esther/1.htm| title=|Parallel Chapters| target=|_top|&gt;PAR&lt;/a&gt;</v>
      </c>
      <c r="AD427" s="2" t="str">
        <f t="shared" ref="AD427:AK427" si="1706">CONCATENATE("&lt;/li&gt;&lt;li&gt;&lt;a href=|http://",AD1191,"/esther/1.htm","| ","title=|",AD1190,"| target=|_top|&gt;",AD1192,"&lt;/a&gt;")</f>
        <v>&lt;/li&gt;&lt;li&gt;&lt;a href=|http://gsb.biblecommenter.com/esther/1.htm| title=|Geneva Study Bible| target=|_top|&gt;GSB&lt;/a&gt;</v>
      </c>
      <c r="AE427" s="2" t="str">
        <f t="shared" si="1706"/>
        <v>&lt;/li&gt;&lt;li&gt;&lt;a href=|http://jfb.biblecommenter.com/esther/1.htm| title=|Jamieson-Fausset-Brown Bible Commentary| target=|_top|&gt;JFB&lt;/a&gt;</v>
      </c>
      <c r="AF427" s="2" t="str">
        <f t="shared" si="1706"/>
        <v>&lt;/li&gt;&lt;li&gt;&lt;a href=|http://kjt.biblecommenter.com/esther/1.htm| title=|King James Translators' Notes| target=|_top|&gt;KJT&lt;/a&gt;</v>
      </c>
      <c r="AG427" s="2" t="str">
        <f t="shared" si="1706"/>
        <v>&lt;/li&gt;&lt;li&gt;&lt;a href=|http://mhc.biblecommenter.com/esther/1.htm| title=|Matthew Henry's Concise Commentary| target=|_top|&gt;MHC&lt;/a&gt;</v>
      </c>
      <c r="AH427" s="2" t="str">
        <f t="shared" si="1706"/>
        <v>&lt;/li&gt;&lt;li&gt;&lt;a href=|http://sco.biblecommenter.com/esther/1.htm| title=|Scofield Reference Notes| target=|_top|&gt;SCO&lt;/a&gt;</v>
      </c>
      <c r="AI427" s="2" t="str">
        <f t="shared" si="1706"/>
        <v>&lt;/li&gt;&lt;li&gt;&lt;a href=|http://wes.biblecommenter.com/esther/1.htm| title=|Wesley's Notes on the Bible| target=|_top|&gt;WES&lt;/a&gt;</v>
      </c>
      <c r="AJ427" t="str">
        <f t="shared" si="1706"/>
        <v>&lt;/li&gt;&lt;li&gt;&lt;a href=|http://worldebible.com/esther/1.htm| title=|World English Bible| target=|_top|&gt;WEB&lt;/a&gt;</v>
      </c>
      <c r="AK427" t="str">
        <f t="shared" si="1706"/>
        <v>&lt;/li&gt;&lt;li&gt;&lt;a href=|http://yltbible.com/esther/1.htm| title=|Young's Literal Translation| target=|_top|&gt;YLT&lt;/a&gt;</v>
      </c>
      <c r="AL427" t="str">
        <f>CONCATENATE("&lt;a href=|http://",AL1191,"/esther/1.htm","| ","title=|",AL1190,"| target=|_top|&gt;",AL1192,"&lt;/a&gt;")</f>
        <v>&lt;a href=|http://kjv.us/esther/1.htm| title=|American King James Version| target=|_top|&gt;AKJ&lt;/a&gt;</v>
      </c>
      <c r="AM427" t="str">
        <f t="shared" ref="AM427:AN427" si="1707">CONCATENATE("&lt;/li&gt;&lt;li&gt;&lt;a href=|http://",AM1191,"/esther/1.htm","| ","title=|",AM1190,"| target=|_top|&gt;",AM1192,"&lt;/a&gt;")</f>
        <v>&lt;/li&gt;&lt;li&gt;&lt;a href=|http://basicenglishbible.com/esther/1.htm| title=|Bible in Basic English| target=|_top|&gt;BBE&lt;/a&gt;</v>
      </c>
      <c r="AN427" t="str">
        <f t="shared" si="1707"/>
        <v>&lt;/li&gt;&lt;li&gt;&lt;a href=|http://darbybible.com/esther/1.htm| title=|Darby Bible Translation| target=|_top|&gt;DBY&lt;/a&gt;</v>
      </c>
      <c r="AO42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2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2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27" t="str">
        <f>CONCATENATE("&lt;/li&gt;&lt;li&gt;&lt;a href=|http://",AR1191,"/esther/1.htm","| ","title=|",AR1190,"| target=|_top|&gt;",AR1192,"&lt;/a&gt;")</f>
        <v>&lt;/li&gt;&lt;li&gt;&lt;a href=|http://websterbible.com/esther/1.htm| title=|Webster's Bible Translation| target=|_top|&gt;WBS&lt;/a&gt;</v>
      </c>
      <c r="AS42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27" t="str">
        <f>CONCATENATE("&lt;/li&gt;&lt;li&gt;&lt;a href=|http://",AT1191,"/esther/1-1.htm","| ","title=|",AT1190,"| target=|_top|&gt;",AT1192,"&lt;/a&gt;")</f>
        <v>&lt;/li&gt;&lt;li&gt;&lt;a href=|http://biblebrowser.com/esther/1-1.htm| title=|Split View| target=|_top|&gt;Split&lt;/a&gt;</v>
      </c>
      <c r="AU427" s="2" t="s">
        <v>1276</v>
      </c>
      <c r="AV427" t="s">
        <v>64</v>
      </c>
    </row>
    <row r="428" spans="1:48">
      <c r="A428" t="s">
        <v>622</v>
      </c>
      <c r="B428" t="s">
        <v>666</v>
      </c>
      <c r="C428" t="s">
        <v>624</v>
      </c>
      <c r="D428" t="s">
        <v>1268</v>
      </c>
      <c r="E428" t="s">
        <v>1277</v>
      </c>
      <c r="F428" t="s">
        <v>1304</v>
      </c>
      <c r="G428" t="s">
        <v>1266</v>
      </c>
      <c r="H428" t="s">
        <v>1305</v>
      </c>
      <c r="I428" t="s">
        <v>1303</v>
      </c>
      <c r="J428" t="s">
        <v>1267</v>
      </c>
      <c r="K428" t="s">
        <v>1275</v>
      </c>
      <c r="L428" s="2" t="s">
        <v>1274</v>
      </c>
      <c r="M428" t="str">
        <f t="shared" ref="M428:AB428" si="1708">CONCATENATE("&lt;/li&gt;&lt;li&gt;&lt;a href=|http://",M1191,"/esther/2.htm","| ","title=|",M1190,"| target=|_top|&gt;",M1192,"&lt;/a&gt;")</f>
        <v>&lt;/li&gt;&lt;li&gt;&lt;a href=|http://niv.scripturetext.com/esther/2.htm| title=|New International Version| target=|_top|&gt;NIV&lt;/a&gt;</v>
      </c>
      <c r="N428" t="str">
        <f t="shared" si="1708"/>
        <v>&lt;/li&gt;&lt;li&gt;&lt;a href=|http://nlt.scripturetext.com/esther/2.htm| title=|New Living Translation| target=|_top|&gt;NLT&lt;/a&gt;</v>
      </c>
      <c r="O428" t="str">
        <f t="shared" si="1708"/>
        <v>&lt;/li&gt;&lt;li&gt;&lt;a href=|http://nasb.scripturetext.com/esther/2.htm| title=|New American Standard Bible| target=|_top|&gt;NAS&lt;/a&gt;</v>
      </c>
      <c r="P428" t="str">
        <f t="shared" si="1708"/>
        <v>&lt;/li&gt;&lt;li&gt;&lt;a href=|http://gwt.scripturetext.com/esther/2.htm| title=|God's Word Translation| target=|_top|&gt;GWT&lt;/a&gt;</v>
      </c>
      <c r="Q428" t="str">
        <f t="shared" si="1708"/>
        <v>&lt;/li&gt;&lt;li&gt;&lt;a href=|http://kingjbible.com/esther/2.htm| title=|King James Bible| target=|_top|&gt;KJV&lt;/a&gt;</v>
      </c>
      <c r="R428" t="str">
        <f t="shared" si="1708"/>
        <v>&lt;/li&gt;&lt;li&gt;&lt;a href=|http://asvbible.com/esther/2.htm| title=|American Standard Version| target=|_top|&gt;ASV&lt;/a&gt;</v>
      </c>
      <c r="S428" t="str">
        <f t="shared" si="1708"/>
        <v>&lt;/li&gt;&lt;li&gt;&lt;a href=|http://drb.scripturetext.com/esther/2.htm| title=|Douay-Rheims Bible| target=|_top|&gt;DRB&lt;/a&gt;</v>
      </c>
      <c r="T428" t="str">
        <f t="shared" si="1708"/>
        <v>&lt;/li&gt;&lt;li&gt;&lt;a href=|http://erv.scripturetext.com/esther/2.htm| title=|English Revised Version| target=|_top|&gt;ERV&lt;/a&gt;</v>
      </c>
      <c r="V428" t="str">
        <f>CONCATENATE("&lt;/li&gt;&lt;li&gt;&lt;a href=|http://",V1191,"/esther/2.htm","| ","title=|",V1190,"| target=|_top|&gt;",V1192,"&lt;/a&gt;")</f>
        <v>&lt;/li&gt;&lt;li&gt;&lt;a href=|http://study.interlinearbible.org/esther/2.htm| title=|Hebrew Study Bible| target=|_top|&gt;Heb Study&lt;/a&gt;</v>
      </c>
      <c r="W428" t="str">
        <f t="shared" si="1708"/>
        <v>&lt;/li&gt;&lt;li&gt;&lt;a href=|http://apostolic.interlinearbible.org/esther/2.htm| title=|Apostolic Bible Polyglot Interlinear| target=|_top|&gt;Polyglot&lt;/a&gt;</v>
      </c>
      <c r="X428" t="str">
        <f t="shared" si="1708"/>
        <v>&lt;/li&gt;&lt;li&gt;&lt;a href=|http://interlinearbible.org/esther/2.htm| title=|Interlinear Bible| target=|_top|&gt;Interlin&lt;/a&gt;</v>
      </c>
      <c r="Y428" t="str">
        <f t="shared" ref="Y428" si="1709">CONCATENATE("&lt;/li&gt;&lt;li&gt;&lt;a href=|http://",Y1191,"/esther/2.htm","| ","title=|",Y1190,"| target=|_top|&gt;",Y1192,"&lt;/a&gt;")</f>
        <v>&lt;/li&gt;&lt;li&gt;&lt;a href=|http://bibleoutline.org/esther/2.htm| title=|Outline with People and Places List| target=|_top|&gt;Outline&lt;/a&gt;</v>
      </c>
      <c r="Z428" t="str">
        <f t="shared" si="1708"/>
        <v>&lt;/li&gt;&lt;li&gt;&lt;a href=|http://kjvs.scripturetext.com/esther/2.htm| title=|King James Bible with Strong's Numbers| target=|_top|&gt;Strong's&lt;/a&gt;</v>
      </c>
      <c r="AA428" t="str">
        <f t="shared" si="1708"/>
        <v>&lt;/li&gt;&lt;li&gt;&lt;a href=|http://childrensbibleonline.com/esther/2.htm| title=|The Children's Bible| target=|_top|&gt;Children's&lt;/a&gt;</v>
      </c>
      <c r="AB428" s="2" t="str">
        <f t="shared" si="1708"/>
        <v>&lt;/li&gt;&lt;li&gt;&lt;a href=|http://tsk.scripturetext.com/esther/2.htm| title=|Treasury of Scripture Knowledge| target=|_top|&gt;TSK&lt;/a&gt;</v>
      </c>
      <c r="AC428" t="str">
        <f>CONCATENATE("&lt;a href=|http://",AC1191,"/esther/2.htm","| ","title=|",AC1190,"| target=|_top|&gt;",AC1192,"&lt;/a&gt;")</f>
        <v>&lt;a href=|http://parallelbible.com/esther/2.htm| title=|Parallel Chapters| target=|_top|&gt;PAR&lt;/a&gt;</v>
      </c>
      <c r="AD428" s="2" t="str">
        <f t="shared" ref="AD428:AK428" si="1710">CONCATENATE("&lt;/li&gt;&lt;li&gt;&lt;a href=|http://",AD1191,"/esther/2.htm","| ","title=|",AD1190,"| target=|_top|&gt;",AD1192,"&lt;/a&gt;")</f>
        <v>&lt;/li&gt;&lt;li&gt;&lt;a href=|http://gsb.biblecommenter.com/esther/2.htm| title=|Geneva Study Bible| target=|_top|&gt;GSB&lt;/a&gt;</v>
      </c>
      <c r="AE428" s="2" t="str">
        <f t="shared" si="1710"/>
        <v>&lt;/li&gt;&lt;li&gt;&lt;a href=|http://jfb.biblecommenter.com/esther/2.htm| title=|Jamieson-Fausset-Brown Bible Commentary| target=|_top|&gt;JFB&lt;/a&gt;</v>
      </c>
      <c r="AF428" s="2" t="str">
        <f t="shared" si="1710"/>
        <v>&lt;/li&gt;&lt;li&gt;&lt;a href=|http://kjt.biblecommenter.com/esther/2.htm| title=|King James Translators' Notes| target=|_top|&gt;KJT&lt;/a&gt;</v>
      </c>
      <c r="AG428" s="2" t="str">
        <f t="shared" si="1710"/>
        <v>&lt;/li&gt;&lt;li&gt;&lt;a href=|http://mhc.biblecommenter.com/esther/2.htm| title=|Matthew Henry's Concise Commentary| target=|_top|&gt;MHC&lt;/a&gt;</v>
      </c>
      <c r="AH428" s="2" t="str">
        <f t="shared" si="1710"/>
        <v>&lt;/li&gt;&lt;li&gt;&lt;a href=|http://sco.biblecommenter.com/esther/2.htm| title=|Scofield Reference Notes| target=|_top|&gt;SCO&lt;/a&gt;</v>
      </c>
      <c r="AI428" s="2" t="str">
        <f t="shared" si="1710"/>
        <v>&lt;/li&gt;&lt;li&gt;&lt;a href=|http://wes.biblecommenter.com/esther/2.htm| title=|Wesley's Notes on the Bible| target=|_top|&gt;WES&lt;/a&gt;</v>
      </c>
      <c r="AJ428" t="str">
        <f t="shared" si="1710"/>
        <v>&lt;/li&gt;&lt;li&gt;&lt;a href=|http://worldebible.com/esther/2.htm| title=|World English Bible| target=|_top|&gt;WEB&lt;/a&gt;</v>
      </c>
      <c r="AK428" t="str">
        <f t="shared" si="1710"/>
        <v>&lt;/li&gt;&lt;li&gt;&lt;a href=|http://yltbible.com/esther/2.htm| title=|Young's Literal Translation| target=|_top|&gt;YLT&lt;/a&gt;</v>
      </c>
      <c r="AL428" t="str">
        <f>CONCATENATE("&lt;a href=|http://",AL1191,"/esther/2.htm","| ","title=|",AL1190,"| target=|_top|&gt;",AL1192,"&lt;/a&gt;")</f>
        <v>&lt;a href=|http://kjv.us/esther/2.htm| title=|American King James Version| target=|_top|&gt;AKJ&lt;/a&gt;</v>
      </c>
      <c r="AM428" t="str">
        <f t="shared" ref="AM428:AN428" si="1711">CONCATENATE("&lt;/li&gt;&lt;li&gt;&lt;a href=|http://",AM1191,"/esther/2.htm","| ","title=|",AM1190,"| target=|_top|&gt;",AM1192,"&lt;/a&gt;")</f>
        <v>&lt;/li&gt;&lt;li&gt;&lt;a href=|http://basicenglishbible.com/esther/2.htm| title=|Bible in Basic English| target=|_top|&gt;BBE&lt;/a&gt;</v>
      </c>
      <c r="AN428" t="str">
        <f t="shared" si="1711"/>
        <v>&lt;/li&gt;&lt;li&gt;&lt;a href=|http://darbybible.com/esther/2.htm| title=|Darby Bible Translation| target=|_top|&gt;DBY&lt;/a&gt;</v>
      </c>
      <c r="AO42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2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2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28" t="str">
        <f>CONCATENATE("&lt;/li&gt;&lt;li&gt;&lt;a href=|http://",AR1191,"/esther/2.htm","| ","title=|",AR1190,"| target=|_top|&gt;",AR1192,"&lt;/a&gt;")</f>
        <v>&lt;/li&gt;&lt;li&gt;&lt;a href=|http://websterbible.com/esther/2.htm| title=|Webster's Bible Translation| target=|_top|&gt;WBS&lt;/a&gt;</v>
      </c>
      <c r="AS42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28" t="str">
        <f>CONCATENATE("&lt;/li&gt;&lt;li&gt;&lt;a href=|http://",AT1191,"/esther/2-1.htm","| ","title=|",AT1190,"| target=|_top|&gt;",AT1192,"&lt;/a&gt;")</f>
        <v>&lt;/li&gt;&lt;li&gt;&lt;a href=|http://biblebrowser.com/esther/2-1.htm| title=|Split View| target=|_top|&gt;Split&lt;/a&gt;</v>
      </c>
      <c r="AU428" s="2" t="s">
        <v>1276</v>
      </c>
      <c r="AV428" t="s">
        <v>64</v>
      </c>
    </row>
    <row r="429" spans="1:48">
      <c r="A429" t="s">
        <v>622</v>
      </c>
      <c r="B429" t="s">
        <v>667</v>
      </c>
      <c r="C429" t="s">
        <v>624</v>
      </c>
      <c r="D429" t="s">
        <v>1268</v>
      </c>
      <c r="E429" t="s">
        <v>1277</v>
      </c>
      <c r="F429" t="s">
        <v>1304</v>
      </c>
      <c r="G429" t="s">
        <v>1266</v>
      </c>
      <c r="H429" t="s">
        <v>1305</v>
      </c>
      <c r="I429" t="s">
        <v>1303</v>
      </c>
      <c r="J429" t="s">
        <v>1267</v>
      </c>
      <c r="K429" t="s">
        <v>1275</v>
      </c>
      <c r="L429" s="2" t="s">
        <v>1274</v>
      </c>
      <c r="M429" t="str">
        <f t="shared" ref="M429:AB429" si="1712">CONCATENATE("&lt;/li&gt;&lt;li&gt;&lt;a href=|http://",M1191,"/esther/3.htm","| ","title=|",M1190,"| target=|_top|&gt;",M1192,"&lt;/a&gt;")</f>
        <v>&lt;/li&gt;&lt;li&gt;&lt;a href=|http://niv.scripturetext.com/esther/3.htm| title=|New International Version| target=|_top|&gt;NIV&lt;/a&gt;</v>
      </c>
      <c r="N429" t="str">
        <f t="shared" si="1712"/>
        <v>&lt;/li&gt;&lt;li&gt;&lt;a href=|http://nlt.scripturetext.com/esther/3.htm| title=|New Living Translation| target=|_top|&gt;NLT&lt;/a&gt;</v>
      </c>
      <c r="O429" t="str">
        <f t="shared" si="1712"/>
        <v>&lt;/li&gt;&lt;li&gt;&lt;a href=|http://nasb.scripturetext.com/esther/3.htm| title=|New American Standard Bible| target=|_top|&gt;NAS&lt;/a&gt;</v>
      </c>
      <c r="P429" t="str">
        <f t="shared" si="1712"/>
        <v>&lt;/li&gt;&lt;li&gt;&lt;a href=|http://gwt.scripturetext.com/esther/3.htm| title=|God's Word Translation| target=|_top|&gt;GWT&lt;/a&gt;</v>
      </c>
      <c r="Q429" t="str">
        <f t="shared" si="1712"/>
        <v>&lt;/li&gt;&lt;li&gt;&lt;a href=|http://kingjbible.com/esther/3.htm| title=|King James Bible| target=|_top|&gt;KJV&lt;/a&gt;</v>
      </c>
      <c r="R429" t="str">
        <f t="shared" si="1712"/>
        <v>&lt;/li&gt;&lt;li&gt;&lt;a href=|http://asvbible.com/esther/3.htm| title=|American Standard Version| target=|_top|&gt;ASV&lt;/a&gt;</v>
      </c>
      <c r="S429" t="str">
        <f t="shared" si="1712"/>
        <v>&lt;/li&gt;&lt;li&gt;&lt;a href=|http://drb.scripturetext.com/esther/3.htm| title=|Douay-Rheims Bible| target=|_top|&gt;DRB&lt;/a&gt;</v>
      </c>
      <c r="T429" t="str">
        <f t="shared" si="1712"/>
        <v>&lt;/li&gt;&lt;li&gt;&lt;a href=|http://erv.scripturetext.com/esther/3.htm| title=|English Revised Version| target=|_top|&gt;ERV&lt;/a&gt;</v>
      </c>
      <c r="V429" t="str">
        <f>CONCATENATE("&lt;/li&gt;&lt;li&gt;&lt;a href=|http://",V1191,"/esther/3.htm","| ","title=|",V1190,"| target=|_top|&gt;",V1192,"&lt;/a&gt;")</f>
        <v>&lt;/li&gt;&lt;li&gt;&lt;a href=|http://study.interlinearbible.org/esther/3.htm| title=|Hebrew Study Bible| target=|_top|&gt;Heb Study&lt;/a&gt;</v>
      </c>
      <c r="W429" t="str">
        <f t="shared" si="1712"/>
        <v>&lt;/li&gt;&lt;li&gt;&lt;a href=|http://apostolic.interlinearbible.org/esther/3.htm| title=|Apostolic Bible Polyglot Interlinear| target=|_top|&gt;Polyglot&lt;/a&gt;</v>
      </c>
      <c r="X429" t="str">
        <f t="shared" si="1712"/>
        <v>&lt;/li&gt;&lt;li&gt;&lt;a href=|http://interlinearbible.org/esther/3.htm| title=|Interlinear Bible| target=|_top|&gt;Interlin&lt;/a&gt;</v>
      </c>
      <c r="Y429" t="str">
        <f t="shared" ref="Y429" si="1713">CONCATENATE("&lt;/li&gt;&lt;li&gt;&lt;a href=|http://",Y1191,"/esther/3.htm","| ","title=|",Y1190,"| target=|_top|&gt;",Y1192,"&lt;/a&gt;")</f>
        <v>&lt;/li&gt;&lt;li&gt;&lt;a href=|http://bibleoutline.org/esther/3.htm| title=|Outline with People and Places List| target=|_top|&gt;Outline&lt;/a&gt;</v>
      </c>
      <c r="Z429" t="str">
        <f t="shared" si="1712"/>
        <v>&lt;/li&gt;&lt;li&gt;&lt;a href=|http://kjvs.scripturetext.com/esther/3.htm| title=|King James Bible with Strong's Numbers| target=|_top|&gt;Strong's&lt;/a&gt;</v>
      </c>
      <c r="AA429" t="str">
        <f t="shared" si="1712"/>
        <v>&lt;/li&gt;&lt;li&gt;&lt;a href=|http://childrensbibleonline.com/esther/3.htm| title=|The Children's Bible| target=|_top|&gt;Children's&lt;/a&gt;</v>
      </c>
      <c r="AB429" s="2" t="str">
        <f t="shared" si="1712"/>
        <v>&lt;/li&gt;&lt;li&gt;&lt;a href=|http://tsk.scripturetext.com/esther/3.htm| title=|Treasury of Scripture Knowledge| target=|_top|&gt;TSK&lt;/a&gt;</v>
      </c>
      <c r="AC429" t="str">
        <f>CONCATENATE("&lt;a href=|http://",AC1191,"/esther/3.htm","| ","title=|",AC1190,"| target=|_top|&gt;",AC1192,"&lt;/a&gt;")</f>
        <v>&lt;a href=|http://parallelbible.com/esther/3.htm| title=|Parallel Chapters| target=|_top|&gt;PAR&lt;/a&gt;</v>
      </c>
      <c r="AD429" s="2" t="str">
        <f t="shared" ref="AD429:AK429" si="1714">CONCATENATE("&lt;/li&gt;&lt;li&gt;&lt;a href=|http://",AD1191,"/esther/3.htm","| ","title=|",AD1190,"| target=|_top|&gt;",AD1192,"&lt;/a&gt;")</f>
        <v>&lt;/li&gt;&lt;li&gt;&lt;a href=|http://gsb.biblecommenter.com/esther/3.htm| title=|Geneva Study Bible| target=|_top|&gt;GSB&lt;/a&gt;</v>
      </c>
      <c r="AE429" s="2" t="str">
        <f t="shared" si="1714"/>
        <v>&lt;/li&gt;&lt;li&gt;&lt;a href=|http://jfb.biblecommenter.com/esther/3.htm| title=|Jamieson-Fausset-Brown Bible Commentary| target=|_top|&gt;JFB&lt;/a&gt;</v>
      </c>
      <c r="AF429" s="2" t="str">
        <f t="shared" si="1714"/>
        <v>&lt;/li&gt;&lt;li&gt;&lt;a href=|http://kjt.biblecommenter.com/esther/3.htm| title=|King James Translators' Notes| target=|_top|&gt;KJT&lt;/a&gt;</v>
      </c>
      <c r="AG429" s="2" t="str">
        <f t="shared" si="1714"/>
        <v>&lt;/li&gt;&lt;li&gt;&lt;a href=|http://mhc.biblecommenter.com/esther/3.htm| title=|Matthew Henry's Concise Commentary| target=|_top|&gt;MHC&lt;/a&gt;</v>
      </c>
      <c r="AH429" s="2" t="str">
        <f t="shared" si="1714"/>
        <v>&lt;/li&gt;&lt;li&gt;&lt;a href=|http://sco.biblecommenter.com/esther/3.htm| title=|Scofield Reference Notes| target=|_top|&gt;SCO&lt;/a&gt;</v>
      </c>
      <c r="AI429" s="2" t="str">
        <f t="shared" si="1714"/>
        <v>&lt;/li&gt;&lt;li&gt;&lt;a href=|http://wes.biblecommenter.com/esther/3.htm| title=|Wesley's Notes on the Bible| target=|_top|&gt;WES&lt;/a&gt;</v>
      </c>
      <c r="AJ429" t="str">
        <f t="shared" si="1714"/>
        <v>&lt;/li&gt;&lt;li&gt;&lt;a href=|http://worldebible.com/esther/3.htm| title=|World English Bible| target=|_top|&gt;WEB&lt;/a&gt;</v>
      </c>
      <c r="AK429" t="str">
        <f t="shared" si="1714"/>
        <v>&lt;/li&gt;&lt;li&gt;&lt;a href=|http://yltbible.com/esther/3.htm| title=|Young's Literal Translation| target=|_top|&gt;YLT&lt;/a&gt;</v>
      </c>
      <c r="AL429" t="str">
        <f>CONCATENATE("&lt;a href=|http://",AL1191,"/esther/3.htm","| ","title=|",AL1190,"| target=|_top|&gt;",AL1192,"&lt;/a&gt;")</f>
        <v>&lt;a href=|http://kjv.us/esther/3.htm| title=|American King James Version| target=|_top|&gt;AKJ&lt;/a&gt;</v>
      </c>
      <c r="AM429" t="str">
        <f t="shared" ref="AM429:AN429" si="1715">CONCATENATE("&lt;/li&gt;&lt;li&gt;&lt;a href=|http://",AM1191,"/esther/3.htm","| ","title=|",AM1190,"| target=|_top|&gt;",AM1192,"&lt;/a&gt;")</f>
        <v>&lt;/li&gt;&lt;li&gt;&lt;a href=|http://basicenglishbible.com/esther/3.htm| title=|Bible in Basic English| target=|_top|&gt;BBE&lt;/a&gt;</v>
      </c>
      <c r="AN429" t="str">
        <f t="shared" si="1715"/>
        <v>&lt;/li&gt;&lt;li&gt;&lt;a href=|http://darbybible.com/esther/3.htm| title=|Darby Bible Translation| target=|_top|&gt;DBY&lt;/a&gt;</v>
      </c>
      <c r="AO42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2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2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29" t="str">
        <f>CONCATENATE("&lt;/li&gt;&lt;li&gt;&lt;a href=|http://",AR1191,"/esther/3.htm","| ","title=|",AR1190,"| target=|_top|&gt;",AR1192,"&lt;/a&gt;")</f>
        <v>&lt;/li&gt;&lt;li&gt;&lt;a href=|http://websterbible.com/esther/3.htm| title=|Webster's Bible Translation| target=|_top|&gt;WBS&lt;/a&gt;</v>
      </c>
      <c r="AS42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29" t="str">
        <f>CONCATENATE("&lt;/li&gt;&lt;li&gt;&lt;a href=|http://",AT1191,"/esther/3-1.htm","| ","title=|",AT1190,"| target=|_top|&gt;",AT1192,"&lt;/a&gt;")</f>
        <v>&lt;/li&gt;&lt;li&gt;&lt;a href=|http://biblebrowser.com/esther/3-1.htm| title=|Split View| target=|_top|&gt;Split&lt;/a&gt;</v>
      </c>
      <c r="AU429" s="2" t="s">
        <v>1276</v>
      </c>
      <c r="AV429" t="s">
        <v>64</v>
      </c>
    </row>
    <row r="430" spans="1:48">
      <c r="A430" t="s">
        <v>622</v>
      </c>
      <c r="B430" t="s">
        <v>668</v>
      </c>
      <c r="C430" t="s">
        <v>624</v>
      </c>
      <c r="D430" t="s">
        <v>1268</v>
      </c>
      <c r="E430" t="s">
        <v>1277</v>
      </c>
      <c r="F430" t="s">
        <v>1304</v>
      </c>
      <c r="G430" t="s">
        <v>1266</v>
      </c>
      <c r="H430" t="s">
        <v>1305</v>
      </c>
      <c r="I430" t="s">
        <v>1303</v>
      </c>
      <c r="J430" t="s">
        <v>1267</v>
      </c>
      <c r="K430" t="s">
        <v>1275</v>
      </c>
      <c r="L430" s="2" t="s">
        <v>1274</v>
      </c>
      <c r="M430" t="str">
        <f t="shared" ref="M430:AB430" si="1716">CONCATENATE("&lt;/li&gt;&lt;li&gt;&lt;a href=|http://",M1191,"/esther/4.htm","| ","title=|",M1190,"| target=|_top|&gt;",M1192,"&lt;/a&gt;")</f>
        <v>&lt;/li&gt;&lt;li&gt;&lt;a href=|http://niv.scripturetext.com/esther/4.htm| title=|New International Version| target=|_top|&gt;NIV&lt;/a&gt;</v>
      </c>
      <c r="N430" t="str">
        <f t="shared" si="1716"/>
        <v>&lt;/li&gt;&lt;li&gt;&lt;a href=|http://nlt.scripturetext.com/esther/4.htm| title=|New Living Translation| target=|_top|&gt;NLT&lt;/a&gt;</v>
      </c>
      <c r="O430" t="str">
        <f t="shared" si="1716"/>
        <v>&lt;/li&gt;&lt;li&gt;&lt;a href=|http://nasb.scripturetext.com/esther/4.htm| title=|New American Standard Bible| target=|_top|&gt;NAS&lt;/a&gt;</v>
      </c>
      <c r="P430" t="str">
        <f t="shared" si="1716"/>
        <v>&lt;/li&gt;&lt;li&gt;&lt;a href=|http://gwt.scripturetext.com/esther/4.htm| title=|God's Word Translation| target=|_top|&gt;GWT&lt;/a&gt;</v>
      </c>
      <c r="Q430" t="str">
        <f t="shared" si="1716"/>
        <v>&lt;/li&gt;&lt;li&gt;&lt;a href=|http://kingjbible.com/esther/4.htm| title=|King James Bible| target=|_top|&gt;KJV&lt;/a&gt;</v>
      </c>
      <c r="R430" t="str">
        <f t="shared" si="1716"/>
        <v>&lt;/li&gt;&lt;li&gt;&lt;a href=|http://asvbible.com/esther/4.htm| title=|American Standard Version| target=|_top|&gt;ASV&lt;/a&gt;</v>
      </c>
      <c r="S430" t="str">
        <f t="shared" si="1716"/>
        <v>&lt;/li&gt;&lt;li&gt;&lt;a href=|http://drb.scripturetext.com/esther/4.htm| title=|Douay-Rheims Bible| target=|_top|&gt;DRB&lt;/a&gt;</v>
      </c>
      <c r="T430" t="str">
        <f t="shared" si="1716"/>
        <v>&lt;/li&gt;&lt;li&gt;&lt;a href=|http://erv.scripturetext.com/esther/4.htm| title=|English Revised Version| target=|_top|&gt;ERV&lt;/a&gt;</v>
      </c>
      <c r="V430" t="str">
        <f>CONCATENATE("&lt;/li&gt;&lt;li&gt;&lt;a href=|http://",V1191,"/esther/4.htm","| ","title=|",V1190,"| target=|_top|&gt;",V1192,"&lt;/a&gt;")</f>
        <v>&lt;/li&gt;&lt;li&gt;&lt;a href=|http://study.interlinearbible.org/esther/4.htm| title=|Hebrew Study Bible| target=|_top|&gt;Heb Study&lt;/a&gt;</v>
      </c>
      <c r="W430" t="str">
        <f t="shared" si="1716"/>
        <v>&lt;/li&gt;&lt;li&gt;&lt;a href=|http://apostolic.interlinearbible.org/esther/4.htm| title=|Apostolic Bible Polyglot Interlinear| target=|_top|&gt;Polyglot&lt;/a&gt;</v>
      </c>
      <c r="X430" t="str">
        <f t="shared" si="1716"/>
        <v>&lt;/li&gt;&lt;li&gt;&lt;a href=|http://interlinearbible.org/esther/4.htm| title=|Interlinear Bible| target=|_top|&gt;Interlin&lt;/a&gt;</v>
      </c>
      <c r="Y430" t="str">
        <f t="shared" ref="Y430" si="1717">CONCATENATE("&lt;/li&gt;&lt;li&gt;&lt;a href=|http://",Y1191,"/esther/4.htm","| ","title=|",Y1190,"| target=|_top|&gt;",Y1192,"&lt;/a&gt;")</f>
        <v>&lt;/li&gt;&lt;li&gt;&lt;a href=|http://bibleoutline.org/esther/4.htm| title=|Outline with People and Places List| target=|_top|&gt;Outline&lt;/a&gt;</v>
      </c>
      <c r="Z430" t="str">
        <f t="shared" si="1716"/>
        <v>&lt;/li&gt;&lt;li&gt;&lt;a href=|http://kjvs.scripturetext.com/esther/4.htm| title=|King James Bible with Strong's Numbers| target=|_top|&gt;Strong's&lt;/a&gt;</v>
      </c>
      <c r="AA430" t="str">
        <f t="shared" si="1716"/>
        <v>&lt;/li&gt;&lt;li&gt;&lt;a href=|http://childrensbibleonline.com/esther/4.htm| title=|The Children's Bible| target=|_top|&gt;Children's&lt;/a&gt;</v>
      </c>
      <c r="AB430" s="2" t="str">
        <f t="shared" si="1716"/>
        <v>&lt;/li&gt;&lt;li&gt;&lt;a href=|http://tsk.scripturetext.com/esther/4.htm| title=|Treasury of Scripture Knowledge| target=|_top|&gt;TSK&lt;/a&gt;</v>
      </c>
      <c r="AC430" t="str">
        <f>CONCATENATE("&lt;a href=|http://",AC1191,"/esther/4.htm","| ","title=|",AC1190,"| target=|_top|&gt;",AC1192,"&lt;/a&gt;")</f>
        <v>&lt;a href=|http://parallelbible.com/esther/4.htm| title=|Parallel Chapters| target=|_top|&gt;PAR&lt;/a&gt;</v>
      </c>
      <c r="AD430" s="2" t="str">
        <f t="shared" ref="AD430:AK430" si="1718">CONCATENATE("&lt;/li&gt;&lt;li&gt;&lt;a href=|http://",AD1191,"/esther/4.htm","| ","title=|",AD1190,"| target=|_top|&gt;",AD1192,"&lt;/a&gt;")</f>
        <v>&lt;/li&gt;&lt;li&gt;&lt;a href=|http://gsb.biblecommenter.com/esther/4.htm| title=|Geneva Study Bible| target=|_top|&gt;GSB&lt;/a&gt;</v>
      </c>
      <c r="AE430" s="2" t="str">
        <f t="shared" si="1718"/>
        <v>&lt;/li&gt;&lt;li&gt;&lt;a href=|http://jfb.biblecommenter.com/esther/4.htm| title=|Jamieson-Fausset-Brown Bible Commentary| target=|_top|&gt;JFB&lt;/a&gt;</v>
      </c>
      <c r="AF430" s="2" t="str">
        <f t="shared" si="1718"/>
        <v>&lt;/li&gt;&lt;li&gt;&lt;a href=|http://kjt.biblecommenter.com/esther/4.htm| title=|King James Translators' Notes| target=|_top|&gt;KJT&lt;/a&gt;</v>
      </c>
      <c r="AG430" s="2" t="str">
        <f t="shared" si="1718"/>
        <v>&lt;/li&gt;&lt;li&gt;&lt;a href=|http://mhc.biblecommenter.com/esther/4.htm| title=|Matthew Henry's Concise Commentary| target=|_top|&gt;MHC&lt;/a&gt;</v>
      </c>
      <c r="AH430" s="2" t="str">
        <f t="shared" si="1718"/>
        <v>&lt;/li&gt;&lt;li&gt;&lt;a href=|http://sco.biblecommenter.com/esther/4.htm| title=|Scofield Reference Notes| target=|_top|&gt;SCO&lt;/a&gt;</v>
      </c>
      <c r="AI430" s="2" t="str">
        <f t="shared" si="1718"/>
        <v>&lt;/li&gt;&lt;li&gt;&lt;a href=|http://wes.biblecommenter.com/esther/4.htm| title=|Wesley's Notes on the Bible| target=|_top|&gt;WES&lt;/a&gt;</v>
      </c>
      <c r="AJ430" t="str">
        <f t="shared" si="1718"/>
        <v>&lt;/li&gt;&lt;li&gt;&lt;a href=|http://worldebible.com/esther/4.htm| title=|World English Bible| target=|_top|&gt;WEB&lt;/a&gt;</v>
      </c>
      <c r="AK430" t="str">
        <f t="shared" si="1718"/>
        <v>&lt;/li&gt;&lt;li&gt;&lt;a href=|http://yltbible.com/esther/4.htm| title=|Young's Literal Translation| target=|_top|&gt;YLT&lt;/a&gt;</v>
      </c>
      <c r="AL430" t="str">
        <f>CONCATENATE("&lt;a href=|http://",AL1191,"/esther/4.htm","| ","title=|",AL1190,"| target=|_top|&gt;",AL1192,"&lt;/a&gt;")</f>
        <v>&lt;a href=|http://kjv.us/esther/4.htm| title=|American King James Version| target=|_top|&gt;AKJ&lt;/a&gt;</v>
      </c>
      <c r="AM430" t="str">
        <f t="shared" ref="AM430:AN430" si="1719">CONCATENATE("&lt;/li&gt;&lt;li&gt;&lt;a href=|http://",AM1191,"/esther/4.htm","| ","title=|",AM1190,"| target=|_top|&gt;",AM1192,"&lt;/a&gt;")</f>
        <v>&lt;/li&gt;&lt;li&gt;&lt;a href=|http://basicenglishbible.com/esther/4.htm| title=|Bible in Basic English| target=|_top|&gt;BBE&lt;/a&gt;</v>
      </c>
      <c r="AN430" t="str">
        <f t="shared" si="1719"/>
        <v>&lt;/li&gt;&lt;li&gt;&lt;a href=|http://darbybible.com/esther/4.htm| title=|Darby Bible Translation| target=|_top|&gt;DBY&lt;/a&gt;</v>
      </c>
      <c r="AO43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3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3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30" t="str">
        <f>CONCATENATE("&lt;/li&gt;&lt;li&gt;&lt;a href=|http://",AR1191,"/esther/4.htm","| ","title=|",AR1190,"| target=|_top|&gt;",AR1192,"&lt;/a&gt;")</f>
        <v>&lt;/li&gt;&lt;li&gt;&lt;a href=|http://websterbible.com/esther/4.htm| title=|Webster's Bible Translation| target=|_top|&gt;WBS&lt;/a&gt;</v>
      </c>
      <c r="AS43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30" t="str">
        <f>CONCATENATE("&lt;/li&gt;&lt;li&gt;&lt;a href=|http://",AT1191,"/esther/4-1.htm","| ","title=|",AT1190,"| target=|_top|&gt;",AT1192,"&lt;/a&gt;")</f>
        <v>&lt;/li&gt;&lt;li&gt;&lt;a href=|http://biblebrowser.com/esther/4-1.htm| title=|Split View| target=|_top|&gt;Split&lt;/a&gt;</v>
      </c>
      <c r="AU430" s="2" t="s">
        <v>1276</v>
      </c>
      <c r="AV430" t="s">
        <v>64</v>
      </c>
    </row>
    <row r="431" spans="1:48">
      <c r="A431" t="s">
        <v>622</v>
      </c>
      <c r="B431" t="s">
        <v>669</v>
      </c>
      <c r="C431" t="s">
        <v>624</v>
      </c>
      <c r="D431" t="s">
        <v>1268</v>
      </c>
      <c r="E431" t="s">
        <v>1277</v>
      </c>
      <c r="F431" t="s">
        <v>1304</v>
      </c>
      <c r="G431" t="s">
        <v>1266</v>
      </c>
      <c r="H431" t="s">
        <v>1305</v>
      </c>
      <c r="I431" t="s">
        <v>1303</v>
      </c>
      <c r="J431" t="s">
        <v>1267</v>
      </c>
      <c r="K431" t="s">
        <v>1275</v>
      </c>
      <c r="L431" s="2" t="s">
        <v>1274</v>
      </c>
      <c r="M431" t="str">
        <f t="shared" ref="M431:AB431" si="1720">CONCATENATE("&lt;/li&gt;&lt;li&gt;&lt;a href=|http://",M1191,"/esther/5.htm","| ","title=|",M1190,"| target=|_top|&gt;",M1192,"&lt;/a&gt;")</f>
        <v>&lt;/li&gt;&lt;li&gt;&lt;a href=|http://niv.scripturetext.com/esther/5.htm| title=|New International Version| target=|_top|&gt;NIV&lt;/a&gt;</v>
      </c>
      <c r="N431" t="str">
        <f t="shared" si="1720"/>
        <v>&lt;/li&gt;&lt;li&gt;&lt;a href=|http://nlt.scripturetext.com/esther/5.htm| title=|New Living Translation| target=|_top|&gt;NLT&lt;/a&gt;</v>
      </c>
      <c r="O431" t="str">
        <f t="shared" si="1720"/>
        <v>&lt;/li&gt;&lt;li&gt;&lt;a href=|http://nasb.scripturetext.com/esther/5.htm| title=|New American Standard Bible| target=|_top|&gt;NAS&lt;/a&gt;</v>
      </c>
      <c r="P431" t="str">
        <f t="shared" si="1720"/>
        <v>&lt;/li&gt;&lt;li&gt;&lt;a href=|http://gwt.scripturetext.com/esther/5.htm| title=|God's Word Translation| target=|_top|&gt;GWT&lt;/a&gt;</v>
      </c>
      <c r="Q431" t="str">
        <f t="shared" si="1720"/>
        <v>&lt;/li&gt;&lt;li&gt;&lt;a href=|http://kingjbible.com/esther/5.htm| title=|King James Bible| target=|_top|&gt;KJV&lt;/a&gt;</v>
      </c>
      <c r="R431" t="str">
        <f t="shared" si="1720"/>
        <v>&lt;/li&gt;&lt;li&gt;&lt;a href=|http://asvbible.com/esther/5.htm| title=|American Standard Version| target=|_top|&gt;ASV&lt;/a&gt;</v>
      </c>
      <c r="S431" t="str">
        <f t="shared" si="1720"/>
        <v>&lt;/li&gt;&lt;li&gt;&lt;a href=|http://drb.scripturetext.com/esther/5.htm| title=|Douay-Rheims Bible| target=|_top|&gt;DRB&lt;/a&gt;</v>
      </c>
      <c r="T431" t="str">
        <f t="shared" si="1720"/>
        <v>&lt;/li&gt;&lt;li&gt;&lt;a href=|http://erv.scripturetext.com/esther/5.htm| title=|English Revised Version| target=|_top|&gt;ERV&lt;/a&gt;</v>
      </c>
      <c r="V431" t="str">
        <f>CONCATENATE("&lt;/li&gt;&lt;li&gt;&lt;a href=|http://",V1191,"/esther/5.htm","| ","title=|",V1190,"| target=|_top|&gt;",V1192,"&lt;/a&gt;")</f>
        <v>&lt;/li&gt;&lt;li&gt;&lt;a href=|http://study.interlinearbible.org/esther/5.htm| title=|Hebrew Study Bible| target=|_top|&gt;Heb Study&lt;/a&gt;</v>
      </c>
      <c r="W431" t="str">
        <f t="shared" si="1720"/>
        <v>&lt;/li&gt;&lt;li&gt;&lt;a href=|http://apostolic.interlinearbible.org/esther/5.htm| title=|Apostolic Bible Polyglot Interlinear| target=|_top|&gt;Polyglot&lt;/a&gt;</v>
      </c>
      <c r="X431" t="str">
        <f t="shared" si="1720"/>
        <v>&lt;/li&gt;&lt;li&gt;&lt;a href=|http://interlinearbible.org/esther/5.htm| title=|Interlinear Bible| target=|_top|&gt;Interlin&lt;/a&gt;</v>
      </c>
      <c r="Y431" t="str">
        <f t="shared" ref="Y431" si="1721">CONCATENATE("&lt;/li&gt;&lt;li&gt;&lt;a href=|http://",Y1191,"/esther/5.htm","| ","title=|",Y1190,"| target=|_top|&gt;",Y1192,"&lt;/a&gt;")</f>
        <v>&lt;/li&gt;&lt;li&gt;&lt;a href=|http://bibleoutline.org/esther/5.htm| title=|Outline with People and Places List| target=|_top|&gt;Outline&lt;/a&gt;</v>
      </c>
      <c r="Z431" t="str">
        <f t="shared" si="1720"/>
        <v>&lt;/li&gt;&lt;li&gt;&lt;a href=|http://kjvs.scripturetext.com/esther/5.htm| title=|King James Bible with Strong's Numbers| target=|_top|&gt;Strong's&lt;/a&gt;</v>
      </c>
      <c r="AA431" t="str">
        <f t="shared" si="1720"/>
        <v>&lt;/li&gt;&lt;li&gt;&lt;a href=|http://childrensbibleonline.com/esther/5.htm| title=|The Children's Bible| target=|_top|&gt;Children's&lt;/a&gt;</v>
      </c>
      <c r="AB431" s="2" t="str">
        <f t="shared" si="1720"/>
        <v>&lt;/li&gt;&lt;li&gt;&lt;a href=|http://tsk.scripturetext.com/esther/5.htm| title=|Treasury of Scripture Knowledge| target=|_top|&gt;TSK&lt;/a&gt;</v>
      </c>
      <c r="AC431" t="str">
        <f>CONCATENATE("&lt;a href=|http://",AC1191,"/esther/5.htm","| ","title=|",AC1190,"| target=|_top|&gt;",AC1192,"&lt;/a&gt;")</f>
        <v>&lt;a href=|http://parallelbible.com/esther/5.htm| title=|Parallel Chapters| target=|_top|&gt;PAR&lt;/a&gt;</v>
      </c>
      <c r="AD431" s="2" t="str">
        <f t="shared" ref="AD431:AK431" si="1722">CONCATENATE("&lt;/li&gt;&lt;li&gt;&lt;a href=|http://",AD1191,"/esther/5.htm","| ","title=|",AD1190,"| target=|_top|&gt;",AD1192,"&lt;/a&gt;")</f>
        <v>&lt;/li&gt;&lt;li&gt;&lt;a href=|http://gsb.biblecommenter.com/esther/5.htm| title=|Geneva Study Bible| target=|_top|&gt;GSB&lt;/a&gt;</v>
      </c>
      <c r="AE431" s="2" t="str">
        <f t="shared" si="1722"/>
        <v>&lt;/li&gt;&lt;li&gt;&lt;a href=|http://jfb.biblecommenter.com/esther/5.htm| title=|Jamieson-Fausset-Brown Bible Commentary| target=|_top|&gt;JFB&lt;/a&gt;</v>
      </c>
      <c r="AF431" s="2" t="str">
        <f t="shared" si="1722"/>
        <v>&lt;/li&gt;&lt;li&gt;&lt;a href=|http://kjt.biblecommenter.com/esther/5.htm| title=|King James Translators' Notes| target=|_top|&gt;KJT&lt;/a&gt;</v>
      </c>
      <c r="AG431" s="2" t="str">
        <f t="shared" si="1722"/>
        <v>&lt;/li&gt;&lt;li&gt;&lt;a href=|http://mhc.biblecommenter.com/esther/5.htm| title=|Matthew Henry's Concise Commentary| target=|_top|&gt;MHC&lt;/a&gt;</v>
      </c>
      <c r="AH431" s="2" t="str">
        <f t="shared" si="1722"/>
        <v>&lt;/li&gt;&lt;li&gt;&lt;a href=|http://sco.biblecommenter.com/esther/5.htm| title=|Scofield Reference Notes| target=|_top|&gt;SCO&lt;/a&gt;</v>
      </c>
      <c r="AI431" s="2" t="str">
        <f t="shared" si="1722"/>
        <v>&lt;/li&gt;&lt;li&gt;&lt;a href=|http://wes.biblecommenter.com/esther/5.htm| title=|Wesley's Notes on the Bible| target=|_top|&gt;WES&lt;/a&gt;</v>
      </c>
      <c r="AJ431" t="str">
        <f t="shared" si="1722"/>
        <v>&lt;/li&gt;&lt;li&gt;&lt;a href=|http://worldebible.com/esther/5.htm| title=|World English Bible| target=|_top|&gt;WEB&lt;/a&gt;</v>
      </c>
      <c r="AK431" t="str">
        <f t="shared" si="1722"/>
        <v>&lt;/li&gt;&lt;li&gt;&lt;a href=|http://yltbible.com/esther/5.htm| title=|Young's Literal Translation| target=|_top|&gt;YLT&lt;/a&gt;</v>
      </c>
      <c r="AL431" t="str">
        <f>CONCATENATE("&lt;a href=|http://",AL1191,"/esther/5.htm","| ","title=|",AL1190,"| target=|_top|&gt;",AL1192,"&lt;/a&gt;")</f>
        <v>&lt;a href=|http://kjv.us/esther/5.htm| title=|American King James Version| target=|_top|&gt;AKJ&lt;/a&gt;</v>
      </c>
      <c r="AM431" t="str">
        <f t="shared" ref="AM431:AN431" si="1723">CONCATENATE("&lt;/li&gt;&lt;li&gt;&lt;a href=|http://",AM1191,"/esther/5.htm","| ","title=|",AM1190,"| target=|_top|&gt;",AM1192,"&lt;/a&gt;")</f>
        <v>&lt;/li&gt;&lt;li&gt;&lt;a href=|http://basicenglishbible.com/esther/5.htm| title=|Bible in Basic English| target=|_top|&gt;BBE&lt;/a&gt;</v>
      </c>
      <c r="AN431" t="str">
        <f t="shared" si="1723"/>
        <v>&lt;/li&gt;&lt;li&gt;&lt;a href=|http://darbybible.com/esther/5.htm| title=|Darby Bible Translation| target=|_top|&gt;DBY&lt;/a&gt;</v>
      </c>
      <c r="AO43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3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3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31" t="str">
        <f>CONCATENATE("&lt;/li&gt;&lt;li&gt;&lt;a href=|http://",AR1191,"/esther/5.htm","| ","title=|",AR1190,"| target=|_top|&gt;",AR1192,"&lt;/a&gt;")</f>
        <v>&lt;/li&gt;&lt;li&gt;&lt;a href=|http://websterbible.com/esther/5.htm| title=|Webster's Bible Translation| target=|_top|&gt;WBS&lt;/a&gt;</v>
      </c>
      <c r="AS43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31" t="str">
        <f>CONCATENATE("&lt;/li&gt;&lt;li&gt;&lt;a href=|http://",AT1191,"/esther/5-1.htm","| ","title=|",AT1190,"| target=|_top|&gt;",AT1192,"&lt;/a&gt;")</f>
        <v>&lt;/li&gt;&lt;li&gt;&lt;a href=|http://biblebrowser.com/esther/5-1.htm| title=|Split View| target=|_top|&gt;Split&lt;/a&gt;</v>
      </c>
      <c r="AU431" s="2" t="s">
        <v>1276</v>
      </c>
      <c r="AV431" t="s">
        <v>64</v>
      </c>
    </row>
    <row r="432" spans="1:48">
      <c r="A432" t="s">
        <v>622</v>
      </c>
      <c r="B432" t="s">
        <v>670</v>
      </c>
      <c r="C432" t="s">
        <v>624</v>
      </c>
      <c r="D432" t="s">
        <v>1268</v>
      </c>
      <c r="E432" t="s">
        <v>1277</v>
      </c>
      <c r="F432" t="s">
        <v>1304</v>
      </c>
      <c r="G432" t="s">
        <v>1266</v>
      </c>
      <c r="H432" t="s">
        <v>1305</v>
      </c>
      <c r="I432" t="s">
        <v>1303</v>
      </c>
      <c r="J432" t="s">
        <v>1267</v>
      </c>
      <c r="K432" t="s">
        <v>1275</v>
      </c>
      <c r="L432" s="2" t="s">
        <v>1274</v>
      </c>
      <c r="M432" t="str">
        <f t="shared" ref="M432:AB432" si="1724">CONCATENATE("&lt;/li&gt;&lt;li&gt;&lt;a href=|http://",M1191,"/esther/6.htm","| ","title=|",M1190,"| target=|_top|&gt;",M1192,"&lt;/a&gt;")</f>
        <v>&lt;/li&gt;&lt;li&gt;&lt;a href=|http://niv.scripturetext.com/esther/6.htm| title=|New International Version| target=|_top|&gt;NIV&lt;/a&gt;</v>
      </c>
      <c r="N432" t="str">
        <f t="shared" si="1724"/>
        <v>&lt;/li&gt;&lt;li&gt;&lt;a href=|http://nlt.scripturetext.com/esther/6.htm| title=|New Living Translation| target=|_top|&gt;NLT&lt;/a&gt;</v>
      </c>
      <c r="O432" t="str">
        <f t="shared" si="1724"/>
        <v>&lt;/li&gt;&lt;li&gt;&lt;a href=|http://nasb.scripturetext.com/esther/6.htm| title=|New American Standard Bible| target=|_top|&gt;NAS&lt;/a&gt;</v>
      </c>
      <c r="P432" t="str">
        <f t="shared" si="1724"/>
        <v>&lt;/li&gt;&lt;li&gt;&lt;a href=|http://gwt.scripturetext.com/esther/6.htm| title=|God's Word Translation| target=|_top|&gt;GWT&lt;/a&gt;</v>
      </c>
      <c r="Q432" t="str">
        <f t="shared" si="1724"/>
        <v>&lt;/li&gt;&lt;li&gt;&lt;a href=|http://kingjbible.com/esther/6.htm| title=|King James Bible| target=|_top|&gt;KJV&lt;/a&gt;</v>
      </c>
      <c r="R432" t="str">
        <f t="shared" si="1724"/>
        <v>&lt;/li&gt;&lt;li&gt;&lt;a href=|http://asvbible.com/esther/6.htm| title=|American Standard Version| target=|_top|&gt;ASV&lt;/a&gt;</v>
      </c>
      <c r="S432" t="str">
        <f t="shared" si="1724"/>
        <v>&lt;/li&gt;&lt;li&gt;&lt;a href=|http://drb.scripturetext.com/esther/6.htm| title=|Douay-Rheims Bible| target=|_top|&gt;DRB&lt;/a&gt;</v>
      </c>
      <c r="T432" t="str">
        <f t="shared" si="1724"/>
        <v>&lt;/li&gt;&lt;li&gt;&lt;a href=|http://erv.scripturetext.com/esther/6.htm| title=|English Revised Version| target=|_top|&gt;ERV&lt;/a&gt;</v>
      </c>
      <c r="V432" t="str">
        <f>CONCATENATE("&lt;/li&gt;&lt;li&gt;&lt;a href=|http://",V1191,"/esther/6.htm","| ","title=|",V1190,"| target=|_top|&gt;",V1192,"&lt;/a&gt;")</f>
        <v>&lt;/li&gt;&lt;li&gt;&lt;a href=|http://study.interlinearbible.org/esther/6.htm| title=|Hebrew Study Bible| target=|_top|&gt;Heb Study&lt;/a&gt;</v>
      </c>
      <c r="W432" t="str">
        <f t="shared" si="1724"/>
        <v>&lt;/li&gt;&lt;li&gt;&lt;a href=|http://apostolic.interlinearbible.org/esther/6.htm| title=|Apostolic Bible Polyglot Interlinear| target=|_top|&gt;Polyglot&lt;/a&gt;</v>
      </c>
      <c r="X432" t="str">
        <f t="shared" si="1724"/>
        <v>&lt;/li&gt;&lt;li&gt;&lt;a href=|http://interlinearbible.org/esther/6.htm| title=|Interlinear Bible| target=|_top|&gt;Interlin&lt;/a&gt;</v>
      </c>
      <c r="Y432" t="str">
        <f t="shared" ref="Y432" si="1725">CONCATENATE("&lt;/li&gt;&lt;li&gt;&lt;a href=|http://",Y1191,"/esther/6.htm","| ","title=|",Y1190,"| target=|_top|&gt;",Y1192,"&lt;/a&gt;")</f>
        <v>&lt;/li&gt;&lt;li&gt;&lt;a href=|http://bibleoutline.org/esther/6.htm| title=|Outline with People and Places List| target=|_top|&gt;Outline&lt;/a&gt;</v>
      </c>
      <c r="Z432" t="str">
        <f t="shared" si="1724"/>
        <v>&lt;/li&gt;&lt;li&gt;&lt;a href=|http://kjvs.scripturetext.com/esther/6.htm| title=|King James Bible with Strong's Numbers| target=|_top|&gt;Strong's&lt;/a&gt;</v>
      </c>
      <c r="AA432" t="str">
        <f t="shared" si="1724"/>
        <v>&lt;/li&gt;&lt;li&gt;&lt;a href=|http://childrensbibleonline.com/esther/6.htm| title=|The Children's Bible| target=|_top|&gt;Children's&lt;/a&gt;</v>
      </c>
      <c r="AB432" s="2" t="str">
        <f t="shared" si="1724"/>
        <v>&lt;/li&gt;&lt;li&gt;&lt;a href=|http://tsk.scripturetext.com/esther/6.htm| title=|Treasury of Scripture Knowledge| target=|_top|&gt;TSK&lt;/a&gt;</v>
      </c>
      <c r="AC432" t="str">
        <f>CONCATENATE("&lt;a href=|http://",AC1191,"/esther/6.htm","| ","title=|",AC1190,"| target=|_top|&gt;",AC1192,"&lt;/a&gt;")</f>
        <v>&lt;a href=|http://parallelbible.com/esther/6.htm| title=|Parallel Chapters| target=|_top|&gt;PAR&lt;/a&gt;</v>
      </c>
      <c r="AD432" s="2" t="str">
        <f t="shared" ref="AD432:AK432" si="1726">CONCATENATE("&lt;/li&gt;&lt;li&gt;&lt;a href=|http://",AD1191,"/esther/6.htm","| ","title=|",AD1190,"| target=|_top|&gt;",AD1192,"&lt;/a&gt;")</f>
        <v>&lt;/li&gt;&lt;li&gt;&lt;a href=|http://gsb.biblecommenter.com/esther/6.htm| title=|Geneva Study Bible| target=|_top|&gt;GSB&lt;/a&gt;</v>
      </c>
      <c r="AE432" s="2" t="str">
        <f t="shared" si="1726"/>
        <v>&lt;/li&gt;&lt;li&gt;&lt;a href=|http://jfb.biblecommenter.com/esther/6.htm| title=|Jamieson-Fausset-Brown Bible Commentary| target=|_top|&gt;JFB&lt;/a&gt;</v>
      </c>
      <c r="AF432" s="2" t="str">
        <f t="shared" si="1726"/>
        <v>&lt;/li&gt;&lt;li&gt;&lt;a href=|http://kjt.biblecommenter.com/esther/6.htm| title=|King James Translators' Notes| target=|_top|&gt;KJT&lt;/a&gt;</v>
      </c>
      <c r="AG432" s="2" t="str">
        <f t="shared" si="1726"/>
        <v>&lt;/li&gt;&lt;li&gt;&lt;a href=|http://mhc.biblecommenter.com/esther/6.htm| title=|Matthew Henry's Concise Commentary| target=|_top|&gt;MHC&lt;/a&gt;</v>
      </c>
      <c r="AH432" s="2" t="str">
        <f t="shared" si="1726"/>
        <v>&lt;/li&gt;&lt;li&gt;&lt;a href=|http://sco.biblecommenter.com/esther/6.htm| title=|Scofield Reference Notes| target=|_top|&gt;SCO&lt;/a&gt;</v>
      </c>
      <c r="AI432" s="2" t="str">
        <f t="shared" si="1726"/>
        <v>&lt;/li&gt;&lt;li&gt;&lt;a href=|http://wes.biblecommenter.com/esther/6.htm| title=|Wesley's Notes on the Bible| target=|_top|&gt;WES&lt;/a&gt;</v>
      </c>
      <c r="AJ432" t="str">
        <f t="shared" si="1726"/>
        <v>&lt;/li&gt;&lt;li&gt;&lt;a href=|http://worldebible.com/esther/6.htm| title=|World English Bible| target=|_top|&gt;WEB&lt;/a&gt;</v>
      </c>
      <c r="AK432" t="str">
        <f t="shared" si="1726"/>
        <v>&lt;/li&gt;&lt;li&gt;&lt;a href=|http://yltbible.com/esther/6.htm| title=|Young's Literal Translation| target=|_top|&gt;YLT&lt;/a&gt;</v>
      </c>
      <c r="AL432" t="str">
        <f>CONCATENATE("&lt;a href=|http://",AL1191,"/esther/6.htm","| ","title=|",AL1190,"| target=|_top|&gt;",AL1192,"&lt;/a&gt;")</f>
        <v>&lt;a href=|http://kjv.us/esther/6.htm| title=|American King James Version| target=|_top|&gt;AKJ&lt;/a&gt;</v>
      </c>
      <c r="AM432" t="str">
        <f t="shared" ref="AM432:AN432" si="1727">CONCATENATE("&lt;/li&gt;&lt;li&gt;&lt;a href=|http://",AM1191,"/esther/6.htm","| ","title=|",AM1190,"| target=|_top|&gt;",AM1192,"&lt;/a&gt;")</f>
        <v>&lt;/li&gt;&lt;li&gt;&lt;a href=|http://basicenglishbible.com/esther/6.htm| title=|Bible in Basic English| target=|_top|&gt;BBE&lt;/a&gt;</v>
      </c>
      <c r="AN432" t="str">
        <f t="shared" si="1727"/>
        <v>&lt;/li&gt;&lt;li&gt;&lt;a href=|http://darbybible.com/esther/6.htm| title=|Darby Bible Translation| target=|_top|&gt;DBY&lt;/a&gt;</v>
      </c>
      <c r="AO43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3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3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32" t="str">
        <f>CONCATENATE("&lt;/li&gt;&lt;li&gt;&lt;a href=|http://",AR1191,"/esther/6.htm","| ","title=|",AR1190,"| target=|_top|&gt;",AR1192,"&lt;/a&gt;")</f>
        <v>&lt;/li&gt;&lt;li&gt;&lt;a href=|http://websterbible.com/esther/6.htm| title=|Webster's Bible Translation| target=|_top|&gt;WBS&lt;/a&gt;</v>
      </c>
      <c r="AS43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32" t="str">
        <f>CONCATENATE("&lt;/li&gt;&lt;li&gt;&lt;a href=|http://",AT1191,"/esther/6-1.htm","| ","title=|",AT1190,"| target=|_top|&gt;",AT1192,"&lt;/a&gt;")</f>
        <v>&lt;/li&gt;&lt;li&gt;&lt;a href=|http://biblebrowser.com/esther/6-1.htm| title=|Split View| target=|_top|&gt;Split&lt;/a&gt;</v>
      </c>
      <c r="AU432" s="2" t="s">
        <v>1276</v>
      </c>
      <c r="AV432" t="s">
        <v>64</v>
      </c>
    </row>
    <row r="433" spans="1:48">
      <c r="A433" t="s">
        <v>622</v>
      </c>
      <c r="B433" t="s">
        <v>671</v>
      </c>
      <c r="C433" t="s">
        <v>624</v>
      </c>
      <c r="D433" t="s">
        <v>1268</v>
      </c>
      <c r="E433" t="s">
        <v>1277</v>
      </c>
      <c r="F433" t="s">
        <v>1304</v>
      </c>
      <c r="G433" t="s">
        <v>1266</v>
      </c>
      <c r="H433" t="s">
        <v>1305</v>
      </c>
      <c r="I433" t="s">
        <v>1303</v>
      </c>
      <c r="J433" t="s">
        <v>1267</v>
      </c>
      <c r="K433" t="s">
        <v>1275</v>
      </c>
      <c r="L433" s="2" t="s">
        <v>1274</v>
      </c>
      <c r="M433" t="str">
        <f t="shared" ref="M433:AB433" si="1728">CONCATENATE("&lt;/li&gt;&lt;li&gt;&lt;a href=|http://",M1191,"/esther/7.htm","| ","title=|",M1190,"| target=|_top|&gt;",M1192,"&lt;/a&gt;")</f>
        <v>&lt;/li&gt;&lt;li&gt;&lt;a href=|http://niv.scripturetext.com/esther/7.htm| title=|New International Version| target=|_top|&gt;NIV&lt;/a&gt;</v>
      </c>
      <c r="N433" t="str">
        <f t="shared" si="1728"/>
        <v>&lt;/li&gt;&lt;li&gt;&lt;a href=|http://nlt.scripturetext.com/esther/7.htm| title=|New Living Translation| target=|_top|&gt;NLT&lt;/a&gt;</v>
      </c>
      <c r="O433" t="str">
        <f t="shared" si="1728"/>
        <v>&lt;/li&gt;&lt;li&gt;&lt;a href=|http://nasb.scripturetext.com/esther/7.htm| title=|New American Standard Bible| target=|_top|&gt;NAS&lt;/a&gt;</v>
      </c>
      <c r="P433" t="str">
        <f t="shared" si="1728"/>
        <v>&lt;/li&gt;&lt;li&gt;&lt;a href=|http://gwt.scripturetext.com/esther/7.htm| title=|God's Word Translation| target=|_top|&gt;GWT&lt;/a&gt;</v>
      </c>
      <c r="Q433" t="str">
        <f t="shared" si="1728"/>
        <v>&lt;/li&gt;&lt;li&gt;&lt;a href=|http://kingjbible.com/esther/7.htm| title=|King James Bible| target=|_top|&gt;KJV&lt;/a&gt;</v>
      </c>
      <c r="R433" t="str">
        <f t="shared" si="1728"/>
        <v>&lt;/li&gt;&lt;li&gt;&lt;a href=|http://asvbible.com/esther/7.htm| title=|American Standard Version| target=|_top|&gt;ASV&lt;/a&gt;</v>
      </c>
      <c r="S433" t="str">
        <f t="shared" si="1728"/>
        <v>&lt;/li&gt;&lt;li&gt;&lt;a href=|http://drb.scripturetext.com/esther/7.htm| title=|Douay-Rheims Bible| target=|_top|&gt;DRB&lt;/a&gt;</v>
      </c>
      <c r="T433" t="str">
        <f t="shared" si="1728"/>
        <v>&lt;/li&gt;&lt;li&gt;&lt;a href=|http://erv.scripturetext.com/esther/7.htm| title=|English Revised Version| target=|_top|&gt;ERV&lt;/a&gt;</v>
      </c>
      <c r="V433" t="str">
        <f>CONCATENATE("&lt;/li&gt;&lt;li&gt;&lt;a href=|http://",V1191,"/esther/7.htm","| ","title=|",V1190,"| target=|_top|&gt;",V1192,"&lt;/a&gt;")</f>
        <v>&lt;/li&gt;&lt;li&gt;&lt;a href=|http://study.interlinearbible.org/esther/7.htm| title=|Hebrew Study Bible| target=|_top|&gt;Heb Study&lt;/a&gt;</v>
      </c>
      <c r="W433" t="str">
        <f t="shared" si="1728"/>
        <v>&lt;/li&gt;&lt;li&gt;&lt;a href=|http://apostolic.interlinearbible.org/esther/7.htm| title=|Apostolic Bible Polyglot Interlinear| target=|_top|&gt;Polyglot&lt;/a&gt;</v>
      </c>
      <c r="X433" t="str">
        <f t="shared" si="1728"/>
        <v>&lt;/li&gt;&lt;li&gt;&lt;a href=|http://interlinearbible.org/esther/7.htm| title=|Interlinear Bible| target=|_top|&gt;Interlin&lt;/a&gt;</v>
      </c>
      <c r="Y433" t="str">
        <f t="shared" ref="Y433" si="1729">CONCATENATE("&lt;/li&gt;&lt;li&gt;&lt;a href=|http://",Y1191,"/esther/7.htm","| ","title=|",Y1190,"| target=|_top|&gt;",Y1192,"&lt;/a&gt;")</f>
        <v>&lt;/li&gt;&lt;li&gt;&lt;a href=|http://bibleoutline.org/esther/7.htm| title=|Outline with People and Places List| target=|_top|&gt;Outline&lt;/a&gt;</v>
      </c>
      <c r="Z433" t="str">
        <f t="shared" si="1728"/>
        <v>&lt;/li&gt;&lt;li&gt;&lt;a href=|http://kjvs.scripturetext.com/esther/7.htm| title=|King James Bible with Strong's Numbers| target=|_top|&gt;Strong's&lt;/a&gt;</v>
      </c>
      <c r="AA433" t="str">
        <f t="shared" si="1728"/>
        <v>&lt;/li&gt;&lt;li&gt;&lt;a href=|http://childrensbibleonline.com/esther/7.htm| title=|The Children's Bible| target=|_top|&gt;Children's&lt;/a&gt;</v>
      </c>
      <c r="AB433" s="2" t="str">
        <f t="shared" si="1728"/>
        <v>&lt;/li&gt;&lt;li&gt;&lt;a href=|http://tsk.scripturetext.com/esther/7.htm| title=|Treasury of Scripture Knowledge| target=|_top|&gt;TSK&lt;/a&gt;</v>
      </c>
      <c r="AC433" t="str">
        <f>CONCATENATE("&lt;a href=|http://",AC1191,"/esther/7.htm","| ","title=|",AC1190,"| target=|_top|&gt;",AC1192,"&lt;/a&gt;")</f>
        <v>&lt;a href=|http://parallelbible.com/esther/7.htm| title=|Parallel Chapters| target=|_top|&gt;PAR&lt;/a&gt;</v>
      </c>
      <c r="AD433" s="2" t="str">
        <f t="shared" ref="AD433:AK433" si="1730">CONCATENATE("&lt;/li&gt;&lt;li&gt;&lt;a href=|http://",AD1191,"/esther/7.htm","| ","title=|",AD1190,"| target=|_top|&gt;",AD1192,"&lt;/a&gt;")</f>
        <v>&lt;/li&gt;&lt;li&gt;&lt;a href=|http://gsb.biblecommenter.com/esther/7.htm| title=|Geneva Study Bible| target=|_top|&gt;GSB&lt;/a&gt;</v>
      </c>
      <c r="AE433" s="2" t="str">
        <f t="shared" si="1730"/>
        <v>&lt;/li&gt;&lt;li&gt;&lt;a href=|http://jfb.biblecommenter.com/esther/7.htm| title=|Jamieson-Fausset-Brown Bible Commentary| target=|_top|&gt;JFB&lt;/a&gt;</v>
      </c>
      <c r="AF433" s="2" t="str">
        <f t="shared" si="1730"/>
        <v>&lt;/li&gt;&lt;li&gt;&lt;a href=|http://kjt.biblecommenter.com/esther/7.htm| title=|King James Translators' Notes| target=|_top|&gt;KJT&lt;/a&gt;</v>
      </c>
      <c r="AG433" s="2" t="str">
        <f t="shared" si="1730"/>
        <v>&lt;/li&gt;&lt;li&gt;&lt;a href=|http://mhc.biblecommenter.com/esther/7.htm| title=|Matthew Henry's Concise Commentary| target=|_top|&gt;MHC&lt;/a&gt;</v>
      </c>
      <c r="AH433" s="2" t="str">
        <f t="shared" si="1730"/>
        <v>&lt;/li&gt;&lt;li&gt;&lt;a href=|http://sco.biblecommenter.com/esther/7.htm| title=|Scofield Reference Notes| target=|_top|&gt;SCO&lt;/a&gt;</v>
      </c>
      <c r="AI433" s="2" t="str">
        <f t="shared" si="1730"/>
        <v>&lt;/li&gt;&lt;li&gt;&lt;a href=|http://wes.biblecommenter.com/esther/7.htm| title=|Wesley's Notes on the Bible| target=|_top|&gt;WES&lt;/a&gt;</v>
      </c>
      <c r="AJ433" t="str">
        <f t="shared" si="1730"/>
        <v>&lt;/li&gt;&lt;li&gt;&lt;a href=|http://worldebible.com/esther/7.htm| title=|World English Bible| target=|_top|&gt;WEB&lt;/a&gt;</v>
      </c>
      <c r="AK433" t="str">
        <f t="shared" si="1730"/>
        <v>&lt;/li&gt;&lt;li&gt;&lt;a href=|http://yltbible.com/esther/7.htm| title=|Young's Literal Translation| target=|_top|&gt;YLT&lt;/a&gt;</v>
      </c>
      <c r="AL433" t="str">
        <f>CONCATENATE("&lt;a href=|http://",AL1191,"/esther/7.htm","| ","title=|",AL1190,"| target=|_top|&gt;",AL1192,"&lt;/a&gt;")</f>
        <v>&lt;a href=|http://kjv.us/esther/7.htm| title=|American King James Version| target=|_top|&gt;AKJ&lt;/a&gt;</v>
      </c>
      <c r="AM433" t="str">
        <f t="shared" ref="AM433:AN433" si="1731">CONCATENATE("&lt;/li&gt;&lt;li&gt;&lt;a href=|http://",AM1191,"/esther/7.htm","| ","title=|",AM1190,"| target=|_top|&gt;",AM1192,"&lt;/a&gt;")</f>
        <v>&lt;/li&gt;&lt;li&gt;&lt;a href=|http://basicenglishbible.com/esther/7.htm| title=|Bible in Basic English| target=|_top|&gt;BBE&lt;/a&gt;</v>
      </c>
      <c r="AN433" t="str">
        <f t="shared" si="1731"/>
        <v>&lt;/li&gt;&lt;li&gt;&lt;a href=|http://darbybible.com/esther/7.htm| title=|Darby Bible Translation| target=|_top|&gt;DBY&lt;/a&gt;</v>
      </c>
      <c r="AO43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3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3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33" t="str">
        <f>CONCATENATE("&lt;/li&gt;&lt;li&gt;&lt;a href=|http://",AR1191,"/esther/7.htm","| ","title=|",AR1190,"| target=|_top|&gt;",AR1192,"&lt;/a&gt;")</f>
        <v>&lt;/li&gt;&lt;li&gt;&lt;a href=|http://websterbible.com/esther/7.htm| title=|Webster's Bible Translation| target=|_top|&gt;WBS&lt;/a&gt;</v>
      </c>
      <c r="AS43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33" t="str">
        <f>CONCATENATE("&lt;/li&gt;&lt;li&gt;&lt;a href=|http://",AT1191,"/esther/7-1.htm","| ","title=|",AT1190,"| target=|_top|&gt;",AT1192,"&lt;/a&gt;")</f>
        <v>&lt;/li&gt;&lt;li&gt;&lt;a href=|http://biblebrowser.com/esther/7-1.htm| title=|Split View| target=|_top|&gt;Split&lt;/a&gt;</v>
      </c>
      <c r="AU433" s="2" t="s">
        <v>1276</v>
      </c>
      <c r="AV433" t="s">
        <v>64</v>
      </c>
    </row>
    <row r="434" spans="1:48">
      <c r="A434" t="s">
        <v>622</v>
      </c>
      <c r="B434" t="s">
        <v>672</v>
      </c>
      <c r="C434" t="s">
        <v>624</v>
      </c>
      <c r="D434" t="s">
        <v>1268</v>
      </c>
      <c r="E434" t="s">
        <v>1277</v>
      </c>
      <c r="F434" t="s">
        <v>1304</v>
      </c>
      <c r="G434" t="s">
        <v>1266</v>
      </c>
      <c r="H434" t="s">
        <v>1305</v>
      </c>
      <c r="I434" t="s">
        <v>1303</v>
      </c>
      <c r="J434" t="s">
        <v>1267</v>
      </c>
      <c r="K434" t="s">
        <v>1275</v>
      </c>
      <c r="L434" s="2" t="s">
        <v>1274</v>
      </c>
      <c r="M434" t="str">
        <f t="shared" ref="M434:AB434" si="1732">CONCATENATE("&lt;/li&gt;&lt;li&gt;&lt;a href=|http://",M1191,"/esther/8.htm","| ","title=|",M1190,"| target=|_top|&gt;",M1192,"&lt;/a&gt;")</f>
        <v>&lt;/li&gt;&lt;li&gt;&lt;a href=|http://niv.scripturetext.com/esther/8.htm| title=|New International Version| target=|_top|&gt;NIV&lt;/a&gt;</v>
      </c>
      <c r="N434" t="str">
        <f t="shared" si="1732"/>
        <v>&lt;/li&gt;&lt;li&gt;&lt;a href=|http://nlt.scripturetext.com/esther/8.htm| title=|New Living Translation| target=|_top|&gt;NLT&lt;/a&gt;</v>
      </c>
      <c r="O434" t="str">
        <f t="shared" si="1732"/>
        <v>&lt;/li&gt;&lt;li&gt;&lt;a href=|http://nasb.scripturetext.com/esther/8.htm| title=|New American Standard Bible| target=|_top|&gt;NAS&lt;/a&gt;</v>
      </c>
      <c r="P434" t="str">
        <f t="shared" si="1732"/>
        <v>&lt;/li&gt;&lt;li&gt;&lt;a href=|http://gwt.scripturetext.com/esther/8.htm| title=|God's Word Translation| target=|_top|&gt;GWT&lt;/a&gt;</v>
      </c>
      <c r="Q434" t="str">
        <f t="shared" si="1732"/>
        <v>&lt;/li&gt;&lt;li&gt;&lt;a href=|http://kingjbible.com/esther/8.htm| title=|King James Bible| target=|_top|&gt;KJV&lt;/a&gt;</v>
      </c>
      <c r="R434" t="str">
        <f t="shared" si="1732"/>
        <v>&lt;/li&gt;&lt;li&gt;&lt;a href=|http://asvbible.com/esther/8.htm| title=|American Standard Version| target=|_top|&gt;ASV&lt;/a&gt;</v>
      </c>
      <c r="S434" t="str">
        <f t="shared" si="1732"/>
        <v>&lt;/li&gt;&lt;li&gt;&lt;a href=|http://drb.scripturetext.com/esther/8.htm| title=|Douay-Rheims Bible| target=|_top|&gt;DRB&lt;/a&gt;</v>
      </c>
      <c r="T434" t="str">
        <f t="shared" si="1732"/>
        <v>&lt;/li&gt;&lt;li&gt;&lt;a href=|http://erv.scripturetext.com/esther/8.htm| title=|English Revised Version| target=|_top|&gt;ERV&lt;/a&gt;</v>
      </c>
      <c r="V434" t="str">
        <f>CONCATENATE("&lt;/li&gt;&lt;li&gt;&lt;a href=|http://",V1191,"/esther/8.htm","| ","title=|",V1190,"| target=|_top|&gt;",V1192,"&lt;/a&gt;")</f>
        <v>&lt;/li&gt;&lt;li&gt;&lt;a href=|http://study.interlinearbible.org/esther/8.htm| title=|Hebrew Study Bible| target=|_top|&gt;Heb Study&lt;/a&gt;</v>
      </c>
      <c r="W434" t="str">
        <f t="shared" si="1732"/>
        <v>&lt;/li&gt;&lt;li&gt;&lt;a href=|http://apostolic.interlinearbible.org/esther/8.htm| title=|Apostolic Bible Polyglot Interlinear| target=|_top|&gt;Polyglot&lt;/a&gt;</v>
      </c>
      <c r="X434" t="str">
        <f t="shared" si="1732"/>
        <v>&lt;/li&gt;&lt;li&gt;&lt;a href=|http://interlinearbible.org/esther/8.htm| title=|Interlinear Bible| target=|_top|&gt;Interlin&lt;/a&gt;</v>
      </c>
      <c r="Y434" t="str">
        <f t="shared" ref="Y434" si="1733">CONCATENATE("&lt;/li&gt;&lt;li&gt;&lt;a href=|http://",Y1191,"/esther/8.htm","| ","title=|",Y1190,"| target=|_top|&gt;",Y1192,"&lt;/a&gt;")</f>
        <v>&lt;/li&gt;&lt;li&gt;&lt;a href=|http://bibleoutline.org/esther/8.htm| title=|Outline with People and Places List| target=|_top|&gt;Outline&lt;/a&gt;</v>
      </c>
      <c r="Z434" t="str">
        <f t="shared" si="1732"/>
        <v>&lt;/li&gt;&lt;li&gt;&lt;a href=|http://kjvs.scripturetext.com/esther/8.htm| title=|King James Bible with Strong's Numbers| target=|_top|&gt;Strong's&lt;/a&gt;</v>
      </c>
      <c r="AA434" t="str">
        <f t="shared" si="1732"/>
        <v>&lt;/li&gt;&lt;li&gt;&lt;a href=|http://childrensbibleonline.com/esther/8.htm| title=|The Children's Bible| target=|_top|&gt;Children's&lt;/a&gt;</v>
      </c>
      <c r="AB434" s="2" t="str">
        <f t="shared" si="1732"/>
        <v>&lt;/li&gt;&lt;li&gt;&lt;a href=|http://tsk.scripturetext.com/esther/8.htm| title=|Treasury of Scripture Knowledge| target=|_top|&gt;TSK&lt;/a&gt;</v>
      </c>
      <c r="AC434" t="str">
        <f>CONCATENATE("&lt;a href=|http://",AC1191,"/esther/8.htm","| ","title=|",AC1190,"| target=|_top|&gt;",AC1192,"&lt;/a&gt;")</f>
        <v>&lt;a href=|http://parallelbible.com/esther/8.htm| title=|Parallel Chapters| target=|_top|&gt;PAR&lt;/a&gt;</v>
      </c>
      <c r="AD434" s="2" t="str">
        <f t="shared" ref="AD434:AK434" si="1734">CONCATENATE("&lt;/li&gt;&lt;li&gt;&lt;a href=|http://",AD1191,"/esther/8.htm","| ","title=|",AD1190,"| target=|_top|&gt;",AD1192,"&lt;/a&gt;")</f>
        <v>&lt;/li&gt;&lt;li&gt;&lt;a href=|http://gsb.biblecommenter.com/esther/8.htm| title=|Geneva Study Bible| target=|_top|&gt;GSB&lt;/a&gt;</v>
      </c>
      <c r="AE434" s="2" t="str">
        <f t="shared" si="1734"/>
        <v>&lt;/li&gt;&lt;li&gt;&lt;a href=|http://jfb.biblecommenter.com/esther/8.htm| title=|Jamieson-Fausset-Brown Bible Commentary| target=|_top|&gt;JFB&lt;/a&gt;</v>
      </c>
      <c r="AF434" s="2" t="str">
        <f t="shared" si="1734"/>
        <v>&lt;/li&gt;&lt;li&gt;&lt;a href=|http://kjt.biblecommenter.com/esther/8.htm| title=|King James Translators' Notes| target=|_top|&gt;KJT&lt;/a&gt;</v>
      </c>
      <c r="AG434" s="2" t="str">
        <f t="shared" si="1734"/>
        <v>&lt;/li&gt;&lt;li&gt;&lt;a href=|http://mhc.biblecommenter.com/esther/8.htm| title=|Matthew Henry's Concise Commentary| target=|_top|&gt;MHC&lt;/a&gt;</v>
      </c>
      <c r="AH434" s="2" t="str">
        <f t="shared" si="1734"/>
        <v>&lt;/li&gt;&lt;li&gt;&lt;a href=|http://sco.biblecommenter.com/esther/8.htm| title=|Scofield Reference Notes| target=|_top|&gt;SCO&lt;/a&gt;</v>
      </c>
      <c r="AI434" s="2" t="str">
        <f t="shared" si="1734"/>
        <v>&lt;/li&gt;&lt;li&gt;&lt;a href=|http://wes.biblecommenter.com/esther/8.htm| title=|Wesley's Notes on the Bible| target=|_top|&gt;WES&lt;/a&gt;</v>
      </c>
      <c r="AJ434" t="str">
        <f t="shared" si="1734"/>
        <v>&lt;/li&gt;&lt;li&gt;&lt;a href=|http://worldebible.com/esther/8.htm| title=|World English Bible| target=|_top|&gt;WEB&lt;/a&gt;</v>
      </c>
      <c r="AK434" t="str">
        <f t="shared" si="1734"/>
        <v>&lt;/li&gt;&lt;li&gt;&lt;a href=|http://yltbible.com/esther/8.htm| title=|Young's Literal Translation| target=|_top|&gt;YLT&lt;/a&gt;</v>
      </c>
      <c r="AL434" t="str">
        <f>CONCATENATE("&lt;a href=|http://",AL1191,"/esther/8.htm","| ","title=|",AL1190,"| target=|_top|&gt;",AL1192,"&lt;/a&gt;")</f>
        <v>&lt;a href=|http://kjv.us/esther/8.htm| title=|American King James Version| target=|_top|&gt;AKJ&lt;/a&gt;</v>
      </c>
      <c r="AM434" t="str">
        <f t="shared" ref="AM434:AN434" si="1735">CONCATENATE("&lt;/li&gt;&lt;li&gt;&lt;a href=|http://",AM1191,"/esther/8.htm","| ","title=|",AM1190,"| target=|_top|&gt;",AM1192,"&lt;/a&gt;")</f>
        <v>&lt;/li&gt;&lt;li&gt;&lt;a href=|http://basicenglishbible.com/esther/8.htm| title=|Bible in Basic English| target=|_top|&gt;BBE&lt;/a&gt;</v>
      </c>
      <c r="AN434" t="str">
        <f t="shared" si="1735"/>
        <v>&lt;/li&gt;&lt;li&gt;&lt;a href=|http://darbybible.com/esther/8.htm| title=|Darby Bible Translation| target=|_top|&gt;DBY&lt;/a&gt;</v>
      </c>
      <c r="AO43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3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3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34" t="str">
        <f>CONCATENATE("&lt;/li&gt;&lt;li&gt;&lt;a href=|http://",AR1191,"/esther/8.htm","| ","title=|",AR1190,"| target=|_top|&gt;",AR1192,"&lt;/a&gt;")</f>
        <v>&lt;/li&gt;&lt;li&gt;&lt;a href=|http://websterbible.com/esther/8.htm| title=|Webster's Bible Translation| target=|_top|&gt;WBS&lt;/a&gt;</v>
      </c>
      <c r="AS43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34" t="str">
        <f>CONCATENATE("&lt;/li&gt;&lt;li&gt;&lt;a href=|http://",AT1191,"/esther/8-1.htm","| ","title=|",AT1190,"| target=|_top|&gt;",AT1192,"&lt;/a&gt;")</f>
        <v>&lt;/li&gt;&lt;li&gt;&lt;a href=|http://biblebrowser.com/esther/8-1.htm| title=|Split View| target=|_top|&gt;Split&lt;/a&gt;</v>
      </c>
      <c r="AU434" s="2" t="s">
        <v>1276</v>
      </c>
      <c r="AV434" t="s">
        <v>64</v>
      </c>
    </row>
    <row r="435" spans="1:48">
      <c r="A435" t="s">
        <v>622</v>
      </c>
      <c r="B435" t="s">
        <v>673</v>
      </c>
      <c r="C435" t="s">
        <v>624</v>
      </c>
      <c r="D435" t="s">
        <v>1268</v>
      </c>
      <c r="E435" t="s">
        <v>1277</v>
      </c>
      <c r="F435" t="s">
        <v>1304</v>
      </c>
      <c r="G435" t="s">
        <v>1266</v>
      </c>
      <c r="H435" t="s">
        <v>1305</v>
      </c>
      <c r="I435" t="s">
        <v>1303</v>
      </c>
      <c r="J435" t="s">
        <v>1267</v>
      </c>
      <c r="K435" t="s">
        <v>1275</v>
      </c>
      <c r="L435" s="2" t="s">
        <v>1274</v>
      </c>
      <c r="M435" t="str">
        <f t="shared" ref="M435:AB435" si="1736">CONCATENATE("&lt;/li&gt;&lt;li&gt;&lt;a href=|http://",M1191,"/esther/9.htm","| ","title=|",M1190,"| target=|_top|&gt;",M1192,"&lt;/a&gt;")</f>
        <v>&lt;/li&gt;&lt;li&gt;&lt;a href=|http://niv.scripturetext.com/esther/9.htm| title=|New International Version| target=|_top|&gt;NIV&lt;/a&gt;</v>
      </c>
      <c r="N435" t="str">
        <f t="shared" si="1736"/>
        <v>&lt;/li&gt;&lt;li&gt;&lt;a href=|http://nlt.scripturetext.com/esther/9.htm| title=|New Living Translation| target=|_top|&gt;NLT&lt;/a&gt;</v>
      </c>
      <c r="O435" t="str">
        <f t="shared" si="1736"/>
        <v>&lt;/li&gt;&lt;li&gt;&lt;a href=|http://nasb.scripturetext.com/esther/9.htm| title=|New American Standard Bible| target=|_top|&gt;NAS&lt;/a&gt;</v>
      </c>
      <c r="P435" t="str">
        <f t="shared" si="1736"/>
        <v>&lt;/li&gt;&lt;li&gt;&lt;a href=|http://gwt.scripturetext.com/esther/9.htm| title=|God's Word Translation| target=|_top|&gt;GWT&lt;/a&gt;</v>
      </c>
      <c r="Q435" t="str">
        <f t="shared" si="1736"/>
        <v>&lt;/li&gt;&lt;li&gt;&lt;a href=|http://kingjbible.com/esther/9.htm| title=|King James Bible| target=|_top|&gt;KJV&lt;/a&gt;</v>
      </c>
      <c r="R435" t="str">
        <f t="shared" si="1736"/>
        <v>&lt;/li&gt;&lt;li&gt;&lt;a href=|http://asvbible.com/esther/9.htm| title=|American Standard Version| target=|_top|&gt;ASV&lt;/a&gt;</v>
      </c>
      <c r="S435" t="str">
        <f t="shared" si="1736"/>
        <v>&lt;/li&gt;&lt;li&gt;&lt;a href=|http://drb.scripturetext.com/esther/9.htm| title=|Douay-Rheims Bible| target=|_top|&gt;DRB&lt;/a&gt;</v>
      </c>
      <c r="T435" t="str">
        <f t="shared" si="1736"/>
        <v>&lt;/li&gt;&lt;li&gt;&lt;a href=|http://erv.scripturetext.com/esther/9.htm| title=|English Revised Version| target=|_top|&gt;ERV&lt;/a&gt;</v>
      </c>
      <c r="V435" t="str">
        <f>CONCATENATE("&lt;/li&gt;&lt;li&gt;&lt;a href=|http://",V1191,"/esther/9.htm","| ","title=|",V1190,"| target=|_top|&gt;",V1192,"&lt;/a&gt;")</f>
        <v>&lt;/li&gt;&lt;li&gt;&lt;a href=|http://study.interlinearbible.org/esther/9.htm| title=|Hebrew Study Bible| target=|_top|&gt;Heb Study&lt;/a&gt;</v>
      </c>
      <c r="W435" t="str">
        <f t="shared" si="1736"/>
        <v>&lt;/li&gt;&lt;li&gt;&lt;a href=|http://apostolic.interlinearbible.org/esther/9.htm| title=|Apostolic Bible Polyglot Interlinear| target=|_top|&gt;Polyglot&lt;/a&gt;</v>
      </c>
      <c r="X435" t="str">
        <f t="shared" si="1736"/>
        <v>&lt;/li&gt;&lt;li&gt;&lt;a href=|http://interlinearbible.org/esther/9.htm| title=|Interlinear Bible| target=|_top|&gt;Interlin&lt;/a&gt;</v>
      </c>
      <c r="Y435" t="str">
        <f t="shared" ref="Y435" si="1737">CONCATENATE("&lt;/li&gt;&lt;li&gt;&lt;a href=|http://",Y1191,"/esther/9.htm","| ","title=|",Y1190,"| target=|_top|&gt;",Y1192,"&lt;/a&gt;")</f>
        <v>&lt;/li&gt;&lt;li&gt;&lt;a href=|http://bibleoutline.org/esther/9.htm| title=|Outline with People and Places List| target=|_top|&gt;Outline&lt;/a&gt;</v>
      </c>
      <c r="Z435" t="str">
        <f t="shared" si="1736"/>
        <v>&lt;/li&gt;&lt;li&gt;&lt;a href=|http://kjvs.scripturetext.com/esther/9.htm| title=|King James Bible with Strong's Numbers| target=|_top|&gt;Strong's&lt;/a&gt;</v>
      </c>
      <c r="AA435" t="str">
        <f t="shared" si="1736"/>
        <v>&lt;/li&gt;&lt;li&gt;&lt;a href=|http://childrensbibleonline.com/esther/9.htm| title=|The Children's Bible| target=|_top|&gt;Children's&lt;/a&gt;</v>
      </c>
      <c r="AB435" s="2" t="str">
        <f t="shared" si="1736"/>
        <v>&lt;/li&gt;&lt;li&gt;&lt;a href=|http://tsk.scripturetext.com/esther/9.htm| title=|Treasury of Scripture Knowledge| target=|_top|&gt;TSK&lt;/a&gt;</v>
      </c>
      <c r="AC435" t="str">
        <f>CONCATENATE("&lt;a href=|http://",AC1191,"/esther/9.htm","| ","title=|",AC1190,"| target=|_top|&gt;",AC1192,"&lt;/a&gt;")</f>
        <v>&lt;a href=|http://parallelbible.com/esther/9.htm| title=|Parallel Chapters| target=|_top|&gt;PAR&lt;/a&gt;</v>
      </c>
      <c r="AD435" s="2" t="str">
        <f t="shared" ref="AD435:AK435" si="1738">CONCATENATE("&lt;/li&gt;&lt;li&gt;&lt;a href=|http://",AD1191,"/esther/9.htm","| ","title=|",AD1190,"| target=|_top|&gt;",AD1192,"&lt;/a&gt;")</f>
        <v>&lt;/li&gt;&lt;li&gt;&lt;a href=|http://gsb.biblecommenter.com/esther/9.htm| title=|Geneva Study Bible| target=|_top|&gt;GSB&lt;/a&gt;</v>
      </c>
      <c r="AE435" s="2" t="str">
        <f t="shared" si="1738"/>
        <v>&lt;/li&gt;&lt;li&gt;&lt;a href=|http://jfb.biblecommenter.com/esther/9.htm| title=|Jamieson-Fausset-Brown Bible Commentary| target=|_top|&gt;JFB&lt;/a&gt;</v>
      </c>
      <c r="AF435" s="2" t="str">
        <f t="shared" si="1738"/>
        <v>&lt;/li&gt;&lt;li&gt;&lt;a href=|http://kjt.biblecommenter.com/esther/9.htm| title=|King James Translators' Notes| target=|_top|&gt;KJT&lt;/a&gt;</v>
      </c>
      <c r="AG435" s="2" t="str">
        <f t="shared" si="1738"/>
        <v>&lt;/li&gt;&lt;li&gt;&lt;a href=|http://mhc.biblecommenter.com/esther/9.htm| title=|Matthew Henry's Concise Commentary| target=|_top|&gt;MHC&lt;/a&gt;</v>
      </c>
      <c r="AH435" s="2" t="str">
        <f t="shared" si="1738"/>
        <v>&lt;/li&gt;&lt;li&gt;&lt;a href=|http://sco.biblecommenter.com/esther/9.htm| title=|Scofield Reference Notes| target=|_top|&gt;SCO&lt;/a&gt;</v>
      </c>
      <c r="AI435" s="2" t="str">
        <f t="shared" si="1738"/>
        <v>&lt;/li&gt;&lt;li&gt;&lt;a href=|http://wes.biblecommenter.com/esther/9.htm| title=|Wesley's Notes on the Bible| target=|_top|&gt;WES&lt;/a&gt;</v>
      </c>
      <c r="AJ435" t="str">
        <f t="shared" si="1738"/>
        <v>&lt;/li&gt;&lt;li&gt;&lt;a href=|http://worldebible.com/esther/9.htm| title=|World English Bible| target=|_top|&gt;WEB&lt;/a&gt;</v>
      </c>
      <c r="AK435" t="str">
        <f t="shared" si="1738"/>
        <v>&lt;/li&gt;&lt;li&gt;&lt;a href=|http://yltbible.com/esther/9.htm| title=|Young's Literal Translation| target=|_top|&gt;YLT&lt;/a&gt;</v>
      </c>
      <c r="AL435" t="str">
        <f>CONCATENATE("&lt;a href=|http://",AL1191,"/esther/9.htm","| ","title=|",AL1190,"| target=|_top|&gt;",AL1192,"&lt;/a&gt;")</f>
        <v>&lt;a href=|http://kjv.us/esther/9.htm| title=|American King James Version| target=|_top|&gt;AKJ&lt;/a&gt;</v>
      </c>
      <c r="AM435" t="str">
        <f t="shared" ref="AM435:AN435" si="1739">CONCATENATE("&lt;/li&gt;&lt;li&gt;&lt;a href=|http://",AM1191,"/esther/9.htm","| ","title=|",AM1190,"| target=|_top|&gt;",AM1192,"&lt;/a&gt;")</f>
        <v>&lt;/li&gt;&lt;li&gt;&lt;a href=|http://basicenglishbible.com/esther/9.htm| title=|Bible in Basic English| target=|_top|&gt;BBE&lt;/a&gt;</v>
      </c>
      <c r="AN435" t="str">
        <f t="shared" si="1739"/>
        <v>&lt;/li&gt;&lt;li&gt;&lt;a href=|http://darbybible.com/esther/9.htm| title=|Darby Bible Translation| target=|_top|&gt;DBY&lt;/a&gt;</v>
      </c>
      <c r="AO43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3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3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35" t="str">
        <f>CONCATENATE("&lt;/li&gt;&lt;li&gt;&lt;a href=|http://",AR1191,"/esther/9.htm","| ","title=|",AR1190,"| target=|_top|&gt;",AR1192,"&lt;/a&gt;")</f>
        <v>&lt;/li&gt;&lt;li&gt;&lt;a href=|http://websterbible.com/esther/9.htm| title=|Webster's Bible Translation| target=|_top|&gt;WBS&lt;/a&gt;</v>
      </c>
      <c r="AS43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35" t="str">
        <f>CONCATENATE("&lt;/li&gt;&lt;li&gt;&lt;a href=|http://",AT1191,"/esther/9-1.htm","| ","title=|",AT1190,"| target=|_top|&gt;",AT1192,"&lt;/a&gt;")</f>
        <v>&lt;/li&gt;&lt;li&gt;&lt;a href=|http://biblebrowser.com/esther/9-1.htm| title=|Split View| target=|_top|&gt;Split&lt;/a&gt;</v>
      </c>
      <c r="AU435" s="2" t="s">
        <v>1276</v>
      </c>
      <c r="AV435" t="s">
        <v>64</v>
      </c>
    </row>
    <row r="436" spans="1:48">
      <c r="A436" t="s">
        <v>622</v>
      </c>
      <c r="B436" t="s">
        <v>674</v>
      </c>
      <c r="C436" t="s">
        <v>624</v>
      </c>
      <c r="D436" t="s">
        <v>1268</v>
      </c>
      <c r="E436" t="s">
        <v>1277</v>
      </c>
      <c r="F436" t="s">
        <v>1304</v>
      </c>
      <c r="G436" t="s">
        <v>1266</v>
      </c>
      <c r="H436" t="s">
        <v>1305</v>
      </c>
      <c r="I436" t="s">
        <v>1303</v>
      </c>
      <c r="J436" t="s">
        <v>1267</v>
      </c>
      <c r="K436" t="s">
        <v>1275</v>
      </c>
      <c r="L436" s="2" t="s">
        <v>1274</v>
      </c>
      <c r="M436" t="str">
        <f t="shared" ref="M436:AB436" si="1740">CONCATENATE("&lt;/li&gt;&lt;li&gt;&lt;a href=|http://",M1191,"/esther/10.htm","| ","title=|",M1190,"| target=|_top|&gt;",M1192,"&lt;/a&gt;")</f>
        <v>&lt;/li&gt;&lt;li&gt;&lt;a href=|http://niv.scripturetext.com/esther/10.htm| title=|New International Version| target=|_top|&gt;NIV&lt;/a&gt;</v>
      </c>
      <c r="N436" t="str">
        <f t="shared" si="1740"/>
        <v>&lt;/li&gt;&lt;li&gt;&lt;a href=|http://nlt.scripturetext.com/esther/10.htm| title=|New Living Translation| target=|_top|&gt;NLT&lt;/a&gt;</v>
      </c>
      <c r="O436" t="str">
        <f t="shared" si="1740"/>
        <v>&lt;/li&gt;&lt;li&gt;&lt;a href=|http://nasb.scripturetext.com/esther/10.htm| title=|New American Standard Bible| target=|_top|&gt;NAS&lt;/a&gt;</v>
      </c>
      <c r="P436" t="str">
        <f t="shared" si="1740"/>
        <v>&lt;/li&gt;&lt;li&gt;&lt;a href=|http://gwt.scripturetext.com/esther/10.htm| title=|God's Word Translation| target=|_top|&gt;GWT&lt;/a&gt;</v>
      </c>
      <c r="Q436" t="str">
        <f t="shared" si="1740"/>
        <v>&lt;/li&gt;&lt;li&gt;&lt;a href=|http://kingjbible.com/esther/10.htm| title=|King James Bible| target=|_top|&gt;KJV&lt;/a&gt;</v>
      </c>
      <c r="R436" t="str">
        <f t="shared" si="1740"/>
        <v>&lt;/li&gt;&lt;li&gt;&lt;a href=|http://asvbible.com/esther/10.htm| title=|American Standard Version| target=|_top|&gt;ASV&lt;/a&gt;</v>
      </c>
      <c r="S436" t="str">
        <f t="shared" si="1740"/>
        <v>&lt;/li&gt;&lt;li&gt;&lt;a href=|http://drb.scripturetext.com/esther/10.htm| title=|Douay-Rheims Bible| target=|_top|&gt;DRB&lt;/a&gt;</v>
      </c>
      <c r="T436" t="str">
        <f t="shared" si="1740"/>
        <v>&lt;/li&gt;&lt;li&gt;&lt;a href=|http://erv.scripturetext.com/esther/10.htm| title=|English Revised Version| target=|_top|&gt;ERV&lt;/a&gt;</v>
      </c>
      <c r="V436" t="str">
        <f>CONCATENATE("&lt;/li&gt;&lt;li&gt;&lt;a href=|http://",V1191,"/esther/10.htm","| ","title=|",V1190,"| target=|_top|&gt;",V1192,"&lt;/a&gt;")</f>
        <v>&lt;/li&gt;&lt;li&gt;&lt;a href=|http://study.interlinearbible.org/esther/10.htm| title=|Hebrew Study Bible| target=|_top|&gt;Heb Study&lt;/a&gt;</v>
      </c>
      <c r="W436" t="str">
        <f t="shared" si="1740"/>
        <v>&lt;/li&gt;&lt;li&gt;&lt;a href=|http://apostolic.interlinearbible.org/esther/10.htm| title=|Apostolic Bible Polyglot Interlinear| target=|_top|&gt;Polyglot&lt;/a&gt;</v>
      </c>
      <c r="X436" t="str">
        <f t="shared" si="1740"/>
        <v>&lt;/li&gt;&lt;li&gt;&lt;a href=|http://interlinearbible.org/esther/10.htm| title=|Interlinear Bible| target=|_top|&gt;Interlin&lt;/a&gt;</v>
      </c>
      <c r="Y436" t="str">
        <f t="shared" ref="Y436" si="1741">CONCATENATE("&lt;/li&gt;&lt;li&gt;&lt;a href=|http://",Y1191,"/esther/10.htm","| ","title=|",Y1190,"| target=|_top|&gt;",Y1192,"&lt;/a&gt;")</f>
        <v>&lt;/li&gt;&lt;li&gt;&lt;a href=|http://bibleoutline.org/esther/10.htm| title=|Outline with People and Places List| target=|_top|&gt;Outline&lt;/a&gt;</v>
      </c>
      <c r="Z436" t="str">
        <f t="shared" si="1740"/>
        <v>&lt;/li&gt;&lt;li&gt;&lt;a href=|http://kjvs.scripturetext.com/esther/10.htm| title=|King James Bible with Strong's Numbers| target=|_top|&gt;Strong's&lt;/a&gt;</v>
      </c>
      <c r="AA436" t="str">
        <f t="shared" si="1740"/>
        <v>&lt;/li&gt;&lt;li&gt;&lt;a href=|http://childrensbibleonline.com/esther/10.htm| title=|The Children's Bible| target=|_top|&gt;Children's&lt;/a&gt;</v>
      </c>
      <c r="AB436" s="2" t="str">
        <f t="shared" si="1740"/>
        <v>&lt;/li&gt;&lt;li&gt;&lt;a href=|http://tsk.scripturetext.com/esther/10.htm| title=|Treasury of Scripture Knowledge| target=|_top|&gt;TSK&lt;/a&gt;</v>
      </c>
      <c r="AC436" t="str">
        <f>CONCATENATE("&lt;a href=|http://",AC1191,"/esther/10.htm","| ","title=|",AC1190,"| target=|_top|&gt;",AC1192,"&lt;/a&gt;")</f>
        <v>&lt;a href=|http://parallelbible.com/esther/10.htm| title=|Parallel Chapters| target=|_top|&gt;PAR&lt;/a&gt;</v>
      </c>
      <c r="AD436" s="2" t="str">
        <f t="shared" ref="AD436:AK436" si="1742">CONCATENATE("&lt;/li&gt;&lt;li&gt;&lt;a href=|http://",AD1191,"/esther/10.htm","| ","title=|",AD1190,"| target=|_top|&gt;",AD1192,"&lt;/a&gt;")</f>
        <v>&lt;/li&gt;&lt;li&gt;&lt;a href=|http://gsb.biblecommenter.com/esther/10.htm| title=|Geneva Study Bible| target=|_top|&gt;GSB&lt;/a&gt;</v>
      </c>
      <c r="AE436" s="2" t="str">
        <f t="shared" si="1742"/>
        <v>&lt;/li&gt;&lt;li&gt;&lt;a href=|http://jfb.biblecommenter.com/esther/10.htm| title=|Jamieson-Fausset-Brown Bible Commentary| target=|_top|&gt;JFB&lt;/a&gt;</v>
      </c>
      <c r="AF436" s="2" t="str">
        <f t="shared" si="1742"/>
        <v>&lt;/li&gt;&lt;li&gt;&lt;a href=|http://kjt.biblecommenter.com/esther/10.htm| title=|King James Translators' Notes| target=|_top|&gt;KJT&lt;/a&gt;</v>
      </c>
      <c r="AG436" s="2" t="str">
        <f t="shared" si="1742"/>
        <v>&lt;/li&gt;&lt;li&gt;&lt;a href=|http://mhc.biblecommenter.com/esther/10.htm| title=|Matthew Henry's Concise Commentary| target=|_top|&gt;MHC&lt;/a&gt;</v>
      </c>
      <c r="AH436" s="2" t="str">
        <f t="shared" si="1742"/>
        <v>&lt;/li&gt;&lt;li&gt;&lt;a href=|http://sco.biblecommenter.com/esther/10.htm| title=|Scofield Reference Notes| target=|_top|&gt;SCO&lt;/a&gt;</v>
      </c>
      <c r="AI436" s="2" t="str">
        <f t="shared" si="1742"/>
        <v>&lt;/li&gt;&lt;li&gt;&lt;a href=|http://wes.biblecommenter.com/esther/10.htm| title=|Wesley's Notes on the Bible| target=|_top|&gt;WES&lt;/a&gt;</v>
      </c>
      <c r="AJ436" t="str">
        <f t="shared" si="1742"/>
        <v>&lt;/li&gt;&lt;li&gt;&lt;a href=|http://worldebible.com/esther/10.htm| title=|World English Bible| target=|_top|&gt;WEB&lt;/a&gt;</v>
      </c>
      <c r="AK436" t="str">
        <f t="shared" si="1742"/>
        <v>&lt;/li&gt;&lt;li&gt;&lt;a href=|http://yltbible.com/esther/10.htm| title=|Young's Literal Translation| target=|_top|&gt;YLT&lt;/a&gt;</v>
      </c>
      <c r="AL436" t="str">
        <f>CONCATENATE("&lt;a href=|http://",AL1191,"/esther/10.htm","| ","title=|",AL1190,"| target=|_top|&gt;",AL1192,"&lt;/a&gt;")</f>
        <v>&lt;a href=|http://kjv.us/esther/10.htm| title=|American King James Version| target=|_top|&gt;AKJ&lt;/a&gt;</v>
      </c>
      <c r="AM436" t="str">
        <f t="shared" ref="AM436:AN436" si="1743">CONCATENATE("&lt;/li&gt;&lt;li&gt;&lt;a href=|http://",AM1191,"/esther/10.htm","| ","title=|",AM1190,"| target=|_top|&gt;",AM1192,"&lt;/a&gt;")</f>
        <v>&lt;/li&gt;&lt;li&gt;&lt;a href=|http://basicenglishbible.com/esther/10.htm| title=|Bible in Basic English| target=|_top|&gt;BBE&lt;/a&gt;</v>
      </c>
      <c r="AN436" t="str">
        <f t="shared" si="1743"/>
        <v>&lt;/li&gt;&lt;li&gt;&lt;a href=|http://darbybible.com/esther/10.htm| title=|Darby Bible Translation| target=|_top|&gt;DBY&lt;/a&gt;</v>
      </c>
      <c r="AO43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3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3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36" t="str">
        <f>CONCATENATE("&lt;/li&gt;&lt;li&gt;&lt;a href=|http://",AR1191,"/esther/10.htm","| ","title=|",AR1190,"| target=|_top|&gt;",AR1192,"&lt;/a&gt;")</f>
        <v>&lt;/li&gt;&lt;li&gt;&lt;a href=|http://websterbible.com/esther/10.htm| title=|Webster's Bible Translation| target=|_top|&gt;WBS&lt;/a&gt;</v>
      </c>
      <c r="AS43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36" t="str">
        <f>CONCATENATE("&lt;/li&gt;&lt;li&gt;&lt;a href=|http://",AT1191,"/esther/10-1.htm","| ","title=|",AT1190,"| target=|_top|&gt;",AT1192,"&lt;/a&gt;")</f>
        <v>&lt;/li&gt;&lt;li&gt;&lt;a href=|http://biblebrowser.com/esther/10-1.htm| title=|Split View| target=|_top|&gt;Split&lt;/a&gt;</v>
      </c>
      <c r="AU436" s="2" t="s">
        <v>1276</v>
      </c>
      <c r="AV436" t="s">
        <v>64</v>
      </c>
    </row>
    <row r="437" spans="1:48">
      <c r="A437" t="s">
        <v>622</v>
      </c>
      <c r="B437" t="s">
        <v>675</v>
      </c>
      <c r="C437" t="s">
        <v>624</v>
      </c>
      <c r="D437" t="s">
        <v>1268</v>
      </c>
      <c r="E437" t="s">
        <v>1277</v>
      </c>
      <c r="F437" t="s">
        <v>1304</v>
      </c>
      <c r="G437" t="s">
        <v>1266</v>
      </c>
      <c r="H437" t="s">
        <v>1305</v>
      </c>
      <c r="I437" t="s">
        <v>1303</v>
      </c>
      <c r="J437" t="s">
        <v>1267</v>
      </c>
      <c r="K437" t="s">
        <v>1275</v>
      </c>
      <c r="L437" s="2" t="s">
        <v>1274</v>
      </c>
      <c r="M437" t="str">
        <f t="shared" ref="M437:AB437" si="1744">CONCATENATE("&lt;/li&gt;&lt;li&gt;&lt;a href=|http://",M1191,"/job/1.htm","| ","title=|",M1190,"| target=|_top|&gt;",M1192,"&lt;/a&gt;")</f>
        <v>&lt;/li&gt;&lt;li&gt;&lt;a href=|http://niv.scripturetext.com/job/1.htm| title=|New International Version| target=|_top|&gt;NIV&lt;/a&gt;</v>
      </c>
      <c r="N437" t="str">
        <f t="shared" si="1744"/>
        <v>&lt;/li&gt;&lt;li&gt;&lt;a href=|http://nlt.scripturetext.com/job/1.htm| title=|New Living Translation| target=|_top|&gt;NLT&lt;/a&gt;</v>
      </c>
      <c r="O437" t="str">
        <f t="shared" si="1744"/>
        <v>&lt;/li&gt;&lt;li&gt;&lt;a href=|http://nasb.scripturetext.com/job/1.htm| title=|New American Standard Bible| target=|_top|&gt;NAS&lt;/a&gt;</v>
      </c>
      <c r="P437" t="str">
        <f t="shared" si="1744"/>
        <v>&lt;/li&gt;&lt;li&gt;&lt;a href=|http://gwt.scripturetext.com/job/1.htm| title=|God's Word Translation| target=|_top|&gt;GWT&lt;/a&gt;</v>
      </c>
      <c r="Q437" t="str">
        <f t="shared" si="1744"/>
        <v>&lt;/li&gt;&lt;li&gt;&lt;a href=|http://kingjbible.com/job/1.htm| title=|King James Bible| target=|_top|&gt;KJV&lt;/a&gt;</v>
      </c>
      <c r="R437" t="str">
        <f t="shared" si="1744"/>
        <v>&lt;/li&gt;&lt;li&gt;&lt;a href=|http://asvbible.com/job/1.htm| title=|American Standard Version| target=|_top|&gt;ASV&lt;/a&gt;</v>
      </c>
      <c r="S437" t="str">
        <f t="shared" si="1744"/>
        <v>&lt;/li&gt;&lt;li&gt;&lt;a href=|http://drb.scripturetext.com/job/1.htm| title=|Douay-Rheims Bible| target=|_top|&gt;DRB&lt;/a&gt;</v>
      </c>
      <c r="T437" t="str">
        <f t="shared" si="1744"/>
        <v>&lt;/li&gt;&lt;li&gt;&lt;a href=|http://erv.scripturetext.com/job/1.htm| title=|English Revised Version| target=|_top|&gt;ERV&lt;/a&gt;</v>
      </c>
      <c r="V437" t="str">
        <f>CONCATENATE("&lt;/li&gt;&lt;li&gt;&lt;a href=|http://",V1191,"/job/1.htm","| ","title=|",V1190,"| target=|_top|&gt;",V1192,"&lt;/a&gt;")</f>
        <v>&lt;/li&gt;&lt;li&gt;&lt;a href=|http://study.interlinearbible.org/job/1.htm| title=|Hebrew Study Bible| target=|_top|&gt;Heb Study&lt;/a&gt;</v>
      </c>
      <c r="W437" t="str">
        <f t="shared" si="1744"/>
        <v>&lt;/li&gt;&lt;li&gt;&lt;a href=|http://apostolic.interlinearbible.org/job/1.htm| title=|Apostolic Bible Polyglot Interlinear| target=|_top|&gt;Polyglot&lt;/a&gt;</v>
      </c>
      <c r="X437" t="str">
        <f t="shared" si="1744"/>
        <v>&lt;/li&gt;&lt;li&gt;&lt;a href=|http://interlinearbible.org/job/1.htm| title=|Interlinear Bible| target=|_top|&gt;Interlin&lt;/a&gt;</v>
      </c>
      <c r="Y437" t="str">
        <f t="shared" ref="Y437" si="1745">CONCATENATE("&lt;/li&gt;&lt;li&gt;&lt;a href=|http://",Y1191,"/job/1.htm","| ","title=|",Y1190,"| target=|_top|&gt;",Y1192,"&lt;/a&gt;")</f>
        <v>&lt;/li&gt;&lt;li&gt;&lt;a href=|http://bibleoutline.org/job/1.htm| title=|Outline with People and Places List| target=|_top|&gt;Outline&lt;/a&gt;</v>
      </c>
      <c r="Z437" t="str">
        <f t="shared" si="1744"/>
        <v>&lt;/li&gt;&lt;li&gt;&lt;a href=|http://kjvs.scripturetext.com/job/1.htm| title=|King James Bible with Strong's Numbers| target=|_top|&gt;Strong's&lt;/a&gt;</v>
      </c>
      <c r="AA437" t="str">
        <f t="shared" si="1744"/>
        <v>&lt;/li&gt;&lt;li&gt;&lt;a href=|http://childrensbibleonline.com/job/1.htm| title=|The Children's Bible| target=|_top|&gt;Children's&lt;/a&gt;</v>
      </c>
      <c r="AB437" s="2" t="str">
        <f t="shared" si="1744"/>
        <v>&lt;/li&gt;&lt;li&gt;&lt;a href=|http://tsk.scripturetext.com/job/1.htm| title=|Treasury of Scripture Knowledge| target=|_top|&gt;TSK&lt;/a&gt;</v>
      </c>
      <c r="AC437" t="str">
        <f>CONCATENATE("&lt;a href=|http://",AC1191,"/job/1.htm","| ","title=|",AC1190,"| target=|_top|&gt;",AC1192,"&lt;/a&gt;")</f>
        <v>&lt;a href=|http://parallelbible.com/job/1.htm| title=|Parallel Chapters| target=|_top|&gt;PAR&lt;/a&gt;</v>
      </c>
      <c r="AD437" s="2" t="str">
        <f t="shared" ref="AD437:AK437" si="1746">CONCATENATE("&lt;/li&gt;&lt;li&gt;&lt;a href=|http://",AD1191,"/job/1.htm","| ","title=|",AD1190,"| target=|_top|&gt;",AD1192,"&lt;/a&gt;")</f>
        <v>&lt;/li&gt;&lt;li&gt;&lt;a href=|http://gsb.biblecommenter.com/job/1.htm| title=|Geneva Study Bible| target=|_top|&gt;GSB&lt;/a&gt;</v>
      </c>
      <c r="AE437" s="2" t="str">
        <f t="shared" si="1746"/>
        <v>&lt;/li&gt;&lt;li&gt;&lt;a href=|http://jfb.biblecommenter.com/job/1.htm| title=|Jamieson-Fausset-Brown Bible Commentary| target=|_top|&gt;JFB&lt;/a&gt;</v>
      </c>
      <c r="AF437" s="2" t="str">
        <f t="shared" si="1746"/>
        <v>&lt;/li&gt;&lt;li&gt;&lt;a href=|http://kjt.biblecommenter.com/job/1.htm| title=|King James Translators' Notes| target=|_top|&gt;KJT&lt;/a&gt;</v>
      </c>
      <c r="AG437" s="2" t="str">
        <f t="shared" si="1746"/>
        <v>&lt;/li&gt;&lt;li&gt;&lt;a href=|http://mhc.biblecommenter.com/job/1.htm| title=|Matthew Henry's Concise Commentary| target=|_top|&gt;MHC&lt;/a&gt;</v>
      </c>
      <c r="AH437" s="2" t="str">
        <f t="shared" si="1746"/>
        <v>&lt;/li&gt;&lt;li&gt;&lt;a href=|http://sco.biblecommenter.com/job/1.htm| title=|Scofield Reference Notes| target=|_top|&gt;SCO&lt;/a&gt;</v>
      </c>
      <c r="AI437" s="2" t="str">
        <f t="shared" si="1746"/>
        <v>&lt;/li&gt;&lt;li&gt;&lt;a href=|http://wes.biblecommenter.com/job/1.htm| title=|Wesley's Notes on the Bible| target=|_top|&gt;WES&lt;/a&gt;</v>
      </c>
      <c r="AJ437" t="str">
        <f t="shared" si="1746"/>
        <v>&lt;/li&gt;&lt;li&gt;&lt;a href=|http://worldebible.com/job/1.htm| title=|World English Bible| target=|_top|&gt;WEB&lt;/a&gt;</v>
      </c>
      <c r="AK437" t="str">
        <f t="shared" si="1746"/>
        <v>&lt;/li&gt;&lt;li&gt;&lt;a href=|http://yltbible.com/job/1.htm| title=|Young's Literal Translation| target=|_top|&gt;YLT&lt;/a&gt;</v>
      </c>
      <c r="AL437" t="str">
        <f>CONCATENATE("&lt;a href=|http://",AL1191,"/job/1.htm","| ","title=|",AL1190,"| target=|_top|&gt;",AL1192,"&lt;/a&gt;")</f>
        <v>&lt;a href=|http://kjv.us/job/1.htm| title=|American King James Version| target=|_top|&gt;AKJ&lt;/a&gt;</v>
      </c>
      <c r="AM437" t="str">
        <f t="shared" ref="AM437:AN437" si="1747">CONCATENATE("&lt;/li&gt;&lt;li&gt;&lt;a href=|http://",AM1191,"/job/1.htm","| ","title=|",AM1190,"| target=|_top|&gt;",AM1192,"&lt;/a&gt;")</f>
        <v>&lt;/li&gt;&lt;li&gt;&lt;a href=|http://basicenglishbible.com/job/1.htm| title=|Bible in Basic English| target=|_top|&gt;BBE&lt;/a&gt;</v>
      </c>
      <c r="AN437" t="str">
        <f t="shared" si="1747"/>
        <v>&lt;/li&gt;&lt;li&gt;&lt;a href=|http://darbybible.com/job/1.htm| title=|Darby Bible Translation| target=|_top|&gt;DBY&lt;/a&gt;</v>
      </c>
      <c r="AO43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3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3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37" t="str">
        <f>CONCATENATE("&lt;/li&gt;&lt;li&gt;&lt;a href=|http://",AR1191,"/job/1.htm","| ","title=|",AR1190,"| target=|_top|&gt;",AR1192,"&lt;/a&gt;")</f>
        <v>&lt;/li&gt;&lt;li&gt;&lt;a href=|http://websterbible.com/job/1.htm| title=|Webster's Bible Translation| target=|_top|&gt;WBS&lt;/a&gt;</v>
      </c>
      <c r="AS43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37" t="str">
        <f>CONCATENATE("&lt;/li&gt;&lt;li&gt;&lt;a href=|http://",AT1191,"/job/1-1.htm","| ","title=|",AT1190,"| target=|_top|&gt;",AT1192,"&lt;/a&gt;")</f>
        <v>&lt;/li&gt;&lt;li&gt;&lt;a href=|http://biblebrowser.com/job/1-1.htm| title=|Split View| target=|_top|&gt;Split&lt;/a&gt;</v>
      </c>
      <c r="AU437" s="2" t="s">
        <v>1276</v>
      </c>
      <c r="AV437" t="s">
        <v>64</v>
      </c>
    </row>
    <row r="438" spans="1:48">
      <c r="A438" t="s">
        <v>622</v>
      </c>
      <c r="B438" t="s">
        <v>676</v>
      </c>
      <c r="C438" t="s">
        <v>624</v>
      </c>
      <c r="D438" t="s">
        <v>1268</v>
      </c>
      <c r="E438" t="s">
        <v>1277</v>
      </c>
      <c r="F438" t="s">
        <v>1304</v>
      </c>
      <c r="G438" t="s">
        <v>1266</v>
      </c>
      <c r="H438" t="s">
        <v>1305</v>
      </c>
      <c r="I438" t="s">
        <v>1303</v>
      </c>
      <c r="J438" t="s">
        <v>1267</v>
      </c>
      <c r="K438" t="s">
        <v>1275</v>
      </c>
      <c r="L438" s="2" t="s">
        <v>1274</v>
      </c>
      <c r="M438" t="str">
        <f t="shared" ref="M438:AB438" si="1748">CONCATENATE("&lt;/li&gt;&lt;li&gt;&lt;a href=|http://",M1191,"/job/2.htm","| ","title=|",M1190,"| target=|_top|&gt;",M1192,"&lt;/a&gt;")</f>
        <v>&lt;/li&gt;&lt;li&gt;&lt;a href=|http://niv.scripturetext.com/job/2.htm| title=|New International Version| target=|_top|&gt;NIV&lt;/a&gt;</v>
      </c>
      <c r="N438" t="str">
        <f t="shared" si="1748"/>
        <v>&lt;/li&gt;&lt;li&gt;&lt;a href=|http://nlt.scripturetext.com/job/2.htm| title=|New Living Translation| target=|_top|&gt;NLT&lt;/a&gt;</v>
      </c>
      <c r="O438" t="str">
        <f t="shared" si="1748"/>
        <v>&lt;/li&gt;&lt;li&gt;&lt;a href=|http://nasb.scripturetext.com/job/2.htm| title=|New American Standard Bible| target=|_top|&gt;NAS&lt;/a&gt;</v>
      </c>
      <c r="P438" t="str">
        <f t="shared" si="1748"/>
        <v>&lt;/li&gt;&lt;li&gt;&lt;a href=|http://gwt.scripturetext.com/job/2.htm| title=|God's Word Translation| target=|_top|&gt;GWT&lt;/a&gt;</v>
      </c>
      <c r="Q438" t="str">
        <f t="shared" si="1748"/>
        <v>&lt;/li&gt;&lt;li&gt;&lt;a href=|http://kingjbible.com/job/2.htm| title=|King James Bible| target=|_top|&gt;KJV&lt;/a&gt;</v>
      </c>
      <c r="R438" t="str">
        <f t="shared" si="1748"/>
        <v>&lt;/li&gt;&lt;li&gt;&lt;a href=|http://asvbible.com/job/2.htm| title=|American Standard Version| target=|_top|&gt;ASV&lt;/a&gt;</v>
      </c>
      <c r="S438" t="str">
        <f t="shared" si="1748"/>
        <v>&lt;/li&gt;&lt;li&gt;&lt;a href=|http://drb.scripturetext.com/job/2.htm| title=|Douay-Rheims Bible| target=|_top|&gt;DRB&lt;/a&gt;</v>
      </c>
      <c r="T438" t="str">
        <f t="shared" si="1748"/>
        <v>&lt;/li&gt;&lt;li&gt;&lt;a href=|http://erv.scripturetext.com/job/2.htm| title=|English Revised Version| target=|_top|&gt;ERV&lt;/a&gt;</v>
      </c>
      <c r="V438" t="str">
        <f>CONCATENATE("&lt;/li&gt;&lt;li&gt;&lt;a href=|http://",V1191,"/job/2.htm","| ","title=|",V1190,"| target=|_top|&gt;",V1192,"&lt;/a&gt;")</f>
        <v>&lt;/li&gt;&lt;li&gt;&lt;a href=|http://study.interlinearbible.org/job/2.htm| title=|Hebrew Study Bible| target=|_top|&gt;Heb Study&lt;/a&gt;</v>
      </c>
      <c r="W438" t="str">
        <f t="shared" si="1748"/>
        <v>&lt;/li&gt;&lt;li&gt;&lt;a href=|http://apostolic.interlinearbible.org/job/2.htm| title=|Apostolic Bible Polyglot Interlinear| target=|_top|&gt;Polyglot&lt;/a&gt;</v>
      </c>
      <c r="X438" t="str">
        <f t="shared" si="1748"/>
        <v>&lt;/li&gt;&lt;li&gt;&lt;a href=|http://interlinearbible.org/job/2.htm| title=|Interlinear Bible| target=|_top|&gt;Interlin&lt;/a&gt;</v>
      </c>
      <c r="Y438" t="str">
        <f t="shared" ref="Y438" si="1749">CONCATENATE("&lt;/li&gt;&lt;li&gt;&lt;a href=|http://",Y1191,"/job/2.htm","| ","title=|",Y1190,"| target=|_top|&gt;",Y1192,"&lt;/a&gt;")</f>
        <v>&lt;/li&gt;&lt;li&gt;&lt;a href=|http://bibleoutline.org/job/2.htm| title=|Outline with People and Places List| target=|_top|&gt;Outline&lt;/a&gt;</v>
      </c>
      <c r="Z438" t="str">
        <f t="shared" si="1748"/>
        <v>&lt;/li&gt;&lt;li&gt;&lt;a href=|http://kjvs.scripturetext.com/job/2.htm| title=|King James Bible with Strong's Numbers| target=|_top|&gt;Strong's&lt;/a&gt;</v>
      </c>
      <c r="AA438" t="str">
        <f t="shared" si="1748"/>
        <v>&lt;/li&gt;&lt;li&gt;&lt;a href=|http://childrensbibleonline.com/job/2.htm| title=|The Children's Bible| target=|_top|&gt;Children's&lt;/a&gt;</v>
      </c>
      <c r="AB438" s="2" t="str">
        <f t="shared" si="1748"/>
        <v>&lt;/li&gt;&lt;li&gt;&lt;a href=|http://tsk.scripturetext.com/job/2.htm| title=|Treasury of Scripture Knowledge| target=|_top|&gt;TSK&lt;/a&gt;</v>
      </c>
      <c r="AC438" t="str">
        <f>CONCATENATE("&lt;a href=|http://",AC1191,"/job/2.htm","| ","title=|",AC1190,"| target=|_top|&gt;",AC1192,"&lt;/a&gt;")</f>
        <v>&lt;a href=|http://parallelbible.com/job/2.htm| title=|Parallel Chapters| target=|_top|&gt;PAR&lt;/a&gt;</v>
      </c>
      <c r="AD438" s="2" t="str">
        <f t="shared" ref="AD438:AK438" si="1750">CONCATENATE("&lt;/li&gt;&lt;li&gt;&lt;a href=|http://",AD1191,"/job/2.htm","| ","title=|",AD1190,"| target=|_top|&gt;",AD1192,"&lt;/a&gt;")</f>
        <v>&lt;/li&gt;&lt;li&gt;&lt;a href=|http://gsb.biblecommenter.com/job/2.htm| title=|Geneva Study Bible| target=|_top|&gt;GSB&lt;/a&gt;</v>
      </c>
      <c r="AE438" s="2" t="str">
        <f t="shared" si="1750"/>
        <v>&lt;/li&gt;&lt;li&gt;&lt;a href=|http://jfb.biblecommenter.com/job/2.htm| title=|Jamieson-Fausset-Brown Bible Commentary| target=|_top|&gt;JFB&lt;/a&gt;</v>
      </c>
      <c r="AF438" s="2" t="str">
        <f t="shared" si="1750"/>
        <v>&lt;/li&gt;&lt;li&gt;&lt;a href=|http://kjt.biblecommenter.com/job/2.htm| title=|King James Translators' Notes| target=|_top|&gt;KJT&lt;/a&gt;</v>
      </c>
      <c r="AG438" s="2" t="str">
        <f t="shared" si="1750"/>
        <v>&lt;/li&gt;&lt;li&gt;&lt;a href=|http://mhc.biblecommenter.com/job/2.htm| title=|Matthew Henry's Concise Commentary| target=|_top|&gt;MHC&lt;/a&gt;</v>
      </c>
      <c r="AH438" s="2" t="str">
        <f t="shared" si="1750"/>
        <v>&lt;/li&gt;&lt;li&gt;&lt;a href=|http://sco.biblecommenter.com/job/2.htm| title=|Scofield Reference Notes| target=|_top|&gt;SCO&lt;/a&gt;</v>
      </c>
      <c r="AI438" s="2" t="str">
        <f t="shared" si="1750"/>
        <v>&lt;/li&gt;&lt;li&gt;&lt;a href=|http://wes.biblecommenter.com/job/2.htm| title=|Wesley's Notes on the Bible| target=|_top|&gt;WES&lt;/a&gt;</v>
      </c>
      <c r="AJ438" t="str">
        <f t="shared" si="1750"/>
        <v>&lt;/li&gt;&lt;li&gt;&lt;a href=|http://worldebible.com/job/2.htm| title=|World English Bible| target=|_top|&gt;WEB&lt;/a&gt;</v>
      </c>
      <c r="AK438" t="str">
        <f t="shared" si="1750"/>
        <v>&lt;/li&gt;&lt;li&gt;&lt;a href=|http://yltbible.com/job/2.htm| title=|Young's Literal Translation| target=|_top|&gt;YLT&lt;/a&gt;</v>
      </c>
      <c r="AL438" t="str">
        <f>CONCATENATE("&lt;a href=|http://",AL1191,"/job/2.htm","| ","title=|",AL1190,"| target=|_top|&gt;",AL1192,"&lt;/a&gt;")</f>
        <v>&lt;a href=|http://kjv.us/job/2.htm| title=|American King James Version| target=|_top|&gt;AKJ&lt;/a&gt;</v>
      </c>
      <c r="AM438" t="str">
        <f t="shared" ref="AM438:AN438" si="1751">CONCATENATE("&lt;/li&gt;&lt;li&gt;&lt;a href=|http://",AM1191,"/job/2.htm","| ","title=|",AM1190,"| target=|_top|&gt;",AM1192,"&lt;/a&gt;")</f>
        <v>&lt;/li&gt;&lt;li&gt;&lt;a href=|http://basicenglishbible.com/job/2.htm| title=|Bible in Basic English| target=|_top|&gt;BBE&lt;/a&gt;</v>
      </c>
      <c r="AN438" t="str">
        <f t="shared" si="1751"/>
        <v>&lt;/li&gt;&lt;li&gt;&lt;a href=|http://darbybible.com/job/2.htm| title=|Darby Bible Translation| target=|_top|&gt;DBY&lt;/a&gt;</v>
      </c>
      <c r="AO43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3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3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38" t="str">
        <f>CONCATENATE("&lt;/li&gt;&lt;li&gt;&lt;a href=|http://",AR1191,"/job/2.htm","| ","title=|",AR1190,"| target=|_top|&gt;",AR1192,"&lt;/a&gt;")</f>
        <v>&lt;/li&gt;&lt;li&gt;&lt;a href=|http://websterbible.com/job/2.htm| title=|Webster's Bible Translation| target=|_top|&gt;WBS&lt;/a&gt;</v>
      </c>
      <c r="AS43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38" t="str">
        <f>CONCATENATE("&lt;/li&gt;&lt;li&gt;&lt;a href=|http://",AT1191,"/job/2-1.htm","| ","title=|",AT1190,"| target=|_top|&gt;",AT1192,"&lt;/a&gt;")</f>
        <v>&lt;/li&gt;&lt;li&gt;&lt;a href=|http://biblebrowser.com/job/2-1.htm| title=|Split View| target=|_top|&gt;Split&lt;/a&gt;</v>
      </c>
      <c r="AU438" s="2" t="s">
        <v>1276</v>
      </c>
      <c r="AV438" t="s">
        <v>64</v>
      </c>
    </row>
    <row r="439" spans="1:48">
      <c r="A439" t="s">
        <v>622</v>
      </c>
      <c r="B439" t="s">
        <v>677</v>
      </c>
      <c r="C439" t="s">
        <v>624</v>
      </c>
      <c r="D439" t="s">
        <v>1268</v>
      </c>
      <c r="E439" t="s">
        <v>1277</v>
      </c>
      <c r="F439" t="s">
        <v>1304</v>
      </c>
      <c r="G439" t="s">
        <v>1266</v>
      </c>
      <c r="H439" t="s">
        <v>1305</v>
      </c>
      <c r="I439" t="s">
        <v>1303</v>
      </c>
      <c r="J439" t="s">
        <v>1267</v>
      </c>
      <c r="K439" t="s">
        <v>1275</v>
      </c>
      <c r="L439" s="2" t="s">
        <v>1274</v>
      </c>
      <c r="M439" t="str">
        <f t="shared" ref="M439:AB439" si="1752">CONCATENATE("&lt;/li&gt;&lt;li&gt;&lt;a href=|http://",M1191,"/job/3.htm","| ","title=|",M1190,"| target=|_top|&gt;",M1192,"&lt;/a&gt;")</f>
        <v>&lt;/li&gt;&lt;li&gt;&lt;a href=|http://niv.scripturetext.com/job/3.htm| title=|New International Version| target=|_top|&gt;NIV&lt;/a&gt;</v>
      </c>
      <c r="N439" t="str">
        <f t="shared" si="1752"/>
        <v>&lt;/li&gt;&lt;li&gt;&lt;a href=|http://nlt.scripturetext.com/job/3.htm| title=|New Living Translation| target=|_top|&gt;NLT&lt;/a&gt;</v>
      </c>
      <c r="O439" t="str">
        <f t="shared" si="1752"/>
        <v>&lt;/li&gt;&lt;li&gt;&lt;a href=|http://nasb.scripturetext.com/job/3.htm| title=|New American Standard Bible| target=|_top|&gt;NAS&lt;/a&gt;</v>
      </c>
      <c r="P439" t="str">
        <f t="shared" si="1752"/>
        <v>&lt;/li&gt;&lt;li&gt;&lt;a href=|http://gwt.scripturetext.com/job/3.htm| title=|God's Word Translation| target=|_top|&gt;GWT&lt;/a&gt;</v>
      </c>
      <c r="Q439" t="str">
        <f t="shared" si="1752"/>
        <v>&lt;/li&gt;&lt;li&gt;&lt;a href=|http://kingjbible.com/job/3.htm| title=|King James Bible| target=|_top|&gt;KJV&lt;/a&gt;</v>
      </c>
      <c r="R439" t="str">
        <f t="shared" si="1752"/>
        <v>&lt;/li&gt;&lt;li&gt;&lt;a href=|http://asvbible.com/job/3.htm| title=|American Standard Version| target=|_top|&gt;ASV&lt;/a&gt;</v>
      </c>
      <c r="S439" t="str">
        <f t="shared" si="1752"/>
        <v>&lt;/li&gt;&lt;li&gt;&lt;a href=|http://drb.scripturetext.com/job/3.htm| title=|Douay-Rheims Bible| target=|_top|&gt;DRB&lt;/a&gt;</v>
      </c>
      <c r="T439" t="str">
        <f t="shared" si="1752"/>
        <v>&lt;/li&gt;&lt;li&gt;&lt;a href=|http://erv.scripturetext.com/job/3.htm| title=|English Revised Version| target=|_top|&gt;ERV&lt;/a&gt;</v>
      </c>
      <c r="V439" t="str">
        <f>CONCATENATE("&lt;/li&gt;&lt;li&gt;&lt;a href=|http://",V1191,"/job/3.htm","| ","title=|",V1190,"| target=|_top|&gt;",V1192,"&lt;/a&gt;")</f>
        <v>&lt;/li&gt;&lt;li&gt;&lt;a href=|http://study.interlinearbible.org/job/3.htm| title=|Hebrew Study Bible| target=|_top|&gt;Heb Study&lt;/a&gt;</v>
      </c>
      <c r="W439" t="str">
        <f t="shared" si="1752"/>
        <v>&lt;/li&gt;&lt;li&gt;&lt;a href=|http://apostolic.interlinearbible.org/job/3.htm| title=|Apostolic Bible Polyglot Interlinear| target=|_top|&gt;Polyglot&lt;/a&gt;</v>
      </c>
      <c r="X439" t="str">
        <f t="shared" si="1752"/>
        <v>&lt;/li&gt;&lt;li&gt;&lt;a href=|http://interlinearbible.org/job/3.htm| title=|Interlinear Bible| target=|_top|&gt;Interlin&lt;/a&gt;</v>
      </c>
      <c r="Y439" t="str">
        <f t="shared" ref="Y439" si="1753">CONCATENATE("&lt;/li&gt;&lt;li&gt;&lt;a href=|http://",Y1191,"/job/3.htm","| ","title=|",Y1190,"| target=|_top|&gt;",Y1192,"&lt;/a&gt;")</f>
        <v>&lt;/li&gt;&lt;li&gt;&lt;a href=|http://bibleoutline.org/job/3.htm| title=|Outline with People and Places List| target=|_top|&gt;Outline&lt;/a&gt;</v>
      </c>
      <c r="Z439" t="str">
        <f t="shared" si="1752"/>
        <v>&lt;/li&gt;&lt;li&gt;&lt;a href=|http://kjvs.scripturetext.com/job/3.htm| title=|King James Bible with Strong's Numbers| target=|_top|&gt;Strong's&lt;/a&gt;</v>
      </c>
      <c r="AA439" t="str">
        <f t="shared" si="1752"/>
        <v>&lt;/li&gt;&lt;li&gt;&lt;a href=|http://childrensbibleonline.com/job/3.htm| title=|The Children's Bible| target=|_top|&gt;Children's&lt;/a&gt;</v>
      </c>
      <c r="AB439" s="2" t="str">
        <f t="shared" si="1752"/>
        <v>&lt;/li&gt;&lt;li&gt;&lt;a href=|http://tsk.scripturetext.com/job/3.htm| title=|Treasury of Scripture Knowledge| target=|_top|&gt;TSK&lt;/a&gt;</v>
      </c>
      <c r="AC439" t="str">
        <f>CONCATENATE("&lt;a href=|http://",AC1191,"/job/3.htm","| ","title=|",AC1190,"| target=|_top|&gt;",AC1192,"&lt;/a&gt;")</f>
        <v>&lt;a href=|http://parallelbible.com/job/3.htm| title=|Parallel Chapters| target=|_top|&gt;PAR&lt;/a&gt;</v>
      </c>
      <c r="AD439" s="2" t="str">
        <f t="shared" ref="AD439:AK439" si="1754">CONCATENATE("&lt;/li&gt;&lt;li&gt;&lt;a href=|http://",AD1191,"/job/3.htm","| ","title=|",AD1190,"| target=|_top|&gt;",AD1192,"&lt;/a&gt;")</f>
        <v>&lt;/li&gt;&lt;li&gt;&lt;a href=|http://gsb.biblecommenter.com/job/3.htm| title=|Geneva Study Bible| target=|_top|&gt;GSB&lt;/a&gt;</v>
      </c>
      <c r="AE439" s="2" t="str">
        <f t="shared" si="1754"/>
        <v>&lt;/li&gt;&lt;li&gt;&lt;a href=|http://jfb.biblecommenter.com/job/3.htm| title=|Jamieson-Fausset-Brown Bible Commentary| target=|_top|&gt;JFB&lt;/a&gt;</v>
      </c>
      <c r="AF439" s="2" t="str">
        <f t="shared" si="1754"/>
        <v>&lt;/li&gt;&lt;li&gt;&lt;a href=|http://kjt.biblecommenter.com/job/3.htm| title=|King James Translators' Notes| target=|_top|&gt;KJT&lt;/a&gt;</v>
      </c>
      <c r="AG439" s="2" t="str">
        <f t="shared" si="1754"/>
        <v>&lt;/li&gt;&lt;li&gt;&lt;a href=|http://mhc.biblecommenter.com/job/3.htm| title=|Matthew Henry's Concise Commentary| target=|_top|&gt;MHC&lt;/a&gt;</v>
      </c>
      <c r="AH439" s="2" t="str">
        <f t="shared" si="1754"/>
        <v>&lt;/li&gt;&lt;li&gt;&lt;a href=|http://sco.biblecommenter.com/job/3.htm| title=|Scofield Reference Notes| target=|_top|&gt;SCO&lt;/a&gt;</v>
      </c>
      <c r="AI439" s="2" t="str">
        <f t="shared" si="1754"/>
        <v>&lt;/li&gt;&lt;li&gt;&lt;a href=|http://wes.biblecommenter.com/job/3.htm| title=|Wesley's Notes on the Bible| target=|_top|&gt;WES&lt;/a&gt;</v>
      </c>
      <c r="AJ439" t="str">
        <f t="shared" si="1754"/>
        <v>&lt;/li&gt;&lt;li&gt;&lt;a href=|http://worldebible.com/job/3.htm| title=|World English Bible| target=|_top|&gt;WEB&lt;/a&gt;</v>
      </c>
      <c r="AK439" t="str">
        <f t="shared" si="1754"/>
        <v>&lt;/li&gt;&lt;li&gt;&lt;a href=|http://yltbible.com/job/3.htm| title=|Young's Literal Translation| target=|_top|&gt;YLT&lt;/a&gt;</v>
      </c>
      <c r="AL439" t="str">
        <f>CONCATENATE("&lt;a href=|http://",AL1191,"/job/3.htm","| ","title=|",AL1190,"| target=|_top|&gt;",AL1192,"&lt;/a&gt;")</f>
        <v>&lt;a href=|http://kjv.us/job/3.htm| title=|American King James Version| target=|_top|&gt;AKJ&lt;/a&gt;</v>
      </c>
      <c r="AM439" t="str">
        <f t="shared" ref="AM439:AN439" si="1755">CONCATENATE("&lt;/li&gt;&lt;li&gt;&lt;a href=|http://",AM1191,"/job/3.htm","| ","title=|",AM1190,"| target=|_top|&gt;",AM1192,"&lt;/a&gt;")</f>
        <v>&lt;/li&gt;&lt;li&gt;&lt;a href=|http://basicenglishbible.com/job/3.htm| title=|Bible in Basic English| target=|_top|&gt;BBE&lt;/a&gt;</v>
      </c>
      <c r="AN439" t="str">
        <f t="shared" si="1755"/>
        <v>&lt;/li&gt;&lt;li&gt;&lt;a href=|http://darbybible.com/job/3.htm| title=|Darby Bible Translation| target=|_top|&gt;DBY&lt;/a&gt;</v>
      </c>
      <c r="AO43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3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3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39" t="str">
        <f>CONCATENATE("&lt;/li&gt;&lt;li&gt;&lt;a href=|http://",AR1191,"/job/3.htm","| ","title=|",AR1190,"| target=|_top|&gt;",AR1192,"&lt;/a&gt;")</f>
        <v>&lt;/li&gt;&lt;li&gt;&lt;a href=|http://websterbible.com/job/3.htm| title=|Webster's Bible Translation| target=|_top|&gt;WBS&lt;/a&gt;</v>
      </c>
      <c r="AS43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39" t="str">
        <f>CONCATENATE("&lt;/li&gt;&lt;li&gt;&lt;a href=|http://",AT1191,"/job/3-1.htm","| ","title=|",AT1190,"| target=|_top|&gt;",AT1192,"&lt;/a&gt;")</f>
        <v>&lt;/li&gt;&lt;li&gt;&lt;a href=|http://biblebrowser.com/job/3-1.htm| title=|Split View| target=|_top|&gt;Split&lt;/a&gt;</v>
      </c>
      <c r="AU439" s="2" t="s">
        <v>1276</v>
      </c>
      <c r="AV439" t="s">
        <v>64</v>
      </c>
    </row>
    <row r="440" spans="1:48">
      <c r="A440" t="s">
        <v>622</v>
      </c>
      <c r="B440" t="s">
        <v>678</v>
      </c>
      <c r="C440" t="s">
        <v>624</v>
      </c>
      <c r="D440" t="s">
        <v>1268</v>
      </c>
      <c r="E440" t="s">
        <v>1277</v>
      </c>
      <c r="F440" t="s">
        <v>1304</v>
      </c>
      <c r="G440" t="s">
        <v>1266</v>
      </c>
      <c r="H440" t="s">
        <v>1305</v>
      </c>
      <c r="I440" t="s">
        <v>1303</v>
      </c>
      <c r="J440" t="s">
        <v>1267</v>
      </c>
      <c r="K440" t="s">
        <v>1275</v>
      </c>
      <c r="L440" s="2" t="s">
        <v>1274</v>
      </c>
      <c r="M440" t="str">
        <f t="shared" ref="M440:AB440" si="1756">CONCATENATE("&lt;/li&gt;&lt;li&gt;&lt;a href=|http://",M1191,"/job/4.htm","| ","title=|",M1190,"| target=|_top|&gt;",M1192,"&lt;/a&gt;")</f>
        <v>&lt;/li&gt;&lt;li&gt;&lt;a href=|http://niv.scripturetext.com/job/4.htm| title=|New International Version| target=|_top|&gt;NIV&lt;/a&gt;</v>
      </c>
      <c r="N440" t="str">
        <f t="shared" si="1756"/>
        <v>&lt;/li&gt;&lt;li&gt;&lt;a href=|http://nlt.scripturetext.com/job/4.htm| title=|New Living Translation| target=|_top|&gt;NLT&lt;/a&gt;</v>
      </c>
      <c r="O440" t="str">
        <f t="shared" si="1756"/>
        <v>&lt;/li&gt;&lt;li&gt;&lt;a href=|http://nasb.scripturetext.com/job/4.htm| title=|New American Standard Bible| target=|_top|&gt;NAS&lt;/a&gt;</v>
      </c>
      <c r="P440" t="str">
        <f t="shared" si="1756"/>
        <v>&lt;/li&gt;&lt;li&gt;&lt;a href=|http://gwt.scripturetext.com/job/4.htm| title=|God's Word Translation| target=|_top|&gt;GWT&lt;/a&gt;</v>
      </c>
      <c r="Q440" t="str">
        <f t="shared" si="1756"/>
        <v>&lt;/li&gt;&lt;li&gt;&lt;a href=|http://kingjbible.com/job/4.htm| title=|King James Bible| target=|_top|&gt;KJV&lt;/a&gt;</v>
      </c>
      <c r="R440" t="str">
        <f t="shared" si="1756"/>
        <v>&lt;/li&gt;&lt;li&gt;&lt;a href=|http://asvbible.com/job/4.htm| title=|American Standard Version| target=|_top|&gt;ASV&lt;/a&gt;</v>
      </c>
      <c r="S440" t="str">
        <f t="shared" si="1756"/>
        <v>&lt;/li&gt;&lt;li&gt;&lt;a href=|http://drb.scripturetext.com/job/4.htm| title=|Douay-Rheims Bible| target=|_top|&gt;DRB&lt;/a&gt;</v>
      </c>
      <c r="T440" t="str">
        <f t="shared" si="1756"/>
        <v>&lt;/li&gt;&lt;li&gt;&lt;a href=|http://erv.scripturetext.com/job/4.htm| title=|English Revised Version| target=|_top|&gt;ERV&lt;/a&gt;</v>
      </c>
      <c r="V440" t="str">
        <f>CONCATENATE("&lt;/li&gt;&lt;li&gt;&lt;a href=|http://",V1191,"/job/4.htm","| ","title=|",V1190,"| target=|_top|&gt;",V1192,"&lt;/a&gt;")</f>
        <v>&lt;/li&gt;&lt;li&gt;&lt;a href=|http://study.interlinearbible.org/job/4.htm| title=|Hebrew Study Bible| target=|_top|&gt;Heb Study&lt;/a&gt;</v>
      </c>
      <c r="W440" t="str">
        <f t="shared" si="1756"/>
        <v>&lt;/li&gt;&lt;li&gt;&lt;a href=|http://apostolic.interlinearbible.org/job/4.htm| title=|Apostolic Bible Polyglot Interlinear| target=|_top|&gt;Polyglot&lt;/a&gt;</v>
      </c>
      <c r="X440" t="str">
        <f t="shared" si="1756"/>
        <v>&lt;/li&gt;&lt;li&gt;&lt;a href=|http://interlinearbible.org/job/4.htm| title=|Interlinear Bible| target=|_top|&gt;Interlin&lt;/a&gt;</v>
      </c>
      <c r="Y440" t="str">
        <f t="shared" ref="Y440" si="1757">CONCATENATE("&lt;/li&gt;&lt;li&gt;&lt;a href=|http://",Y1191,"/job/4.htm","| ","title=|",Y1190,"| target=|_top|&gt;",Y1192,"&lt;/a&gt;")</f>
        <v>&lt;/li&gt;&lt;li&gt;&lt;a href=|http://bibleoutline.org/job/4.htm| title=|Outline with People and Places List| target=|_top|&gt;Outline&lt;/a&gt;</v>
      </c>
      <c r="Z440" t="str">
        <f t="shared" si="1756"/>
        <v>&lt;/li&gt;&lt;li&gt;&lt;a href=|http://kjvs.scripturetext.com/job/4.htm| title=|King James Bible with Strong's Numbers| target=|_top|&gt;Strong's&lt;/a&gt;</v>
      </c>
      <c r="AA440" t="str">
        <f t="shared" si="1756"/>
        <v>&lt;/li&gt;&lt;li&gt;&lt;a href=|http://childrensbibleonline.com/job/4.htm| title=|The Children's Bible| target=|_top|&gt;Children's&lt;/a&gt;</v>
      </c>
      <c r="AB440" s="2" t="str">
        <f t="shared" si="1756"/>
        <v>&lt;/li&gt;&lt;li&gt;&lt;a href=|http://tsk.scripturetext.com/job/4.htm| title=|Treasury of Scripture Knowledge| target=|_top|&gt;TSK&lt;/a&gt;</v>
      </c>
      <c r="AC440" t="str">
        <f>CONCATENATE("&lt;a href=|http://",AC1191,"/job/4.htm","| ","title=|",AC1190,"| target=|_top|&gt;",AC1192,"&lt;/a&gt;")</f>
        <v>&lt;a href=|http://parallelbible.com/job/4.htm| title=|Parallel Chapters| target=|_top|&gt;PAR&lt;/a&gt;</v>
      </c>
      <c r="AD440" s="2" t="str">
        <f t="shared" ref="AD440:AK440" si="1758">CONCATENATE("&lt;/li&gt;&lt;li&gt;&lt;a href=|http://",AD1191,"/job/4.htm","| ","title=|",AD1190,"| target=|_top|&gt;",AD1192,"&lt;/a&gt;")</f>
        <v>&lt;/li&gt;&lt;li&gt;&lt;a href=|http://gsb.biblecommenter.com/job/4.htm| title=|Geneva Study Bible| target=|_top|&gt;GSB&lt;/a&gt;</v>
      </c>
      <c r="AE440" s="2" t="str">
        <f t="shared" si="1758"/>
        <v>&lt;/li&gt;&lt;li&gt;&lt;a href=|http://jfb.biblecommenter.com/job/4.htm| title=|Jamieson-Fausset-Brown Bible Commentary| target=|_top|&gt;JFB&lt;/a&gt;</v>
      </c>
      <c r="AF440" s="2" t="str">
        <f t="shared" si="1758"/>
        <v>&lt;/li&gt;&lt;li&gt;&lt;a href=|http://kjt.biblecommenter.com/job/4.htm| title=|King James Translators' Notes| target=|_top|&gt;KJT&lt;/a&gt;</v>
      </c>
      <c r="AG440" s="2" t="str">
        <f t="shared" si="1758"/>
        <v>&lt;/li&gt;&lt;li&gt;&lt;a href=|http://mhc.biblecommenter.com/job/4.htm| title=|Matthew Henry's Concise Commentary| target=|_top|&gt;MHC&lt;/a&gt;</v>
      </c>
      <c r="AH440" s="2" t="str">
        <f t="shared" si="1758"/>
        <v>&lt;/li&gt;&lt;li&gt;&lt;a href=|http://sco.biblecommenter.com/job/4.htm| title=|Scofield Reference Notes| target=|_top|&gt;SCO&lt;/a&gt;</v>
      </c>
      <c r="AI440" s="2" t="str">
        <f t="shared" si="1758"/>
        <v>&lt;/li&gt;&lt;li&gt;&lt;a href=|http://wes.biblecommenter.com/job/4.htm| title=|Wesley's Notes on the Bible| target=|_top|&gt;WES&lt;/a&gt;</v>
      </c>
      <c r="AJ440" t="str">
        <f t="shared" si="1758"/>
        <v>&lt;/li&gt;&lt;li&gt;&lt;a href=|http://worldebible.com/job/4.htm| title=|World English Bible| target=|_top|&gt;WEB&lt;/a&gt;</v>
      </c>
      <c r="AK440" t="str">
        <f t="shared" si="1758"/>
        <v>&lt;/li&gt;&lt;li&gt;&lt;a href=|http://yltbible.com/job/4.htm| title=|Young's Literal Translation| target=|_top|&gt;YLT&lt;/a&gt;</v>
      </c>
      <c r="AL440" t="str">
        <f>CONCATENATE("&lt;a href=|http://",AL1191,"/job/4.htm","| ","title=|",AL1190,"| target=|_top|&gt;",AL1192,"&lt;/a&gt;")</f>
        <v>&lt;a href=|http://kjv.us/job/4.htm| title=|American King James Version| target=|_top|&gt;AKJ&lt;/a&gt;</v>
      </c>
      <c r="AM440" t="str">
        <f t="shared" ref="AM440:AN440" si="1759">CONCATENATE("&lt;/li&gt;&lt;li&gt;&lt;a href=|http://",AM1191,"/job/4.htm","| ","title=|",AM1190,"| target=|_top|&gt;",AM1192,"&lt;/a&gt;")</f>
        <v>&lt;/li&gt;&lt;li&gt;&lt;a href=|http://basicenglishbible.com/job/4.htm| title=|Bible in Basic English| target=|_top|&gt;BBE&lt;/a&gt;</v>
      </c>
      <c r="AN440" t="str">
        <f t="shared" si="1759"/>
        <v>&lt;/li&gt;&lt;li&gt;&lt;a href=|http://darbybible.com/job/4.htm| title=|Darby Bible Translation| target=|_top|&gt;DBY&lt;/a&gt;</v>
      </c>
      <c r="AO44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4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4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40" t="str">
        <f>CONCATENATE("&lt;/li&gt;&lt;li&gt;&lt;a href=|http://",AR1191,"/job/4.htm","| ","title=|",AR1190,"| target=|_top|&gt;",AR1192,"&lt;/a&gt;")</f>
        <v>&lt;/li&gt;&lt;li&gt;&lt;a href=|http://websterbible.com/job/4.htm| title=|Webster's Bible Translation| target=|_top|&gt;WBS&lt;/a&gt;</v>
      </c>
      <c r="AS44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40" t="str">
        <f>CONCATENATE("&lt;/li&gt;&lt;li&gt;&lt;a href=|http://",AT1191,"/job/4-1.htm","| ","title=|",AT1190,"| target=|_top|&gt;",AT1192,"&lt;/a&gt;")</f>
        <v>&lt;/li&gt;&lt;li&gt;&lt;a href=|http://biblebrowser.com/job/4-1.htm| title=|Split View| target=|_top|&gt;Split&lt;/a&gt;</v>
      </c>
      <c r="AU440" s="2" t="s">
        <v>1276</v>
      </c>
      <c r="AV440" t="s">
        <v>64</v>
      </c>
    </row>
    <row r="441" spans="1:48">
      <c r="A441" t="s">
        <v>622</v>
      </c>
      <c r="B441" t="s">
        <v>679</v>
      </c>
      <c r="C441" t="s">
        <v>624</v>
      </c>
      <c r="D441" t="s">
        <v>1268</v>
      </c>
      <c r="E441" t="s">
        <v>1277</v>
      </c>
      <c r="F441" t="s">
        <v>1304</v>
      </c>
      <c r="G441" t="s">
        <v>1266</v>
      </c>
      <c r="H441" t="s">
        <v>1305</v>
      </c>
      <c r="I441" t="s">
        <v>1303</v>
      </c>
      <c r="J441" t="s">
        <v>1267</v>
      </c>
      <c r="K441" t="s">
        <v>1275</v>
      </c>
      <c r="L441" s="2" t="s">
        <v>1274</v>
      </c>
      <c r="M441" t="str">
        <f t="shared" ref="M441:AB441" si="1760">CONCATENATE("&lt;/li&gt;&lt;li&gt;&lt;a href=|http://",M1191,"/job/5.htm","| ","title=|",M1190,"| target=|_top|&gt;",M1192,"&lt;/a&gt;")</f>
        <v>&lt;/li&gt;&lt;li&gt;&lt;a href=|http://niv.scripturetext.com/job/5.htm| title=|New International Version| target=|_top|&gt;NIV&lt;/a&gt;</v>
      </c>
      <c r="N441" t="str">
        <f t="shared" si="1760"/>
        <v>&lt;/li&gt;&lt;li&gt;&lt;a href=|http://nlt.scripturetext.com/job/5.htm| title=|New Living Translation| target=|_top|&gt;NLT&lt;/a&gt;</v>
      </c>
      <c r="O441" t="str">
        <f t="shared" si="1760"/>
        <v>&lt;/li&gt;&lt;li&gt;&lt;a href=|http://nasb.scripturetext.com/job/5.htm| title=|New American Standard Bible| target=|_top|&gt;NAS&lt;/a&gt;</v>
      </c>
      <c r="P441" t="str">
        <f t="shared" si="1760"/>
        <v>&lt;/li&gt;&lt;li&gt;&lt;a href=|http://gwt.scripturetext.com/job/5.htm| title=|God's Word Translation| target=|_top|&gt;GWT&lt;/a&gt;</v>
      </c>
      <c r="Q441" t="str">
        <f t="shared" si="1760"/>
        <v>&lt;/li&gt;&lt;li&gt;&lt;a href=|http://kingjbible.com/job/5.htm| title=|King James Bible| target=|_top|&gt;KJV&lt;/a&gt;</v>
      </c>
      <c r="R441" t="str">
        <f t="shared" si="1760"/>
        <v>&lt;/li&gt;&lt;li&gt;&lt;a href=|http://asvbible.com/job/5.htm| title=|American Standard Version| target=|_top|&gt;ASV&lt;/a&gt;</v>
      </c>
      <c r="S441" t="str">
        <f t="shared" si="1760"/>
        <v>&lt;/li&gt;&lt;li&gt;&lt;a href=|http://drb.scripturetext.com/job/5.htm| title=|Douay-Rheims Bible| target=|_top|&gt;DRB&lt;/a&gt;</v>
      </c>
      <c r="T441" t="str">
        <f t="shared" si="1760"/>
        <v>&lt;/li&gt;&lt;li&gt;&lt;a href=|http://erv.scripturetext.com/job/5.htm| title=|English Revised Version| target=|_top|&gt;ERV&lt;/a&gt;</v>
      </c>
      <c r="V441" t="str">
        <f>CONCATENATE("&lt;/li&gt;&lt;li&gt;&lt;a href=|http://",V1191,"/job/5.htm","| ","title=|",V1190,"| target=|_top|&gt;",V1192,"&lt;/a&gt;")</f>
        <v>&lt;/li&gt;&lt;li&gt;&lt;a href=|http://study.interlinearbible.org/job/5.htm| title=|Hebrew Study Bible| target=|_top|&gt;Heb Study&lt;/a&gt;</v>
      </c>
      <c r="W441" t="str">
        <f t="shared" si="1760"/>
        <v>&lt;/li&gt;&lt;li&gt;&lt;a href=|http://apostolic.interlinearbible.org/job/5.htm| title=|Apostolic Bible Polyglot Interlinear| target=|_top|&gt;Polyglot&lt;/a&gt;</v>
      </c>
      <c r="X441" t="str">
        <f t="shared" si="1760"/>
        <v>&lt;/li&gt;&lt;li&gt;&lt;a href=|http://interlinearbible.org/job/5.htm| title=|Interlinear Bible| target=|_top|&gt;Interlin&lt;/a&gt;</v>
      </c>
      <c r="Y441" t="str">
        <f t="shared" ref="Y441" si="1761">CONCATENATE("&lt;/li&gt;&lt;li&gt;&lt;a href=|http://",Y1191,"/job/5.htm","| ","title=|",Y1190,"| target=|_top|&gt;",Y1192,"&lt;/a&gt;")</f>
        <v>&lt;/li&gt;&lt;li&gt;&lt;a href=|http://bibleoutline.org/job/5.htm| title=|Outline with People and Places List| target=|_top|&gt;Outline&lt;/a&gt;</v>
      </c>
      <c r="Z441" t="str">
        <f t="shared" si="1760"/>
        <v>&lt;/li&gt;&lt;li&gt;&lt;a href=|http://kjvs.scripturetext.com/job/5.htm| title=|King James Bible with Strong's Numbers| target=|_top|&gt;Strong's&lt;/a&gt;</v>
      </c>
      <c r="AA441" t="str">
        <f t="shared" si="1760"/>
        <v>&lt;/li&gt;&lt;li&gt;&lt;a href=|http://childrensbibleonline.com/job/5.htm| title=|The Children's Bible| target=|_top|&gt;Children's&lt;/a&gt;</v>
      </c>
      <c r="AB441" s="2" t="str">
        <f t="shared" si="1760"/>
        <v>&lt;/li&gt;&lt;li&gt;&lt;a href=|http://tsk.scripturetext.com/job/5.htm| title=|Treasury of Scripture Knowledge| target=|_top|&gt;TSK&lt;/a&gt;</v>
      </c>
      <c r="AC441" t="str">
        <f>CONCATENATE("&lt;a href=|http://",AC1191,"/job/5.htm","| ","title=|",AC1190,"| target=|_top|&gt;",AC1192,"&lt;/a&gt;")</f>
        <v>&lt;a href=|http://parallelbible.com/job/5.htm| title=|Parallel Chapters| target=|_top|&gt;PAR&lt;/a&gt;</v>
      </c>
      <c r="AD441" s="2" t="str">
        <f t="shared" ref="AD441:AK441" si="1762">CONCATENATE("&lt;/li&gt;&lt;li&gt;&lt;a href=|http://",AD1191,"/job/5.htm","| ","title=|",AD1190,"| target=|_top|&gt;",AD1192,"&lt;/a&gt;")</f>
        <v>&lt;/li&gt;&lt;li&gt;&lt;a href=|http://gsb.biblecommenter.com/job/5.htm| title=|Geneva Study Bible| target=|_top|&gt;GSB&lt;/a&gt;</v>
      </c>
      <c r="AE441" s="2" t="str">
        <f t="shared" si="1762"/>
        <v>&lt;/li&gt;&lt;li&gt;&lt;a href=|http://jfb.biblecommenter.com/job/5.htm| title=|Jamieson-Fausset-Brown Bible Commentary| target=|_top|&gt;JFB&lt;/a&gt;</v>
      </c>
      <c r="AF441" s="2" t="str">
        <f t="shared" si="1762"/>
        <v>&lt;/li&gt;&lt;li&gt;&lt;a href=|http://kjt.biblecommenter.com/job/5.htm| title=|King James Translators' Notes| target=|_top|&gt;KJT&lt;/a&gt;</v>
      </c>
      <c r="AG441" s="2" t="str">
        <f t="shared" si="1762"/>
        <v>&lt;/li&gt;&lt;li&gt;&lt;a href=|http://mhc.biblecommenter.com/job/5.htm| title=|Matthew Henry's Concise Commentary| target=|_top|&gt;MHC&lt;/a&gt;</v>
      </c>
      <c r="AH441" s="2" t="str">
        <f t="shared" si="1762"/>
        <v>&lt;/li&gt;&lt;li&gt;&lt;a href=|http://sco.biblecommenter.com/job/5.htm| title=|Scofield Reference Notes| target=|_top|&gt;SCO&lt;/a&gt;</v>
      </c>
      <c r="AI441" s="2" t="str">
        <f t="shared" si="1762"/>
        <v>&lt;/li&gt;&lt;li&gt;&lt;a href=|http://wes.biblecommenter.com/job/5.htm| title=|Wesley's Notes on the Bible| target=|_top|&gt;WES&lt;/a&gt;</v>
      </c>
      <c r="AJ441" t="str">
        <f t="shared" si="1762"/>
        <v>&lt;/li&gt;&lt;li&gt;&lt;a href=|http://worldebible.com/job/5.htm| title=|World English Bible| target=|_top|&gt;WEB&lt;/a&gt;</v>
      </c>
      <c r="AK441" t="str">
        <f t="shared" si="1762"/>
        <v>&lt;/li&gt;&lt;li&gt;&lt;a href=|http://yltbible.com/job/5.htm| title=|Young's Literal Translation| target=|_top|&gt;YLT&lt;/a&gt;</v>
      </c>
      <c r="AL441" t="str">
        <f>CONCATENATE("&lt;a href=|http://",AL1191,"/job/5.htm","| ","title=|",AL1190,"| target=|_top|&gt;",AL1192,"&lt;/a&gt;")</f>
        <v>&lt;a href=|http://kjv.us/job/5.htm| title=|American King James Version| target=|_top|&gt;AKJ&lt;/a&gt;</v>
      </c>
      <c r="AM441" t="str">
        <f t="shared" ref="AM441:AN441" si="1763">CONCATENATE("&lt;/li&gt;&lt;li&gt;&lt;a href=|http://",AM1191,"/job/5.htm","| ","title=|",AM1190,"| target=|_top|&gt;",AM1192,"&lt;/a&gt;")</f>
        <v>&lt;/li&gt;&lt;li&gt;&lt;a href=|http://basicenglishbible.com/job/5.htm| title=|Bible in Basic English| target=|_top|&gt;BBE&lt;/a&gt;</v>
      </c>
      <c r="AN441" t="str">
        <f t="shared" si="1763"/>
        <v>&lt;/li&gt;&lt;li&gt;&lt;a href=|http://darbybible.com/job/5.htm| title=|Darby Bible Translation| target=|_top|&gt;DBY&lt;/a&gt;</v>
      </c>
      <c r="AO44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4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4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41" t="str">
        <f>CONCATENATE("&lt;/li&gt;&lt;li&gt;&lt;a href=|http://",AR1191,"/job/5.htm","| ","title=|",AR1190,"| target=|_top|&gt;",AR1192,"&lt;/a&gt;")</f>
        <v>&lt;/li&gt;&lt;li&gt;&lt;a href=|http://websterbible.com/job/5.htm| title=|Webster's Bible Translation| target=|_top|&gt;WBS&lt;/a&gt;</v>
      </c>
      <c r="AS44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41" t="str">
        <f>CONCATENATE("&lt;/li&gt;&lt;li&gt;&lt;a href=|http://",AT1191,"/job/5-1.htm","| ","title=|",AT1190,"| target=|_top|&gt;",AT1192,"&lt;/a&gt;")</f>
        <v>&lt;/li&gt;&lt;li&gt;&lt;a href=|http://biblebrowser.com/job/5-1.htm| title=|Split View| target=|_top|&gt;Split&lt;/a&gt;</v>
      </c>
      <c r="AU441" s="2" t="s">
        <v>1276</v>
      </c>
      <c r="AV441" t="s">
        <v>64</v>
      </c>
    </row>
    <row r="442" spans="1:48">
      <c r="A442" t="s">
        <v>622</v>
      </c>
      <c r="B442" t="s">
        <v>680</v>
      </c>
      <c r="C442" t="s">
        <v>624</v>
      </c>
      <c r="D442" t="s">
        <v>1268</v>
      </c>
      <c r="E442" t="s">
        <v>1277</v>
      </c>
      <c r="F442" t="s">
        <v>1304</v>
      </c>
      <c r="G442" t="s">
        <v>1266</v>
      </c>
      <c r="H442" t="s">
        <v>1305</v>
      </c>
      <c r="I442" t="s">
        <v>1303</v>
      </c>
      <c r="J442" t="s">
        <v>1267</v>
      </c>
      <c r="K442" t="s">
        <v>1275</v>
      </c>
      <c r="L442" s="2" t="s">
        <v>1274</v>
      </c>
      <c r="M442" t="str">
        <f t="shared" ref="M442:AB442" si="1764">CONCATENATE("&lt;/li&gt;&lt;li&gt;&lt;a href=|http://",M1191,"/job/6.htm","| ","title=|",M1190,"| target=|_top|&gt;",M1192,"&lt;/a&gt;")</f>
        <v>&lt;/li&gt;&lt;li&gt;&lt;a href=|http://niv.scripturetext.com/job/6.htm| title=|New International Version| target=|_top|&gt;NIV&lt;/a&gt;</v>
      </c>
      <c r="N442" t="str">
        <f t="shared" si="1764"/>
        <v>&lt;/li&gt;&lt;li&gt;&lt;a href=|http://nlt.scripturetext.com/job/6.htm| title=|New Living Translation| target=|_top|&gt;NLT&lt;/a&gt;</v>
      </c>
      <c r="O442" t="str">
        <f t="shared" si="1764"/>
        <v>&lt;/li&gt;&lt;li&gt;&lt;a href=|http://nasb.scripturetext.com/job/6.htm| title=|New American Standard Bible| target=|_top|&gt;NAS&lt;/a&gt;</v>
      </c>
      <c r="P442" t="str">
        <f t="shared" si="1764"/>
        <v>&lt;/li&gt;&lt;li&gt;&lt;a href=|http://gwt.scripturetext.com/job/6.htm| title=|God's Word Translation| target=|_top|&gt;GWT&lt;/a&gt;</v>
      </c>
      <c r="Q442" t="str">
        <f t="shared" si="1764"/>
        <v>&lt;/li&gt;&lt;li&gt;&lt;a href=|http://kingjbible.com/job/6.htm| title=|King James Bible| target=|_top|&gt;KJV&lt;/a&gt;</v>
      </c>
      <c r="R442" t="str">
        <f t="shared" si="1764"/>
        <v>&lt;/li&gt;&lt;li&gt;&lt;a href=|http://asvbible.com/job/6.htm| title=|American Standard Version| target=|_top|&gt;ASV&lt;/a&gt;</v>
      </c>
      <c r="S442" t="str">
        <f t="shared" si="1764"/>
        <v>&lt;/li&gt;&lt;li&gt;&lt;a href=|http://drb.scripturetext.com/job/6.htm| title=|Douay-Rheims Bible| target=|_top|&gt;DRB&lt;/a&gt;</v>
      </c>
      <c r="T442" t="str">
        <f t="shared" si="1764"/>
        <v>&lt;/li&gt;&lt;li&gt;&lt;a href=|http://erv.scripturetext.com/job/6.htm| title=|English Revised Version| target=|_top|&gt;ERV&lt;/a&gt;</v>
      </c>
      <c r="V442" t="str">
        <f>CONCATENATE("&lt;/li&gt;&lt;li&gt;&lt;a href=|http://",V1191,"/job/6.htm","| ","title=|",V1190,"| target=|_top|&gt;",V1192,"&lt;/a&gt;")</f>
        <v>&lt;/li&gt;&lt;li&gt;&lt;a href=|http://study.interlinearbible.org/job/6.htm| title=|Hebrew Study Bible| target=|_top|&gt;Heb Study&lt;/a&gt;</v>
      </c>
      <c r="W442" t="str">
        <f t="shared" si="1764"/>
        <v>&lt;/li&gt;&lt;li&gt;&lt;a href=|http://apostolic.interlinearbible.org/job/6.htm| title=|Apostolic Bible Polyglot Interlinear| target=|_top|&gt;Polyglot&lt;/a&gt;</v>
      </c>
      <c r="X442" t="str">
        <f t="shared" si="1764"/>
        <v>&lt;/li&gt;&lt;li&gt;&lt;a href=|http://interlinearbible.org/job/6.htm| title=|Interlinear Bible| target=|_top|&gt;Interlin&lt;/a&gt;</v>
      </c>
      <c r="Y442" t="str">
        <f t="shared" ref="Y442" si="1765">CONCATENATE("&lt;/li&gt;&lt;li&gt;&lt;a href=|http://",Y1191,"/job/6.htm","| ","title=|",Y1190,"| target=|_top|&gt;",Y1192,"&lt;/a&gt;")</f>
        <v>&lt;/li&gt;&lt;li&gt;&lt;a href=|http://bibleoutline.org/job/6.htm| title=|Outline with People and Places List| target=|_top|&gt;Outline&lt;/a&gt;</v>
      </c>
      <c r="Z442" t="str">
        <f t="shared" si="1764"/>
        <v>&lt;/li&gt;&lt;li&gt;&lt;a href=|http://kjvs.scripturetext.com/job/6.htm| title=|King James Bible with Strong's Numbers| target=|_top|&gt;Strong's&lt;/a&gt;</v>
      </c>
      <c r="AA442" t="str">
        <f t="shared" si="1764"/>
        <v>&lt;/li&gt;&lt;li&gt;&lt;a href=|http://childrensbibleonline.com/job/6.htm| title=|The Children's Bible| target=|_top|&gt;Children's&lt;/a&gt;</v>
      </c>
      <c r="AB442" s="2" t="str">
        <f t="shared" si="1764"/>
        <v>&lt;/li&gt;&lt;li&gt;&lt;a href=|http://tsk.scripturetext.com/job/6.htm| title=|Treasury of Scripture Knowledge| target=|_top|&gt;TSK&lt;/a&gt;</v>
      </c>
      <c r="AC442" t="str">
        <f>CONCATENATE("&lt;a href=|http://",AC1191,"/job/6.htm","| ","title=|",AC1190,"| target=|_top|&gt;",AC1192,"&lt;/a&gt;")</f>
        <v>&lt;a href=|http://parallelbible.com/job/6.htm| title=|Parallel Chapters| target=|_top|&gt;PAR&lt;/a&gt;</v>
      </c>
      <c r="AD442" s="2" t="str">
        <f t="shared" ref="AD442:AK442" si="1766">CONCATENATE("&lt;/li&gt;&lt;li&gt;&lt;a href=|http://",AD1191,"/job/6.htm","| ","title=|",AD1190,"| target=|_top|&gt;",AD1192,"&lt;/a&gt;")</f>
        <v>&lt;/li&gt;&lt;li&gt;&lt;a href=|http://gsb.biblecommenter.com/job/6.htm| title=|Geneva Study Bible| target=|_top|&gt;GSB&lt;/a&gt;</v>
      </c>
      <c r="AE442" s="2" t="str">
        <f t="shared" si="1766"/>
        <v>&lt;/li&gt;&lt;li&gt;&lt;a href=|http://jfb.biblecommenter.com/job/6.htm| title=|Jamieson-Fausset-Brown Bible Commentary| target=|_top|&gt;JFB&lt;/a&gt;</v>
      </c>
      <c r="AF442" s="2" t="str">
        <f t="shared" si="1766"/>
        <v>&lt;/li&gt;&lt;li&gt;&lt;a href=|http://kjt.biblecommenter.com/job/6.htm| title=|King James Translators' Notes| target=|_top|&gt;KJT&lt;/a&gt;</v>
      </c>
      <c r="AG442" s="2" t="str">
        <f t="shared" si="1766"/>
        <v>&lt;/li&gt;&lt;li&gt;&lt;a href=|http://mhc.biblecommenter.com/job/6.htm| title=|Matthew Henry's Concise Commentary| target=|_top|&gt;MHC&lt;/a&gt;</v>
      </c>
      <c r="AH442" s="2" t="str">
        <f t="shared" si="1766"/>
        <v>&lt;/li&gt;&lt;li&gt;&lt;a href=|http://sco.biblecommenter.com/job/6.htm| title=|Scofield Reference Notes| target=|_top|&gt;SCO&lt;/a&gt;</v>
      </c>
      <c r="AI442" s="2" t="str">
        <f t="shared" si="1766"/>
        <v>&lt;/li&gt;&lt;li&gt;&lt;a href=|http://wes.biblecommenter.com/job/6.htm| title=|Wesley's Notes on the Bible| target=|_top|&gt;WES&lt;/a&gt;</v>
      </c>
      <c r="AJ442" t="str">
        <f t="shared" si="1766"/>
        <v>&lt;/li&gt;&lt;li&gt;&lt;a href=|http://worldebible.com/job/6.htm| title=|World English Bible| target=|_top|&gt;WEB&lt;/a&gt;</v>
      </c>
      <c r="AK442" t="str">
        <f t="shared" si="1766"/>
        <v>&lt;/li&gt;&lt;li&gt;&lt;a href=|http://yltbible.com/job/6.htm| title=|Young's Literal Translation| target=|_top|&gt;YLT&lt;/a&gt;</v>
      </c>
      <c r="AL442" t="str">
        <f>CONCATENATE("&lt;a href=|http://",AL1191,"/job/6.htm","| ","title=|",AL1190,"| target=|_top|&gt;",AL1192,"&lt;/a&gt;")</f>
        <v>&lt;a href=|http://kjv.us/job/6.htm| title=|American King James Version| target=|_top|&gt;AKJ&lt;/a&gt;</v>
      </c>
      <c r="AM442" t="str">
        <f t="shared" ref="AM442:AN442" si="1767">CONCATENATE("&lt;/li&gt;&lt;li&gt;&lt;a href=|http://",AM1191,"/job/6.htm","| ","title=|",AM1190,"| target=|_top|&gt;",AM1192,"&lt;/a&gt;")</f>
        <v>&lt;/li&gt;&lt;li&gt;&lt;a href=|http://basicenglishbible.com/job/6.htm| title=|Bible in Basic English| target=|_top|&gt;BBE&lt;/a&gt;</v>
      </c>
      <c r="AN442" t="str">
        <f t="shared" si="1767"/>
        <v>&lt;/li&gt;&lt;li&gt;&lt;a href=|http://darbybible.com/job/6.htm| title=|Darby Bible Translation| target=|_top|&gt;DBY&lt;/a&gt;</v>
      </c>
      <c r="AO44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4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4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42" t="str">
        <f>CONCATENATE("&lt;/li&gt;&lt;li&gt;&lt;a href=|http://",AR1191,"/job/6.htm","| ","title=|",AR1190,"| target=|_top|&gt;",AR1192,"&lt;/a&gt;")</f>
        <v>&lt;/li&gt;&lt;li&gt;&lt;a href=|http://websterbible.com/job/6.htm| title=|Webster's Bible Translation| target=|_top|&gt;WBS&lt;/a&gt;</v>
      </c>
      <c r="AS44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42" t="str">
        <f>CONCATENATE("&lt;/li&gt;&lt;li&gt;&lt;a href=|http://",AT1191,"/job/6-1.htm","| ","title=|",AT1190,"| target=|_top|&gt;",AT1192,"&lt;/a&gt;")</f>
        <v>&lt;/li&gt;&lt;li&gt;&lt;a href=|http://biblebrowser.com/job/6-1.htm| title=|Split View| target=|_top|&gt;Split&lt;/a&gt;</v>
      </c>
      <c r="AU442" s="2" t="s">
        <v>1276</v>
      </c>
      <c r="AV442" t="s">
        <v>64</v>
      </c>
    </row>
    <row r="443" spans="1:48">
      <c r="A443" t="s">
        <v>622</v>
      </c>
      <c r="B443" t="s">
        <v>681</v>
      </c>
      <c r="C443" t="s">
        <v>624</v>
      </c>
      <c r="D443" t="s">
        <v>1268</v>
      </c>
      <c r="E443" t="s">
        <v>1277</v>
      </c>
      <c r="F443" t="s">
        <v>1304</v>
      </c>
      <c r="G443" t="s">
        <v>1266</v>
      </c>
      <c r="H443" t="s">
        <v>1305</v>
      </c>
      <c r="I443" t="s">
        <v>1303</v>
      </c>
      <c r="J443" t="s">
        <v>1267</v>
      </c>
      <c r="K443" t="s">
        <v>1275</v>
      </c>
      <c r="L443" s="2" t="s">
        <v>1274</v>
      </c>
      <c r="M443" t="str">
        <f t="shared" ref="M443:AB443" si="1768">CONCATENATE("&lt;/li&gt;&lt;li&gt;&lt;a href=|http://",M1191,"/job/7.htm","| ","title=|",M1190,"| target=|_top|&gt;",M1192,"&lt;/a&gt;")</f>
        <v>&lt;/li&gt;&lt;li&gt;&lt;a href=|http://niv.scripturetext.com/job/7.htm| title=|New International Version| target=|_top|&gt;NIV&lt;/a&gt;</v>
      </c>
      <c r="N443" t="str">
        <f t="shared" si="1768"/>
        <v>&lt;/li&gt;&lt;li&gt;&lt;a href=|http://nlt.scripturetext.com/job/7.htm| title=|New Living Translation| target=|_top|&gt;NLT&lt;/a&gt;</v>
      </c>
      <c r="O443" t="str">
        <f t="shared" si="1768"/>
        <v>&lt;/li&gt;&lt;li&gt;&lt;a href=|http://nasb.scripturetext.com/job/7.htm| title=|New American Standard Bible| target=|_top|&gt;NAS&lt;/a&gt;</v>
      </c>
      <c r="P443" t="str">
        <f t="shared" si="1768"/>
        <v>&lt;/li&gt;&lt;li&gt;&lt;a href=|http://gwt.scripturetext.com/job/7.htm| title=|God's Word Translation| target=|_top|&gt;GWT&lt;/a&gt;</v>
      </c>
      <c r="Q443" t="str">
        <f t="shared" si="1768"/>
        <v>&lt;/li&gt;&lt;li&gt;&lt;a href=|http://kingjbible.com/job/7.htm| title=|King James Bible| target=|_top|&gt;KJV&lt;/a&gt;</v>
      </c>
      <c r="R443" t="str">
        <f t="shared" si="1768"/>
        <v>&lt;/li&gt;&lt;li&gt;&lt;a href=|http://asvbible.com/job/7.htm| title=|American Standard Version| target=|_top|&gt;ASV&lt;/a&gt;</v>
      </c>
      <c r="S443" t="str">
        <f t="shared" si="1768"/>
        <v>&lt;/li&gt;&lt;li&gt;&lt;a href=|http://drb.scripturetext.com/job/7.htm| title=|Douay-Rheims Bible| target=|_top|&gt;DRB&lt;/a&gt;</v>
      </c>
      <c r="T443" t="str">
        <f t="shared" si="1768"/>
        <v>&lt;/li&gt;&lt;li&gt;&lt;a href=|http://erv.scripturetext.com/job/7.htm| title=|English Revised Version| target=|_top|&gt;ERV&lt;/a&gt;</v>
      </c>
      <c r="V443" t="str">
        <f>CONCATENATE("&lt;/li&gt;&lt;li&gt;&lt;a href=|http://",V1191,"/job/7.htm","| ","title=|",V1190,"| target=|_top|&gt;",V1192,"&lt;/a&gt;")</f>
        <v>&lt;/li&gt;&lt;li&gt;&lt;a href=|http://study.interlinearbible.org/job/7.htm| title=|Hebrew Study Bible| target=|_top|&gt;Heb Study&lt;/a&gt;</v>
      </c>
      <c r="W443" t="str">
        <f t="shared" si="1768"/>
        <v>&lt;/li&gt;&lt;li&gt;&lt;a href=|http://apostolic.interlinearbible.org/job/7.htm| title=|Apostolic Bible Polyglot Interlinear| target=|_top|&gt;Polyglot&lt;/a&gt;</v>
      </c>
      <c r="X443" t="str">
        <f t="shared" si="1768"/>
        <v>&lt;/li&gt;&lt;li&gt;&lt;a href=|http://interlinearbible.org/job/7.htm| title=|Interlinear Bible| target=|_top|&gt;Interlin&lt;/a&gt;</v>
      </c>
      <c r="Y443" t="str">
        <f t="shared" ref="Y443" si="1769">CONCATENATE("&lt;/li&gt;&lt;li&gt;&lt;a href=|http://",Y1191,"/job/7.htm","| ","title=|",Y1190,"| target=|_top|&gt;",Y1192,"&lt;/a&gt;")</f>
        <v>&lt;/li&gt;&lt;li&gt;&lt;a href=|http://bibleoutline.org/job/7.htm| title=|Outline with People and Places List| target=|_top|&gt;Outline&lt;/a&gt;</v>
      </c>
      <c r="Z443" t="str">
        <f t="shared" si="1768"/>
        <v>&lt;/li&gt;&lt;li&gt;&lt;a href=|http://kjvs.scripturetext.com/job/7.htm| title=|King James Bible with Strong's Numbers| target=|_top|&gt;Strong's&lt;/a&gt;</v>
      </c>
      <c r="AA443" t="str">
        <f t="shared" si="1768"/>
        <v>&lt;/li&gt;&lt;li&gt;&lt;a href=|http://childrensbibleonline.com/job/7.htm| title=|The Children's Bible| target=|_top|&gt;Children's&lt;/a&gt;</v>
      </c>
      <c r="AB443" s="2" t="str">
        <f t="shared" si="1768"/>
        <v>&lt;/li&gt;&lt;li&gt;&lt;a href=|http://tsk.scripturetext.com/job/7.htm| title=|Treasury of Scripture Knowledge| target=|_top|&gt;TSK&lt;/a&gt;</v>
      </c>
      <c r="AC443" t="str">
        <f>CONCATENATE("&lt;a href=|http://",AC1191,"/job/7.htm","| ","title=|",AC1190,"| target=|_top|&gt;",AC1192,"&lt;/a&gt;")</f>
        <v>&lt;a href=|http://parallelbible.com/job/7.htm| title=|Parallel Chapters| target=|_top|&gt;PAR&lt;/a&gt;</v>
      </c>
      <c r="AD443" s="2" t="str">
        <f t="shared" ref="AD443:AK443" si="1770">CONCATENATE("&lt;/li&gt;&lt;li&gt;&lt;a href=|http://",AD1191,"/job/7.htm","| ","title=|",AD1190,"| target=|_top|&gt;",AD1192,"&lt;/a&gt;")</f>
        <v>&lt;/li&gt;&lt;li&gt;&lt;a href=|http://gsb.biblecommenter.com/job/7.htm| title=|Geneva Study Bible| target=|_top|&gt;GSB&lt;/a&gt;</v>
      </c>
      <c r="AE443" s="2" t="str">
        <f t="shared" si="1770"/>
        <v>&lt;/li&gt;&lt;li&gt;&lt;a href=|http://jfb.biblecommenter.com/job/7.htm| title=|Jamieson-Fausset-Brown Bible Commentary| target=|_top|&gt;JFB&lt;/a&gt;</v>
      </c>
      <c r="AF443" s="2" t="str">
        <f t="shared" si="1770"/>
        <v>&lt;/li&gt;&lt;li&gt;&lt;a href=|http://kjt.biblecommenter.com/job/7.htm| title=|King James Translators' Notes| target=|_top|&gt;KJT&lt;/a&gt;</v>
      </c>
      <c r="AG443" s="2" t="str">
        <f t="shared" si="1770"/>
        <v>&lt;/li&gt;&lt;li&gt;&lt;a href=|http://mhc.biblecommenter.com/job/7.htm| title=|Matthew Henry's Concise Commentary| target=|_top|&gt;MHC&lt;/a&gt;</v>
      </c>
      <c r="AH443" s="2" t="str">
        <f t="shared" si="1770"/>
        <v>&lt;/li&gt;&lt;li&gt;&lt;a href=|http://sco.biblecommenter.com/job/7.htm| title=|Scofield Reference Notes| target=|_top|&gt;SCO&lt;/a&gt;</v>
      </c>
      <c r="AI443" s="2" t="str">
        <f t="shared" si="1770"/>
        <v>&lt;/li&gt;&lt;li&gt;&lt;a href=|http://wes.biblecommenter.com/job/7.htm| title=|Wesley's Notes on the Bible| target=|_top|&gt;WES&lt;/a&gt;</v>
      </c>
      <c r="AJ443" t="str">
        <f t="shared" si="1770"/>
        <v>&lt;/li&gt;&lt;li&gt;&lt;a href=|http://worldebible.com/job/7.htm| title=|World English Bible| target=|_top|&gt;WEB&lt;/a&gt;</v>
      </c>
      <c r="AK443" t="str">
        <f t="shared" si="1770"/>
        <v>&lt;/li&gt;&lt;li&gt;&lt;a href=|http://yltbible.com/job/7.htm| title=|Young's Literal Translation| target=|_top|&gt;YLT&lt;/a&gt;</v>
      </c>
      <c r="AL443" t="str">
        <f>CONCATENATE("&lt;a href=|http://",AL1191,"/job/7.htm","| ","title=|",AL1190,"| target=|_top|&gt;",AL1192,"&lt;/a&gt;")</f>
        <v>&lt;a href=|http://kjv.us/job/7.htm| title=|American King James Version| target=|_top|&gt;AKJ&lt;/a&gt;</v>
      </c>
      <c r="AM443" t="str">
        <f t="shared" ref="AM443:AN443" si="1771">CONCATENATE("&lt;/li&gt;&lt;li&gt;&lt;a href=|http://",AM1191,"/job/7.htm","| ","title=|",AM1190,"| target=|_top|&gt;",AM1192,"&lt;/a&gt;")</f>
        <v>&lt;/li&gt;&lt;li&gt;&lt;a href=|http://basicenglishbible.com/job/7.htm| title=|Bible in Basic English| target=|_top|&gt;BBE&lt;/a&gt;</v>
      </c>
      <c r="AN443" t="str">
        <f t="shared" si="1771"/>
        <v>&lt;/li&gt;&lt;li&gt;&lt;a href=|http://darbybible.com/job/7.htm| title=|Darby Bible Translation| target=|_top|&gt;DBY&lt;/a&gt;</v>
      </c>
      <c r="AO44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4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4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43" t="str">
        <f>CONCATENATE("&lt;/li&gt;&lt;li&gt;&lt;a href=|http://",AR1191,"/job/7.htm","| ","title=|",AR1190,"| target=|_top|&gt;",AR1192,"&lt;/a&gt;")</f>
        <v>&lt;/li&gt;&lt;li&gt;&lt;a href=|http://websterbible.com/job/7.htm| title=|Webster's Bible Translation| target=|_top|&gt;WBS&lt;/a&gt;</v>
      </c>
      <c r="AS44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43" t="str">
        <f>CONCATENATE("&lt;/li&gt;&lt;li&gt;&lt;a href=|http://",AT1191,"/job/7-1.htm","| ","title=|",AT1190,"| target=|_top|&gt;",AT1192,"&lt;/a&gt;")</f>
        <v>&lt;/li&gt;&lt;li&gt;&lt;a href=|http://biblebrowser.com/job/7-1.htm| title=|Split View| target=|_top|&gt;Split&lt;/a&gt;</v>
      </c>
      <c r="AU443" s="2" t="s">
        <v>1276</v>
      </c>
      <c r="AV443" t="s">
        <v>64</v>
      </c>
    </row>
    <row r="444" spans="1:48">
      <c r="A444" t="s">
        <v>622</v>
      </c>
      <c r="B444" t="s">
        <v>682</v>
      </c>
      <c r="C444" t="s">
        <v>624</v>
      </c>
      <c r="D444" t="s">
        <v>1268</v>
      </c>
      <c r="E444" t="s">
        <v>1277</v>
      </c>
      <c r="F444" t="s">
        <v>1304</v>
      </c>
      <c r="G444" t="s">
        <v>1266</v>
      </c>
      <c r="H444" t="s">
        <v>1305</v>
      </c>
      <c r="I444" t="s">
        <v>1303</v>
      </c>
      <c r="J444" t="s">
        <v>1267</v>
      </c>
      <c r="K444" t="s">
        <v>1275</v>
      </c>
      <c r="L444" s="2" t="s">
        <v>1274</v>
      </c>
      <c r="M444" t="str">
        <f t="shared" ref="M444:AB444" si="1772">CONCATENATE("&lt;/li&gt;&lt;li&gt;&lt;a href=|http://",M1191,"/job/8.htm","| ","title=|",M1190,"| target=|_top|&gt;",M1192,"&lt;/a&gt;")</f>
        <v>&lt;/li&gt;&lt;li&gt;&lt;a href=|http://niv.scripturetext.com/job/8.htm| title=|New International Version| target=|_top|&gt;NIV&lt;/a&gt;</v>
      </c>
      <c r="N444" t="str">
        <f t="shared" si="1772"/>
        <v>&lt;/li&gt;&lt;li&gt;&lt;a href=|http://nlt.scripturetext.com/job/8.htm| title=|New Living Translation| target=|_top|&gt;NLT&lt;/a&gt;</v>
      </c>
      <c r="O444" t="str">
        <f t="shared" si="1772"/>
        <v>&lt;/li&gt;&lt;li&gt;&lt;a href=|http://nasb.scripturetext.com/job/8.htm| title=|New American Standard Bible| target=|_top|&gt;NAS&lt;/a&gt;</v>
      </c>
      <c r="P444" t="str">
        <f t="shared" si="1772"/>
        <v>&lt;/li&gt;&lt;li&gt;&lt;a href=|http://gwt.scripturetext.com/job/8.htm| title=|God's Word Translation| target=|_top|&gt;GWT&lt;/a&gt;</v>
      </c>
      <c r="Q444" t="str">
        <f t="shared" si="1772"/>
        <v>&lt;/li&gt;&lt;li&gt;&lt;a href=|http://kingjbible.com/job/8.htm| title=|King James Bible| target=|_top|&gt;KJV&lt;/a&gt;</v>
      </c>
      <c r="R444" t="str">
        <f t="shared" si="1772"/>
        <v>&lt;/li&gt;&lt;li&gt;&lt;a href=|http://asvbible.com/job/8.htm| title=|American Standard Version| target=|_top|&gt;ASV&lt;/a&gt;</v>
      </c>
      <c r="S444" t="str">
        <f t="shared" si="1772"/>
        <v>&lt;/li&gt;&lt;li&gt;&lt;a href=|http://drb.scripturetext.com/job/8.htm| title=|Douay-Rheims Bible| target=|_top|&gt;DRB&lt;/a&gt;</v>
      </c>
      <c r="T444" t="str">
        <f t="shared" si="1772"/>
        <v>&lt;/li&gt;&lt;li&gt;&lt;a href=|http://erv.scripturetext.com/job/8.htm| title=|English Revised Version| target=|_top|&gt;ERV&lt;/a&gt;</v>
      </c>
      <c r="V444" t="str">
        <f>CONCATENATE("&lt;/li&gt;&lt;li&gt;&lt;a href=|http://",V1191,"/job/8.htm","| ","title=|",V1190,"| target=|_top|&gt;",V1192,"&lt;/a&gt;")</f>
        <v>&lt;/li&gt;&lt;li&gt;&lt;a href=|http://study.interlinearbible.org/job/8.htm| title=|Hebrew Study Bible| target=|_top|&gt;Heb Study&lt;/a&gt;</v>
      </c>
      <c r="W444" t="str">
        <f t="shared" si="1772"/>
        <v>&lt;/li&gt;&lt;li&gt;&lt;a href=|http://apostolic.interlinearbible.org/job/8.htm| title=|Apostolic Bible Polyglot Interlinear| target=|_top|&gt;Polyglot&lt;/a&gt;</v>
      </c>
      <c r="X444" t="str">
        <f t="shared" si="1772"/>
        <v>&lt;/li&gt;&lt;li&gt;&lt;a href=|http://interlinearbible.org/job/8.htm| title=|Interlinear Bible| target=|_top|&gt;Interlin&lt;/a&gt;</v>
      </c>
      <c r="Y444" t="str">
        <f t="shared" ref="Y444" si="1773">CONCATENATE("&lt;/li&gt;&lt;li&gt;&lt;a href=|http://",Y1191,"/job/8.htm","| ","title=|",Y1190,"| target=|_top|&gt;",Y1192,"&lt;/a&gt;")</f>
        <v>&lt;/li&gt;&lt;li&gt;&lt;a href=|http://bibleoutline.org/job/8.htm| title=|Outline with People and Places List| target=|_top|&gt;Outline&lt;/a&gt;</v>
      </c>
      <c r="Z444" t="str">
        <f t="shared" si="1772"/>
        <v>&lt;/li&gt;&lt;li&gt;&lt;a href=|http://kjvs.scripturetext.com/job/8.htm| title=|King James Bible with Strong's Numbers| target=|_top|&gt;Strong's&lt;/a&gt;</v>
      </c>
      <c r="AA444" t="str">
        <f t="shared" si="1772"/>
        <v>&lt;/li&gt;&lt;li&gt;&lt;a href=|http://childrensbibleonline.com/job/8.htm| title=|The Children's Bible| target=|_top|&gt;Children's&lt;/a&gt;</v>
      </c>
      <c r="AB444" s="2" t="str">
        <f t="shared" si="1772"/>
        <v>&lt;/li&gt;&lt;li&gt;&lt;a href=|http://tsk.scripturetext.com/job/8.htm| title=|Treasury of Scripture Knowledge| target=|_top|&gt;TSK&lt;/a&gt;</v>
      </c>
      <c r="AC444" t="str">
        <f>CONCATENATE("&lt;a href=|http://",AC1191,"/job/8.htm","| ","title=|",AC1190,"| target=|_top|&gt;",AC1192,"&lt;/a&gt;")</f>
        <v>&lt;a href=|http://parallelbible.com/job/8.htm| title=|Parallel Chapters| target=|_top|&gt;PAR&lt;/a&gt;</v>
      </c>
      <c r="AD444" s="2" t="str">
        <f t="shared" ref="AD444:AK444" si="1774">CONCATENATE("&lt;/li&gt;&lt;li&gt;&lt;a href=|http://",AD1191,"/job/8.htm","| ","title=|",AD1190,"| target=|_top|&gt;",AD1192,"&lt;/a&gt;")</f>
        <v>&lt;/li&gt;&lt;li&gt;&lt;a href=|http://gsb.biblecommenter.com/job/8.htm| title=|Geneva Study Bible| target=|_top|&gt;GSB&lt;/a&gt;</v>
      </c>
      <c r="AE444" s="2" t="str">
        <f t="shared" si="1774"/>
        <v>&lt;/li&gt;&lt;li&gt;&lt;a href=|http://jfb.biblecommenter.com/job/8.htm| title=|Jamieson-Fausset-Brown Bible Commentary| target=|_top|&gt;JFB&lt;/a&gt;</v>
      </c>
      <c r="AF444" s="2" t="str">
        <f t="shared" si="1774"/>
        <v>&lt;/li&gt;&lt;li&gt;&lt;a href=|http://kjt.biblecommenter.com/job/8.htm| title=|King James Translators' Notes| target=|_top|&gt;KJT&lt;/a&gt;</v>
      </c>
      <c r="AG444" s="2" t="str">
        <f t="shared" si="1774"/>
        <v>&lt;/li&gt;&lt;li&gt;&lt;a href=|http://mhc.biblecommenter.com/job/8.htm| title=|Matthew Henry's Concise Commentary| target=|_top|&gt;MHC&lt;/a&gt;</v>
      </c>
      <c r="AH444" s="2" t="str">
        <f t="shared" si="1774"/>
        <v>&lt;/li&gt;&lt;li&gt;&lt;a href=|http://sco.biblecommenter.com/job/8.htm| title=|Scofield Reference Notes| target=|_top|&gt;SCO&lt;/a&gt;</v>
      </c>
      <c r="AI444" s="2" t="str">
        <f t="shared" si="1774"/>
        <v>&lt;/li&gt;&lt;li&gt;&lt;a href=|http://wes.biblecommenter.com/job/8.htm| title=|Wesley's Notes on the Bible| target=|_top|&gt;WES&lt;/a&gt;</v>
      </c>
      <c r="AJ444" t="str">
        <f t="shared" si="1774"/>
        <v>&lt;/li&gt;&lt;li&gt;&lt;a href=|http://worldebible.com/job/8.htm| title=|World English Bible| target=|_top|&gt;WEB&lt;/a&gt;</v>
      </c>
      <c r="AK444" t="str">
        <f t="shared" si="1774"/>
        <v>&lt;/li&gt;&lt;li&gt;&lt;a href=|http://yltbible.com/job/8.htm| title=|Young's Literal Translation| target=|_top|&gt;YLT&lt;/a&gt;</v>
      </c>
      <c r="AL444" t="str">
        <f>CONCATENATE("&lt;a href=|http://",AL1191,"/job/8.htm","| ","title=|",AL1190,"| target=|_top|&gt;",AL1192,"&lt;/a&gt;")</f>
        <v>&lt;a href=|http://kjv.us/job/8.htm| title=|American King James Version| target=|_top|&gt;AKJ&lt;/a&gt;</v>
      </c>
      <c r="AM444" t="str">
        <f t="shared" ref="AM444:AN444" si="1775">CONCATENATE("&lt;/li&gt;&lt;li&gt;&lt;a href=|http://",AM1191,"/job/8.htm","| ","title=|",AM1190,"| target=|_top|&gt;",AM1192,"&lt;/a&gt;")</f>
        <v>&lt;/li&gt;&lt;li&gt;&lt;a href=|http://basicenglishbible.com/job/8.htm| title=|Bible in Basic English| target=|_top|&gt;BBE&lt;/a&gt;</v>
      </c>
      <c r="AN444" t="str">
        <f t="shared" si="1775"/>
        <v>&lt;/li&gt;&lt;li&gt;&lt;a href=|http://darbybible.com/job/8.htm| title=|Darby Bible Translation| target=|_top|&gt;DBY&lt;/a&gt;</v>
      </c>
      <c r="AO44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4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4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44" t="str">
        <f>CONCATENATE("&lt;/li&gt;&lt;li&gt;&lt;a href=|http://",AR1191,"/job/8.htm","| ","title=|",AR1190,"| target=|_top|&gt;",AR1192,"&lt;/a&gt;")</f>
        <v>&lt;/li&gt;&lt;li&gt;&lt;a href=|http://websterbible.com/job/8.htm| title=|Webster's Bible Translation| target=|_top|&gt;WBS&lt;/a&gt;</v>
      </c>
      <c r="AS44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44" t="str">
        <f>CONCATENATE("&lt;/li&gt;&lt;li&gt;&lt;a href=|http://",AT1191,"/job/8-1.htm","| ","title=|",AT1190,"| target=|_top|&gt;",AT1192,"&lt;/a&gt;")</f>
        <v>&lt;/li&gt;&lt;li&gt;&lt;a href=|http://biblebrowser.com/job/8-1.htm| title=|Split View| target=|_top|&gt;Split&lt;/a&gt;</v>
      </c>
      <c r="AU444" s="2" t="s">
        <v>1276</v>
      </c>
      <c r="AV444" t="s">
        <v>64</v>
      </c>
    </row>
    <row r="445" spans="1:48">
      <c r="A445" t="s">
        <v>622</v>
      </c>
      <c r="B445" t="s">
        <v>683</v>
      </c>
      <c r="C445" t="s">
        <v>624</v>
      </c>
      <c r="D445" t="s">
        <v>1268</v>
      </c>
      <c r="E445" t="s">
        <v>1277</v>
      </c>
      <c r="F445" t="s">
        <v>1304</v>
      </c>
      <c r="G445" t="s">
        <v>1266</v>
      </c>
      <c r="H445" t="s">
        <v>1305</v>
      </c>
      <c r="I445" t="s">
        <v>1303</v>
      </c>
      <c r="J445" t="s">
        <v>1267</v>
      </c>
      <c r="K445" t="s">
        <v>1275</v>
      </c>
      <c r="L445" s="2" t="s">
        <v>1274</v>
      </c>
      <c r="M445" t="str">
        <f t="shared" ref="M445:AB445" si="1776">CONCATENATE("&lt;/li&gt;&lt;li&gt;&lt;a href=|http://",M1191,"/job/9.htm","| ","title=|",M1190,"| target=|_top|&gt;",M1192,"&lt;/a&gt;")</f>
        <v>&lt;/li&gt;&lt;li&gt;&lt;a href=|http://niv.scripturetext.com/job/9.htm| title=|New International Version| target=|_top|&gt;NIV&lt;/a&gt;</v>
      </c>
      <c r="N445" t="str">
        <f t="shared" si="1776"/>
        <v>&lt;/li&gt;&lt;li&gt;&lt;a href=|http://nlt.scripturetext.com/job/9.htm| title=|New Living Translation| target=|_top|&gt;NLT&lt;/a&gt;</v>
      </c>
      <c r="O445" t="str">
        <f t="shared" si="1776"/>
        <v>&lt;/li&gt;&lt;li&gt;&lt;a href=|http://nasb.scripturetext.com/job/9.htm| title=|New American Standard Bible| target=|_top|&gt;NAS&lt;/a&gt;</v>
      </c>
      <c r="P445" t="str">
        <f t="shared" si="1776"/>
        <v>&lt;/li&gt;&lt;li&gt;&lt;a href=|http://gwt.scripturetext.com/job/9.htm| title=|God's Word Translation| target=|_top|&gt;GWT&lt;/a&gt;</v>
      </c>
      <c r="Q445" t="str">
        <f t="shared" si="1776"/>
        <v>&lt;/li&gt;&lt;li&gt;&lt;a href=|http://kingjbible.com/job/9.htm| title=|King James Bible| target=|_top|&gt;KJV&lt;/a&gt;</v>
      </c>
      <c r="R445" t="str">
        <f t="shared" si="1776"/>
        <v>&lt;/li&gt;&lt;li&gt;&lt;a href=|http://asvbible.com/job/9.htm| title=|American Standard Version| target=|_top|&gt;ASV&lt;/a&gt;</v>
      </c>
      <c r="S445" t="str">
        <f t="shared" si="1776"/>
        <v>&lt;/li&gt;&lt;li&gt;&lt;a href=|http://drb.scripturetext.com/job/9.htm| title=|Douay-Rheims Bible| target=|_top|&gt;DRB&lt;/a&gt;</v>
      </c>
      <c r="T445" t="str">
        <f t="shared" si="1776"/>
        <v>&lt;/li&gt;&lt;li&gt;&lt;a href=|http://erv.scripturetext.com/job/9.htm| title=|English Revised Version| target=|_top|&gt;ERV&lt;/a&gt;</v>
      </c>
      <c r="V445" t="str">
        <f>CONCATENATE("&lt;/li&gt;&lt;li&gt;&lt;a href=|http://",V1191,"/job/9.htm","| ","title=|",V1190,"| target=|_top|&gt;",V1192,"&lt;/a&gt;")</f>
        <v>&lt;/li&gt;&lt;li&gt;&lt;a href=|http://study.interlinearbible.org/job/9.htm| title=|Hebrew Study Bible| target=|_top|&gt;Heb Study&lt;/a&gt;</v>
      </c>
      <c r="W445" t="str">
        <f t="shared" si="1776"/>
        <v>&lt;/li&gt;&lt;li&gt;&lt;a href=|http://apostolic.interlinearbible.org/job/9.htm| title=|Apostolic Bible Polyglot Interlinear| target=|_top|&gt;Polyglot&lt;/a&gt;</v>
      </c>
      <c r="X445" t="str">
        <f t="shared" si="1776"/>
        <v>&lt;/li&gt;&lt;li&gt;&lt;a href=|http://interlinearbible.org/job/9.htm| title=|Interlinear Bible| target=|_top|&gt;Interlin&lt;/a&gt;</v>
      </c>
      <c r="Y445" t="str">
        <f t="shared" ref="Y445" si="1777">CONCATENATE("&lt;/li&gt;&lt;li&gt;&lt;a href=|http://",Y1191,"/job/9.htm","| ","title=|",Y1190,"| target=|_top|&gt;",Y1192,"&lt;/a&gt;")</f>
        <v>&lt;/li&gt;&lt;li&gt;&lt;a href=|http://bibleoutline.org/job/9.htm| title=|Outline with People and Places List| target=|_top|&gt;Outline&lt;/a&gt;</v>
      </c>
      <c r="Z445" t="str">
        <f t="shared" si="1776"/>
        <v>&lt;/li&gt;&lt;li&gt;&lt;a href=|http://kjvs.scripturetext.com/job/9.htm| title=|King James Bible with Strong's Numbers| target=|_top|&gt;Strong's&lt;/a&gt;</v>
      </c>
      <c r="AA445" t="str">
        <f t="shared" si="1776"/>
        <v>&lt;/li&gt;&lt;li&gt;&lt;a href=|http://childrensbibleonline.com/job/9.htm| title=|The Children's Bible| target=|_top|&gt;Children's&lt;/a&gt;</v>
      </c>
      <c r="AB445" s="2" t="str">
        <f t="shared" si="1776"/>
        <v>&lt;/li&gt;&lt;li&gt;&lt;a href=|http://tsk.scripturetext.com/job/9.htm| title=|Treasury of Scripture Knowledge| target=|_top|&gt;TSK&lt;/a&gt;</v>
      </c>
      <c r="AC445" t="str">
        <f>CONCATENATE("&lt;a href=|http://",AC1191,"/job/9.htm","| ","title=|",AC1190,"| target=|_top|&gt;",AC1192,"&lt;/a&gt;")</f>
        <v>&lt;a href=|http://parallelbible.com/job/9.htm| title=|Parallel Chapters| target=|_top|&gt;PAR&lt;/a&gt;</v>
      </c>
      <c r="AD445" s="2" t="str">
        <f t="shared" ref="AD445:AK445" si="1778">CONCATENATE("&lt;/li&gt;&lt;li&gt;&lt;a href=|http://",AD1191,"/job/9.htm","| ","title=|",AD1190,"| target=|_top|&gt;",AD1192,"&lt;/a&gt;")</f>
        <v>&lt;/li&gt;&lt;li&gt;&lt;a href=|http://gsb.biblecommenter.com/job/9.htm| title=|Geneva Study Bible| target=|_top|&gt;GSB&lt;/a&gt;</v>
      </c>
      <c r="AE445" s="2" t="str">
        <f t="shared" si="1778"/>
        <v>&lt;/li&gt;&lt;li&gt;&lt;a href=|http://jfb.biblecommenter.com/job/9.htm| title=|Jamieson-Fausset-Brown Bible Commentary| target=|_top|&gt;JFB&lt;/a&gt;</v>
      </c>
      <c r="AF445" s="2" t="str">
        <f t="shared" si="1778"/>
        <v>&lt;/li&gt;&lt;li&gt;&lt;a href=|http://kjt.biblecommenter.com/job/9.htm| title=|King James Translators' Notes| target=|_top|&gt;KJT&lt;/a&gt;</v>
      </c>
      <c r="AG445" s="2" t="str">
        <f t="shared" si="1778"/>
        <v>&lt;/li&gt;&lt;li&gt;&lt;a href=|http://mhc.biblecommenter.com/job/9.htm| title=|Matthew Henry's Concise Commentary| target=|_top|&gt;MHC&lt;/a&gt;</v>
      </c>
      <c r="AH445" s="2" t="str">
        <f t="shared" si="1778"/>
        <v>&lt;/li&gt;&lt;li&gt;&lt;a href=|http://sco.biblecommenter.com/job/9.htm| title=|Scofield Reference Notes| target=|_top|&gt;SCO&lt;/a&gt;</v>
      </c>
      <c r="AI445" s="2" t="str">
        <f t="shared" si="1778"/>
        <v>&lt;/li&gt;&lt;li&gt;&lt;a href=|http://wes.biblecommenter.com/job/9.htm| title=|Wesley's Notes on the Bible| target=|_top|&gt;WES&lt;/a&gt;</v>
      </c>
      <c r="AJ445" t="str">
        <f t="shared" si="1778"/>
        <v>&lt;/li&gt;&lt;li&gt;&lt;a href=|http://worldebible.com/job/9.htm| title=|World English Bible| target=|_top|&gt;WEB&lt;/a&gt;</v>
      </c>
      <c r="AK445" t="str">
        <f t="shared" si="1778"/>
        <v>&lt;/li&gt;&lt;li&gt;&lt;a href=|http://yltbible.com/job/9.htm| title=|Young's Literal Translation| target=|_top|&gt;YLT&lt;/a&gt;</v>
      </c>
      <c r="AL445" t="str">
        <f>CONCATENATE("&lt;a href=|http://",AL1191,"/job/9.htm","| ","title=|",AL1190,"| target=|_top|&gt;",AL1192,"&lt;/a&gt;")</f>
        <v>&lt;a href=|http://kjv.us/job/9.htm| title=|American King James Version| target=|_top|&gt;AKJ&lt;/a&gt;</v>
      </c>
      <c r="AM445" t="str">
        <f t="shared" ref="AM445:AN445" si="1779">CONCATENATE("&lt;/li&gt;&lt;li&gt;&lt;a href=|http://",AM1191,"/job/9.htm","| ","title=|",AM1190,"| target=|_top|&gt;",AM1192,"&lt;/a&gt;")</f>
        <v>&lt;/li&gt;&lt;li&gt;&lt;a href=|http://basicenglishbible.com/job/9.htm| title=|Bible in Basic English| target=|_top|&gt;BBE&lt;/a&gt;</v>
      </c>
      <c r="AN445" t="str">
        <f t="shared" si="1779"/>
        <v>&lt;/li&gt;&lt;li&gt;&lt;a href=|http://darbybible.com/job/9.htm| title=|Darby Bible Translation| target=|_top|&gt;DBY&lt;/a&gt;</v>
      </c>
      <c r="AO44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4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4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45" t="str">
        <f>CONCATENATE("&lt;/li&gt;&lt;li&gt;&lt;a href=|http://",AR1191,"/job/9.htm","| ","title=|",AR1190,"| target=|_top|&gt;",AR1192,"&lt;/a&gt;")</f>
        <v>&lt;/li&gt;&lt;li&gt;&lt;a href=|http://websterbible.com/job/9.htm| title=|Webster's Bible Translation| target=|_top|&gt;WBS&lt;/a&gt;</v>
      </c>
      <c r="AS44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45" t="str">
        <f>CONCATENATE("&lt;/li&gt;&lt;li&gt;&lt;a href=|http://",AT1191,"/job/9-1.htm","| ","title=|",AT1190,"| target=|_top|&gt;",AT1192,"&lt;/a&gt;")</f>
        <v>&lt;/li&gt;&lt;li&gt;&lt;a href=|http://biblebrowser.com/job/9-1.htm| title=|Split View| target=|_top|&gt;Split&lt;/a&gt;</v>
      </c>
      <c r="AU445" s="2" t="s">
        <v>1276</v>
      </c>
      <c r="AV445" t="s">
        <v>64</v>
      </c>
    </row>
    <row r="446" spans="1:48">
      <c r="A446" t="s">
        <v>622</v>
      </c>
      <c r="B446" t="s">
        <v>684</v>
      </c>
      <c r="C446" t="s">
        <v>624</v>
      </c>
      <c r="D446" t="s">
        <v>1268</v>
      </c>
      <c r="E446" t="s">
        <v>1277</v>
      </c>
      <c r="F446" t="s">
        <v>1304</v>
      </c>
      <c r="G446" t="s">
        <v>1266</v>
      </c>
      <c r="H446" t="s">
        <v>1305</v>
      </c>
      <c r="I446" t="s">
        <v>1303</v>
      </c>
      <c r="J446" t="s">
        <v>1267</v>
      </c>
      <c r="K446" t="s">
        <v>1275</v>
      </c>
      <c r="L446" s="2" t="s">
        <v>1274</v>
      </c>
      <c r="M446" t="str">
        <f t="shared" ref="M446:AB446" si="1780">CONCATENATE("&lt;/li&gt;&lt;li&gt;&lt;a href=|http://",M1191,"/job/10.htm","| ","title=|",M1190,"| target=|_top|&gt;",M1192,"&lt;/a&gt;")</f>
        <v>&lt;/li&gt;&lt;li&gt;&lt;a href=|http://niv.scripturetext.com/job/10.htm| title=|New International Version| target=|_top|&gt;NIV&lt;/a&gt;</v>
      </c>
      <c r="N446" t="str">
        <f t="shared" si="1780"/>
        <v>&lt;/li&gt;&lt;li&gt;&lt;a href=|http://nlt.scripturetext.com/job/10.htm| title=|New Living Translation| target=|_top|&gt;NLT&lt;/a&gt;</v>
      </c>
      <c r="O446" t="str">
        <f t="shared" si="1780"/>
        <v>&lt;/li&gt;&lt;li&gt;&lt;a href=|http://nasb.scripturetext.com/job/10.htm| title=|New American Standard Bible| target=|_top|&gt;NAS&lt;/a&gt;</v>
      </c>
      <c r="P446" t="str">
        <f t="shared" si="1780"/>
        <v>&lt;/li&gt;&lt;li&gt;&lt;a href=|http://gwt.scripturetext.com/job/10.htm| title=|God's Word Translation| target=|_top|&gt;GWT&lt;/a&gt;</v>
      </c>
      <c r="Q446" t="str">
        <f t="shared" si="1780"/>
        <v>&lt;/li&gt;&lt;li&gt;&lt;a href=|http://kingjbible.com/job/10.htm| title=|King James Bible| target=|_top|&gt;KJV&lt;/a&gt;</v>
      </c>
      <c r="R446" t="str">
        <f t="shared" si="1780"/>
        <v>&lt;/li&gt;&lt;li&gt;&lt;a href=|http://asvbible.com/job/10.htm| title=|American Standard Version| target=|_top|&gt;ASV&lt;/a&gt;</v>
      </c>
      <c r="S446" t="str">
        <f t="shared" si="1780"/>
        <v>&lt;/li&gt;&lt;li&gt;&lt;a href=|http://drb.scripturetext.com/job/10.htm| title=|Douay-Rheims Bible| target=|_top|&gt;DRB&lt;/a&gt;</v>
      </c>
      <c r="T446" t="str">
        <f t="shared" si="1780"/>
        <v>&lt;/li&gt;&lt;li&gt;&lt;a href=|http://erv.scripturetext.com/job/10.htm| title=|English Revised Version| target=|_top|&gt;ERV&lt;/a&gt;</v>
      </c>
      <c r="V446" t="str">
        <f>CONCATENATE("&lt;/li&gt;&lt;li&gt;&lt;a href=|http://",V1191,"/job/10.htm","| ","title=|",V1190,"| target=|_top|&gt;",V1192,"&lt;/a&gt;")</f>
        <v>&lt;/li&gt;&lt;li&gt;&lt;a href=|http://study.interlinearbible.org/job/10.htm| title=|Hebrew Study Bible| target=|_top|&gt;Heb Study&lt;/a&gt;</v>
      </c>
      <c r="W446" t="str">
        <f t="shared" si="1780"/>
        <v>&lt;/li&gt;&lt;li&gt;&lt;a href=|http://apostolic.interlinearbible.org/job/10.htm| title=|Apostolic Bible Polyglot Interlinear| target=|_top|&gt;Polyglot&lt;/a&gt;</v>
      </c>
      <c r="X446" t="str">
        <f t="shared" si="1780"/>
        <v>&lt;/li&gt;&lt;li&gt;&lt;a href=|http://interlinearbible.org/job/10.htm| title=|Interlinear Bible| target=|_top|&gt;Interlin&lt;/a&gt;</v>
      </c>
      <c r="Y446" t="str">
        <f t="shared" ref="Y446" si="1781">CONCATENATE("&lt;/li&gt;&lt;li&gt;&lt;a href=|http://",Y1191,"/job/10.htm","| ","title=|",Y1190,"| target=|_top|&gt;",Y1192,"&lt;/a&gt;")</f>
        <v>&lt;/li&gt;&lt;li&gt;&lt;a href=|http://bibleoutline.org/job/10.htm| title=|Outline with People and Places List| target=|_top|&gt;Outline&lt;/a&gt;</v>
      </c>
      <c r="Z446" t="str">
        <f t="shared" si="1780"/>
        <v>&lt;/li&gt;&lt;li&gt;&lt;a href=|http://kjvs.scripturetext.com/job/10.htm| title=|King James Bible with Strong's Numbers| target=|_top|&gt;Strong's&lt;/a&gt;</v>
      </c>
      <c r="AA446" t="str">
        <f t="shared" si="1780"/>
        <v>&lt;/li&gt;&lt;li&gt;&lt;a href=|http://childrensbibleonline.com/job/10.htm| title=|The Children's Bible| target=|_top|&gt;Children's&lt;/a&gt;</v>
      </c>
      <c r="AB446" s="2" t="str">
        <f t="shared" si="1780"/>
        <v>&lt;/li&gt;&lt;li&gt;&lt;a href=|http://tsk.scripturetext.com/job/10.htm| title=|Treasury of Scripture Knowledge| target=|_top|&gt;TSK&lt;/a&gt;</v>
      </c>
      <c r="AC446" t="str">
        <f>CONCATENATE("&lt;a href=|http://",AC1191,"/job/10.htm","| ","title=|",AC1190,"| target=|_top|&gt;",AC1192,"&lt;/a&gt;")</f>
        <v>&lt;a href=|http://parallelbible.com/job/10.htm| title=|Parallel Chapters| target=|_top|&gt;PAR&lt;/a&gt;</v>
      </c>
      <c r="AD446" s="2" t="str">
        <f t="shared" ref="AD446:AK446" si="1782">CONCATENATE("&lt;/li&gt;&lt;li&gt;&lt;a href=|http://",AD1191,"/job/10.htm","| ","title=|",AD1190,"| target=|_top|&gt;",AD1192,"&lt;/a&gt;")</f>
        <v>&lt;/li&gt;&lt;li&gt;&lt;a href=|http://gsb.biblecommenter.com/job/10.htm| title=|Geneva Study Bible| target=|_top|&gt;GSB&lt;/a&gt;</v>
      </c>
      <c r="AE446" s="2" t="str">
        <f t="shared" si="1782"/>
        <v>&lt;/li&gt;&lt;li&gt;&lt;a href=|http://jfb.biblecommenter.com/job/10.htm| title=|Jamieson-Fausset-Brown Bible Commentary| target=|_top|&gt;JFB&lt;/a&gt;</v>
      </c>
      <c r="AF446" s="2" t="str">
        <f t="shared" si="1782"/>
        <v>&lt;/li&gt;&lt;li&gt;&lt;a href=|http://kjt.biblecommenter.com/job/10.htm| title=|King James Translators' Notes| target=|_top|&gt;KJT&lt;/a&gt;</v>
      </c>
      <c r="AG446" s="2" t="str">
        <f t="shared" si="1782"/>
        <v>&lt;/li&gt;&lt;li&gt;&lt;a href=|http://mhc.biblecommenter.com/job/10.htm| title=|Matthew Henry's Concise Commentary| target=|_top|&gt;MHC&lt;/a&gt;</v>
      </c>
      <c r="AH446" s="2" t="str">
        <f t="shared" si="1782"/>
        <v>&lt;/li&gt;&lt;li&gt;&lt;a href=|http://sco.biblecommenter.com/job/10.htm| title=|Scofield Reference Notes| target=|_top|&gt;SCO&lt;/a&gt;</v>
      </c>
      <c r="AI446" s="2" t="str">
        <f t="shared" si="1782"/>
        <v>&lt;/li&gt;&lt;li&gt;&lt;a href=|http://wes.biblecommenter.com/job/10.htm| title=|Wesley's Notes on the Bible| target=|_top|&gt;WES&lt;/a&gt;</v>
      </c>
      <c r="AJ446" t="str">
        <f t="shared" si="1782"/>
        <v>&lt;/li&gt;&lt;li&gt;&lt;a href=|http://worldebible.com/job/10.htm| title=|World English Bible| target=|_top|&gt;WEB&lt;/a&gt;</v>
      </c>
      <c r="AK446" t="str">
        <f t="shared" si="1782"/>
        <v>&lt;/li&gt;&lt;li&gt;&lt;a href=|http://yltbible.com/job/10.htm| title=|Young's Literal Translation| target=|_top|&gt;YLT&lt;/a&gt;</v>
      </c>
      <c r="AL446" t="str">
        <f>CONCATENATE("&lt;a href=|http://",AL1191,"/job/10.htm","| ","title=|",AL1190,"| target=|_top|&gt;",AL1192,"&lt;/a&gt;")</f>
        <v>&lt;a href=|http://kjv.us/job/10.htm| title=|American King James Version| target=|_top|&gt;AKJ&lt;/a&gt;</v>
      </c>
      <c r="AM446" t="str">
        <f t="shared" ref="AM446:AN446" si="1783">CONCATENATE("&lt;/li&gt;&lt;li&gt;&lt;a href=|http://",AM1191,"/job/10.htm","| ","title=|",AM1190,"| target=|_top|&gt;",AM1192,"&lt;/a&gt;")</f>
        <v>&lt;/li&gt;&lt;li&gt;&lt;a href=|http://basicenglishbible.com/job/10.htm| title=|Bible in Basic English| target=|_top|&gt;BBE&lt;/a&gt;</v>
      </c>
      <c r="AN446" t="str">
        <f t="shared" si="1783"/>
        <v>&lt;/li&gt;&lt;li&gt;&lt;a href=|http://darbybible.com/job/10.htm| title=|Darby Bible Translation| target=|_top|&gt;DBY&lt;/a&gt;</v>
      </c>
      <c r="AO44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4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4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46" t="str">
        <f>CONCATENATE("&lt;/li&gt;&lt;li&gt;&lt;a href=|http://",AR1191,"/job/10.htm","| ","title=|",AR1190,"| target=|_top|&gt;",AR1192,"&lt;/a&gt;")</f>
        <v>&lt;/li&gt;&lt;li&gt;&lt;a href=|http://websterbible.com/job/10.htm| title=|Webster's Bible Translation| target=|_top|&gt;WBS&lt;/a&gt;</v>
      </c>
      <c r="AS44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46" t="str">
        <f>CONCATENATE("&lt;/li&gt;&lt;li&gt;&lt;a href=|http://",AT1191,"/job/10-1.htm","| ","title=|",AT1190,"| target=|_top|&gt;",AT1192,"&lt;/a&gt;")</f>
        <v>&lt;/li&gt;&lt;li&gt;&lt;a href=|http://biblebrowser.com/job/10-1.htm| title=|Split View| target=|_top|&gt;Split&lt;/a&gt;</v>
      </c>
      <c r="AU446" s="2" t="s">
        <v>1276</v>
      </c>
      <c r="AV446" t="s">
        <v>64</v>
      </c>
    </row>
    <row r="447" spans="1:48">
      <c r="A447" t="s">
        <v>622</v>
      </c>
      <c r="B447" t="s">
        <v>685</v>
      </c>
      <c r="C447" t="s">
        <v>624</v>
      </c>
      <c r="D447" t="s">
        <v>1268</v>
      </c>
      <c r="E447" t="s">
        <v>1277</v>
      </c>
      <c r="F447" t="s">
        <v>1304</v>
      </c>
      <c r="G447" t="s">
        <v>1266</v>
      </c>
      <c r="H447" t="s">
        <v>1305</v>
      </c>
      <c r="I447" t="s">
        <v>1303</v>
      </c>
      <c r="J447" t="s">
        <v>1267</v>
      </c>
      <c r="K447" t="s">
        <v>1275</v>
      </c>
      <c r="L447" s="2" t="s">
        <v>1274</v>
      </c>
      <c r="M447" t="str">
        <f t="shared" ref="M447:AB447" si="1784">CONCATENATE("&lt;/li&gt;&lt;li&gt;&lt;a href=|http://",M1191,"/job/11.htm","| ","title=|",M1190,"| target=|_top|&gt;",M1192,"&lt;/a&gt;")</f>
        <v>&lt;/li&gt;&lt;li&gt;&lt;a href=|http://niv.scripturetext.com/job/11.htm| title=|New International Version| target=|_top|&gt;NIV&lt;/a&gt;</v>
      </c>
      <c r="N447" t="str">
        <f t="shared" si="1784"/>
        <v>&lt;/li&gt;&lt;li&gt;&lt;a href=|http://nlt.scripturetext.com/job/11.htm| title=|New Living Translation| target=|_top|&gt;NLT&lt;/a&gt;</v>
      </c>
      <c r="O447" t="str">
        <f t="shared" si="1784"/>
        <v>&lt;/li&gt;&lt;li&gt;&lt;a href=|http://nasb.scripturetext.com/job/11.htm| title=|New American Standard Bible| target=|_top|&gt;NAS&lt;/a&gt;</v>
      </c>
      <c r="P447" t="str">
        <f t="shared" si="1784"/>
        <v>&lt;/li&gt;&lt;li&gt;&lt;a href=|http://gwt.scripturetext.com/job/11.htm| title=|God's Word Translation| target=|_top|&gt;GWT&lt;/a&gt;</v>
      </c>
      <c r="Q447" t="str">
        <f t="shared" si="1784"/>
        <v>&lt;/li&gt;&lt;li&gt;&lt;a href=|http://kingjbible.com/job/11.htm| title=|King James Bible| target=|_top|&gt;KJV&lt;/a&gt;</v>
      </c>
      <c r="R447" t="str">
        <f t="shared" si="1784"/>
        <v>&lt;/li&gt;&lt;li&gt;&lt;a href=|http://asvbible.com/job/11.htm| title=|American Standard Version| target=|_top|&gt;ASV&lt;/a&gt;</v>
      </c>
      <c r="S447" t="str">
        <f t="shared" si="1784"/>
        <v>&lt;/li&gt;&lt;li&gt;&lt;a href=|http://drb.scripturetext.com/job/11.htm| title=|Douay-Rheims Bible| target=|_top|&gt;DRB&lt;/a&gt;</v>
      </c>
      <c r="T447" t="str">
        <f t="shared" si="1784"/>
        <v>&lt;/li&gt;&lt;li&gt;&lt;a href=|http://erv.scripturetext.com/job/11.htm| title=|English Revised Version| target=|_top|&gt;ERV&lt;/a&gt;</v>
      </c>
      <c r="V447" t="str">
        <f>CONCATENATE("&lt;/li&gt;&lt;li&gt;&lt;a href=|http://",V1191,"/job/11.htm","| ","title=|",V1190,"| target=|_top|&gt;",V1192,"&lt;/a&gt;")</f>
        <v>&lt;/li&gt;&lt;li&gt;&lt;a href=|http://study.interlinearbible.org/job/11.htm| title=|Hebrew Study Bible| target=|_top|&gt;Heb Study&lt;/a&gt;</v>
      </c>
      <c r="W447" t="str">
        <f t="shared" si="1784"/>
        <v>&lt;/li&gt;&lt;li&gt;&lt;a href=|http://apostolic.interlinearbible.org/job/11.htm| title=|Apostolic Bible Polyglot Interlinear| target=|_top|&gt;Polyglot&lt;/a&gt;</v>
      </c>
      <c r="X447" t="str">
        <f t="shared" si="1784"/>
        <v>&lt;/li&gt;&lt;li&gt;&lt;a href=|http://interlinearbible.org/job/11.htm| title=|Interlinear Bible| target=|_top|&gt;Interlin&lt;/a&gt;</v>
      </c>
      <c r="Y447" t="str">
        <f t="shared" ref="Y447" si="1785">CONCATENATE("&lt;/li&gt;&lt;li&gt;&lt;a href=|http://",Y1191,"/job/11.htm","| ","title=|",Y1190,"| target=|_top|&gt;",Y1192,"&lt;/a&gt;")</f>
        <v>&lt;/li&gt;&lt;li&gt;&lt;a href=|http://bibleoutline.org/job/11.htm| title=|Outline with People and Places List| target=|_top|&gt;Outline&lt;/a&gt;</v>
      </c>
      <c r="Z447" t="str">
        <f t="shared" si="1784"/>
        <v>&lt;/li&gt;&lt;li&gt;&lt;a href=|http://kjvs.scripturetext.com/job/11.htm| title=|King James Bible with Strong's Numbers| target=|_top|&gt;Strong's&lt;/a&gt;</v>
      </c>
      <c r="AA447" t="str">
        <f t="shared" si="1784"/>
        <v>&lt;/li&gt;&lt;li&gt;&lt;a href=|http://childrensbibleonline.com/job/11.htm| title=|The Children's Bible| target=|_top|&gt;Children's&lt;/a&gt;</v>
      </c>
      <c r="AB447" s="2" t="str">
        <f t="shared" si="1784"/>
        <v>&lt;/li&gt;&lt;li&gt;&lt;a href=|http://tsk.scripturetext.com/job/11.htm| title=|Treasury of Scripture Knowledge| target=|_top|&gt;TSK&lt;/a&gt;</v>
      </c>
      <c r="AC447" t="str">
        <f>CONCATENATE("&lt;a href=|http://",AC1191,"/job/11.htm","| ","title=|",AC1190,"| target=|_top|&gt;",AC1192,"&lt;/a&gt;")</f>
        <v>&lt;a href=|http://parallelbible.com/job/11.htm| title=|Parallel Chapters| target=|_top|&gt;PAR&lt;/a&gt;</v>
      </c>
      <c r="AD447" s="2" t="str">
        <f t="shared" ref="AD447:AK447" si="1786">CONCATENATE("&lt;/li&gt;&lt;li&gt;&lt;a href=|http://",AD1191,"/job/11.htm","| ","title=|",AD1190,"| target=|_top|&gt;",AD1192,"&lt;/a&gt;")</f>
        <v>&lt;/li&gt;&lt;li&gt;&lt;a href=|http://gsb.biblecommenter.com/job/11.htm| title=|Geneva Study Bible| target=|_top|&gt;GSB&lt;/a&gt;</v>
      </c>
      <c r="AE447" s="2" t="str">
        <f t="shared" si="1786"/>
        <v>&lt;/li&gt;&lt;li&gt;&lt;a href=|http://jfb.biblecommenter.com/job/11.htm| title=|Jamieson-Fausset-Brown Bible Commentary| target=|_top|&gt;JFB&lt;/a&gt;</v>
      </c>
      <c r="AF447" s="2" t="str">
        <f t="shared" si="1786"/>
        <v>&lt;/li&gt;&lt;li&gt;&lt;a href=|http://kjt.biblecommenter.com/job/11.htm| title=|King James Translators' Notes| target=|_top|&gt;KJT&lt;/a&gt;</v>
      </c>
      <c r="AG447" s="2" t="str">
        <f t="shared" si="1786"/>
        <v>&lt;/li&gt;&lt;li&gt;&lt;a href=|http://mhc.biblecommenter.com/job/11.htm| title=|Matthew Henry's Concise Commentary| target=|_top|&gt;MHC&lt;/a&gt;</v>
      </c>
      <c r="AH447" s="2" t="str">
        <f t="shared" si="1786"/>
        <v>&lt;/li&gt;&lt;li&gt;&lt;a href=|http://sco.biblecommenter.com/job/11.htm| title=|Scofield Reference Notes| target=|_top|&gt;SCO&lt;/a&gt;</v>
      </c>
      <c r="AI447" s="2" t="str">
        <f t="shared" si="1786"/>
        <v>&lt;/li&gt;&lt;li&gt;&lt;a href=|http://wes.biblecommenter.com/job/11.htm| title=|Wesley's Notes on the Bible| target=|_top|&gt;WES&lt;/a&gt;</v>
      </c>
      <c r="AJ447" t="str">
        <f t="shared" si="1786"/>
        <v>&lt;/li&gt;&lt;li&gt;&lt;a href=|http://worldebible.com/job/11.htm| title=|World English Bible| target=|_top|&gt;WEB&lt;/a&gt;</v>
      </c>
      <c r="AK447" t="str">
        <f t="shared" si="1786"/>
        <v>&lt;/li&gt;&lt;li&gt;&lt;a href=|http://yltbible.com/job/11.htm| title=|Young's Literal Translation| target=|_top|&gt;YLT&lt;/a&gt;</v>
      </c>
      <c r="AL447" t="str">
        <f>CONCATENATE("&lt;a href=|http://",AL1191,"/job/11.htm","| ","title=|",AL1190,"| target=|_top|&gt;",AL1192,"&lt;/a&gt;")</f>
        <v>&lt;a href=|http://kjv.us/job/11.htm| title=|American King James Version| target=|_top|&gt;AKJ&lt;/a&gt;</v>
      </c>
      <c r="AM447" t="str">
        <f t="shared" ref="AM447:AN447" si="1787">CONCATENATE("&lt;/li&gt;&lt;li&gt;&lt;a href=|http://",AM1191,"/job/11.htm","| ","title=|",AM1190,"| target=|_top|&gt;",AM1192,"&lt;/a&gt;")</f>
        <v>&lt;/li&gt;&lt;li&gt;&lt;a href=|http://basicenglishbible.com/job/11.htm| title=|Bible in Basic English| target=|_top|&gt;BBE&lt;/a&gt;</v>
      </c>
      <c r="AN447" t="str">
        <f t="shared" si="1787"/>
        <v>&lt;/li&gt;&lt;li&gt;&lt;a href=|http://darbybible.com/job/11.htm| title=|Darby Bible Translation| target=|_top|&gt;DBY&lt;/a&gt;</v>
      </c>
      <c r="AO44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4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4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47" t="str">
        <f>CONCATENATE("&lt;/li&gt;&lt;li&gt;&lt;a href=|http://",AR1191,"/job/11.htm","| ","title=|",AR1190,"| target=|_top|&gt;",AR1192,"&lt;/a&gt;")</f>
        <v>&lt;/li&gt;&lt;li&gt;&lt;a href=|http://websterbible.com/job/11.htm| title=|Webster's Bible Translation| target=|_top|&gt;WBS&lt;/a&gt;</v>
      </c>
      <c r="AS44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47" t="str">
        <f>CONCATENATE("&lt;/li&gt;&lt;li&gt;&lt;a href=|http://",AT1191,"/job/11-1.htm","| ","title=|",AT1190,"| target=|_top|&gt;",AT1192,"&lt;/a&gt;")</f>
        <v>&lt;/li&gt;&lt;li&gt;&lt;a href=|http://biblebrowser.com/job/11-1.htm| title=|Split View| target=|_top|&gt;Split&lt;/a&gt;</v>
      </c>
      <c r="AU447" s="2" t="s">
        <v>1276</v>
      </c>
      <c r="AV447" t="s">
        <v>64</v>
      </c>
    </row>
    <row r="448" spans="1:48">
      <c r="A448" t="s">
        <v>622</v>
      </c>
      <c r="B448" t="s">
        <v>686</v>
      </c>
      <c r="C448" t="s">
        <v>624</v>
      </c>
      <c r="D448" t="s">
        <v>1268</v>
      </c>
      <c r="E448" t="s">
        <v>1277</v>
      </c>
      <c r="F448" t="s">
        <v>1304</v>
      </c>
      <c r="G448" t="s">
        <v>1266</v>
      </c>
      <c r="H448" t="s">
        <v>1305</v>
      </c>
      <c r="I448" t="s">
        <v>1303</v>
      </c>
      <c r="J448" t="s">
        <v>1267</v>
      </c>
      <c r="K448" t="s">
        <v>1275</v>
      </c>
      <c r="L448" s="2" t="s">
        <v>1274</v>
      </c>
      <c r="M448" t="str">
        <f t="shared" ref="M448:AB448" si="1788">CONCATENATE("&lt;/li&gt;&lt;li&gt;&lt;a href=|http://",M1191,"/job/12.htm","| ","title=|",M1190,"| target=|_top|&gt;",M1192,"&lt;/a&gt;")</f>
        <v>&lt;/li&gt;&lt;li&gt;&lt;a href=|http://niv.scripturetext.com/job/12.htm| title=|New International Version| target=|_top|&gt;NIV&lt;/a&gt;</v>
      </c>
      <c r="N448" t="str">
        <f t="shared" si="1788"/>
        <v>&lt;/li&gt;&lt;li&gt;&lt;a href=|http://nlt.scripturetext.com/job/12.htm| title=|New Living Translation| target=|_top|&gt;NLT&lt;/a&gt;</v>
      </c>
      <c r="O448" t="str">
        <f t="shared" si="1788"/>
        <v>&lt;/li&gt;&lt;li&gt;&lt;a href=|http://nasb.scripturetext.com/job/12.htm| title=|New American Standard Bible| target=|_top|&gt;NAS&lt;/a&gt;</v>
      </c>
      <c r="P448" t="str">
        <f t="shared" si="1788"/>
        <v>&lt;/li&gt;&lt;li&gt;&lt;a href=|http://gwt.scripturetext.com/job/12.htm| title=|God's Word Translation| target=|_top|&gt;GWT&lt;/a&gt;</v>
      </c>
      <c r="Q448" t="str">
        <f t="shared" si="1788"/>
        <v>&lt;/li&gt;&lt;li&gt;&lt;a href=|http://kingjbible.com/job/12.htm| title=|King James Bible| target=|_top|&gt;KJV&lt;/a&gt;</v>
      </c>
      <c r="R448" t="str">
        <f t="shared" si="1788"/>
        <v>&lt;/li&gt;&lt;li&gt;&lt;a href=|http://asvbible.com/job/12.htm| title=|American Standard Version| target=|_top|&gt;ASV&lt;/a&gt;</v>
      </c>
      <c r="S448" t="str">
        <f t="shared" si="1788"/>
        <v>&lt;/li&gt;&lt;li&gt;&lt;a href=|http://drb.scripturetext.com/job/12.htm| title=|Douay-Rheims Bible| target=|_top|&gt;DRB&lt;/a&gt;</v>
      </c>
      <c r="T448" t="str">
        <f t="shared" si="1788"/>
        <v>&lt;/li&gt;&lt;li&gt;&lt;a href=|http://erv.scripturetext.com/job/12.htm| title=|English Revised Version| target=|_top|&gt;ERV&lt;/a&gt;</v>
      </c>
      <c r="V448" t="str">
        <f>CONCATENATE("&lt;/li&gt;&lt;li&gt;&lt;a href=|http://",V1191,"/job/12.htm","| ","title=|",V1190,"| target=|_top|&gt;",V1192,"&lt;/a&gt;")</f>
        <v>&lt;/li&gt;&lt;li&gt;&lt;a href=|http://study.interlinearbible.org/job/12.htm| title=|Hebrew Study Bible| target=|_top|&gt;Heb Study&lt;/a&gt;</v>
      </c>
      <c r="W448" t="str">
        <f t="shared" si="1788"/>
        <v>&lt;/li&gt;&lt;li&gt;&lt;a href=|http://apostolic.interlinearbible.org/job/12.htm| title=|Apostolic Bible Polyglot Interlinear| target=|_top|&gt;Polyglot&lt;/a&gt;</v>
      </c>
      <c r="X448" t="str">
        <f t="shared" si="1788"/>
        <v>&lt;/li&gt;&lt;li&gt;&lt;a href=|http://interlinearbible.org/job/12.htm| title=|Interlinear Bible| target=|_top|&gt;Interlin&lt;/a&gt;</v>
      </c>
      <c r="Y448" t="str">
        <f t="shared" ref="Y448" si="1789">CONCATENATE("&lt;/li&gt;&lt;li&gt;&lt;a href=|http://",Y1191,"/job/12.htm","| ","title=|",Y1190,"| target=|_top|&gt;",Y1192,"&lt;/a&gt;")</f>
        <v>&lt;/li&gt;&lt;li&gt;&lt;a href=|http://bibleoutline.org/job/12.htm| title=|Outline with People and Places List| target=|_top|&gt;Outline&lt;/a&gt;</v>
      </c>
      <c r="Z448" t="str">
        <f t="shared" si="1788"/>
        <v>&lt;/li&gt;&lt;li&gt;&lt;a href=|http://kjvs.scripturetext.com/job/12.htm| title=|King James Bible with Strong's Numbers| target=|_top|&gt;Strong's&lt;/a&gt;</v>
      </c>
      <c r="AA448" t="str">
        <f t="shared" si="1788"/>
        <v>&lt;/li&gt;&lt;li&gt;&lt;a href=|http://childrensbibleonline.com/job/12.htm| title=|The Children's Bible| target=|_top|&gt;Children's&lt;/a&gt;</v>
      </c>
      <c r="AB448" s="2" t="str">
        <f t="shared" si="1788"/>
        <v>&lt;/li&gt;&lt;li&gt;&lt;a href=|http://tsk.scripturetext.com/job/12.htm| title=|Treasury of Scripture Knowledge| target=|_top|&gt;TSK&lt;/a&gt;</v>
      </c>
      <c r="AC448" t="str">
        <f>CONCATENATE("&lt;a href=|http://",AC1191,"/job/12.htm","| ","title=|",AC1190,"| target=|_top|&gt;",AC1192,"&lt;/a&gt;")</f>
        <v>&lt;a href=|http://parallelbible.com/job/12.htm| title=|Parallel Chapters| target=|_top|&gt;PAR&lt;/a&gt;</v>
      </c>
      <c r="AD448" s="2" t="str">
        <f t="shared" ref="AD448:AK448" si="1790">CONCATENATE("&lt;/li&gt;&lt;li&gt;&lt;a href=|http://",AD1191,"/job/12.htm","| ","title=|",AD1190,"| target=|_top|&gt;",AD1192,"&lt;/a&gt;")</f>
        <v>&lt;/li&gt;&lt;li&gt;&lt;a href=|http://gsb.biblecommenter.com/job/12.htm| title=|Geneva Study Bible| target=|_top|&gt;GSB&lt;/a&gt;</v>
      </c>
      <c r="AE448" s="2" t="str">
        <f t="shared" si="1790"/>
        <v>&lt;/li&gt;&lt;li&gt;&lt;a href=|http://jfb.biblecommenter.com/job/12.htm| title=|Jamieson-Fausset-Brown Bible Commentary| target=|_top|&gt;JFB&lt;/a&gt;</v>
      </c>
      <c r="AF448" s="2" t="str">
        <f t="shared" si="1790"/>
        <v>&lt;/li&gt;&lt;li&gt;&lt;a href=|http://kjt.biblecommenter.com/job/12.htm| title=|King James Translators' Notes| target=|_top|&gt;KJT&lt;/a&gt;</v>
      </c>
      <c r="AG448" s="2" t="str">
        <f t="shared" si="1790"/>
        <v>&lt;/li&gt;&lt;li&gt;&lt;a href=|http://mhc.biblecommenter.com/job/12.htm| title=|Matthew Henry's Concise Commentary| target=|_top|&gt;MHC&lt;/a&gt;</v>
      </c>
      <c r="AH448" s="2" t="str">
        <f t="shared" si="1790"/>
        <v>&lt;/li&gt;&lt;li&gt;&lt;a href=|http://sco.biblecommenter.com/job/12.htm| title=|Scofield Reference Notes| target=|_top|&gt;SCO&lt;/a&gt;</v>
      </c>
      <c r="AI448" s="2" t="str">
        <f t="shared" si="1790"/>
        <v>&lt;/li&gt;&lt;li&gt;&lt;a href=|http://wes.biblecommenter.com/job/12.htm| title=|Wesley's Notes on the Bible| target=|_top|&gt;WES&lt;/a&gt;</v>
      </c>
      <c r="AJ448" t="str">
        <f t="shared" si="1790"/>
        <v>&lt;/li&gt;&lt;li&gt;&lt;a href=|http://worldebible.com/job/12.htm| title=|World English Bible| target=|_top|&gt;WEB&lt;/a&gt;</v>
      </c>
      <c r="AK448" t="str">
        <f t="shared" si="1790"/>
        <v>&lt;/li&gt;&lt;li&gt;&lt;a href=|http://yltbible.com/job/12.htm| title=|Young's Literal Translation| target=|_top|&gt;YLT&lt;/a&gt;</v>
      </c>
      <c r="AL448" t="str">
        <f>CONCATENATE("&lt;a href=|http://",AL1191,"/job/12.htm","| ","title=|",AL1190,"| target=|_top|&gt;",AL1192,"&lt;/a&gt;")</f>
        <v>&lt;a href=|http://kjv.us/job/12.htm| title=|American King James Version| target=|_top|&gt;AKJ&lt;/a&gt;</v>
      </c>
      <c r="AM448" t="str">
        <f t="shared" ref="AM448:AN448" si="1791">CONCATENATE("&lt;/li&gt;&lt;li&gt;&lt;a href=|http://",AM1191,"/job/12.htm","| ","title=|",AM1190,"| target=|_top|&gt;",AM1192,"&lt;/a&gt;")</f>
        <v>&lt;/li&gt;&lt;li&gt;&lt;a href=|http://basicenglishbible.com/job/12.htm| title=|Bible in Basic English| target=|_top|&gt;BBE&lt;/a&gt;</v>
      </c>
      <c r="AN448" t="str">
        <f t="shared" si="1791"/>
        <v>&lt;/li&gt;&lt;li&gt;&lt;a href=|http://darbybible.com/job/12.htm| title=|Darby Bible Translation| target=|_top|&gt;DBY&lt;/a&gt;</v>
      </c>
      <c r="AO44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4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4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48" t="str">
        <f>CONCATENATE("&lt;/li&gt;&lt;li&gt;&lt;a href=|http://",AR1191,"/job/12.htm","| ","title=|",AR1190,"| target=|_top|&gt;",AR1192,"&lt;/a&gt;")</f>
        <v>&lt;/li&gt;&lt;li&gt;&lt;a href=|http://websterbible.com/job/12.htm| title=|Webster's Bible Translation| target=|_top|&gt;WBS&lt;/a&gt;</v>
      </c>
      <c r="AS44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48" t="str">
        <f>CONCATENATE("&lt;/li&gt;&lt;li&gt;&lt;a href=|http://",AT1191,"/job/12-1.htm","| ","title=|",AT1190,"| target=|_top|&gt;",AT1192,"&lt;/a&gt;")</f>
        <v>&lt;/li&gt;&lt;li&gt;&lt;a href=|http://biblebrowser.com/job/12-1.htm| title=|Split View| target=|_top|&gt;Split&lt;/a&gt;</v>
      </c>
      <c r="AU448" s="2" t="s">
        <v>1276</v>
      </c>
      <c r="AV448" t="s">
        <v>64</v>
      </c>
    </row>
    <row r="449" spans="1:48">
      <c r="A449" t="s">
        <v>622</v>
      </c>
      <c r="B449" t="s">
        <v>687</v>
      </c>
      <c r="C449" t="s">
        <v>624</v>
      </c>
      <c r="D449" t="s">
        <v>1268</v>
      </c>
      <c r="E449" t="s">
        <v>1277</v>
      </c>
      <c r="F449" t="s">
        <v>1304</v>
      </c>
      <c r="G449" t="s">
        <v>1266</v>
      </c>
      <c r="H449" t="s">
        <v>1305</v>
      </c>
      <c r="I449" t="s">
        <v>1303</v>
      </c>
      <c r="J449" t="s">
        <v>1267</v>
      </c>
      <c r="K449" t="s">
        <v>1275</v>
      </c>
      <c r="L449" s="2" t="s">
        <v>1274</v>
      </c>
      <c r="M449" t="str">
        <f t="shared" ref="M449:AB449" si="1792">CONCATENATE("&lt;/li&gt;&lt;li&gt;&lt;a href=|http://",M1191,"/job/13.htm","| ","title=|",M1190,"| target=|_top|&gt;",M1192,"&lt;/a&gt;")</f>
        <v>&lt;/li&gt;&lt;li&gt;&lt;a href=|http://niv.scripturetext.com/job/13.htm| title=|New International Version| target=|_top|&gt;NIV&lt;/a&gt;</v>
      </c>
      <c r="N449" t="str">
        <f t="shared" si="1792"/>
        <v>&lt;/li&gt;&lt;li&gt;&lt;a href=|http://nlt.scripturetext.com/job/13.htm| title=|New Living Translation| target=|_top|&gt;NLT&lt;/a&gt;</v>
      </c>
      <c r="O449" t="str">
        <f t="shared" si="1792"/>
        <v>&lt;/li&gt;&lt;li&gt;&lt;a href=|http://nasb.scripturetext.com/job/13.htm| title=|New American Standard Bible| target=|_top|&gt;NAS&lt;/a&gt;</v>
      </c>
      <c r="P449" t="str">
        <f t="shared" si="1792"/>
        <v>&lt;/li&gt;&lt;li&gt;&lt;a href=|http://gwt.scripturetext.com/job/13.htm| title=|God's Word Translation| target=|_top|&gt;GWT&lt;/a&gt;</v>
      </c>
      <c r="Q449" t="str">
        <f t="shared" si="1792"/>
        <v>&lt;/li&gt;&lt;li&gt;&lt;a href=|http://kingjbible.com/job/13.htm| title=|King James Bible| target=|_top|&gt;KJV&lt;/a&gt;</v>
      </c>
      <c r="R449" t="str">
        <f t="shared" si="1792"/>
        <v>&lt;/li&gt;&lt;li&gt;&lt;a href=|http://asvbible.com/job/13.htm| title=|American Standard Version| target=|_top|&gt;ASV&lt;/a&gt;</v>
      </c>
      <c r="S449" t="str">
        <f t="shared" si="1792"/>
        <v>&lt;/li&gt;&lt;li&gt;&lt;a href=|http://drb.scripturetext.com/job/13.htm| title=|Douay-Rheims Bible| target=|_top|&gt;DRB&lt;/a&gt;</v>
      </c>
      <c r="T449" t="str">
        <f t="shared" si="1792"/>
        <v>&lt;/li&gt;&lt;li&gt;&lt;a href=|http://erv.scripturetext.com/job/13.htm| title=|English Revised Version| target=|_top|&gt;ERV&lt;/a&gt;</v>
      </c>
      <c r="V449" t="str">
        <f>CONCATENATE("&lt;/li&gt;&lt;li&gt;&lt;a href=|http://",V1191,"/job/13.htm","| ","title=|",V1190,"| target=|_top|&gt;",V1192,"&lt;/a&gt;")</f>
        <v>&lt;/li&gt;&lt;li&gt;&lt;a href=|http://study.interlinearbible.org/job/13.htm| title=|Hebrew Study Bible| target=|_top|&gt;Heb Study&lt;/a&gt;</v>
      </c>
      <c r="W449" t="str">
        <f t="shared" si="1792"/>
        <v>&lt;/li&gt;&lt;li&gt;&lt;a href=|http://apostolic.interlinearbible.org/job/13.htm| title=|Apostolic Bible Polyglot Interlinear| target=|_top|&gt;Polyglot&lt;/a&gt;</v>
      </c>
      <c r="X449" t="str">
        <f t="shared" si="1792"/>
        <v>&lt;/li&gt;&lt;li&gt;&lt;a href=|http://interlinearbible.org/job/13.htm| title=|Interlinear Bible| target=|_top|&gt;Interlin&lt;/a&gt;</v>
      </c>
      <c r="Y449" t="str">
        <f t="shared" ref="Y449" si="1793">CONCATENATE("&lt;/li&gt;&lt;li&gt;&lt;a href=|http://",Y1191,"/job/13.htm","| ","title=|",Y1190,"| target=|_top|&gt;",Y1192,"&lt;/a&gt;")</f>
        <v>&lt;/li&gt;&lt;li&gt;&lt;a href=|http://bibleoutline.org/job/13.htm| title=|Outline with People and Places List| target=|_top|&gt;Outline&lt;/a&gt;</v>
      </c>
      <c r="Z449" t="str">
        <f t="shared" si="1792"/>
        <v>&lt;/li&gt;&lt;li&gt;&lt;a href=|http://kjvs.scripturetext.com/job/13.htm| title=|King James Bible with Strong's Numbers| target=|_top|&gt;Strong's&lt;/a&gt;</v>
      </c>
      <c r="AA449" t="str">
        <f t="shared" si="1792"/>
        <v>&lt;/li&gt;&lt;li&gt;&lt;a href=|http://childrensbibleonline.com/job/13.htm| title=|The Children's Bible| target=|_top|&gt;Children's&lt;/a&gt;</v>
      </c>
      <c r="AB449" s="2" t="str">
        <f t="shared" si="1792"/>
        <v>&lt;/li&gt;&lt;li&gt;&lt;a href=|http://tsk.scripturetext.com/job/13.htm| title=|Treasury of Scripture Knowledge| target=|_top|&gt;TSK&lt;/a&gt;</v>
      </c>
      <c r="AC449" t="str">
        <f>CONCATENATE("&lt;a href=|http://",AC1191,"/job/13.htm","| ","title=|",AC1190,"| target=|_top|&gt;",AC1192,"&lt;/a&gt;")</f>
        <v>&lt;a href=|http://parallelbible.com/job/13.htm| title=|Parallel Chapters| target=|_top|&gt;PAR&lt;/a&gt;</v>
      </c>
      <c r="AD449" s="2" t="str">
        <f t="shared" ref="AD449:AK449" si="1794">CONCATENATE("&lt;/li&gt;&lt;li&gt;&lt;a href=|http://",AD1191,"/job/13.htm","| ","title=|",AD1190,"| target=|_top|&gt;",AD1192,"&lt;/a&gt;")</f>
        <v>&lt;/li&gt;&lt;li&gt;&lt;a href=|http://gsb.biblecommenter.com/job/13.htm| title=|Geneva Study Bible| target=|_top|&gt;GSB&lt;/a&gt;</v>
      </c>
      <c r="AE449" s="2" t="str">
        <f t="shared" si="1794"/>
        <v>&lt;/li&gt;&lt;li&gt;&lt;a href=|http://jfb.biblecommenter.com/job/13.htm| title=|Jamieson-Fausset-Brown Bible Commentary| target=|_top|&gt;JFB&lt;/a&gt;</v>
      </c>
      <c r="AF449" s="2" t="str">
        <f t="shared" si="1794"/>
        <v>&lt;/li&gt;&lt;li&gt;&lt;a href=|http://kjt.biblecommenter.com/job/13.htm| title=|King James Translators' Notes| target=|_top|&gt;KJT&lt;/a&gt;</v>
      </c>
      <c r="AG449" s="2" t="str">
        <f t="shared" si="1794"/>
        <v>&lt;/li&gt;&lt;li&gt;&lt;a href=|http://mhc.biblecommenter.com/job/13.htm| title=|Matthew Henry's Concise Commentary| target=|_top|&gt;MHC&lt;/a&gt;</v>
      </c>
      <c r="AH449" s="2" t="str">
        <f t="shared" si="1794"/>
        <v>&lt;/li&gt;&lt;li&gt;&lt;a href=|http://sco.biblecommenter.com/job/13.htm| title=|Scofield Reference Notes| target=|_top|&gt;SCO&lt;/a&gt;</v>
      </c>
      <c r="AI449" s="2" t="str">
        <f t="shared" si="1794"/>
        <v>&lt;/li&gt;&lt;li&gt;&lt;a href=|http://wes.biblecommenter.com/job/13.htm| title=|Wesley's Notes on the Bible| target=|_top|&gt;WES&lt;/a&gt;</v>
      </c>
      <c r="AJ449" t="str">
        <f t="shared" si="1794"/>
        <v>&lt;/li&gt;&lt;li&gt;&lt;a href=|http://worldebible.com/job/13.htm| title=|World English Bible| target=|_top|&gt;WEB&lt;/a&gt;</v>
      </c>
      <c r="AK449" t="str">
        <f t="shared" si="1794"/>
        <v>&lt;/li&gt;&lt;li&gt;&lt;a href=|http://yltbible.com/job/13.htm| title=|Young's Literal Translation| target=|_top|&gt;YLT&lt;/a&gt;</v>
      </c>
      <c r="AL449" t="str">
        <f>CONCATENATE("&lt;a href=|http://",AL1191,"/job/13.htm","| ","title=|",AL1190,"| target=|_top|&gt;",AL1192,"&lt;/a&gt;")</f>
        <v>&lt;a href=|http://kjv.us/job/13.htm| title=|American King James Version| target=|_top|&gt;AKJ&lt;/a&gt;</v>
      </c>
      <c r="AM449" t="str">
        <f t="shared" ref="AM449:AN449" si="1795">CONCATENATE("&lt;/li&gt;&lt;li&gt;&lt;a href=|http://",AM1191,"/job/13.htm","| ","title=|",AM1190,"| target=|_top|&gt;",AM1192,"&lt;/a&gt;")</f>
        <v>&lt;/li&gt;&lt;li&gt;&lt;a href=|http://basicenglishbible.com/job/13.htm| title=|Bible in Basic English| target=|_top|&gt;BBE&lt;/a&gt;</v>
      </c>
      <c r="AN449" t="str">
        <f t="shared" si="1795"/>
        <v>&lt;/li&gt;&lt;li&gt;&lt;a href=|http://darbybible.com/job/13.htm| title=|Darby Bible Translation| target=|_top|&gt;DBY&lt;/a&gt;</v>
      </c>
      <c r="AO44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4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4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49" t="str">
        <f>CONCATENATE("&lt;/li&gt;&lt;li&gt;&lt;a href=|http://",AR1191,"/job/13.htm","| ","title=|",AR1190,"| target=|_top|&gt;",AR1192,"&lt;/a&gt;")</f>
        <v>&lt;/li&gt;&lt;li&gt;&lt;a href=|http://websterbible.com/job/13.htm| title=|Webster's Bible Translation| target=|_top|&gt;WBS&lt;/a&gt;</v>
      </c>
      <c r="AS44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49" t="str">
        <f>CONCATENATE("&lt;/li&gt;&lt;li&gt;&lt;a href=|http://",AT1191,"/job/13-1.htm","| ","title=|",AT1190,"| target=|_top|&gt;",AT1192,"&lt;/a&gt;")</f>
        <v>&lt;/li&gt;&lt;li&gt;&lt;a href=|http://biblebrowser.com/job/13-1.htm| title=|Split View| target=|_top|&gt;Split&lt;/a&gt;</v>
      </c>
      <c r="AU449" s="2" t="s">
        <v>1276</v>
      </c>
      <c r="AV449" t="s">
        <v>64</v>
      </c>
    </row>
    <row r="450" spans="1:48">
      <c r="A450" t="s">
        <v>622</v>
      </c>
      <c r="B450" t="s">
        <v>688</v>
      </c>
      <c r="C450" t="s">
        <v>624</v>
      </c>
      <c r="D450" t="s">
        <v>1268</v>
      </c>
      <c r="E450" t="s">
        <v>1277</v>
      </c>
      <c r="F450" t="s">
        <v>1304</v>
      </c>
      <c r="G450" t="s">
        <v>1266</v>
      </c>
      <c r="H450" t="s">
        <v>1305</v>
      </c>
      <c r="I450" t="s">
        <v>1303</v>
      </c>
      <c r="J450" t="s">
        <v>1267</v>
      </c>
      <c r="K450" t="s">
        <v>1275</v>
      </c>
      <c r="L450" s="2" t="s">
        <v>1274</v>
      </c>
      <c r="M450" t="str">
        <f t="shared" ref="M450:AB450" si="1796">CONCATENATE("&lt;/li&gt;&lt;li&gt;&lt;a href=|http://",M1191,"/job/14.htm","| ","title=|",M1190,"| target=|_top|&gt;",M1192,"&lt;/a&gt;")</f>
        <v>&lt;/li&gt;&lt;li&gt;&lt;a href=|http://niv.scripturetext.com/job/14.htm| title=|New International Version| target=|_top|&gt;NIV&lt;/a&gt;</v>
      </c>
      <c r="N450" t="str">
        <f t="shared" si="1796"/>
        <v>&lt;/li&gt;&lt;li&gt;&lt;a href=|http://nlt.scripturetext.com/job/14.htm| title=|New Living Translation| target=|_top|&gt;NLT&lt;/a&gt;</v>
      </c>
      <c r="O450" t="str">
        <f t="shared" si="1796"/>
        <v>&lt;/li&gt;&lt;li&gt;&lt;a href=|http://nasb.scripturetext.com/job/14.htm| title=|New American Standard Bible| target=|_top|&gt;NAS&lt;/a&gt;</v>
      </c>
      <c r="P450" t="str">
        <f t="shared" si="1796"/>
        <v>&lt;/li&gt;&lt;li&gt;&lt;a href=|http://gwt.scripturetext.com/job/14.htm| title=|God's Word Translation| target=|_top|&gt;GWT&lt;/a&gt;</v>
      </c>
      <c r="Q450" t="str">
        <f t="shared" si="1796"/>
        <v>&lt;/li&gt;&lt;li&gt;&lt;a href=|http://kingjbible.com/job/14.htm| title=|King James Bible| target=|_top|&gt;KJV&lt;/a&gt;</v>
      </c>
      <c r="R450" t="str">
        <f t="shared" si="1796"/>
        <v>&lt;/li&gt;&lt;li&gt;&lt;a href=|http://asvbible.com/job/14.htm| title=|American Standard Version| target=|_top|&gt;ASV&lt;/a&gt;</v>
      </c>
      <c r="S450" t="str">
        <f t="shared" si="1796"/>
        <v>&lt;/li&gt;&lt;li&gt;&lt;a href=|http://drb.scripturetext.com/job/14.htm| title=|Douay-Rheims Bible| target=|_top|&gt;DRB&lt;/a&gt;</v>
      </c>
      <c r="T450" t="str">
        <f t="shared" si="1796"/>
        <v>&lt;/li&gt;&lt;li&gt;&lt;a href=|http://erv.scripturetext.com/job/14.htm| title=|English Revised Version| target=|_top|&gt;ERV&lt;/a&gt;</v>
      </c>
      <c r="V450" t="str">
        <f>CONCATENATE("&lt;/li&gt;&lt;li&gt;&lt;a href=|http://",V1191,"/job/14.htm","| ","title=|",V1190,"| target=|_top|&gt;",V1192,"&lt;/a&gt;")</f>
        <v>&lt;/li&gt;&lt;li&gt;&lt;a href=|http://study.interlinearbible.org/job/14.htm| title=|Hebrew Study Bible| target=|_top|&gt;Heb Study&lt;/a&gt;</v>
      </c>
      <c r="W450" t="str">
        <f t="shared" si="1796"/>
        <v>&lt;/li&gt;&lt;li&gt;&lt;a href=|http://apostolic.interlinearbible.org/job/14.htm| title=|Apostolic Bible Polyglot Interlinear| target=|_top|&gt;Polyglot&lt;/a&gt;</v>
      </c>
      <c r="X450" t="str">
        <f t="shared" si="1796"/>
        <v>&lt;/li&gt;&lt;li&gt;&lt;a href=|http://interlinearbible.org/job/14.htm| title=|Interlinear Bible| target=|_top|&gt;Interlin&lt;/a&gt;</v>
      </c>
      <c r="Y450" t="str">
        <f t="shared" ref="Y450" si="1797">CONCATENATE("&lt;/li&gt;&lt;li&gt;&lt;a href=|http://",Y1191,"/job/14.htm","| ","title=|",Y1190,"| target=|_top|&gt;",Y1192,"&lt;/a&gt;")</f>
        <v>&lt;/li&gt;&lt;li&gt;&lt;a href=|http://bibleoutline.org/job/14.htm| title=|Outline with People and Places List| target=|_top|&gt;Outline&lt;/a&gt;</v>
      </c>
      <c r="Z450" t="str">
        <f t="shared" si="1796"/>
        <v>&lt;/li&gt;&lt;li&gt;&lt;a href=|http://kjvs.scripturetext.com/job/14.htm| title=|King James Bible with Strong's Numbers| target=|_top|&gt;Strong's&lt;/a&gt;</v>
      </c>
      <c r="AA450" t="str">
        <f t="shared" si="1796"/>
        <v>&lt;/li&gt;&lt;li&gt;&lt;a href=|http://childrensbibleonline.com/job/14.htm| title=|The Children's Bible| target=|_top|&gt;Children's&lt;/a&gt;</v>
      </c>
      <c r="AB450" s="2" t="str">
        <f t="shared" si="1796"/>
        <v>&lt;/li&gt;&lt;li&gt;&lt;a href=|http://tsk.scripturetext.com/job/14.htm| title=|Treasury of Scripture Knowledge| target=|_top|&gt;TSK&lt;/a&gt;</v>
      </c>
      <c r="AC450" t="str">
        <f>CONCATENATE("&lt;a href=|http://",AC1191,"/job/14.htm","| ","title=|",AC1190,"| target=|_top|&gt;",AC1192,"&lt;/a&gt;")</f>
        <v>&lt;a href=|http://parallelbible.com/job/14.htm| title=|Parallel Chapters| target=|_top|&gt;PAR&lt;/a&gt;</v>
      </c>
      <c r="AD450" s="2" t="str">
        <f t="shared" ref="AD450:AK450" si="1798">CONCATENATE("&lt;/li&gt;&lt;li&gt;&lt;a href=|http://",AD1191,"/job/14.htm","| ","title=|",AD1190,"| target=|_top|&gt;",AD1192,"&lt;/a&gt;")</f>
        <v>&lt;/li&gt;&lt;li&gt;&lt;a href=|http://gsb.biblecommenter.com/job/14.htm| title=|Geneva Study Bible| target=|_top|&gt;GSB&lt;/a&gt;</v>
      </c>
      <c r="AE450" s="2" t="str">
        <f t="shared" si="1798"/>
        <v>&lt;/li&gt;&lt;li&gt;&lt;a href=|http://jfb.biblecommenter.com/job/14.htm| title=|Jamieson-Fausset-Brown Bible Commentary| target=|_top|&gt;JFB&lt;/a&gt;</v>
      </c>
      <c r="AF450" s="2" t="str">
        <f t="shared" si="1798"/>
        <v>&lt;/li&gt;&lt;li&gt;&lt;a href=|http://kjt.biblecommenter.com/job/14.htm| title=|King James Translators' Notes| target=|_top|&gt;KJT&lt;/a&gt;</v>
      </c>
      <c r="AG450" s="2" t="str">
        <f t="shared" si="1798"/>
        <v>&lt;/li&gt;&lt;li&gt;&lt;a href=|http://mhc.biblecommenter.com/job/14.htm| title=|Matthew Henry's Concise Commentary| target=|_top|&gt;MHC&lt;/a&gt;</v>
      </c>
      <c r="AH450" s="2" t="str">
        <f t="shared" si="1798"/>
        <v>&lt;/li&gt;&lt;li&gt;&lt;a href=|http://sco.biblecommenter.com/job/14.htm| title=|Scofield Reference Notes| target=|_top|&gt;SCO&lt;/a&gt;</v>
      </c>
      <c r="AI450" s="2" t="str">
        <f t="shared" si="1798"/>
        <v>&lt;/li&gt;&lt;li&gt;&lt;a href=|http://wes.biblecommenter.com/job/14.htm| title=|Wesley's Notes on the Bible| target=|_top|&gt;WES&lt;/a&gt;</v>
      </c>
      <c r="AJ450" t="str">
        <f t="shared" si="1798"/>
        <v>&lt;/li&gt;&lt;li&gt;&lt;a href=|http://worldebible.com/job/14.htm| title=|World English Bible| target=|_top|&gt;WEB&lt;/a&gt;</v>
      </c>
      <c r="AK450" t="str">
        <f t="shared" si="1798"/>
        <v>&lt;/li&gt;&lt;li&gt;&lt;a href=|http://yltbible.com/job/14.htm| title=|Young's Literal Translation| target=|_top|&gt;YLT&lt;/a&gt;</v>
      </c>
      <c r="AL450" t="str">
        <f>CONCATENATE("&lt;a href=|http://",AL1191,"/job/14.htm","| ","title=|",AL1190,"| target=|_top|&gt;",AL1192,"&lt;/a&gt;")</f>
        <v>&lt;a href=|http://kjv.us/job/14.htm| title=|American King James Version| target=|_top|&gt;AKJ&lt;/a&gt;</v>
      </c>
      <c r="AM450" t="str">
        <f t="shared" ref="AM450:AN450" si="1799">CONCATENATE("&lt;/li&gt;&lt;li&gt;&lt;a href=|http://",AM1191,"/job/14.htm","| ","title=|",AM1190,"| target=|_top|&gt;",AM1192,"&lt;/a&gt;")</f>
        <v>&lt;/li&gt;&lt;li&gt;&lt;a href=|http://basicenglishbible.com/job/14.htm| title=|Bible in Basic English| target=|_top|&gt;BBE&lt;/a&gt;</v>
      </c>
      <c r="AN450" t="str">
        <f t="shared" si="1799"/>
        <v>&lt;/li&gt;&lt;li&gt;&lt;a href=|http://darbybible.com/job/14.htm| title=|Darby Bible Translation| target=|_top|&gt;DBY&lt;/a&gt;</v>
      </c>
      <c r="AO45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5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5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50" t="str">
        <f>CONCATENATE("&lt;/li&gt;&lt;li&gt;&lt;a href=|http://",AR1191,"/job/14.htm","| ","title=|",AR1190,"| target=|_top|&gt;",AR1192,"&lt;/a&gt;")</f>
        <v>&lt;/li&gt;&lt;li&gt;&lt;a href=|http://websterbible.com/job/14.htm| title=|Webster's Bible Translation| target=|_top|&gt;WBS&lt;/a&gt;</v>
      </c>
      <c r="AS45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50" t="str">
        <f>CONCATENATE("&lt;/li&gt;&lt;li&gt;&lt;a href=|http://",AT1191,"/job/14-1.htm","| ","title=|",AT1190,"| target=|_top|&gt;",AT1192,"&lt;/a&gt;")</f>
        <v>&lt;/li&gt;&lt;li&gt;&lt;a href=|http://biblebrowser.com/job/14-1.htm| title=|Split View| target=|_top|&gt;Split&lt;/a&gt;</v>
      </c>
      <c r="AU450" s="2" t="s">
        <v>1276</v>
      </c>
      <c r="AV450" t="s">
        <v>64</v>
      </c>
    </row>
    <row r="451" spans="1:48">
      <c r="A451" t="s">
        <v>622</v>
      </c>
      <c r="B451" t="s">
        <v>689</v>
      </c>
      <c r="C451" t="s">
        <v>624</v>
      </c>
      <c r="D451" t="s">
        <v>1268</v>
      </c>
      <c r="E451" t="s">
        <v>1277</v>
      </c>
      <c r="F451" t="s">
        <v>1304</v>
      </c>
      <c r="G451" t="s">
        <v>1266</v>
      </c>
      <c r="H451" t="s">
        <v>1305</v>
      </c>
      <c r="I451" t="s">
        <v>1303</v>
      </c>
      <c r="J451" t="s">
        <v>1267</v>
      </c>
      <c r="K451" t="s">
        <v>1275</v>
      </c>
      <c r="L451" s="2" t="s">
        <v>1274</v>
      </c>
      <c r="M451" t="str">
        <f t="shared" ref="M451:AB451" si="1800">CONCATENATE("&lt;/li&gt;&lt;li&gt;&lt;a href=|http://",M1191,"/job/15.htm","| ","title=|",M1190,"| target=|_top|&gt;",M1192,"&lt;/a&gt;")</f>
        <v>&lt;/li&gt;&lt;li&gt;&lt;a href=|http://niv.scripturetext.com/job/15.htm| title=|New International Version| target=|_top|&gt;NIV&lt;/a&gt;</v>
      </c>
      <c r="N451" t="str">
        <f t="shared" si="1800"/>
        <v>&lt;/li&gt;&lt;li&gt;&lt;a href=|http://nlt.scripturetext.com/job/15.htm| title=|New Living Translation| target=|_top|&gt;NLT&lt;/a&gt;</v>
      </c>
      <c r="O451" t="str">
        <f t="shared" si="1800"/>
        <v>&lt;/li&gt;&lt;li&gt;&lt;a href=|http://nasb.scripturetext.com/job/15.htm| title=|New American Standard Bible| target=|_top|&gt;NAS&lt;/a&gt;</v>
      </c>
      <c r="P451" t="str">
        <f t="shared" si="1800"/>
        <v>&lt;/li&gt;&lt;li&gt;&lt;a href=|http://gwt.scripturetext.com/job/15.htm| title=|God's Word Translation| target=|_top|&gt;GWT&lt;/a&gt;</v>
      </c>
      <c r="Q451" t="str">
        <f t="shared" si="1800"/>
        <v>&lt;/li&gt;&lt;li&gt;&lt;a href=|http://kingjbible.com/job/15.htm| title=|King James Bible| target=|_top|&gt;KJV&lt;/a&gt;</v>
      </c>
      <c r="R451" t="str">
        <f t="shared" si="1800"/>
        <v>&lt;/li&gt;&lt;li&gt;&lt;a href=|http://asvbible.com/job/15.htm| title=|American Standard Version| target=|_top|&gt;ASV&lt;/a&gt;</v>
      </c>
      <c r="S451" t="str">
        <f t="shared" si="1800"/>
        <v>&lt;/li&gt;&lt;li&gt;&lt;a href=|http://drb.scripturetext.com/job/15.htm| title=|Douay-Rheims Bible| target=|_top|&gt;DRB&lt;/a&gt;</v>
      </c>
      <c r="T451" t="str">
        <f t="shared" si="1800"/>
        <v>&lt;/li&gt;&lt;li&gt;&lt;a href=|http://erv.scripturetext.com/job/15.htm| title=|English Revised Version| target=|_top|&gt;ERV&lt;/a&gt;</v>
      </c>
      <c r="V451" t="str">
        <f>CONCATENATE("&lt;/li&gt;&lt;li&gt;&lt;a href=|http://",V1191,"/job/15.htm","| ","title=|",V1190,"| target=|_top|&gt;",V1192,"&lt;/a&gt;")</f>
        <v>&lt;/li&gt;&lt;li&gt;&lt;a href=|http://study.interlinearbible.org/job/15.htm| title=|Hebrew Study Bible| target=|_top|&gt;Heb Study&lt;/a&gt;</v>
      </c>
      <c r="W451" t="str">
        <f t="shared" si="1800"/>
        <v>&lt;/li&gt;&lt;li&gt;&lt;a href=|http://apostolic.interlinearbible.org/job/15.htm| title=|Apostolic Bible Polyglot Interlinear| target=|_top|&gt;Polyglot&lt;/a&gt;</v>
      </c>
      <c r="X451" t="str">
        <f t="shared" si="1800"/>
        <v>&lt;/li&gt;&lt;li&gt;&lt;a href=|http://interlinearbible.org/job/15.htm| title=|Interlinear Bible| target=|_top|&gt;Interlin&lt;/a&gt;</v>
      </c>
      <c r="Y451" t="str">
        <f t="shared" ref="Y451" si="1801">CONCATENATE("&lt;/li&gt;&lt;li&gt;&lt;a href=|http://",Y1191,"/job/15.htm","| ","title=|",Y1190,"| target=|_top|&gt;",Y1192,"&lt;/a&gt;")</f>
        <v>&lt;/li&gt;&lt;li&gt;&lt;a href=|http://bibleoutline.org/job/15.htm| title=|Outline with People and Places List| target=|_top|&gt;Outline&lt;/a&gt;</v>
      </c>
      <c r="Z451" t="str">
        <f t="shared" si="1800"/>
        <v>&lt;/li&gt;&lt;li&gt;&lt;a href=|http://kjvs.scripturetext.com/job/15.htm| title=|King James Bible with Strong's Numbers| target=|_top|&gt;Strong's&lt;/a&gt;</v>
      </c>
      <c r="AA451" t="str">
        <f t="shared" si="1800"/>
        <v>&lt;/li&gt;&lt;li&gt;&lt;a href=|http://childrensbibleonline.com/job/15.htm| title=|The Children's Bible| target=|_top|&gt;Children's&lt;/a&gt;</v>
      </c>
      <c r="AB451" s="2" t="str">
        <f t="shared" si="1800"/>
        <v>&lt;/li&gt;&lt;li&gt;&lt;a href=|http://tsk.scripturetext.com/job/15.htm| title=|Treasury of Scripture Knowledge| target=|_top|&gt;TSK&lt;/a&gt;</v>
      </c>
      <c r="AC451" t="str">
        <f>CONCATENATE("&lt;a href=|http://",AC1191,"/job/15.htm","| ","title=|",AC1190,"| target=|_top|&gt;",AC1192,"&lt;/a&gt;")</f>
        <v>&lt;a href=|http://parallelbible.com/job/15.htm| title=|Parallel Chapters| target=|_top|&gt;PAR&lt;/a&gt;</v>
      </c>
      <c r="AD451" s="2" t="str">
        <f t="shared" ref="AD451:AK451" si="1802">CONCATENATE("&lt;/li&gt;&lt;li&gt;&lt;a href=|http://",AD1191,"/job/15.htm","| ","title=|",AD1190,"| target=|_top|&gt;",AD1192,"&lt;/a&gt;")</f>
        <v>&lt;/li&gt;&lt;li&gt;&lt;a href=|http://gsb.biblecommenter.com/job/15.htm| title=|Geneva Study Bible| target=|_top|&gt;GSB&lt;/a&gt;</v>
      </c>
      <c r="AE451" s="2" t="str">
        <f t="shared" si="1802"/>
        <v>&lt;/li&gt;&lt;li&gt;&lt;a href=|http://jfb.biblecommenter.com/job/15.htm| title=|Jamieson-Fausset-Brown Bible Commentary| target=|_top|&gt;JFB&lt;/a&gt;</v>
      </c>
      <c r="AF451" s="2" t="str">
        <f t="shared" si="1802"/>
        <v>&lt;/li&gt;&lt;li&gt;&lt;a href=|http://kjt.biblecommenter.com/job/15.htm| title=|King James Translators' Notes| target=|_top|&gt;KJT&lt;/a&gt;</v>
      </c>
      <c r="AG451" s="2" t="str">
        <f t="shared" si="1802"/>
        <v>&lt;/li&gt;&lt;li&gt;&lt;a href=|http://mhc.biblecommenter.com/job/15.htm| title=|Matthew Henry's Concise Commentary| target=|_top|&gt;MHC&lt;/a&gt;</v>
      </c>
      <c r="AH451" s="2" t="str">
        <f t="shared" si="1802"/>
        <v>&lt;/li&gt;&lt;li&gt;&lt;a href=|http://sco.biblecommenter.com/job/15.htm| title=|Scofield Reference Notes| target=|_top|&gt;SCO&lt;/a&gt;</v>
      </c>
      <c r="AI451" s="2" t="str">
        <f t="shared" si="1802"/>
        <v>&lt;/li&gt;&lt;li&gt;&lt;a href=|http://wes.biblecommenter.com/job/15.htm| title=|Wesley's Notes on the Bible| target=|_top|&gt;WES&lt;/a&gt;</v>
      </c>
      <c r="AJ451" t="str">
        <f t="shared" si="1802"/>
        <v>&lt;/li&gt;&lt;li&gt;&lt;a href=|http://worldebible.com/job/15.htm| title=|World English Bible| target=|_top|&gt;WEB&lt;/a&gt;</v>
      </c>
      <c r="AK451" t="str">
        <f t="shared" si="1802"/>
        <v>&lt;/li&gt;&lt;li&gt;&lt;a href=|http://yltbible.com/job/15.htm| title=|Young's Literal Translation| target=|_top|&gt;YLT&lt;/a&gt;</v>
      </c>
      <c r="AL451" t="str">
        <f>CONCATENATE("&lt;a href=|http://",AL1191,"/job/15.htm","| ","title=|",AL1190,"| target=|_top|&gt;",AL1192,"&lt;/a&gt;")</f>
        <v>&lt;a href=|http://kjv.us/job/15.htm| title=|American King James Version| target=|_top|&gt;AKJ&lt;/a&gt;</v>
      </c>
      <c r="AM451" t="str">
        <f t="shared" ref="AM451:AN451" si="1803">CONCATENATE("&lt;/li&gt;&lt;li&gt;&lt;a href=|http://",AM1191,"/job/15.htm","| ","title=|",AM1190,"| target=|_top|&gt;",AM1192,"&lt;/a&gt;")</f>
        <v>&lt;/li&gt;&lt;li&gt;&lt;a href=|http://basicenglishbible.com/job/15.htm| title=|Bible in Basic English| target=|_top|&gt;BBE&lt;/a&gt;</v>
      </c>
      <c r="AN451" t="str">
        <f t="shared" si="1803"/>
        <v>&lt;/li&gt;&lt;li&gt;&lt;a href=|http://darbybible.com/job/15.htm| title=|Darby Bible Translation| target=|_top|&gt;DBY&lt;/a&gt;</v>
      </c>
      <c r="AO45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5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5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51" t="str">
        <f>CONCATENATE("&lt;/li&gt;&lt;li&gt;&lt;a href=|http://",AR1191,"/job/15.htm","| ","title=|",AR1190,"| target=|_top|&gt;",AR1192,"&lt;/a&gt;")</f>
        <v>&lt;/li&gt;&lt;li&gt;&lt;a href=|http://websterbible.com/job/15.htm| title=|Webster's Bible Translation| target=|_top|&gt;WBS&lt;/a&gt;</v>
      </c>
      <c r="AS45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51" t="str">
        <f>CONCATENATE("&lt;/li&gt;&lt;li&gt;&lt;a href=|http://",AT1191,"/job/15-1.htm","| ","title=|",AT1190,"| target=|_top|&gt;",AT1192,"&lt;/a&gt;")</f>
        <v>&lt;/li&gt;&lt;li&gt;&lt;a href=|http://biblebrowser.com/job/15-1.htm| title=|Split View| target=|_top|&gt;Split&lt;/a&gt;</v>
      </c>
      <c r="AU451" s="2" t="s">
        <v>1276</v>
      </c>
      <c r="AV451" t="s">
        <v>64</v>
      </c>
    </row>
    <row r="452" spans="1:48">
      <c r="A452" t="s">
        <v>622</v>
      </c>
      <c r="B452" t="s">
        <v>690</v>
      </c>
      <c r="C452" t="s">
        <v>624</v>
      </c>
      <c r="D452" t="s">
        <v>1268</v>
      </c>
      <c r="E452" t="s">
        <v>1277</v>
      </c>
      <c r="F452" t="s">
        <v>1304</v>
      </c>
      <c r="G452" t="s">
        <v>1266</v>
      </c>
      <c r="H452" t="s">
        <v>1305</v>
      </c>
      <c r="I452" t="s">
        <v>1303</v>
      </c>
      <c r="J452" t="s">
        <v>1267</v>
      </c>
      <c r="K452" t="s">
        <v>1275</v>
      </c>
      <c r="L452" s="2" t="s">
        <v>1274</v>
      </c>
      <c r="M452" t="str">
        <f t="shared" ref="M452:AB452" si="1804">CONCATENATE("&lt;/li&gt;&lt;li&gt;&lt;a href=|http://",M1191,"/job/16.htm","| ","title=|",M1190,"| target=|_top|&gt;",M1192,"&lt;/a&gt;")</f>
        <v>&lt;/li&gt;&lt;li&gt;&lt;a href=|http://niv.scripturetext.com/job/16.htm| title=|New International Version| target=|_top|&gt;NIV&lt;/a&gt;</v>
      </c>
      <c r="N452" t="str">
        <f t="shared" si="1804"/>
        <v>&lt;/li&gt;&lt;li&gt;&lt;a href=|http://nlt.scripturetext.com/job/16.htm| title=|New Living Translation| target=|_top|&gt;NLT&lt;/a&gt;</v>
      </c>
      <c r="O452" t="str">
        <f t="shared" si="1804"/>
        <v>&lt;/li&gt;&lt;li&gt;&lt;a href=|http://nasb.scripturetext.com/job/16.htm| title=|New American Standard Bible| target=|_top|&gt;NAS&lt;/a&gt;</v>
      </c>
      <c r="P452" t="str">
        <f t="shared" si="1804"/>
        <v>&lt;/li&gt;&lt;li&gt;&lt;a href=|http://gwt.scripturetext.com/job/16.htm| title=|God's Word Translation| target=|_top|&gt;GWT&lt;/a&gt;</v>
      </c>
      <c r="Q452" t="str">
        <f t="shared" si="1804"/>
        <v>&lt;/li&gt;&lt;li&gt;&lt;a href=|http://kingjbible.com/job/16.htm| title=|King James Bible| target=|_top|&gt;KJV&lt;/a&gt;</v>
      </c>
      <c r="R452" t="str">
        <f t="shared" si="1804"/>
        <v>&lt;/li&gt;&lt;li&gt;&lt;a href=|http://asvbible.com/job/16.htm| title=|American Standard Version| target=|_top|&gt;ASV&lt;/a&gt;</v>
      </c>
      <c r="S452" t="str">
        <f t="shared" si="1804"/>
        <v>&lt;/li&gt;&lt;li&gt;&lt;a href=|http://drb.scripturetext.com/job/16.htm| title=|Douay-Rheims Bible| target=|_top|&gt;DRB&lt;/a&gt;</v>
      </c>
      <c r="T452" t="str">
        <f t="shared" si="1804"/>
        <v>&lt;/li&gt;&lt;li&gt;&lt;a href=|http://erv.scripturetext.com/job/16.htm| title=|English Revised Version| target=|_top|&gt;ERV&lt;/a&gt;</v>
      </c>
      <c r="V452" t="str">
        <f>CONCATENATE("&lt;/li&gt;&lt;li&gt;&lt;a href=|http://",V1191,"/job/16.htm","| ","title=|",V1190,"| target=|_top|&gt;",V1192,"&lt;/a&gt;")</f>
        <v>&lt;/li&gt;&lt;li&gt;&lt;a href=|http://study.interlinearbible.org/job/16.htm| title=|Hebrew Study Bible| target=|_top|&gt;Heb Study&lt;/a&gt;</v>
      </c>
      <c r="W452" t="str">
        <f t="shared" si="1804"/>
        <v>&lt;/li&gt;&lt;li&gt;&lt;a href=|http://apostolic.interlinearbible.org/job/16.htm| title=|Apostolic Bible Polyglot Interlinear| target=|_top|&gt;Polyglot&lt;/a&gt;</v>
      </c>
      <c r="X452" t="str">
        <f t="shared" si="1804"/>
        <v>&lt;/li&gt;&lt;li&gt;&lt;a href=|http://interlinearbible.org/job/16.htm| title=|Interlinear Bible| target=|_top|&gt;Interlin&lt;/a&gt;</v>
      </c>
      <c r="Y452" t="str">
        <f t="shared" ref="Y452" si="1805">CONCATENATE("&lt;/li&gt;&lt;li&gt;&lt;a href=|http://",Y1191,"/job/16.htm","| ","title=|",Y1190,"| target=|_top|&gt;",Y1192,"&lt;/a&gt;")</f>
        <v>&lt;/li&gt;&lt;li&gt;&lt;a href=|http://bibleoutline.org/job/16.htm| title=|Outline with People and Places List| target=|_top|&gt;Outline&lt;/a&gt;</v>
      </c>
      <c r="Z452" t="str">
        <f t="shared" si="1804"/>
        <v>&lt;/li&gt;&lt;li&gt;&lt;a href=|http://kjvs.scripturetext.com/job/16.htm| title=|King James Bible with Strong's Numbers| target=|_top|&gt;Strong's&lt;/a&gt;</v>
      </c>
      <c r="AA452" t="str">
        <f t="shared" si="1804"/>
        <v>&lt;/li&gt;&lt;li&gt;&lt;a href=|http://childrensbibleonline.com/job/16.htm| title=|The Children's Bible| target=|_top|&gt;Children's&lt;/a&gt;</v>
      </c>
      <c r="AB452" s="2" t="str">
        <f t="shared" si="1804"/>
        <v>&lt;/li&gt;&lt;li&gt;&lt;a href=|http://tsk.scripturetext.com/job/16.htm| title=|Treasury of Scripture Knowledge| target=|_top|&gt;TSK&lt;/a&gt;</v>
      </c>
      <c r="AC452" t="str">
        <f>CONCATENATE("&lt;a href=|http://",AC1191,"/job/16.htm","| ","title=|",AC1190,"| target=|_top|&gt;",AC1192,"&lt;/a&gt;")</f>
        <v>&lt;a href=|http://parallelbible.com/job/16.htm| title=|Parallel Chapters| target=|_top|&gt;PAR&lt;/a&gt;</v>
      </c>
      <c r="AD452" s="2" t="str">
        <f t="shared" ref="AD452:AK452" si="1806">CONCATENATE("&lt;/li&gt;&lt;li&gt;&lt;a href=|http://",AD1191,"/job/16.htm","| ","title=|",AD1190,"| target=|_top|&gt;",AD1192,"&lt;/a&gt;")</f>
        <v>&lt;/li&gt;&lt;li&gt;&lt;a href=|http://gsb.biblecommenter.com/job/16.htm| title=|Geneva Study Bible| target=|_top|&gt;GSB&lt;/a&gt;</v>
      </c>
      <c r="AE452" s="2" t="str">
        <f t="shared" si="1806"/>
        <v>&lt;/li&gt;&lt;li&gt;&lt;a href=|http://jfb.biblecommenter.com/job/16.htm| title=|Jamieson-Fausset-Brown Bible Commentary| target=|_top|&gt;JFB&lt;/a&gt;</v>
      </c>
      <c r="AF452" s="2" t="str">
        <f t="shared" si="1806"/>
        <v>&lt;/li&gt;&lt;li&gt;&lt;a href=|http://kjt.biblecommenter.com/job/16.htm| title=|King James Translators' Notes| target=|_top|&gt;KJT&lt;/a&gt;</v>
      </c>
      <c r="AG452" s="2" t="str">
        <f t="shared" si="1806"/>
        <v>&lt;/li&gt;&lt;li&gt;&lt;a href=|http://mhc.biblecommenter.com/job/16.htm| title=|Matthew Henry's Concise Commentary| target=|_top|&gt;MHC&lt;/a&gt;</v>
      </c>
      <c r="AH452" s="2" t="str">
        <f t="shared" si="1806"/>
        <v>&lt;/li&gt;&lt;li&gt;&lt;a href=|http://sco.biblecommenter.com/job/16.htm| title=|Scofield Reference Notes| target=|_top|&gt;SCO&lt;/a&gt;</v>
      </c>
      <c r="AI452" s="2" t="str">
        <f t="shared" si="1806"/>
        <v>&lt;/li&gt;&lt;li&gt;&lt;a href=|http://wes.biblecommenter.com/job/16.htm| title=|Wesley's Notes on the Bible| target=|_top|&gt;WES&lt;/a&gt;</v>
      </c>
      <c r="AJ452" t="str">
        <f t="shared" si="1806"/>
        <v>&lt;/li&gt;&lt;li&gt;&lt;a href=|http://worldebible.com/job/16.htm| title=|World English Bible| target=|_top|&gt;WEB&lt;/a&gt;</v>
      </c>
      <c r="AK452" t="str">
        <f t="shared" si="1806"/>
        <v>&lt;/li&gt;&lt;li&gt;&lt;a href=|http://yltbible.com/job/16.htm| title=|Young's Literal Translation| target=|_top|&gt;YLT&lt;/a&gt;</v>
      </c>
      <c r="AL452" t="str">
        <f>CONCATENATE("&lt;a href=|http://",AL1191,"/job/16.htm","| ","title=|",AL1190,"| target=|_top|&gt;",AL1192,"&lt;/a&gt;")</f>
        <v>&lt;a href=|http://kjv.us/job/16.htm| title=|American King James Version| target=|_top|&gt;AKJ&lt;/a&gt;</v>
      </c>
      <c r="AM452" t="str">
        <f t="shared" ref="AM452:AN452" si="1807">CONCATENATE("&lt;/li&gt;&lt;li&gt;&lt;a href=|http://",AM1191,"/job/16.htm","| ","title=|",AM1190,"| target=|_top|&gt;",AM1192,"&lt;/a&gt;")</f>
        <v>&lt;/li&gt;&lt;li&gt;&lt;a href=|http://basicenglishbible.com/job/16.htm| title=|Bible in Basic English| target=|_top|&gt;BBE&lt;/a&gt;</v>
      </c>
      <c r="AN452" t="str">
        <f t="shared" si="1807"/>
        <v>&lt;/li&gt;&lt;li&gt;&lt;a href=|http://darbybible.com/job/16.htm| title=|Darby Bible Translation| target=|_top|&gt;DBY&lt;/a&gt;</v>
      </c>
      <c r="AO45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5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5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52" t="str">
        <f>CONCATENATE("&lt;/li&gt;&lt;li&gt;&lt;a href=|http://",AR1191,"/job/16.htm","| ","title=|",AR1190,"| target=|_top|&gt;",AR1192,"&lt;/a&gt;")</f>
        <v>&lt;/li&gt;&lt;li&gt;&lt;a href=|http://websterbible.com/job/16.htm| title=|Webster's Bible Translation| target=|_top|&gt;WBS&lt;/a&gt;</v>
      </c>
      <c r="AS45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52" t="str">
        <f>CONCATENATE("&lt;/li&gt;&lt;li&gt;&lt;a href=|http://",AT1191,"/job/16-1.htm","| ","title=|",AT1190,"| target=|_top|&gt;",AT1192,"&lt;/a&gt;")</f>
        <v>&lt;/li&gt;&lt;li&gt;&lt;a href=|http://biblebrowser.com/job/16-1.htm| title=|Split View| target=|_top|&gt;Split&lt;/a&gt;</v>
      </c>
      <c r="AU452" s="2" t="s">
        <v>1276</v>
      </c>
      <c r="AV452" t="s">
        <v>64</v>
      </c>
    </row>
    <row r="453" spans="1:48">
      <c r="A453" t="s">
        <v>622</v>
      </c>
      <c r="B453" t="s">
        <v>691</v>
      </c>
      <c r="C453" t="s">
        <v>624</v>
      </c>
      <c r="D453" t="s">
        <v>1268</v>
      </c>
      <c r="E453" t="s">
        <v>1277</v>
      </c>
      <c r="F453" t="s">
        <v>1304</v>
      </c>
      <c r="G453" t="s">
        <v>1266</v>
      </c>
      <c r="H453" t="s">
        <v>1305</v>
      </c>
      <c r="I453" t="s">
        <v>1303</v>
      </c>
      <c r="J453" t="s">
        <v>1267</v>
      </c>
      <c r="K453" t="s">
        <v>1275</v>
      </c>
      <c r="L453" s="2" t="s">
        <v>1274</v>
      </c>
      <c r="M453" t="str">
        <f t="shared" ref="M453:AB453" si="1808">CONCATENATE("&lt;/li&gt;&lt;li&gt;&lt;a href=|http://",M1191,"/job/17.htm","| ","title=|",M1190,"| target=|_top|&gt;",M1192,"&lt;/a&gt;")</f>
        <v>&lt;/li&gt;&lt;li&gt;&lt;a href=|http://niv.scripturetext.com/job/17.htm| title=|New International Version| target=|_top|&gt;NIV&lt;/a&gt;</v>
      </c>
      <c r="N453" t="str">
        <f t="shared" si="1808"/>
        <v>&lt;/li&gt;&lt;li&gt;&lt;a href=|http://nlt.scripturetext.com/job/17.htm| title=|New Living Translation| target=|_top|&gt;NLT&lt;/a&gt;</v>
      </c>
      <c r="O453" t="str">
        <f t="shared" si="1808"/>
        <v>&lt;/li&gt;&lt;li&gt;&lt;a href=|http://nasb.scripturetext.com/job/17.htm| title=|New American Standard Bible| target=|_top|&gt;NAS&lt;/a&gt;</v>
      </c>
      <c r="P453" t="str">
        <f t="shared" si="1808"/>
        <v>&lt;/li&gt;&lt;li&gt;&lt;a href=|http://gwt.scripturetext.com/job/17.htm| title=|God's Word Translation| target=|_top|&gt;GWT&lt;/a&gt;</v>
      </c>
      <c r="Q453" t="str">
        <f t="shared" si="1808"/>
        <v>&lt;/li&gt;&lt;li&gt;&lt;a href=|http://kingjbible.com/job/17.htm| title=|King James Bible| target=|_top|&gt;KJV&lt;/a&gt;</v>
      </c>
      <c r="R453" t="str">
        <f t="shared" si="1808"/>
        <v>&lt;/li&gt;&lt;li&gt;&lt;a href=|http://asvbible.com/job/17.htm| title=|American Standard Version| target=|_top|&gt;ASV&lt;/a&gt;</v>
      </c>
      <c r="S453" t="str">
        <f t="shared" si="1808"/>
        <v>&lt;/li&gt;&lt;li&gt;&lt;a href=|http://drb.scripturetext.com/job/17.htm| title=|Douay-Rheims Bible| target=|_top|&gt;DRB&lt;/a&gt;</v>
      </c>
      <c r="T453" t="str">
        <f t="shared" si="1808"/>
        <v>&lt;/li&gt;&lt;li&gt;&lt;a href=|http://erv.scripturetext.com/job/17.htm| title=|English Revised Version| target=|_top|&gt;ERV&lt;/a&gt;</v>
      </c>
      <c r="V453" t="str">
        <f>CONCATENATE("&lt;/li&gt;&lt;li&gt;&lt;a href=|http://",V1191,"/job/17.htm","| ","title=|",V1190,"| target=|_top|&gt;",V1192,"&lt;/a&gt;")</f>
        <v>&lt;/li&gt;&lt;li&gt;&lt;a href=|http://study.interlinearbible.org/job/17.htm| title=|Hebrew Study Bible| target=|_top|&gt;Heb Study&lt;/a&gt;</v>
      </c>
      <c r="W453" t="str">
        <f t="shared" si="1808"/>
        <v>&lt;/li&gt;&lt;li&gt;&lt;a href=|http://apostolic.interlinearbible.org/job/17.htm| title=|Apostolic Bible Polyglot Interlinear| target=|_top|&gt;Polyglot&lt;/a&gt;</v>
      </c>
      <c r="X453" t="str">
        <f t="shared" si="1808"/>
        <v>&lt;/li&gt;&lt;li&gt;&lt;a href=|http://interlinearbible.org/job/17.htm| title=|Interlinear Bible| target=|_top|&gt;Interlin&lt;/a&gt;</v>
      </c>
      <c r="Y453" t="str">
        <f t="shared" ref="Y453" si="1809">CONCATENATE("&lt;/li&gt;&lt;li&gt;&lt;a href=|http://",Y1191,"/job/17.htm","| ","title=|",Y1190,"| target=|_top|&gt;",Y1192,"&lt;/a&gt;")</f>
        <v>&lt;/li&gt;&lt;li&gt;&lt;a href=|http://bibleoutline.org/job/17.htm| title=|Outline with People and Places List| target=|_top|&gt;Outline&lt;/a&gt;</v>
      </c>
      <c r="Z453" t="str">
        <f t="shared" si="1808"/>
        <v>&lt;/li&gt;&lt;li&gt;&lt;a href=|http://kjvs.scripturetext.com/job/17.htm| title=|King James Bible with Strong's Numbers| target=|_top|&gt;Strong's&lt;/a&gt;</v>
      </c>
      <c r="AA453" t="str">
        <f t="shared" si="1808"/>
        <v>&lt;/li&gt;&lt;li&gt;&lt;a href=|http://childrensbibleonline.com/job/17.htm| title=|The Children's Bible| target=|_top|&gt;Children's&lt;/a&gt;</v>
      </c>
      <c r="AB453" s="2" t="str">
        <f t="shared" si="1808"/>
        <v>&lt;/li&gt;&lt;li&gt;&lt;a href=|http://tsk.scripturetext.com/job/17.htm| title=|Treasury of Scripture Knowledge| target=|_top|&gt;TSK&lt;/a&gt;</v>
      </c>
      <c r="AC453" t="str">
        <f>CONCATENATE("&lt;a href=|http://",AC1191,"/job/17.htm","| ","title=|",AC1190,"| target=|_top|&gt;",AC1192,"&lt;/a&gt;")</f>
        <v>&lt;a href=|http://parallelbible.com/job/17.htm| title=|Parallel Chapters| target=|_top|&gt;PAR&lt;/a&gt;</v>
      </c>
      <c r="AD453" s="2" t="str">
        <f t="shared" ref="AD453:AK453" si="1810">CONCATENATE("&lt;/li&gt;&lt;li&gt;&lt;a href=|http://",AD1191,"/job/17.htm","| ","title=|",AD1190,"| target=|_top|&gt;",AD1192,"&lt;/a&gt;")</f>
        <v>&lt;/li&gt;&lt;li&gt;&lt;a href=|http://gsb.biblecommenter.com/job/17.htm| title=|Geneva Study Bible| target=|_top|&gt;GSB&lt;/a&gt;</v>
      </c>
      <c r="AE453" s="2" t="str">
        <f t="shared" si="1810"/>
        <v>&lt;/li&gt;&lt;li&gt;&lt;a href=|http://jfb.biblecommenter.com/job/17.htm| title=|Jamieson-Fausset-Brown Bible Commentary| target=|_top|&gt;JFB&lt;/a&gt;</v>
      </c>
      <c r="AF453" s="2" t="str">
        <f t="shared" si="1810"/>
        <v>&lt;/li&gt;&lt;li&gt;&lt;a href=|http://kjt.biblecommenter.com/job/17.htm| title=|King James Translators' Notes| target=|_top|&gt;KJT&lt;/a&gt;</v>
      </c>
      <c r="AG453" s="2" t="str">
        <f t="shared" si="1810"/>
        <v>&lt;/li&gt;&lt;li&gt;&lt;a href=|http://mhc.biblecommenter.com/job/17.htm| title=|Matthew Henry's Concise Commentary| target=|_top|&gt;MHC&lt;/a&gt;</v>
      </c>
      <c r="AH453" s="2" t="str">
        <f t="shared" si="1810"/>
        <v>&lt;/li&gt;&lt;li&gt;&lt;a href=|http://sco.biblecommenter.com/job/17.htm| title=|Scofield Reference Notes| target=|_top|&gt;SCO&lt;/a&gt;</v>
      </c>
      <c r="AI453" s="2" t="str">
        <f t="shared" si="1810"/>
        <v>&lt;/li&gt;&lt;li&gt;&lt;a href=|http://wes.biblecommenter.com/job/17.htm| title=|Wesley's Notes on the Bible| target=|_top|&gt;WES&lt;/a&gt;</v>
      </c>
      <c r="AJ453" t="str">
        <f t="shared" si="1810"/>
        <v>&lt;/li&gt;&lt;li&gt;&lt;a href=|http://worldebible.com/job/17.htm| title=|World English Bible| target=|_top|&gt;WEB&lt;/a&gt;</v>
      </c>
      <c r="AK453" t="str">
        <f t="shared" si="1810"/>
        <v>&lt;/li&gt;&lt;li&gt;&lt;a href=|http://yltbible.com/job/17.htm| title=|Young's Literal Translation| target=|_top|&gt;YLT&lt;/a&gt;</v>
      </c>
      <c r="AL453" t="str">
        <f>CONCATENATE("&lt;a href=|http://",AL1191,"/job/17.htm","| ","title=|",AL1190,"| target=|_top|&gt;",AL1192,"&lt;/a&gt;")</f>
        <v>&lt;a href=|http://kjv.us/job/17.htm| title=|American King James Version| target=|_top|&gt;AKJ&lt;/a&gt;</v>
      </c>
      <c r="AM453" t="str">
        <f t="shared" ref="AM453:AN453" si="1811">CONCATENATE("&lt;/li&gt;&lt;li&gt;&lt;a href=|http://",AM1191,"/job/17.htm","| ","title=|",AM1190,"| target=|_top|&gt;",AM1192,"&lt;/a&gt;")</f>
        <v>&lt;/li&gt;&lt;li&gt;&lt;a href=|http://basicenglishbible.com/job/17.htm| title=|Bible in Basic English| target=|_top|&gt;BBE&lt;/a&gt;</v>
      </c>
      <c r="AN453" t="str">
        <f t="shared" si="1811"/>
        <v>&lt;/li&gt;&lt;li&gt;&lt;a href=|http://darbybible.com/job/17.htm| title=|Darby Bible Translation| target=|_top|&gt;DBY&lt;/a&gt;</v>
      </c>
      <c r="AO45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5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5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53" t="str">
        <f>CONCATENATE("&lt;/li&gt;&lt;li&gt;&lt;a href=|http://",AR1191,"/job/17.htm","| ","title=|",AR1190,"| target=|_top|&gt;",AR1192,"&lt;/a&gt;")</f>
        <v>&lt;/li&gt;&lt;li&gt;&lt;a href=|http://websterbible.com/job/17.htm| title=|Webster's Bible Translation| target=|_top|&gt;WBS&lt;/a&gt;</v>
      </c>
      <c r="AS45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53" t="str">
        <f>CONCATENATE("&lt;/li&gt;&lt;li&gt;&lt;a href=|http://",AT1191,"/job/17-1.htm","| ","title=|",AT1190,"| target=|_top|&gt;",AT1192,"&lt;/a&gt;")</f>
        <v>&lt;/li&gt;&lt;li&gt;&lt;a href=|http://biblebrowser.com/job/17-1.htm| title=|Split View| target=|_top|&gt;Split&lt;/a&gt;</v>
      </c>
      <c r="AU453" s="2" t="s">
        <v>1276</v>
      </c>
      <c r="AV453" t="s">
        <v>64</v>
      </c>
    </row>
    <row r="454" spans="1:48">
      <c r="A454" t="s">
        <v>622</v>
      </c>
      <c r="B454" t="s">
        <v>692</v>
      </c>
      <c r="C454" t="s">
        <v>624</v>
      </c>
      <c r="D454" t="s">
        <v>1268</v>
      </c>
      <c r="E454" t="s">
        <v>1277</v>
      </c>
      <c r="F454" t="s">
        <v>1304</v>
      </c>
      <c r="G454" t="s">
        <v>1266</v>
      </c>
      <c r="H454" t="s">
        <v>1305</v>
      </c>
      <c r="I454" t="s">
        <v>1303</v>
      </c>
      <c r="J454" t="s">
        <v>1267</v>
      </c>
      <c r="K454" t="s">
        <v>1275</v>
      </c>
      <c r="L454" s="2" t="s">
        <v>1274</v>
      </c>
      <c r="M454" t="str">
        <f t="shared" ref="M454:AB454" si="1812">CONCATENATE("&lt;/li&gt;&lt;li&gt;&lt;a href=|http://",M1191,"/job/18.htm","| ","title=|",M1190,"| target=|_top|&gt;",M1192,"&lt;/a&gt;")</f>
        <v>&lt;/li&gt;&lt;li&gt;&lt;a href=|http://niv.scripturetext.com/job/18.htm| title=|New International Version| target=|_top|&gt;NIV&lt;/a&gt;</v>
      </c>
      <c r="N454" t="str">
        <f t="shared" si="1812"/>
        <v>&lt;/li&gt;&lt;li&gt;&lt;a href=|http://nlt.scripturetext.com/job/18.htm| title=|New Living Translation| target=|_top|&gt;NLT&lt;/a&gt;</v>
      </c>
      <c r="O454" t="str">
        <f t="shared" si="1812"/>
        <v>&lt;/li&gt;&lt;li&gt;&lt;a href=|http://nasb.scripturetext.com/job/18.htm| title=|New American Standard Bible| target=|_top|&gt;NAS&lt;/a&gt;</v>
      </c>
      <c r="P454" t="str">
        <f t="shared" si="1812"/>
        <v>&lt;/li&gt;&lt;li&gt;&lt;a href=|http://gwt.scripturetext.com/job/18.htm| title=|God's Word Translation| target=|_top|&gt;GWT&lt;/a&gt;</v>
      </c>
      <c r="Q454" t="str">
        <f t="shared" si="1812"/>
        <v>&lt;/li&gt;&lt;li&gt;&lt;a href=|http://kingjbible.com/job/18.htm| title=|King James Bible| target=|_top|&gt;KJV&lt;/a&gt;</v>
      </c>
      <c r="R454" t="str">
        <f t="shared" si="1812"/>
        <v>&lt;/li&gt;&lt;li&gt;&lt;a href=|http://asvbible.com/job/18.htm| title=|American Standard Version| target=|_top|&gt;ASV&lt;/a&gt;</v>
      </c>
      <c r="S454" t="str">
        <f t="shared" si="1812"/>
        <v>&lt;/li&gt;&lt;li&gt;&lt;a href=|http://drb.scripturetext.com/job/18.htm| title=|Douay-Rheims Bible| target=|_top|&gt;DRB&lt;/a&gt;</v>
      </c>
      <c r="T454" t="str">
        <f t="shared" si="1812"/>
        <v>&lt;/li&gt;&lt;li&gt;&lt;a href=|http://erv.scripturetext.com/job/18.htm| title=|English Revised Version| target=|_top|&gt;ERV&lt;/a&gt;</v>
      </c>
      <c r="V454" t="str">
        <f>CONCATENATE("&lt;/li&gt;&lt;li&gt;&lt;a href=|http://",V1191,"/job/18.htm","| ","title=|",V1190,"| target=|_top|&gt;",V1192,"&lt;/a&gt;")</f>
        <v>&lt;/li&gt;&lt;li&gt;&lt;a href=|http://study.interlinearbible.org/job/18.htm| title=|Hebrew Study Bible| target=|_top|&gt;Heb Study&lt;/a&gt;</v>
      </c>
      <c r="W454" t="str">
        <f t="shared" si="1812"/>
        <v>&lt;/li&gt;&lt;li&gt;&lt;a href=|http://apostolic.interlinearbible.org/job/18.htm| title=|Apostolic Bible Polyglot Interlinear| target=|_top|&gt;Polyglot&lt;/a&gt;</v>
      </c>
      <c r="X454" t="str">
        <f t="shared" si="1812"/>
        <v>&lt;/li&gt;&lt;li&gt;&lt;a href=|http://interlinearbible.org/job/18.htm| title=|Interlinear Bible| target=|_top|&gt;Interlin&lt;/a&gt;</v>
      </c>
      <c r="Y454" t="str">
        <f t="shared" ref="Y454" si="1813">CONCATENATE("&lt;/li&gt;&lt;li&gt;&lt;a href=|http://",Y1191,"/job/18.htm","| ","title=|",Y1190,"| target=|_top|&gt;",Y1192,"&lt;/a&gt;")</f>
        <v>&lt;/li&gt;&lt;li&gt;&lt;a href=|http://bibleoutline.org/job/18.htm| title=|Outline with People and Places List| target=|_top|&gt;Outline&lt;/a&gt;</v>
      </c>
      <c r="Z454" t="str">
        <f t="shared" si="1812"/>
        <v>&lt;/li&gt;&lt;li&gt;&lt;a href=|http://kjvs.scripturetext.com/job/18.htm| title=|King James Bible with Strong's Numbers| target=|_top|&gt;Strong's&lt;/a&gt;</v>
      </c>
      <c r="AA454" t="str">
        <f t="shared" si="1812"/>
        <v>&lt;/li&gt;&lt;li&gt;&lt;a href=|http://childrensbibleonline.com/job/18.htm| title=|The Children's Bible| target=|_top|&gt;Children's&lt;/a&gt;</v>
      </c>
      <c r="AB454" s="2" t="str">
        <f t="shared" si="1812"/>
        <v>&lt;/li&gt;&lt;li&gt;&lt;a href=|http://tsk.scripturetext.com/job/18.htm| title=|Treasury of Scripture Knowledge| target=|_top|&gt;TSK&lt;/a&gt;</v>
      </c>
      <c r="AC454" t="str">
        <f>CONCATENATE("&lt;a href=|http://",AC1191,"/job/18.htm","| ","title=|",AC1190,"| target=|_top|&gt;",AC1192,"&lt;/a&gt;")</f>
        <v>&lt;a href=|http://parallelbible.com/job/18.htm| title=|Parallel Chapters| target=|_top|&gt;PAR&lt;/a&gt;</v>
      </c>
      <c r="AD454" s="2" t="str">
        <f t="shared" ref="AD454:AK454" si="1814">CONCATENATE("&lt;/li&gt;&lt;li&gt;&lt;a href=|http://",AD1191,"/job/18.htm","| ","title=|",AD1190,"| target=|_top|&gt;",AD1192,"&lt;/a&gt;")</f>
        <v>&lt;/li&gt;&lt;li&gt;&lt;a href=|http://gsb.biblecommenter.com/job/18.htm| title=|Geneva Study Bible| target=|_top|&gt;GSB&lt;/a&gt;</v>
      </c>
      <c r="AE454" s="2" t="str">
        <f t="shared" si="1814"/>
        <v>&lt;/li&gt;&lt;li&gt;&lt;a href=|http://jfb.biblecommenter.com/job/18.htm| title=|Jamieson-Fausset-Brown Bible Commentary| target=|_top|&gt;JFB&lt;/a&gt;</v>
      </c>
      <c r="AF454" s="2" t="str">
        <f t="shared" si="1814"/>
        <v>&lt;/li&gt;&lt;li&gt;&lt;a href=|http://kjt.biblecommenter.com/job/18.htm| title=|King James Translators' Notes| target=|_top|&gt;KJT&lt;/a&gt;</v>
      </c>
      <c r="AG454" s="2" t="str">
        <f t="shared" si="1814"/>
        <v>&lt;/li&gt;&lt;li&gt;&lt;a href=|http://mhc.biblecommenter.com/job/18.htm| title=|Matthew Henry's Concise Commentary| target=|_top|&gt;MHC&lt;/a&gt;</v>
      </c>
      <c r="AH454" s="2" t="str">
        <f t="shared" si="1814"/>
        <v>&lt;/li&gt;&lt;li&gt;&lt;a href=|http://sco.biblecommenter.com/job/18.htm| title=|Scofield Reference Notes| target=|_top|&gt;SCO&lt;/a&gt;</v>
      </c>
      <c r="AI454" s="2" t="str">
        <f t="shared" si="1814"/>
        <v>&lt;/li&gt;&lt;li&gt;&lt;a href=|http://wes.biblecommenter.com/job/18.htm| title=|Wesley's Notes on the Bible| target=|_top|&gt;WES&lt;/a&gt;</v>
      </c>
      <c r="AJ454" t="str">
        <f t="shared" si="1814"/>
        <v>&lt;/li&gt;&lt;li&gt;&lt;a href=|http://worldebible.com/job/18.htm| title=|World English Bible| target=|_top|&gt;WEB&lt;/a&gt;</v>
      </c>
      <c r="AK454" t="str">
        <f t="shared" si="1814"/>
        <v>&lt;/li&gt;&lt;li&gt;&lt;a href=|http://yltbible.com/job/18.htm| title=|Young's Literal Translation| target=|_top|&gt;YLT&lt;/a&gt;</v>
      </c>
      <c r="AL454" t="str">
        <f>CONCATENATE("&lt;a href=|http://",AL1191,"/job/18.htm","| ","title=|",AL1190,"| target=|_top|&gt;",AL1192,"&lt;/a&gt;")</f>
        <v>&lt;a href=|http://kjv.us/job/18.htm| title=|American King James Version| target=|_top|&gt;AKJ&lt;/a&gt;</v>
      </c>
      <c r="AM454" t="str">
        <f t="shared" ref="AM454:AN454" si="1815">CONCATENATE("&lt;/li&gt;&lt;li&gt;&lt;a href=|http://",AM1191,"/job/18.htm","| ","title=|",AM1190,"| target=|_top|&gt;",AM1192,"&lt;/a&gt;")</f>
        <v>&lt;/li&gt;&lt;li&gt;&lt;a href=|http://basicenglishbible.com/job/18.htm| title=|Bible in Basic English| target=|_top|&gt;BBE&lt;/a&gt;</v>
      </c>
      <c r="AN454" t="str">
        <f t="shared" si="1815"/>
        <v>&lt;/li&gt;&lt;li&gt;&lt;a href=|http://darbybible.com/job/18.htm| title=|Darby Bible Translation| target=|_top|&gt;DBY&lt;/a&gt;</v>
      </c>
      <c r="AO45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5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5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54" t="str">
        <f>CONCATENATE("&lt;/li&gt;&lt;li&gt;&lt;a href=|http://",AR1191,"/job/18.htm","| ","title=|",AR1190,"| target=|_top|&gt;",AR1192,"&lt;/a&gt;")</f>
        <v>&lt;/li&gt;&lt;li&gt;&lt;a href=|http://websterbible.com/job/18.htm| title=|Webster's Bible Translation| target=|_top|&gt;WBS&lt;/a&gt;</v>
      </c>
      <c r="AS45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54" t="str">
        <f>CONCATENATE("&lt;/li&gt;&lt;li&gt;&lt;a href=|http://",AT1191,"/job/18-1.htm","| ","title=|",AT1190,"| target=|_top|&gt;",AT1192,"&lt;/a&gt;")</f>
        <v>&lt;/li&gt;&lt;li&gt;&lt;a href=|http://biblebrowser.com/job/18-1.htm| title=|Split View| target=|_top|&gt;Split&lt;/a&gt;</v>
      </c>
      <c r="AU454" s="2" t="s">
        <v>1276</v>
      </c>
      <c r="AV454" t="s">
        <v>64</v>
      </c>
    </row>
    <row r="455" spans="1:48">
      <c r="A455" t="s">
        <v>622</v>
      </c>
      <c r="B455" t="s">
        <v>693</v>
      </c>
      <c r="C455" t="s">
        <v>624</v>
      </c>
      <c r="D455" t="s">
        <v>1268</v>
      </c>
      <c r="E455" t="s">
        <v>1277</v>
      </c>
      <c r="F455" t="s">
        <v>1304</v>
      </c>
      <c r="G455" t="s">
        <v>1266</v>
      </c>
      <c r="H455" t="s">
        <v>1305</v>
      </c>
      <c r="I455" t="s">
        <v>1303</v>
      </c>
      <c r="J455" t="s">
        <v>1267</v>
      </c>
      <c r="K455" t="s">
        <v>1275</v>
      </c>
      <c r="L455" s="2" t="s">
        <v>1274</v>
      </c>
      <c r="M455" t="str">
        <f t="shared" ref="M455:AB455" si="1816">CONCATENATE("&lt;/li&gt;&lt;li&gt;&lt;a href=|http://",M1191,"/job/19.htm","| ","title=|",M1190,"| target=|_top|&gt;",M1192,"&lt;/a&gt;")</f>
        <v>&lt;/li&gt;&lt;li&gt;&lt;a href=|http://niv.scripturetext.com/job/19.htm| title=|New International Version| target=|_top|&gt;NIV&lt;/a&gt;</v>
      </c>
      <c r="N455" t="str">
        <f t="shared" si="1816"/>
        <v>&lt;/li&gt;&lt;li&gt;&lt;a href=|http://nlt.scripturetext.com/job/19.htm| title=|New Living Translation| target=|_top|&gt;NLT&lt;/a&gt;</v>
      </c>
      <c r="O455" t="str">
        <f t="shared" si="1816"/>
        <v>&lt;/li&gt;&lt;li&gt;&lt;a href=|http://nasb.scripturetext.com/job/19.htm| title=|New American Standard Bible| target=|_top|&gt;NAS&lt;/a&gt;</v>
      </c>
      <c r="P455" t="str">
        <f t="shared" si="1816"/>
        <v>&lt;/li&gt;&lt;li&gt;&lt;a href=|http://gwt.scripturetext.com/job/19.htm| title=|God's Word Translation| target=|_top|&gt;GWT&lt;/a&gt;</v>
      </c>
      <c r="Q455" t="str">
        <f t="shared" si="1816"/>
        <v>&lt;/li&gt;&lt;li&gt;&lt;a href=|http://kingjbible.com/job/19.htm| title=|King James Bible| target=|_top|&gt;KJV&lt;/a&gt;</v>
      </c>
      <c r="R455" t="str">
        <f t="shared" si="1816"/>
        <v>&lt;/li&gt;&lt;li&gt;&lt;a href=|http://asvbible.com/job/19.htm| title=|American Standard Version| target=|_top|&gt;ASV&lt;/a&gt;</v>
      </c>
      <c r="S455" t="str">
        <f t="shared" si="1816"/>
        <v>&lt;/li&gt;&lt;li&gt;&lt;a href=|http://drb.scripturetext.com/job/19.htm| title=|Douay-Rheims Bible| target=|_top|&gt;DRB&lt;/a&gt;</v>
      </c>
      <c r="T455" t="str">
        <f t="shared" si="1816"/>
        <v>&lt;/li&gt;&lt;li&gt;&lt;a href=|http://erv.scripturetext.com/job/19.htm| title=|English Revised Version| target=|_top|&gt;ERV&lt;/a&gt;</v>
      </c>
      <c r="V455" t="str">
        <f>CONCATENATE("&lt;/li&gt;&lt;li&gt;&lt;a href=|http://",V1191,"/job/19.htm","| ","title=|",V1190,"| target=|_top|&gt;",V1192,"&lt;/a&gt;")</f>
        <v>&lt;/li&gt;&lt;li&gt;&lt;a href=|http://study.interlinearbible.org/job/19.htm| title=|Hebrew Study Bible| target=|_top|&gt;Heb Study&lt;/a&gt;</v>
      </c>
      <c r="W455" t="str">
        <f t="shared" si="1816"/>
        <v>&lt;/li&gt;&lt;li&gt;&lt;a href=|http://apostolic.interlinearbible.org/job/19.htm| title=|Apostolic Bible Polyglot Interlinear| target=|_top|&gt;Polyglot&lt;/a&gt;</v>
      </c>
      <c r="X455" t="str">
        <f t="shared" si="1816"/>
        <v>&lt;/li&gt;&lt;li&gt;&lt;a href=|http://interlinearbible.org/job/19.htm| title=|Interlinear Bible| target=|_top|&gt;Interlin&lt;/a&gt;</v>
      </c>
      <c r="Y455" t="str">
        <f t="shared" ref="Y455" si="1817">CONCATENATE("&lt;/li&gt;&lt;li&gt;&lt;a href=|http://",Y1191,"/job/19.htm","| ","title=|",Y1190,"| target=|_top|&gt;",Y1192,"&lt;/a&gt;")</f>
        <v>&lt;/li&gt;&lt;li&gt;&lt;a href=|http://bibleoutline.org/job/19.htm| title=|Outline with People and Places List| target=|_top|&gt;Outline&lt;/a&gt;</v>
      </c>
      <c r="Z455" t="str">
        <f t="shared" si="1816"/>
        <v>&lt;/li&gt;&lt;li&gt;&lt;a href=|http://kjvs.scripturetext.com/job/19.htm| title=|King James Bible with Strong's Numbers| target=|_top|&gt;Strong's&lt;/a&gt;</v>
      </c>
      <c r="AA455" t="str">
        <f t="shared" si="1816"/>
        <v>&lt;/li&gt;&lt;li&gt;&lt;a href=|http://childrensbibleonline.com/job/19.htm| title=|The Children's Bible| target=|_top|&gt;Children's&lt;/a&gt;</v>
      </c>
      <c r="AB455" s="2" t="str">
        <f t="shared" si="1816"/>
        <v>&lt;/li&gt;&lt;li&gt;&lt;a href=|http://tsk.scripturetext.com/job/19.htm| title=|Treasury of Scripture Knowledge| target=|_top|&gt;TSK&lt;/a&gt;</v>
      </c>
      <c r="AC455" t="str">
        <f>CONCATENATE("&lt;a href=|http://",AC1191,"/job/19.htm","| ","title=|",AC1190,"| target=|_top|&gt;",AC1192,"&lt;/a&gt;")</f>
        <v>&lt;a href=|http://parallelbible.com/job/19.htm| title=|Parallel Chapters| target=|_top|&gt;PAR&lt;/a&gt;</v>
      </c>
      <c r="AD455" s="2" t="str">
        <f t="shared" ref="AD455:AK455" si="1818">CONCATENATE("&lt;/li&gt;&lt;li&gt;&lt;a href=|http://",AD1191,"/job/19.htm","| ","title=|",AD1190,"| target=|_top|&gt;",AD1192,"&lt;/a&gt;")</f>
        <v>&lt;/li&gt;&lt;li&gt;&lt;a href=|http://gsb.biblecommenter.com/job/19.htm| title=|Geneva Study Bible| target=|_top|&gt;GSB&lt;/a&gt;</v>
      </c>
      <c r="AE455" s="2" t="str">
        <f t="shared" si="1818"/>
        <v>&lt;/li&gt;&lt;li&gt;&lt;a href=|http://jfb.biblecommenter.com/job/19.htm| title=|Jamieson-Fausset-Brown Bible Commentary| target=|_top|&gt;JFB&lt;/a&gt;</v>
      </c>
      <c r="AF455" s="2" t="str">
        <f t="shared" si="1818"/>
        <v>&lt;/li&gt;&lt;li&gt;&lt;a href=|http://kjt.biblecommenter.com/job/19.htm| title=|King James Translators' Notes| target=|_top|&gt;KJT&lt;/a&gt;</v>
      </c>
      <c r="AG455" s="2" t="str">
        <f t="shared" si="1818"/>
        <v>&lt;/li&gt;&lt;li&gt;&lt;a href=|http://mhc.biblecommenter.com/job/19.htm| title=|Matthew Henry's Concise Commentary| target=|_top|&gt;MHC&lt;/a&gt;</v>
      </c>
      <c r="AH455" s="2" t="str">
        <f t="shared" si="1818"/>
        <v>&lt;/li&gt;&lt;li&gt;&lt;a href=|http://sco.biblecommenter.com/job/19.htm| title=|Scofield Reference Notes| target=|_top|&gt;SCO&lt;/a&gt;</v>
      </c>
      <c r="AI455" s="2" t="str">
        <f t="shared" si="1818"/>
        <v>&lt;/li&gt;&lt;li&gt;&lt;a href=|http://wes.biblecommenter.com/job/19.htm| title=|Wesley's Notes on the Bible| target=|_top|&gt;WES&lt;/a&gt;</v>
      </c>
      <c r="AJ455" t="str">
        <f t="shared" si="1818"/>
        <v>&lt;/li&gt;&lt;li&gt;&lt;a href=|http://worldebible.com/job/19.htm| title=|World English Bible| target=|_top|&gt;WEB&lt;/a&gt;</v>
      </c>
      <c r="AK455" t="str">
        <f t="shared" si="1818"/>
        <v>&lt;/li&gt;&lt;li&gt;&lt;a href=|http://yltbible.com/job/19.htm| title=|Young's Literal Translation| target=|_top|&gt;YLT&lt;/a&gt;</v>
      </c>
      <c r="AL455" t="str">
        <f>CONCATENATE("&lt;a href=|http://",AL1191,"/job/19.htm","| ","title=|",AL1190,"| target=|_top|&gt;",AL1192,"&lt;/a&gt;")</f>
        <v>&lt;a href=|http://kjv.us/job/19.htm| title=|American King James Version| target=|_top|&gt;AKJ&lt;/a&gt;</v>
      </c>
      <c r="AM455" t="str">
        <f t="shared" ref="AM455:AN455" si="1819">CONCATENATE("&lt;/li&gt;&lt;li&gt;&lt;a href=|http://",AM1191,"/job/19.htm","| ","title=|",AM1190,"| target=|_top|&gt;",AM1192,"&lt;/a&gt;")</f>
        <v>&lt;/li&gt;&lt;li&gt;&lt;a href=|http://basicenglishbible.com/job/19.htm| title=|Bible in Basic English| target=|_top|&gt;BBE&lt;/a&gt;</v>
      </c>
      <c r="AN455" t="str">
        <f t="shared" si="1819"/>
        <v>&lt;/li&gt;&lt;li&gt;&lt;a href=|http://darbybible.com/job/19.htm| title=|Darby Bible Translation| target=|_top|&gt;DBY&lt;/a&gt;</v>
      </c>
      <c r="AO45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5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5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55" t="str">
        <f>CONCATENATE("&lt;/li&gt;&lt;li&gt;&lt;a href=|http://",AR1191,"/job/19.htm","| ","title=|",AR1190,"| target=|_top|&gt;",AR1192,"&lt;/a&gt;")</f>
        <v>&lt;/li&gt;&lt;li&gt;&lt;a href=|http://websterbible.com/job/19.htm| title=|Webster's Bible Translation| target=|_top|&gt;WBS&lt;/a&gt;</v>
      </c>
      <c r="AS45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55" t="str">
        <f>CONCATENATE("&lt;/li&gt;&lt;li&gt;&lt;a href=|http://",AT1191,"/job/19-1.htm","| ","title=|",AT1190,"| target=|_top|&gt;",AT1192,"&lt;/a&gt;")</f>
        <v>&lt;/li&gt;&lt;li&gt;&lt;a href=|http://biblebrowser.com/job/19-1.htm| title=|Split View| target=|_top|&gt;Split&lt;/a&gt;</v>
      </c>
      <c r="AU455" s="2" t="s">
        <v>1276</v>
      </c>
      <c r="AV455" t="s">
        <v>64</v>
      </c>
    </row>
    <row r="456" spans="1:48">
      <c r="A456" t="s">
        <v>622</v>
      </c>
      <c r="B456" t="s">
        <v>694</v>
      </c>
      <c r="C456" t="s">
        <v>624</v>
      </c>
      <c r="D456" t="s">
        <v>1268</v>
      </c>
      <c r="E456" t="s">
        <v>1277</v>
      </c>
      <c r="F456" t="s">
        <v>1304</v>
      </c>
      <c r="G456" t="s">
        <v>1266</v>
      </c>
      <c r="H456" t="s">
        <v>1305</v>
      </c>
      <c r="I456" t="s">
        <v>1303</v>
      </c>
      <c r="J456" t="s">
        <v>1267</v>
      </c>
      <c r="K456" t="s">
        <v>1275</v>
      </c>
      <c r="L456" s="2" t="s">
        <v>1274</v>
      </c>
      <c r="M456" t="str">
        <f t="shared" ref="M456:AB456" si="1820">CONCATENATE("&lt;/li&gt;&lt;li&gt;&lt;a href=|http://",M1191,"/job/20.htm","| ","title=|",M1190,"| target=|_top|&gt;",M1192,"&lt;/a&gt;")</f>
        <v>&lt;/li&gt;&lt;li&gt;&lt;a href=|http://niv.scripturetext.com/job/20.htm| title=|New International Version| target=|_top|&gt;NIV&lt;/a&gt;</v>
      </c>
      <c r="N456" t="str">
        <f t="shared" si="1820"/>
        <v>&lt;/li&gt;&lt;li&gt;&lt;a href=|http://nlt.scripturetext.com/job/20.htm| title=|New Living Translation| target=|_top|&gt;NLT&lt;/a&gt;</v>
      </c>
      <c r="O456" t="str">
        <f t="shared" si="1820"/>
        <v>&lt;/li&gt;&lt;li&gt;&lt;a href=|http://nasb.scripturetext.com/job/20.htm| title=|New American Standard Bible| target=|_top|&gt;NAS&lt;/a&gt;</v>
      </c>
      <c r="P456" t="str">
        <f t="shared" si="1820"/>
        <v>&lt;/li&gt;&lt;li&gt;&lt;a href=|http://gwt.scripturetext.com/job/20.htm| title=|God's Word Translation| target=|_top|&gt;GWT&lt;/a&gt;</v>
      </c>
      <c r="Q456" t="str">
        <f t="shared" si="1820"/>
        <v>&lt;/li&gt;&lt;li&gt;&lt;a href=|http://kingjbible.com/job/20.htm| title=|King James Bible| target=|_top|&gt;KJV&lt;/a&gt;</v>
      </c>
      <c r="R456" t="str">
        <f t="shared" si="1820"/>
        <v>&lt;/li&gt;&lt;li&gt;&lt;a href=|http://asvbible.com/job/20.htm| title=|American Standard Version| target=|_top|&gt;ASV&lt;/a&gt;</v>
      </c>
      <c r="S456" t="str">
        <f t="shared" si="1820"/>
        <v>&lt;/li&gt;&lt;li&gt;&lt;a href=|http://drb.scripturetext.com/job/20.htm| title=|Douay-Rheims Bible| target=|_top|&gt;DRB&lt;/a&gt;</v>
      </c>
      <c r="T456" t="str">
        <f t="shared" si="1820"/>
        <v>&lt;/li&gt;&lt;li&gt;&lt;a href=|http://erv.scripturetext.com/job/20.htm| title=|English Revised Version| target=|_top|&gt;ERV&lt;/a&gt;</v>
      </c>
      <c r="V456" t="str">
        <f>CONCATENATE("&lt;/li&gt;&lt;li&gt;&lt;a href=|http://",V1191,"/job/20.htm","| ","title=|",V1190,"| target=|_top|&gt;",V1192,"&lt;/a&gt;")</f>
        <v>&lt;/li&gt;&lt;li&gt;&lt;a href=|http://study.interlinearbible.org/job/20.htm| title=|Hebrew Study Bible| target=|_top|&gt;Heb Study&lt;/a&gt;</v>
      </c>
      <c r="W456" t="str">
        <f t="shared" si="1820"/>
        <v>&lt;/li&gt;&lt;li&gt;&lt;a href=|http://apostolic.interlinearbible.org/job/20.htm| title=|Apostolic Bible Polyglot Interlinear| target=|_top|&gt;Polyglot&lt;/a&gt;</v>
      </c>
      <c r="X456" t="str">
        <f t="shared" si="1820"/>
        <v>&lt;/li&gt;&lt;li&gt;&lt;a href=|http://interlinearbible.org/job/20.htm| title=|Interlinear Bible| target=|_top|&gt;Interlin&lt;/a&gt;</v>
      </c>
      <c r="Y456" t="str">
        <f t="shared" ref="Y456" si="1821">CONCATENATE("&lt;/li&gt;&lt;li&gt;&lt;a href=|http://",Y1191,"/job/20.htm","| ","title=|",Y1190,"| target=|_top|&gt;",Y1192,"&lt;/a&gt;")</f>
        <v>&lt;/li&gt;&lt;li&gt;&lt;a href=|http://bibleoutline.org/job/20.htm| title=|Outline with People and Places List| target=|_top|&gt;Outline&lt;/a&gt;</v>
      </c>
      <c r="Z456" t="str">
        <f t="shared" si="1820"/>
        <v>&lt;/li&gt;&lt;li&gt;&lt;a href=|http://kjvs.scripturetext.com/job/20.htm| title=|King James Bible with Strong's Numbers| target=|_top|&gt;Strong's&lt;/a&gt;</v>
      </c>
      <c r="AA456" t="str">
        <f t="shared" si="1820"/>
        <v>&lt;/li&gt;&lt;li&gt;&lt;a href=|http://childrensbibleonline.com/job/20.htm| title=|The Children's Bible| target=|_top|&gt;Children's&lt;/a&gt;</v>
      </c>
      <c r="AB456" s="2" t="str">
        <f t="shared" si="1820"/>
        <v>&lt;/li&gt;&lt;li&gt;&lt;a href=|http://tsk.scripturetext.com/job/20.htm| title=|Treasury of Scripture Knowledge| target=|_top|&gt;TSK&lt;/a&gt;</v>
      </c>
      <c r="AC456" t="str">
        <f>CONCATENATE("&lt;a href=|http://",AC1191,"/job/20.htm","| ","title=|",AC1190,"| target=|_top|&gt;",AC1192,"&lt;/a&gt;")</f>
        <v>&lt;a href=|http://parallelbible.com/job/20.htm| title=|Parallel Chapters| target=|_top|&gt;PAR&lt;/a&gt;</v>
      </c>
      <c r="AD456" s="2" t="str">
        <f t="shared" ref="AD456:AK456" si="1822">CONCATENATE("&lt;/li&gt;&lt;li&gt;&lt;a href=|http://",AD1191,"/job/20.htm","| ","title=|",AD1190,"| target=|_top|&gt;",AD1192,"&lt;/a&gt;")</f>
        <v>&lt;/li&gt;&lt;li&gt;&lt;a href=|http://gsb.biblecommenter.com/job/20.htm| title=|Geneva Study Bible| target=|_top|&gt;GSB&lt;/a&gt;</v>
      </c>
      <c r="AE456" s="2" t="str">
        <f t="shared" si="1822"/>
        <v>&lt;/li&gt;&lt;li&gt;&lt;a href=|http://jfb.biblecommenter.com/job/20.htm| title=|Jamieson-Fausset-Brown Bible Commentary| target=|_top|&gt;JFB&lt;/a&gt;</v>
      </c>
      <c r="AF456" s="2" t="str">
        <f t="shared" si="1822"/>
        <v>&lt;/li&gt;&lt;li&gt;&lt;a href=|http://kjt.biblecommenter.com/job/20.htm| title=|King James Translators' Notes| target=|_top|&gt;KJT&lt;/a&gt;</v>
      </c>
      <c r="AG456" s="2" t="str">
        <f t="shared" si="1822"/>
        <v>&lt;/li&gt;&lt;li&gt;&lt;a href=|http://mhc.biblecommenter.com/job/20.htm| title=|Matthew Henry's Concise Commentary| target=|_top|&gt;MHC&lt;/a&gt;</v>
      </c>
      <c r="AH456" s="2" t="str">
        <f t="shared" si="1822"/>
        <v>&lt;/li&gt;&lt;li&gt;&lt;a href=|http://sco.biblecommenter.com/job/20.htm| title=|Scofield Reference Notes| target=|_top|&gt;SCO&lt;/a&gt;</v>
      </c>
      <c r="AI456" s="2" t="str">
        <f t="shared" si="1822"/>
        <v>&lt;/li&gt;&lt;li&gt;&lt;a href=|http://wes.biblecommenter.com/job/20.htm| title=|Wesley's Notes on the Bible| target=|_top|&gt;WES&lt;/a&gt;</v>
      </c>
      <c r="AJ456" t="str">
        <f t="shared" si="1822"/>
        <v>&lt;/li&gt;&lt;li&gt;&lt;a href=|http://worldebible.com/job/20.htm| title=|World English Bible| target=|_top|&gt;WEB&lt;/a&gt;</v>
      </c>
      <c r="AK456" t="str">
        <f t="shared" si="1822"/>
        <v>&lt;/li&gt;&lt;li&gt;&lt;a href=|http://yltbible.com/job/20.htm| title=|Young's Literal Translation| target=|_top|&gt;YLT&lt;/a&gt;</v>
      </c>
      <c r="AL456" t="str">
        <f>CONCATENATE("&lt;a href=|http://",AL1191,"/job/20.htm","| ","title=|",AL1190,"| target=|_top|&gt;",AL1192,"&lt;/a&gt;")</f>
        <v>&lt;a href=|http://kjv.us/job/20.htm| title=|American King James Version| target=|_top|&gt;AKJ&lt;/a&gt;</v>
      </c>
      <c r="AM456" t="str">
        <f t="shared" ref="AM456:AN456" si="1823">CONCATENATE("&lt;/li&gt;&lt;li&gt;&lt;a href=|http://",AM1191,"/job/20.htm","| ","title=|",AM1190,"| target=|_top|&gt;",AM1192,"&lt;/a&gt;")</f>
        <v>&lt;/li&gt;&lt;li&gt;&lt;a href=|http://basicenglishbible.com/job/20.htm| title=|Bible in Basic English| target=|_top|&gt;BBE&lt;/a&gt;</v>
      </c>
      <c r="AN456" t="str">
        <f t="shared" si="1823"/>
        <v>&lt;/li&gt;&lt;li&gt;&lt;a href=|http://darbybible.com/job/20.htm| title=|Darby Bible Translation| target=|_top|&gt;DBY&lt;/a&gt;</v>
      </c>
      <c r="AO45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5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5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56" t="str">
        <f>CONCATENATE("&lt;/li&gt;&lt;li&gt;&lt;a href=|http://",AR1191,"/job/20.htm","| ","title=|",AR1190,"| target=|_top|&gt;",AR1192,"&lt;/a&gt;")</f>
        <v>&lt;/li&gt;&lt;li&gt;&lt;a href=|http://websterbible.com/job/20.htm| title=|Webster's Bible Translation| target=|_top|&gt;WBS&lt;/a&gt;</v>
      </c>
      <c r="AS45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56" t="str">
        <f>CONCATENATE("&lt;/li&gt;&lt;li&gt;&lt;a href=|http://",AT1191,"/job/20-1.htm","| ","title=|",AT1190,"| target=|_top|&gt;",AT1192,"&lt;/a&gt;")</f>
        <v>&lt;/li&gt;&lt;li&gt;&lt;a href=|http://biblebrowser.com/job/20-1.htm| title=|Split View| target=|_top|&gt;Split&lt;/a&gt;</v>
      </c>
      <c r="AU456" s="2" t="s">
        <v>1276</v>
      </c>
      <c r="AV456" t="s">
        <v>64</v>
      </c>
    </row>
    <row r="457" spans="1:48">
      <c r="A457" t="s">
        <v>622</v>
      </c>
      <c r="B457" t="s">
        <v>695</v>
      </c>
      <c r="C457" t="s">
        <v>624</v>
      </c>
      <c r="D457" t="s">
        <v>1268</v>
      </c>
      <c r="E457" t="s">
        <v>1277</v>
      </c>
      <c r="F457" t="s">
        <v>1304</v>
      </c>
      <c r="G457" t="s">
        <v>1266</v>
      </c>
      <c r="H457" t="s">
        <v>1305</v>
      </c>
      <c r="I457" t="s">
        <v>1303</v>
      </c>
      <c r="J457" t="s">
        <v>1267</v>
      </c>
      <c r="K457" t="s">
        <v>1275</v>
      </c>
      <c r="L457" s="2" t="s">
        <v>1274</v>
      </c>
      <c r="M457" t="str">
        <f t="shared" ref="M457:AB457" si="1824">CONCATENATE("&lt;/li&gt;&lt;li&gt;&lt;a href=|http://",M1191,"/job/21.htm","| ","title=|",M1190,"| target=|_top|&gt;",M1192,"&lt;/a&gt;")</f>
        <v>&lt;/li&gt;&lt;li&gt;&lt;a href=|http://niv.scripturetext.com/job/21.htm| title=|New International Version| target=|_top|&gt;NIV&lt;/a&gt;</v>
      </c>
      <c r="N457" t="str">
        <f t="shared" si="1824"/>
        <v>&lt;/li&gt;&lt;li&gt;&lt;a href=|http://nlt.scripturetext.com/job/21.htm| title=|New Living Translation| target=|_top|&gt;NLT&lt;/a&gt;</v>
      </c>
      <c r="O457" t="str">
        <f t="shared" si="1824"/>
        <v>&lt;/li&gt;&lt;li&gt;&lt;a href=|http://nasb.scripturetext.com/job/21.htm| title=|New American Standard Bible| target=|_top|&gt;NAS&lt;/a&gt;</v>
      </c>
      <c r="P457" t="str">
        <f t="shared" si="1824"/>
        <v>&lt;/li&gt;&lt;li&gt;&lt;a href=|http://gwt.scripturetext.com/job/21.htm| title=|God's Word Translation| target=|_top|&gt;GWT&lt;/a&gt;</v>
      </c>
      <c r="Q457" t="str">
        <f t="shared" si="1824"/>
        <v>&lt;/li&gt;&lt;li&gt;&lt;a href=|http://kingjbible.com/job/21.htm| title=|King James Bible| target=|_top|&gt;KJV&lt;/a&gt;</v>
      </c>
      <c r="R457" t="str">
        <f t="shared" si="1824"/>
        <v>&lt;/li&gt;&lt;li&gt;&lt;a href=|http://asvbible.com/job/21.htm| title=|American Standard Version| target=|_top|&gt;ASV&lt;/a&gt;</v>
      </c>
      <c r="S457" t="str">
        <f t="shared" si="1824"/>
        <v>&lt;/li&gt;&lt;li&gt;&lt;a href=|http://drb.scripturetext.com/job/21.htm| title=|Douay-Rheims Bible| target=|_top|&gt;DRB&lt;/a&gt;</v>
      </c>
      <c r="T457" t="str">
        <f t="shared" si="1824"/>
        <v>&lt;/li&gt;&lt;li&gt;&lt;a href=|http://erv.scripturetext.com/job/21.htm| title=|English Revised Version| target=|_top|&gt;ERV&lt;/a&gt;</v>
      </c>
      <c r="V457" t="str">
        <f>CONCATENATE("&lt;/li&gt;&lt;li&gt;&lt;a href=|http://",V1191,"/job/21.htm","| ","title=|",V1190,"| target=|_top|&gt;",V1192,"&lt;/a&gt;")</f>
        <v>&lt;/li&gt;&lt;li&gt;&lt;a href=|http://study.interlinearbible.org/job/21.htm| title=|Hebrew Study Bible| target=|_top|&gt;Heb Study&lt;/a&gt;</v>
      </c>
      <c r="W457" t="str">
        <f t="shared" si="1824"/>
        <v>&lt;/li&gt;&lt;li&gt;&lt;a href=|http://apostolic.interlinearbible.org/job/21.htm| title=|Apostolic Bible Polyglot Interlinear| target=|_top|&gt;Polyglot&lt;/a&gt;</v>
      </c>
      <c r="X457" t="str">
        <f t="shared" si="1824"/>
        <v>&lt;/li&gt;&lt;li&gt;&lt;a href=|http://interlinearbible.org/job/21.htm| title=|Interlinear Bible| target=|_top|&gt;Interlin&lt;/a&gt;</v>
      </c>
      <c r="Y457" t="str">
        <f t="shared" ref="Y457" si="1825">CONCATENATE("&lt;/li&gt;&lt;li&gt;&lt;a href=|http://",Y1191,"/job/21.htm","| ","title=|",Y1190,"| target=|_top|&gt;",Y1192,"&lt;/a&gt;")</f>
        <v>&lt;/li&gt;&lt;li&gt;&lt;a href=|http://bibleoutline.org/job/21.htm| title=|Outline with People and Places List| target=|_top|&gt;Outline&lt;/a&gt;</v>
      </c>
      <c r="Z457" t="str">
        <f t="shared" si="1824"/>
        <v>&lt;/li&gt;&lt;li&gt;&lt;a href=|http://kjvs.scripturetext.com/job/21.htm| title=|King James Bible with Strong's Numbers| target=|_top|&gt;Strong's&lt;/a&gt;</v>
      </c>
      <c r="AA457" t="str">
        <f t="shared" si="1824"/>
        <v>&lt;/li&gt;&lt;li&gt;&lt;a href=|http://childrensbibleonline.com/job/21.htm| title=|The Children's Bible| target=|_top|&gt;Children's&lt;/a&gt;</v>
      </c>
      <c r="AB457" s="2" t="str">
        <f t="shared" si="1824"/>
        <v>&lt;/li&gt;&lt;li&gt;&lt;a href=|http://tsk.scripturetext.com/job/21.htm| title=|Treasury of Scripture Knowledge| target=|_top|&gt;TSK&lt;/a&gt;</v>
      </c>
      <c r="AC457" t="str">
        <f>CONCATENATE("&lt;a href=|http://",AC1191,"/job/21.htm","| ","title=|",AC1190,"| target=|_top|&gt;",AC1192,"&lt;/a&gt;")</f>
        <v>&lt;a href=|http://parallelbible.com/job/21.htm| title=|Parallel Chapters| target=|_top|&gt;PAR&lt;/a&gt;</v>
      </c>
      <c r="AD457" s="2" t="str">
        <f t="shared" ref="AD457:AK457" si="1826">CONCATENATE("&lt;/li&gt;&lt;li&gt;&lt;a href=|http://",AD1191,"/job/21.htm","| ","title=|",AD1190,"| target=|_top|&gt;",AD1192,"&lt;/a&gt;")</f>
        <v>&lt;/li&gt;&lt;li&gt;&lt;a href=|http://gsb.biblecommenter.com/job/21.htm| title=|Geneva Study Bible| target=|_top|&gt;GSB&lt;/a&gt;</v>
      </c>
      <c r="AE457" s="2" t="str">
        <f t="shared" si="1826"/>
        <v>&lt;/li&gt;&lt;li&gt;&lt;a href=|http://jfb.biblecommenter.com/job/21.htm| title=|Jamieson-Fausset-Brown Bible Commentary| target=|_top|&gt;JFB&lt;/a&gt;</v>
      </c>
      <c r="AF457" s="2" t="str">
        <f t="shared" si="1826"/>
        <v>&lt;/li&gt;&lt;li&gt;&lt;a href=|http://kjt.biblecommenter.com/job/21.htm| title=|King James Translators' Notes| target=|_top|&gt;KJT&lt;/a&gt;</v>
      </c>
      <c r="AG457" s="2" t="str">
        <f t="shared" si="1826"/>
        <v>&lt;/li&gt;&lt;li&gt;&lt;a href=|http://mhc.biblecommenter.com/job/21.htm| title=|Matthew Henry's Concise Commentary| target=|_top|&gt;MHC&lt;/a&gt;</v>
      </c>
      <c r="AH457" s="2" t="str">
        <f t="shared" si="1826"/>
        <v>&lt;/li&gt;&lt;li&gt;&lt;a href=|http://sco.biblecommenter.com/job/21.htm| title=|Scofield Reference Notes| target=|_top|&gt;SCO&lt;/a&gt;</v>
      </c>
      <c r="AI457" s="2" t="str">
        <f t="shared" si="1826"/>
        <v>&lt;/li&gt;&lt;li&gt;&lt;a href=|http://wes.biblecommenter.com/job/21.htm| title=|Wesley's Notes on the Bible| target=|_top|&gt;WES&lt;/a&gt;</v>
      </c>
      <c r="AJ457" t="str">
        <f t="shared" si="1826"/>
        <v>&lt;/li&gt;&lt;li&gt;&lt;a href=|http://worldebible.com/job/21.htm| title=|World English Bible| target=|_top|&gt;WEB&lt;/a&gt;</v>
      </c>
      <c r="AK457" t="str">
        <f t="shared" si="1826"/>
        <v>&lt;/li&gt;&lt;li&gt;&lt;a href=|http://yltbible.com/job/21.htm| title=|Young's Literal Translation| target=|_top|&gt;YLT&lt;/a&gt;</v>
      </c>
      <c r="AL457" t="str">
        <f>CONCATENATE("&lt;a href=|http://",AL1191,"/job/21.htm","| ","title=|",AL1190,"| target=|_top|&gt;",AL1192,"&lt;/a&gt;")</f>
        <v>&lt;a href=|http://kjv.us/job/21.htm| title=|American King James Version| target=|_top|&gt;AKJ&lt;/a&gt;</v>
      </c>
      <c r="AM457" t="str">
        <f t="shared" ref="AM457:AN457" si="1827">CONCATENATE("&lt;/li&gt;&lt;li&gt;&lt;a href=|http://",AM1191,"/job/21.htm","| ","title=|",AM1190,"| target=|_top|&gt;",AM1192,"&lt;/a&gt;")</f>
        <v>&lt;/li&gt;&lt;li&gt;&lt;a href=|http://basicenglishbible.com/job/21.htm| title=|Bible in Basic English| target=|_top|&gt;BBE&lt;/a&gt;</v>
      </c>
      <c r="AN457" t="str">
        <f t="shared" si="1827"/>
        <v>&lt;/li&gt;&lt;li&gt;&lt;a href=|http://darbybible.com/job/21.htm| title=|Darby Bible Translation| target=|_top|&gt;DBY&lt;/a&gt;</v>
      </c>
      <c r="AO45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5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5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57" t="str">
        <f>CONCATENATE("&lt;/li&gt;&lt;li&gt;&lt;a href=|http://",AR1191,"/job/21.htm","| ","title=|",AR1190,"| target=|_top|&gt;",AR1192,"&lt;/a&gt;")</f>
        <v>&lt;/li&gt;&lt;li&gt;&lt;a href=|http://websterbible.com/job/21.htm| title=|Webster's Bible Translation| target=|_top|&gt;WBS&lt;/a&gt;</v>
      </c>
      <c r="AS45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57" t="str">
        <f>CONCATENATE("&lt;/li&gt;&lt;li&gt;&lt;a href=|http://",AT1191,"/job/21-1.htm","| ","title=|",AT1190,"| target=|_top|&gt;",AT1192,"&lt;/a&gt;")</f>
        <v>&lt;/li&gt;&lt;li&gt;&lt;a href=|http://biblebrowser.com/job/21-1.htm| title=|Split View| target=|_top|&gt;Split&lt;/a&gt;</v>
      </c>
      <c r="AU457" s="2" t="s">
        <v>1276</v>
      </c>
      <c r="AV457" t="s">
        <v>64</v>
      </c>
    </row>
    <row r="458" spans="1:48">
      <c r="A458" t="s">
        <v>622</v>
      </c>
      <c r="B458" t="s">
        <v>696</v>
      </c>
      <c r="C458" t="s">
        <v>624</v>
      </c>
      <c r="D458" t="s">
        <v>1268</v>
      </c>
      <c r="E458" t="s">
        <v>1277</v>
      </c>
      <c r="F458" t="s">
        <v>1304</v>
      </c>
      <c r="G458" t="s">
        <v>1266</v>
      </c>
      <c r="H458" t="s">
        <v>1305</v>
      </c>
      <c r="I458" t="s">
        <v>1303</v>
      </c>
      <c r="J458" t="s">
        <v>1267</v>
      </c>
      <c r="K458" t="s">
        <v>1275</v>
      </c>
      <c r="L458" s="2" t="s">
        <v>1274</v>
      </c>
      <c r="M458" t="str">
        <f t="shared" ref="M458:AB458" si="1828">CONCATENATE("&lt;/li&gt;&lt;li&gt;&lt;a href=|http://",M1191,"/job/22.htm","| ","title=|",M1190,"| target=|_top|&gt;",M1192,"&lt;/a&gt;")</f>
        <v>&lt;/li&gt;&lt;li&gt;&lt;a href=|http://niv.scripturetext.com/job/22.htm| title=|New International Version| target=|_top|&gt;NIV&lt;/a&gt;</v>
      </c>
      <c r="N458" t="str">
        <f t="shared" si="1828"/>
        <v>&lt;/li&gt;&lt;li&gt;&lt;a href=|http://nlt.scripturetext.com/job/22.htm| title=|New Living Translation| target=|_top|&gt;NLT&lt;/a&gt;</v>
      </c>
      <c r="O458" t="str">
        <f t="shared" si="1828"/>
        <v>&lt;/li&gt;&lt;li&gt;&lt;a href=|http://nasb.scripturetext.com/job/22.htm| title=|New American Standard Bible| target=|_top|&gt;NAS&lt;/a&gt;</v>
      </c>
      <c r="P458" t="str">
        <f t="shared" si="1828"/>
        <v>&lt;/li&gt;&lt;li&gt;&lt;a href=|http://gwt.scripturetext.com/job/22.htm| title=|God's Word Translation| target=|_top|&gt;GWT&lt;/a&gt;</v>
      </c>
      <c r="Q458" t="str">
        <f t="shared" si="1828"/>
        <v>&lt;/li&gt;&lt;li&gt;&lt;a href=|http://kingjbible.com/job/22.htm| title=|King James Bible| target=|_top|&gt;KJV&lt;/a&gt;</v>
      </c>
      <c r="R458" t="str">
        <f t="shared" si="1828"/>
        <v>&lt;/li&gt;&lt;li&gt;&lt;a href=|http://asvbible.com/job/22.htm| title=|American Standard Version| target=|_top|&gt;ASV&lt;/a&gt;</v>
      </c>
      <c r="S458" t="str">
        <f t="shared" si="1828"/>
        <v>&lt;/li&gt;&lt;li&gt;&lt;a href=|http://drb.scripturetext.com/job/22.htm| title=|Douay-Rheims Bible| target=|_top|&gt;DRB&lt;/a&gt;</v>
      </c>
      <c r="T458" t="str">
        <f t="shared" si="1828"/>
        <v>&lt;/li&gt;&lt;li&gt;&lt;a href=|http://erv.scripturetext.com/job/22.htm| title=|English Revised Version| target=|_top|&gt;ERV&lt;/a&gt;</v>
      </c>
      <c r="V458" t="str">
        <f>CONCATENATE("&lt;/li&gt;&lt;li&gt;&lt;a href=|http://",V1191,"/job/22.htm","| ","title=|",V1190,"| target=|_top|&gt;",V1192,"&lt;/a&gt;")</f>
        <v>&lt;/li&gt;&lt;li&gt;&lt;a href=|http://study.interlinearbible.org/job/22.htm| title=|Hebrew Study Bible| target=|_top|&gt;Heb Study&lt;/a&gt;</v>
      </c>
      <c r="W458" t="str">
        <f t="shared" si="1828"/>
        <v>&lt;/li&gt;&lt;li&gt;&lt;a href=|http://apostolic.interlinearbible.org/job/22.htm| title=|Apostolic Bible Polyglot Interlinear| target=|_top|&gt;Polyglot&lt;/a&gt;</v>
      </c>
      <c r="X458" t="str">
        <f t="shared" si="1828"/>
        <v>&lt;/li&gt;&lt;li&gt;&lt;a href=|http://interlinearbible.org/job/22.htm| title=|Interlinear Bible| target=|_top|&gt;Interlin&lt;/a&gt;</v>
      </c>
      <c r="Y458" t="str">
        <f t="shared" ref="Y458" si="1829">CONCATENATE("&lt;/li&gt;&lt;li&gt;&lt;a href=|http://",Y1191,"/job/22.htm","| ","title=|",Y1190,"| target=|_top|&gt;",Y1192,"&lt;/a&gt;")</f>
        <v>&lt;/li&gt;&lt;li&gt;&lt;a href=|http://bibleoutline.org/job/22.htm| title=|Outline with People and Places List| target=|_top|&gt;Outline&lt;/a&gt;</v>
      </c>
      <c r="Z458" t="str">
        <f t="shared" si="1828"/>
        <v>&lt;/li&gt;&lt;li&gt;&lt;a href=|http://kjvs.scripturetext.com/job/22.htm| title=|King James Bible with Strong's Numbers| target=|_top|&gt;Strong's&lt;/a&gt;</v>
      </c>
      <c r="AA458" t="str">
        <f t="shared" si="1828"/>
        <v>&lt;/li&gt;&lt;li&gt;&lt;a href=|http://childrensbibleonline.com/job/22.htm| title=|The Children's Bible| target=|_top|&gt;Children's&lt;/a&gt;</v>
      </c>
      <c r="AB458" s="2" t="str">
        <f t="shared" si="1828"/>
        <v>&lt;/li&gt;&lt;li&gt;&lt;a href=|http://tsk.scripturetext.com/job/22.htm| title=|Treasury of Scripture Knowledge| target=|_top|&gt;TSK&lt;/a&gt;</v>
      </c>
      <c r="AC458" t="str">
        <f>CONCATENATE("&lt;a href=|http://",AC1191,"/job/22.htm","| ","title=|",AC1190,"| target=|_top|&gt;",AC1192,"&lt;/a&gt;")</f>
        <v>&lt;a href=|http://parallelbible.com/job/22.htm| title=|Parallel Chapters| target=|_top|&gt;PAR&lt;/a&gt;</v>
      </c>
      <c r="AD458" s="2" t="str">
        <f t="shared" ref="AD458:AK458" si="1830">CONCATENATE("&lt;/li&gt;&lt;li&gt;&lt;a href=|http://",AD1191,"/job/22.htm","| ","title=|",AD1190,"| target=|_top|&gt;",AD1192,"&lt;/a&gt;")</f>
        <v>&lt;/li&gt;&lt;li&gt;&lt;a href=|http://gsb.biblecommenter.com/job/22.htm| title=|Geneva Study Bible| target=|_top|&gt;GSB&lt;/a&gt;</v>
      </c>
      <c r="AE458" s="2" t="str">
        <f t="shared" si="1830"/>
        <v>&lt;/li&gt;&lt;li&gt;&lt;a href=|http://jfb.biblecommenter.com/job/22.htm| title=|Jamieson-Fausset-Brown Bible Commentary| target=|_top|&gt;JFB&lt;/a&gt;</v>
      </c>
      <c r="AF458" s="2" t="str">
        <f t="shared" si="1830"/>
        <v>&lt;/li&gt;&lt;li&gt;&lt;a href=|http://kjt.biblecommenter.com/job/22.htm| title=|King James Translators' Notes| target=|_top|&gt;KJT&lt;/a&gt;</v>
      </c>
      <c r="AG458" s="2" t="str">
        <f t="shared" si="1830"/>
        <v>&lt;/li&gt;&lt;li&gt;&lt;a href=|http://mhc.biblecommenter.com/job/22.htm| title=|Matthew Henry's Concise Commentary| target=|_top|&gt;MHC&lt;/a&gt;</v>
      </c>
      <c r="AH458" s="2" t="str">
        <f t="shared" si="1830"/>
        <v>&lt;/li&gt;&lt;li&gt;&lt;a href=|http://sco.biblecommenter.com/job/22.htm| title=|Scofield Reference Notes| target=|_top|&gt;SCO&lt;/a&gt;</v>
      </c>
      <c r="AI458" s="2" t="str">
        <f t="shared" si="1830"/>
        <v>&lt;/li&gt;&lt;li&gt;&lt;a href=|http://wes.biblecommenter.com/job/22.htm| title=|Wesley's Notes on the Bible| target=|_top|&gt;WES&lt;/a&gt;</v>
      </c>
      <c r="AJ458" t="str">
        <f t="shared" si="1830"/>
        <v>&lt;/li&gt;&lt;li&gt;&lt;a href=|http://worldebible.com/job/22.htm| title=|World English Bible| target=|_top|&gt;WEB&lt;/a&gt;</v>
      </c>
      <c r="AK458" t="str">
        <f t="shared" si="1830"/>
        <v>&lt;/li&gt;&lt;li&gt;&lt;a href=|http://yltbible.com/job/22.htm| title=|Young's Literal Translation| target=|_top|&gt;YLT&lt;/a&gt;</v>
      </c>
      <c r="AL458" t="str">
        <f>CONCATENATE("&lt;a href=|http://",AL1191,"/job/22.htm","| ","title=|",AL1190,"| target=|_top|&gt;",AL1192,"&lt;/a&gt;")</f>
        <v>&lt;a href=|http://kjv.us/job/22.htm| title=|American King James Version| target=|_top|&gt;AKJ&lt;/a&gt;</v>
      </c>
      <c r="AM458" t="str">
        <f t="shared" ref="AM458:AN458" si="1831">CONCATENATE("&lt;/li&gt;&lt;li&gt;&lt;a href=|http://",AM1191,"/job/22.htm","| ","title=|",AM1190,"| target=|_top|&gt;",AM1192,"&lt;/a&gt;")</f>
        <v>&lt;/li&gt;&lt;li&gt;&lt;a href=|http://basicenglishbible.com/job/22.htm| title=|Bible in Basic English| target=|_top|&gt;BBE&lt;/a&gt;</v>
      </c>
      <c r="AN458" t="str">
        <f t="shared" si="1831"/>
        <v>&lt;/li&gt;&lt;li&gt;&lt;a href=|http://darbybible.com/job/22.htm| title=|Darby Bible Translation| target=|_top|&gt;DBY&lt;/a&gt;</v>
      </c>
      <c r="AO45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5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5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58" t="str">
        <f>CONCATENATE("&lt;/li&gt;&lt;li&gt;&lt;a href=|http://",AR1191,"/job/22.htm","| ","title=|",AR1190,"| target=|_top|&gt;",AR1192,"&lt;/a&gt;")</f>
        <v>&lt;/li&gt;&lt;li&gt;&lt;a href=|http://websterbible.com/job/22.htm| title=|Webster's Bible Translation| target=|_top|&gt;WBS&lt;/a&gt;</v>
      </c>
      <c r="AS45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58" t="str">
        <f>CONCATENATE("&lt;/li&gt;&lt;li&gt;&lt;a href=|http://",AT1191,"/job/22-1.htm","| ","title=|",AT1190,"| target=|_top|&gt;",AT1192,"&lt;/a&gt;")</f>
        <v>&lt;/li&gt;&lt;li&gt;&lt;a href=|http://biblebrowser.com/job/22-1.htm| title=|Split View| target=|_top|&gt;Split&lt;/a&gt;</v>
      </c>
      <c r="AU458" s="2" t="s">
        <v>1276</v>
      </c>
      <c r="AV458" t="s">
        <v>64</v>
      </c>
    </row>
    <row r="459" spans="1:48">
      <c r="A459" t="s">
        <v>622</v>
      </c>
      <c r="B459" t="s">
        <v>697</v>
      </c>
      <c r="C459" t="s">
        <v>624</v>
      </c>
      <c r="D459" t="s">
        <v>1268</v>
      </c>
      <c r="E459" t="s">
        <v>1277</v>
      </c>
      <c r="F459" t="s">
        <v>1304</v>
      </c>
      <c r="G459" t="s">
        <v>1266</v>
      </c>
      <c r="H459" t="s">
        <v>1305</v>
      </c>
      <c r="I459" t="s">
        <v>1303</v>
      </c>
      <c r="J459" t="s">
        <v>1267</v>
      </c>
      <c r="K459" t="s">
        <v>1275</v>
      </c>
      <c r="L459" s="2" t="s">
        <v>1274</v>
      </c>
      <c r="M459" t="str">
        <f t="shared" ref="M459:AB459" si="1832">CONCATENATE("&lt;/li&gt;&lt;li&gt;&lt;a href=|http://",M1191,"/job/23.htm","| ","title=|",M1190,"| target=|_top|&gt;",M1192,"&lt;/a&gt;")</f>
        <v>&lt;/li&gt;&lt;li&gt;&lt;a href=|http://niv.scripturetext.com/job/23.htm| title=|New International Version| target=|_top|&gt;NIV&lt;/a&gt;</v>
      </c>
      <c r="N459" t="str">
        <f t="shared" si="1832"/>
        <v>&lt;/li&gt;&lt;li&gt;&lt;a href=|http://nlt.scripturetext.com/job/23.htm| title=|New Living Translation| target=|_top|&gt;NLT&lt;/a&gt;</v>
      </c>
      <c r="O459" t="str">
        <f t="shared" si="1832"/>
        <v>&lt;/li&gt;&lt;li&gt;&lt;a href=|http://nasb.scripturetext.com/job/23.htm| title=|New American Standard Bible| target=|_top|&gt;NAS&lt;/a&gt;</v>
      </c>
      <c r="P459" t="str">
        <f t="shared" si="1832"/>
        <v>&lt;/li&gt;&lt;li&gt;&lt;a href=|http://gwt.scripturetext.com/job/23.htm| title=|God's Word Translation| target=|_top|&gt;GWT&lt;/a&gt;</v>
      </c>
      <c r="Q459" t="str">
        <f t="shared" si="1832"/>
        <v>&lt;/li&gt;&lt;li&gt;&lt;a href=|http://kingjbible.com/job/23.htm| title=|King James Bible| target=|_top|&gt;KJV&lt;/a&gt;</v>
      </c>
      <c r="R459" t="str">
        <f t="shared" si="1832"/>
        <v>&lt;/li&gt;&lt;li&gt;&lt;a href=|http://asvbible.com/job/23.htm| title=|American Standard Version| target=|_top|&gt;ASV&lt;/a&gt;</v>
      </c>
      <c r="S459" t="str">
        <f t="shared" si="1832"/>
        <v>&lt;/li&gt;&lt;li&gt;&lt;a href=|http://drb.scripturetext.com/job/23.htm| title=|Douay-Rheims Bible| target=|_top|&gt;DRB&lt;/a&gt;</v>
      </c>
      <c r="T459" t="str">
        <f t="shared" si="1832"/>
        <v>&lt;/li&gt;&lt;li&gt;&lt;a href=|http://erv.scripturetext.com/job/23.htm| title=|English Revised Version| target=|_top|&gt;ERV&lt;/a&gt;</v>
      </c>
      <c r="V459" t="str">
        <f>CONCATENATE("&lt;/li&gt;&lt;li&gt;&lt;a href=|http://",V1191,"/job/23.htm","| ","title=|",V1190,"| target=|_top|&gt;",V1192,"&lt;/a&gt;")</f>
        <v>&lt;/li&gt;&lt;li&gt;&lt;a href=|http://study.interlinearbible.org/job/23.htm| title=|Hebrew Study Bible| target=|_top|&gt;Heb Study&lt;/a&gt;</v>
      </c>
      <c r="W459" t="str">
        <f t="shared" si="1832"/>
        <v>&lt;/li&gt;&lt;li&gt;&lt;a href=|http://apostolic.interlinearbible.org/job/23.htm| title=|Apostolic Bible Polyglot Interlinear| target=|_top|&gt;Polyglot&lt;/a&gt;</v>
      </c>
      <c r="X459" t="str">
        <f t="shared" si="1832"/>
        <v>&lt;/li&gt;&lt;li&gt;&lt;a href=|http://interlinearbible.org/job/23.htm| title=|Interlinear Bible| target=|_top|&gt;Interlin&lt;/a&gt;</v>
      </c>
      <c r="Y459" t="str">
        <f t="shared" ref="Y459" si="1833">CONCATENATE("&lt;/li&gt;&lt;li&gt;&lt;a href=|http://",Y1191,"/job/23.htm","| ","title=|",Y1190,"| target=|_top|&gt;",Y1192,"&lt;/a&gt;")</f>
        <v>&lt;/li&gt;&lt;li&gt;&lt;a href=|http://bibleoutline.org/job/23.htm| title=|Outline with People and Places List| target=|_top|&gt;Outline&lt;/a&gt;</v>
      </c>
      <c r="Z459" t="str">
        <f t="shared" si="1832"/>
        <v>&lt;/li&gt;&lt;li&gt;&lt;a href=|http://kjvs.scripturetext.com/job/23.htm| title=|King James Bible with Strong's Numbers| target=|_top|&gt;Strong's&lt;/a&gt;</v>
      </c>
      <c r="AA459" t="str">
        <f t="shared" si="1832"/>
        <v>&lt;/li&gt;&lt;li&gt;&lt;a href=|http://childrensbibleonline.com/job/23.htm| title=|The Children's Bible| target=|_top|&gt;Children's&lt;/a&gt;</v>
      </c>
      <c r="AB459" s="2" t="str">
        <f t="shared" si="1832"/>
        <v>&lt;/li&gt;&lt;li&gt;&lt;a href=|http://tsk.scripturetext.com/job/23.htm| title=|Treasury of Scripture Knowledge| target=|_top|&gt;TSK&lt;/a&gt;</v>
      </c>
      <c r="AC459" t="str">
        <f>CONCATENATE("&lt;a href=|http://",AC1191,"/job/23.htm","| ","title=|",AC1190,"| target=|_top|&gt;",AC1192,"&lt;/a&gt;")</f>
        <v>&lt;a href=|http://parallelbible.com/job/23.htm| title=|Parallel Chapters| target=|_top|&gt;PAR&lt;/a&gt;</v>
      </c>
      <c r="AD459" s="2" t="str">
        <f t="shared" ref="AD459:AK459" si="1834">CONCATENATE("&lt;/li&gt;&lt;li&gt;&lt;a href=|http://",AD1191,"/job/23.htm","| ","title=|",AD1190,"| target=|_top|&gt;",AD1192,"&lt;/a&gt;")</f>
        <v>&lt;/li&gt;&lt;li&gt;&lt;a href=|http://gsb.biblecommenter.com/job/23.htm| title=|Geneva Study Bible| target=|_top|&gt;GSB&lt;/a&gt;</v>
      </c>
      <c r="AE459" s="2" t="str">
        <f t="shared" si="1834"/>
        <v>&lt;/li&gt;&lt;li&gt;&lt;a href=|http://jfb.biblecommenter.com/job/23.htm| title=|Jamieson-Fausset-Brown Bible Commentary| target=|_top|&gt;JFB&lt;/a&gt;</v>
      </c>
      <c r="AF459" s="2" t="str">
        <f t="shared" si="1834"/>
        <v>&lt;/li&gt;&lt;li&gt;&lt;a href=|http://kjt.biblecommenter.com/job/23.htm| title=|King James Translators' Notes| target=|_top|&gt;KJT&lt;/a&gt;</v>
      </c>
      <c r="AG459" s="2" t="str">
        <f t="shared" si="1834"/>
        <v>&lt;/li&gt;&lt;li&gt;&lt;a href=|http://mhc.biblecommenter.com/job/23.htm| title=|Matthew Henry's Concise Commentary| target=|_top|&gt;MHC&lt;/a&gt;</v>
      </c>
      <c r="AH459" s="2" t="str">
        <f t="shared" si="1834"/>
        <v>&lt;/li&gt;&lt;li&gt;&lt;a href=|http://sco.biblecommenter.com/job/23.htm| title=|Scofield Reference Notes| target=|_top|&gt;SCO&lt;/a&gt;</v>
      </c>
      <c r="AI459" s="2" t="str">
        <f t="shared" si="1834"/>
        <v>&lt;/li&gt;&lt;li&gt;&lt;a href=|http://wes.biblecommenter.com/job/23.htm| title=|Wesley's Notes on the Bible| target=|_top|&gt;WES&lt;/a&gt;</v>
      </c>
      <c r="AJ459" t="str">
        <f t="shared" si="1834"/>
        <v>&lt;/li&gt;&lt;li&gt;&lt;a href=|http://worldebible.com/job/23.htm| title=|World English Bible| target=|_top|&gt;WEB&lt;/a&gt;</v>
      </c>
      <c r="AK459" t="str">
        <f t="shared" si="1834"/>
        <v>&lt;/li&gt;&lt;li&gt;&lt;a href=|http://yltbible.com/job/23.htm| title=|Young's Literal Translation| target=|_top|&gt;YLT&lt;/a&gt;</v>
      </c>
      <c r="AL459" t="str">
        <f>CONCATENATE("&lt;a href=|http://",AL1191,"/job/23.htm","| ","title=|",AL1190,"| target=|_top|&gt;",AL1192,"&lt;/a&gt;")</f>
        <v>&lt;a href=|http://kjv.us/job/23.htm| title=|American King James Version| target=|_top|&gt;AKJ&lt;/a&gt;</v>
      </c>
      <c r="AM459" t="str">
        <f t="shared" ref="AM459:AN459" si="1835">CONCATENATE("&lt;/li&gt;&lt;li&gt;&lt;a href=|http://",AM1191,"/job/23.htm","| ","title=|",AM1190,"| target=|_top|&gt;",AM1192,"&lt;/a&gt;")</f>
        <v>&lt;/li&gt;&lt;li&gt;&lt;a href=|http://basicenglishbible.com/job/23.htm| title=|Bible in Basic English| target=|_top|&gt;BBE&lt;/a&gt;</v>
      </c>
      <c r="AN459" t="str">
        <f t="shared" si="1835"/>
        <v>&lt;/li&gt;&lt;li&gt;&lt;a href=|http://darbybible.com/job/23.htm| title=|Darby Bible Translation| target=|_top|&gt;DBY&lt;/a&gt;</v>
      </c>
      <c r="AO45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5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5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59" t="str">
        <f>CONCATENATE("&lt;/li&gt;&lt;li&gt;&lt;a href=|http://",AR1191,"/job/23.htm","| ","title=|",AR1190,"| target=|_top|&gt;",AR1192,"&lt;/a&gt;")</f>
        <v>&lt;/li&gt;&lt;li&gt;&lt;a href=|http://websterbible.com/job/23.htm| title=|Webster's Bible Translation| target=|_top|&gt;WBS&lt;/a&gt;</v>
      </c>
      <c r="AS45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59" t="str">
        <f>CONCATENATE("&lt;/li&gt;&lt;li&gt;&lt;a href=|http://",AT1191,"/job/23-1.htm","| ","title=|",AT1190,"| target=|_top|&gt;",AT1192,"&lt;/a&gt;")</f>
        <v>&lt;/li&gt;&lt;li&gt;&lt;a href=|http://biblebrowser.com/job/23-1.htm| title=|Split View| target=|_top|&gt;Split&lt;/a&gt;</v>
      </c>
      <c r="AU459" s="2" t="s">
        <v>1276</v>
      </c>
      <c r="AV459" t="s">
        <v>64</v>
      </c>
    </row>
    <row r="460" spans="1:48">
      <c r="A460" t="s">
        <v>622</v>
      </c>
      <c r="B460" t="s">
        <v>698</v>
      </c>
      <c r="C460" t="s">
        <v>624</v>
      </c>
      <c r="D460" t="s">
        <v>1268</v>
      </c>
      <c r="E460" t="s">
        <v>1277</v>
      </c>
      <c r="F460" t="s">
        <v>1304</v>
      </c>
      <c r="G460" t="s">
        <v>1266</v>
      </c>
      <c r="H460" t="s">
        <v>1305</v>
      </c>
      <c r="I460" t="s">
        <v>1303</v>
      </c>
      <c r="J460" t="s">
        <v>1267</v>
      </c>
      <c r="K460" t="s">
        <v>1275</v>
      </c>
      <c r="L460" s="2" t="s">
        <v>1274</v>
      </c>
      <c r="M460" t="str">
        <f t="shared" ref="M460:AB460" si="1836">CONCATENATE("&lt;/li&gt;&lt;li&gt;&lt;a href=|http://",M1191,"/job/24.htm","| ","title=|",M1190,"| target=|_top|&gt;",M1192,"&lt;/a&gt;")</f>
        <v>&lt;/li&gt;&lt;li&gt;&lt;a href=|http://niv.scripturetext.com/job/24.htm| title=|New International Version| target=|_top|&gt;NIV&lt;/a&gt;</v>
      </c>
      <c r="N460" t="str">
        <f t="shared" si="1836"/>
        <v>&lt;/li&gt;&lt;li&gt;&lt;a href=|http://nlt.scripturetext.com/job/24.htm| title=|New Living Translation| target=|_top|&gt;NLT&lt;/a&gt;</v>
      </c>
      <c r="O460" t="str">
        <f t="shared" si="1836"/>
        <v>&lt;/li&gt;&lt;li&gt;&lt;a href=|http://nasb.scripturetext.com/job/24.htm| title=|New American Standard Bible| target=|_top|&gt;NAS&lt;/a&gt;</v>
      </c>
      <c r="P460" t="str">
        <f t="shared" si="1836"/>
        <v>&lt;/li&gt;&lt;li&gt;&lt;a href=|http://gwt.scripturetext.com/job/24.htm| title=|God's Word Translation| target=|_top|&gt;GWT&lt;/a&gt;</v>
      </c>
      <c r="Q460" t="str">
        <f t="shared" si="1836"/>
        <v>&lt;/li&gt;&lt;li&gt;&lt;a href=|http://kingjbible.com/job/24.htm| title=|King James Bible| target=|_top|&gt;KJV&lt;/a&gt;</v>
      </c>
      <c r="R460" t="str">
        <f t="shared" si="1836"/>
        <v>&lt;/li&gt;&lt;li&gt;&lt;a href=|http://asvbible.com/job/24.htm| title=|American Standard Version| target=|_top|&gt;ASV&lt;/a&gt;</v>
      </c>
      <c r="S460" t="str">
        <f t="shared" si="1836"/>
        <v>&lt;/li&gt;&lt;li&gt;&lt;a href=|http://drb.scripturetext.com/job/24.htm| title=|Douay-Rheims Bible| target=|_top|&gt;DRB&lt;/a&gt;</v>
      </c>
      <c r="T460" t="str">
        <f t="shared" si="1836"/>
        <v>&lt;/li&gt;&lt;li&gt;&lt;a href=|http://erv.scripturetext.com/job/24.htm| title=|English Revised Version| target=|_top|&gt;ERV&lt;/a&gt;</v>
      </c>
      <c r="V460" t="str">
        <f>CONCATENATE("&lt;/li&gt;&lt;li&gt;&lt;a href=|http://",V1191,"/job/24.htm","| ","title=|",V1190,"| target=|_top|&gt;",V1192,"&lt;/a&gt;")</f>
        <v>&lt;/li&gt;&lt;li&gt;&lt;a href=|http://study.interlinearbible.org/job/24.htm| title=|Hebrew Study Bible| target=|_top|&gt;Heb Study&lt;/a&gt;</v>
      </c>
      <c r="W460" t="str">
        <f t="shared" si="1836"/>
        <v>&lt;/li&gt;&lt;li&gt;&lt;a href=|http://apostolic.interlinearbible.org/job/24.htm| title=|Apostolic Bible Polyglot Interlinear| target=|_top|&gt;Polyglot&lt;/a&gt;</v>
      </c>
      <c r="X460" t="str">
        <f t="shared" si="1836"/>
        <v>&lt;/li&gt;&lt;li&gt;&lt;a href=|http://interlinearbible.org/job/24.htm| title=|Interlinear Bible| target=|_top|&gt;Interlin&lt;/a&gt;</v>
      </c>
      <c r="Y460" t="str">
        <f t="shared" ref="Y460" si="1837">CONCATENATE("&lt;/li&gt;&lt;li&gt;&lt;a href=|http://",Y1191,"/job/24.htm","| ","title=|",Y1190,"| target=|_top|&gt;",Y1192,"&lt;/a&gt;")</f>
        <v>&lt;/li&gt;&lt;li&gt;&lt;a href=|http://bibleoutline.org/job/24.htm| title=|Outline with People and Places List| target=|_top|&gt;Outline&lt;/a&gt;</v>
      </c>
      <c r="Z460" t="str">
        <f t="shared" si="1836"/>
        <v>&lt;/li&gt;&lt;li&gt;&lt;a href=|http://kjvs.scripturetext.com/job/24.htm| title=|King James Bible with Strong's Numbers| target=|_top|&gt;Strong's&lt;/a&gt;</v>
      </c>
      <c r="AA460" t="str">
        <f t="shared" si="1836"/>
        <v>&lt;/li&gt;&lt;li&gt;&lt;a href=|http://childrensbibleonline.com/job/24.htm| title=|The Children's Bible| target=|_top|&gt;Children's&lt;/a&gt;</v>
      </c>
      <c r="AB460" s="2" t="str">
        <f t="shared" si="1836"/>
        <v>&lt;/li&gt;&lt;li&gt;&lt;a href=|http://tsk.scripturetext.com/job/24.htm| title=|Treasury of Scripture Knowledge| target=|_top|&gt;TSK&lt;/a&gt;</v>
      </c>
      <c r="AC460" t="str">
        <f>CONCATENATE("&lt;a href=|http://",AC1191,"/job/24.htm","| ","title=|",AC1190,"| target=|_top|&gt;",AC1192,"&lt;/a&gt;")</f>
        <v>&lt;a href=|http://parallelbible.com/job/24.htm| title=|Parallel Chapters| target=|_top|&gt;PAR&lt;/a&gt;</v>
      </c>
      <c r="AD460" s="2" t="str">
        <f t="shared" ref="AD460:AK460" si="1838">CONCATENATE("&lt;/li&gt;&lt;li&gt;&lt;a href=|http://",AD1191,"/job/24.htm","| ","title=|",AD1190,"| target=|_top|&gt;",AD1192,"&lt;/a&gt;")</f>
        <v>&lt;/li&gt;&lt;li&gt;&lt;a href=|http://gsb.biblecommenter.com/job/24.htm| title=|Geneva Study Bible| target=|_top|&gt;GSB&lt;/a&gt;</v>
      </c>
      <c r="AE460" s="2" t="str">
        <f t="shared" si="1838"/>
        <v>&lt;/li&gt;&lt;li&gt;&lt;a href=|http://jfb.biblecommenter.com/job/24.htm| title=|Jamieson-Fausset-Brown Bible Commentary| target=|_top|&gt;JFB&lt;/a&gt;</v>
      </c>
      <c r="AF460" s="2" t="str">
        <f t="shared" si="1838"/>
        <v>&lt;/li&gt;&lt;li&gt;&lt;a href=|http://kjt.biblecommenter.com/job/24.htm| title=|King James Translators' Notes| target=|_top|&gt;KJT&lt;/a&gt;</v>
      </c>
      <c r="AG460" s="2" t="str">
        <f t="shared" si="1838"/>
        <v>&lt;/li&gt;&lt;li&gt;&lt;a href=|http://mhc.biblecommenter.com/job/24.htm| title=|Matthew Henry's Concise Commentary| target=|_top|&gt;MHC&lt;/a&gt;</v>
      </c>
      <c r="AH460" s="2" t="str">
        <f t="shared" si="1838"/>
        <v>&lt;/li&gt;&lt;li&gt;&lt;a href=|http://sco.biblecommenter.com/job/24.htm| title=|Scofield Reference Notes| target=|_top|&gt;SCO&lt;/a&gt;</v>
      </c>
      <c r="AI460" s="2" t="str">
        <f t="shared" si="1838"/>
        <v>&lt;/li&gt;&lt;li&gt;&lt;a href=|http://wes.biblecommenter.com/job/24.htm| title=|Wesley's Notes on the Bible| target=|_top|&gt;WES&lt;/a&gt;</v>
      </c>
      <c r="AJ460" t="str">
        <f t="shared" si="1838"/>
        <v>&lt;/li&gt;&lt;li&gt;&lt;a href=|http://worldebible.com/job/24.htm| title=|World English Bible| target=|_top|&gt;WEB&lt;/a&gt;</v>
      </c>
      <c r="AK460" t="str">
        <f t="shared" si="1838"/>
        <v>&lt;/li&gt;&lt;li&gt;&lt;a href=|http://yltbible.com/job/24.htm| title=|Young's Literal Translation| target=|_top|&gt;YLT&lt;/a&gt;</v>
      </c>
      <c r="AL460" t="str">
        <f>CONCATENATE("&lt;a href=|http://",AL1191,"/job/24.htm","| ","title=|",AL1190,"| target=|_top|&gt;",AL1192,"&lt;/a&gt;")</f>
        <v>&lt;a href=|http://kjv.us/job/24.htm| title=|American King James Version| target=|_top|&gt;AKJ&lt;/a&gt;</v>
      </c>
      <c r="AM460" t="str">
        <f t="shared" ref="AM460:AN460" si="1839">CONCATENATE("&lt;/li&gt;&lt;li&gt;&lt;a href=|http://",AM1191,"/job/24.htm","| ","title=|",AM1190,"| target=|_top|&gt;",AM1192,"&lt;/a&gt;")</f>
        <v>&lt;/li&gt;&lt;li&gt;&lt;a href=|http://basicenglishbible.com/job/24.htm| title=|Bible in Basic English| target=|_top|&gt;BBE&lt;/a&gt;</v>
      </c>
      <c r="AN460" t="str">
        <f t="shared" si="1839"/>
        <v>&lt;/li&gt;&lt;li&gt;&lt;a href=|http://darbybible.com/job/24.htm| title=|Darby Bible Translation| target=|_top|&gt;DBY&lt;/a&gt;</v>
      </c>
      <c r="AO46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6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6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60" t="str">
        <f>CONCATENATE("&lt;/li&gt;&lt;li&gt;&lt;a href=|http://",AR1191,"/job/24.htm","| ","title=|",AR1190,"| target=|_top|&gt;",AR1192,"&lt;/a&gt;")</f>
        <v>&lt;/li&gt;&lt;li&gt;&lt;a href=|http://websterbible.com/job/24.htm| title=|Webster's Bible Translation| target=|_top|&gt;WBS&lt;/a&gt;</v>
      </c>
      <c r="AS46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60" t="str">
        <f>CONCATENATE("&lt;/li&gt;&lt;li&gt;&lt;a href=|http://",AT1191,"/job/24-1.htm","| ","title=|",AT1190,"| target=|_top|&gt;",AT1192,"&lt;/a&gt;")</f>
        <v>&lt;/li&gt;&lt;li&gt;&lt;a href=|http://biblebrowser.com/job/24-1.htm| title=|Split View| target=|_top|&gt;Split&lt;/a&gt;</v>
      </c>
      <c r="AU460" s="2" t="s">
        <v>1276</v>
      </c>
      <c r="AV460" t="s">
        <v>64</v>
      </c>
    </row>
    <row r="461" spans="1:48">
      <c r="A461" t="s">
        <v>622</v>
      </c>
      <c r="B461" t="s">
        <v>699</v>
      </c>
      <c r="C461" t="s">
        <v>624</v>
      </c>
      <c r="D461" t="s">
        <v>1268</v>
      </c>
      <c r="E461" t="s">
        <v>1277</v>
      </c>
      <c r="F461" t="s">
        <v>1304</v>
      </c>
      <c r="G461" t="s">
        <v>1266</v>
      </c>
      <c r="H461" t="s">
        <v>1305</v>
      </c>
      <c r="I461" t="s">
        <v>1303</v>
      </c>
      <c r="J461" t="s">
        <v>1267</v>
      </c>
      <c r="K461" t="s">
        <v>1275</v>
      </c>
      <c r="L461" s="2" t="s">
        <v>1274</v>
      </c>
      <c r="M461" t="str">
        <f t="shared" ref="M461:AB461" si="1840">CONCATENATE("&lt;/li&gt;&lt;li&gt;&lt;a href=|http://",M1191,"/job/25.htm","| ","title=|",M1190,"| target=|_top|&gt;",M1192,"&lt;/a&gt;")</f>
        <v>&lt;/li&gt;&lt;li&gt;&lt;a href=|http://niv.scripturetext.com/job/25.htm| title=|New International Version| target=|_top|&gt;NIV&lt;/a&gt;</v>
      </c>
      <c r="N461" t="str">
        <f t="shared" si="1840"/>
        <v>&lt;/li&gt;&lt;li&gt;&lt;a href=|http://nlt.scripturetext.com/job/25.htm| title=|New Living Translation| target=|_top|&gt;NLT&lt;/a&gt;</v>
      </c>
      <c r="O461" t="str">
        <f t="shared" si="1840"/>
        <v>&lt;/li&gt;&lt;li&gt;&lt;a href=|http://nasb.scripturetext.com/job/25.htm| title=|New American Standard Bible| target=|_top|&gt;NAS&lt;/a&gt;</v>
      </c>
      <c r="P461" t="str">
        <f t="shared" si="1840"/>
        <v>&lt;/li&gt;&lt;li&gt;&lt;a href=|http://gwt.scripturetext.com/job/25.htm| title=|God's Word Translation| target=|_top|&gt;GWT&lt;/a&gt;</v>
      </c>
      <c r="Q461" t="str">
        <f t="shared" si="1840"/>
        <v>&lt;/li&gt;&lt;li&gt;&lt;a href=|http://kingjbible.com/job/25.htm| title=|King James Bible| target=|_top|&gt;KJV&lt;/a&gt;</v>
      </c>
      <c r="R461" t="str">
        <f t="shared" si="1840"/>
        <v>&lt;/li&gt;&lt;li&gt;&lt;a href=|http://asvbible.com/job/25.htm| title=|American Standard Version| target=|_top|&gt;ASV&lt;/a&gt;</v>
      </c>
      <c r="S461" t="str">
        <f t="shared" si="1840"/>
        <v>&lt;/li&gt;&lt;li&gt;&lt;a href=|http://drb.scripturetext.com/job/25.htm| title=|Douay-Rheims Bible| target=|_top|&gt;DRB&lt;/a&gt;</v>
      </c>
      <c r="T461" t="str">
        <f t="shared" si="1840"/>
        <v>&lt;/li&gt;&lt;li&gt;&lt;a href=|http://erv.scripturetext.com/job/25.htm| title=|English Revised Version| target=|_top|&gt;ERV&lt;/a&gt;</v>
      </c>
      <c r="V461" t="str">
        <f>CONCATENATE("&lt;/li&gt;&lt;li&gt;&lt;a href=|http://",V1191,"/job/25.htm","| ","title=|",V1190,"| target=|_top|&gt;",V1192,"&lt;/a&gt;")</f>
        <v>&lt;/li&gt;&lt;li&gt;&lt;a href=|http://study.interlinearbible.org/job/25.htm| title=|Hebrew Study Bible| target=|_top|&gt;Heb Study&lt;/a&gt;</v>
      </c>
      <c r="W461" t="str">
        <f t="shared" si="1840"/>
        <v>&lt;/li&gt;&lt;li&gt;&lt;a href=|http://apostolic.interlinearbible.org/job/25.htm| title=|Apostolic Bible Polyglot Interlinear| target=|_top|&gt;Polyglot&lt;/a&gt;</v>
      </c>
      <c r="X461" t="str">
        <f t="shared" si="1840"/>
        <v>&lt;/li&gt;&lt;li&gt;&lt;a href=|http://interlinearbible.org/job/25.htm| title=|Interlinear Bible| target=|_top|&gt;Interlin&lt;/a&gt;</v>
      </c>
      <c r="Y461" t="str">
        <f t="shared" ref="Y461" si="1841">CONCATENATE("&lt;/li&gt;&lt;li&gt;&lt;a href=|http://",Y1191,"/job/25.htm","| ","title=|",Y1190,"| target=|_top|&gt;",Y1192,"&lt;/a&gt;")</f>
        <v>&lt;/li&gt;&lt;li&gt;&lt;a href=|http://bibleoutline.org/job/25.htm| title=|Outline with People and Places List| target=|_top|&gt;Outline&lt;/a&gt;</v>
      </c>
      <c r="Z461" t="str">
        <f t="shared" si="1840"/>
        <v>&lt;/li&gt;&lt;li&gt;&lt;a href=|http://kjvs.scripturetext.com/job/25.htm| title=|King James Bible with Strong's Numbers| target=|_top|&gt;Strong's&lt;/a&gt;</v>
      </c>
      <c r="AA461" t="str">
        <f t="shared" si="1840"/>
        <v>&lt;/li&gt;&lt;li&gt;&lt;a href=|http://childrensbibleonline.com/job/25.htm| title=|The Children's Bible| target=|_top|&gt;Children's&lt;/a&gt;</v>
      </c>
      <c r="AB461" s="2" t="str">
        <f t="shared" si="1840"/>
        <v>&lt;/li&gt;&lt;li&gt;&lt;a href=|http://tsk.scripturetext.com/job/25.htm| title=|Treasury of Scripture Knowledge| target=|_top|&gt;TSK&lt;/a&gt;</v>
      </c>
      <c r="AC461" t="str">
        <f>CONCATENATE("&lt;a href=|http://",AC1191,"/job/25.htm","| ","title=|",AC1190,"| target=|_top|&gt;",AC1192,"&lt;/a&gt;")</f>
        <v>&lt;a href=|http://parallelbible.com/job/25.htm| title=|Parallel Chapters| target=|_top|&gt;PAR&lt;/a&gt;</v>
      </c>
      <c r="AD461" s="2" t="str">
        <f t="shared" ref="AD461:AK461" si="1842">CONCATENATE("&lt;/li&gt;&lt;li&gt;&lt;a href=|http://",AD1191,"/job/25.htm","| ","title=|",AD1190,"| target=|_top|&gt;",AD1192,"&lt;/a&gt;")</f>
        <v>&lt;/li&gt;&lt;li&gt;&lt;a href=|http://gsb.biblecommenter.com/job/25.htm| title=|Geneva Study Bible| target=|_top|&gt;GSB&lt;/a&gt;</v>
      </c>
      <c r="AE461" s="2" t="str">
        <f t="shared" si="1842"/>
        <v>&lt;/li&gt;&lt;li&gt;&lt;a href=|http://jfb.biblecommenter.com/job/25.htm| title=|Jamieson-Fausset-Brown Bible Commentary| target=|_top|&gt;JFB&lt;/a&gt;</v>
      </c>
      <c r="AF461" s="2" t="str">
        <f t="shared" si="1842"/>
        <v>&lt;/li&gt;&lt;li&gt;&lt;a href=|http://kjt.biblecommenter.com/job/25.htm| title=|King James Translators' Notes| target=|_top|&gt;KJT&lt;/a&gt;</v>
      </c>
      <c r="AG461" s="2" t="str">
        <f t="shared" si="1842"/>
        <v>&lt;/li&gt;&lt;li&gt;&lt;a href=|http://mhc.biblecommenter.com/job/25.htm| title=|Matthew Henry's Concise Commentary| target=|_top|&gt;MHC&lt;/a&gt;</v>
      </c>
      <c r="AH461" s="2" t="str">
        <f t="shared" si="1842"/>
        <v>&lt;/li&gt;&lt;li&gt;&lt;a href=|http://sco.biblecommenter.com/job/25.htm| title=|Scofield Reference Notes| target=|_top|&gt;SCO&lt;/a&gt;</v>
      </c>
      <c r="AI461" s="2" t="str">
        <f t="shared" si="1842"/>
        <v>&lt;/li&gt;&lt;li&gt;&lt;a href=|http://wes.biblecommenter.com/job/25.htm| title=|Wesley's Notes on the Bible| target=|_top|&gt;WES&lt;/a&gt;</v>
      </c>
      <c r="AJ461" t="str">
        <f t="shared" si="1842"/>
        <v>&lt;/li&gt;&lt;li&gt;&lt;a href=|http://worldebible.com/job/25.htm| title=|World English Bible| target=|_top|&gt;WEB&lt;/a&gt;</v>
      </c>
      <c r="AK461" t="str">
        <f t="shared" si="1842"/>
        <v>&lt;/li&gt;&lt;li&gt;&lt;a href=|http://yltbible.com/job/25.htm| title=|Young's Literal Translation| target=|_top|&gt;YLT&lt;/a&gt;</v>
      </c>
      <c r="AL461" t="str">
        <f>CONCATENATE("&lt;a href=|http://",AL1191,"/job/25.htm","| ","title=|",AL1190,"| target=|_top|&gt;",AL1192,"&lt;/a&gt;")</f>
        <v>&lt;a href=|http://kjv.us/job/25.htm| title=|American King James Version| target=|_top|&gt;AKJ&lt;/a&gt;</v>
      </c>
      <c r="AM461" t="str">
        <f t="shared" ref="AM461:AN461" si="1843">CONCATENATE("&lt;/li&gt;&lt;li&gt;&lt;a href=|http://",AM1191,"/job/25.htm","| ","title=|",AM1190,"| target=|_top|&gt;",AM1192,"&lt;/a&gt;")</f>
        <v>&lt;/li&gt;&lt;li&gt;&lt;a href=|http://basicenglishbible.com/job/25.htm| title=|Bible in Basic English| target=|_top|&gt;BBE&lt;/a&gt;</v>
      </c>
      <c r="AN461" t="str">
        <f t="shared" si="1843"/>
        <v>&lt;/li&gt;&lt;li&gt;&lt;a href=|http://darbybible.com/job/25.htm| title=|Darby Bible Translation| target=|_top|&gt;DBY&lt;/a&gt;</v>
      </c>
      <c r="AO46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6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6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61" t="str">
        <f>CONCATENATE("&lt;/li&gt;&lt;li&gt;&lt;a href=|http://",AR1191,"/job/25.htm","| ","title=|",AR1190,"| target=|_top|&gt;",AR1192,"&lt;/a&gt;")</f>
        <v>&lt;/li&gt;&lt;li&gt;&lt;a href=|http://websterbible.com/job/25.htm| title=|Webster's Bible Translation| target=|_top|&gt;WBS&lt;/a&gt;</v>
      </c>
      <c r="AS46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61" t="str">
        <f>CONCATENATE("&lt;/li&gt;&lt;li&gt;&lt;a href=|http://",AT1191,"/job/25-1.htm","| ","title=|",AT1190,"| target=|_top|&gt;",AT1192,"&lt;/a&gt;")</f>
        <v>&lt;/li&gt;&lt;li&gt;&lt;a href=|http://biblebrowser.com/job/25-1.htm| title=|Split View| target=|_top|&gt;Split&lt;/a&gt;</v>
      </c>
      <c r="AU461" s="2" t="s">
        <v>1276</v>
      </c>
      <c r="AV461" t="s">
        <v>64</v>
      </c>
    </row>
    <row r="462" spans="1:48">
      <c r="A462" t="s">
        <v>622</v>
      </c>
      <c r="B462" t="s">
        <v>700</v>
      </c>
      <c r="C462" t="s">
        <v>624</v>
      </c>
      <c r="D462" t="s">
        <v>1268</v>
      </c>
      <c r="E462" t="s">
        <v>1277</v>
      </c>
      <c r="F462" t="s">
        <v>1304</v>
      </c>
      <c r="G462" t="s">
        <v>1266</v>
      </c>
      <c r="H462" t="s">
        <v>1305</v>
      </c>
      <c r="I462" t="s">
        <v>1303</v>
      </c>
      <c r="J462" t="s">
        <v>1267</v>
      </c>
      <c r="K462" t="s">
        <v>1275</v>
      </c>
      <c r="L462" s="2" t="s">
        <v>1274</v>
      </c>
      <c r="M462" t="str">
        <f t="shared" ref="M462:AB462" si="1844">CONCATENATE("&lt;/li&gt;&lt;li&gt;&lt;a href=|http://",M1191,"/job/26.htm","| ","title=|",M1190,"| target=|_top|&gt;",M1192,"&lt;/a&gt;")</f>
        <v>&lt;/li&gt;&lt;li&gt;&lt;a href=|http://niv.scripturetext.com/job/26.htm| title=|New International Version| target=|_top|&gt;NIV&lt;/a&gt;</v>
      </c>
      <c r="N462" t="str">
        <f t="shared" si="1844"/>
        <v>&lt;/li&gt;&lt;li&gt;&lt;a href=|http://nlt.scripturetext.com/job/26.htm| title=|New Living Translation| target=|_top|&gt;NLT&lt;/a&gt;</v>
      </c>
      <c r="O462" t="str">
        <f t="shared" si="1844"/>
        <v>&lt;/li&gt;&lt;li&gt;&lt;a href=|http://nasb.scripturetext.com/job/26.htm| title=|New American Standard Bible| target=|_top|&gt;NAS&lt;/a&gt;</v>
      </c>
      <c r="P462" t="str">
        <f t="shared" si="1844"/>
        <v>&lt;/li&gt;&lt;li&gt;&lt;a href=|http://gwt.scripturetext.com/job/26.htm| title=|God's Word Translation| target=|_top|&gt;GWT&lt;/a&gt;</v>
      </c>
      <c r="Q462" t="str">
        <f t="shared" si="1844"/>
        <v>&lt;/li&gt;&lt;li&gt;&lt;a href=|http://kingjbible.com/job/26.htm| title=|King James Bible| target=|_top|&gt;KJV&lt;/a&gt;</v>
      </c>
      <c r="R462" t="str">
        <f t="shared" si="1844"/>
        <v>&lt;/li&gt;&lt;li&gt;&lt;a href=|http://asvbible.com/job/26.htm| title=|American Standard Version| target=|_top|&gt;ASV&lt;/a&gt;</v>
      </c>
      <c r="S462" t="str">
        <f t="shared" si="1844"/>
        <v>&lt;/li&gt;&lt;li&gt;&lt;a href=|http://drb.scripturetext.com/job/26.htm| title=|Douay-Rheims Bible| target=|_top|&gt;DRB&lt;/a&gt;</v>
      </c>
      <c r="T462" t="str">
        <f t="shared" si="1844"/>
        <v>&lt;/li&gt;&lt;li&gt;&lt;a href=|http://erv.scripturetext.com/job/26.htm| title=|English Revised Version| target=|_top|&gt;ERV&lt;/a&gt;</v>
      </c>
      <c r="V462" t="str">
        <f>CONCATENATE("&lt;/li&gt;&lt;li&gt;&lt;a href=|http://",V1191,"/job/26.htm","| ","title=|",V1190,"| target=|_top|&gt;",V1192,"&lt;/a&gt;")</f>
        <v>&lt;/li&gt;&lt;li&gt;&lt;a href=|http://study.interlinearbible.org/job/26.htm| title=|Hebrew Study Bible| target=|_top|&gt;Heb Study&lt;/a&gt;</v>
      </c>
      <c r="W462" t="str">
        <f t="shared" si="1844"/>
        <v>&lt;/li&gt;&lt;li&gt;&lt;a href=|http://apostolic.interlinearbible.org/job/26.htm| title=|Apostolic Bible Polyglot Interlinear| target=|_top|&gt;Polyglot&lt;/a&gt;</v>
      </c>
      <c r="X462" t="str">
        <f t="shared" si="1844"/>
        <v>&lt;/li&gt;&lt;li&gt;&lt;a href=|http://interlinearbible.org/job/26.htm| title=|Interlinear Bible| target=|_top|&gt;Interlin&lt;/a&gt;</v>
      </c>
      <c r="Y462" t="str">
        <f t="shared" ref="Y462" si="1845">CONCATENATE("&lt;/li&gt;&lt;li&gt;&lt;a href=|http://",Y1191,"/job/26.htm","| ","title=|",Y1190,"| target=|_top|&gt;",Y1192,"&lt;/a&gt;")</f>
        <v>&lt;/li&gt;&lt;li&gt;&lt;a href=|http://bibleoutline.org/job/26.htm| title=|Outline with People and Places List| target=|_top|&gt;Outline&lt;/a&gt;</v>
      </c>
      <c r="Z462" t="str">
        <f t="shared" si="1844"/>
        <v>&lt;/li&gt;&lt;li&gt;&lt;a href=|http://kjvs.scripturetext.com/job/26.htm| title=|King James Bible with Strong's Numbers| target=|_top|&gt;Strong's&lt;/a&gt;</v>
      </c>
      <c r="AA462" t="str">
        <f t="shared" si="1844"/>
        <v>&lt;/li&gt;&lt;li&gt;&lt;a href=|http://childrensbibleonline.com/job/26.htm| title=|The Children's Bible| target=|_top|&gt;Children's&lt;/a&gt;</v>
      </c>
      <c r="AB462" s="2" t="str">
        <f t="shared" si="1844"/>
        <v>&lt;/li&gt;&lt;li&gt;&lt;a href=|http://tsk.scripturetext.com/job/26.htm| title=|Treasury of Scripture Knowledge| target=|_top|&gt;TSK&lt;/a&gt;</v>
      </c>
      <c r="AC462" t="str">
        <f>CONCATENATE("&lt;a href=|http://",AC1191,"/job/26.htm","| ","title=|",AC1190,"| target=|_top|&gt;",AC1192,"&lt;/a&gt;")</f>
        <v>&lt;a href=|http://parallelbible.com/job/26.htm| title=|Parallel Chapters| target=|_top|&gt;PAR&lt;/a&gt;</v>
      </c>
      <c r="AD462" s="2" t="str">
        <f t="shared" ref="AD462:AK462" si="1846">CONCATENATE("&lt;/li&gt;&lt;li&gt;&lt;a href=|http://",AD1191,"/job/26.htm","| ","title=|",AD1190,"| target=|_top|&gt;",AD1192,"&lt;/a&gt;")</f>
        <v>&lt;/li&gt;&lt;li&gt;&lt;a href=|http://gsb.biblecommenter.com/job/26.htm| title=|Geneva Study Bible| target=|_top|&gt;GSB&lt;/a&gt;</v>
      </c>
      <c r="AE462" s="2" t="str">
        <f t="shared" si="1846"/>
        <v>&lt;/li&gt;&lt;li&gt;&lt;a href=|http://jfb.biblecommenter.com/job/26.htm| title=|Jamieson-Fausset-Brown Bible Commentary| target=|_top|&gt;JFB&lt;/a&gt;</v>
      </c>
      <c r="AF462" s="2" t="str">
        <f t="shared" si="1846"/>
        <v>&lt;/li&gt;&lt;li&gt;&lt;a href=|http://kjt.biblecommenter.com/job/26.htm| title=|King James Translators' Notes| target=|_top|&gt;KJT&lt;/a&gt;</v>
      </c>
      <c r="AG462" s="2" t="str">
        <f t="shared" si="1846"/>
        <v>&lt;/li&gt;&lt;li&gt;&lt;a href=|http://mhc.biblecommenter.com/job/26.htm| title=|Matthew Henry's Concise Commentary| target=|_top|&gt;MHC&lt;/a&gt;</v>
      </c>
      <c r="AH462" s="2" t="str">
        <f t="shared" si="1846"/>
        <v>&lt;/li&gt;&lt;li&gt;&lt;a href=|http://sco.biblecommenter.com/job/26.htm| title=|Scofield Reference Notes| target=|_top|&gt;SCO&lt;/a&gt;</v>
      </c>
      <c r="AI462" s="2" t="str">
        <f t="shared" si="1846"/>
        <v>&lt;/li&gt;&lt;li&gt;&lt;a href=|http://wes.biblecommenter.com/job/26.htm| title=|Wesley's Notes on the Bible| target=|_top|&gt;WES&lt;/a&gt;</v>
      </c>
      <c r="AJ462" t="str">
        <f t="shared" si="1846"/>
        <v>&lt;/li&gt;&lt;li&gt;&lt;a href=|http://worldebible.com/job/26.htm| title=|World English Bible| target=|_top|&gt;WEB&lt;/a&gt;</v>
      </c>
      <c r="AK462" t="str">
        <f t="shared" si="1846"/>
        <v>&lt;/li&gt;&lt;li&gt;&lt;a href=|http://yltbible.com/job/26.htm| title=|Young's Literal Translation| target=|_top|&gt;YLT&lt;/a&gt;</v>
      </c>
      <c r="AL462" t="str">
        <f>CONCATENATE("&lt;a href=|http://",AL1191,"/job/26.htm","| ","title=|",AL1190,"| target=|_top|&gt;",AL1192,"&lt;/a&gt;")</f>
        <v>&lt;a href=|http://kjv.us/job/26.htm| title=|American King James Version| target=|_top|&gt;AKJ&lt;/a&gt;</v>
      </c>
      <c r="AM462" t="str">
        <f t="shared" ref="AM462:AN462" si="1847">CONCATENATE("&lt;/li&gt;&lt;li&gt;&lt;a href=|http://",AM1191,"/job/26.htm","| ","title=|",AM1190,"| target=|_top|&gt;",AM1192,"&lt;/a&gt;")</f>
        <v>&lt;/li&gt;&lt;li&gt;&lt;a href=|http://basicenglishbible.com/job/26.htm| title=|Bible in Basic English| target=|_top|&gt;BBE&lt;/a&gt;</v>
      </c>
      <c r="AN462" t="str">
        <f t="shared" si="1847"/>
        <v>&lt;/li&gt;&lt;li&gt;&lt;a href=|http://darbybible.com/job/26.htm| title=|Darby Bible Translation| target=|_top|&gt;DBY&lt;/a&gt;</v>
      </c>
      <c r="AO46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6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6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62" t="str">
        <f>CONCATENATE("&lt;/li&gt;&lt;li&gt;&lt;a href=|http://",AR1191,"/job/26.htm","| ","title=|",AR1190,"| target=|_top|&gt;",AR1192,"&lt;/a&gt;")</f>
        <v>&lt;/li&gt;&lt;li&gt;&lt;a href=|http://websterbible.com/job/26.htm| title=|Webster's Bible Translation| target=|_top|&gt;WBS&lt;/a&gt;</v>
      </c>
      <c r="AS46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62" t="str">
        <f>CONCATENATE("&lt;/li&gt;&lt;li&gt;&lt;a href=|http://",AT1191,"/job/26-1.htm","| ","title=|",AT1190,"| target=|_top|&gt;",AT1192,"&lt;/a&gt;")</f>
        <v>&lt;/li&gt;&lt;li&gt;&lt;a href=|http://biblebrowser.com/job/26-1.htm| title=|Split View| target=|_top|&gt;Split&lt;/a&gt;</v>
      </c>
      <c r="AU462" s="2" t="s">
        <v>1276</v>
      </c>
      <c r="AV462" t="s">
        <v>64</v>
      </c>
    </row>
    <row r="463" spans="1:48">
      <c r="A463" t="s">
        <v>622</v>
      </c>
      <c r="B463" t="s">
        <v>701</v>
      </c>
      <c r="C463" t="s">
        <v>624</v>
      </c>
      <c r="D463" t="s">
        <v>1268</v>
      </c>
      <c r="E463" t="s">
        <v>1277</v>
      </c>
      <c r="F463" t="s">
        <v>1304</v>
      </c>
      <c r="G463" t="s">
        <v>1266</v>
      </c>
      <c r="H463" t="s">
        <v>1305</v>
      </c>
      <c r="I463" t="s">
        <v>1303</v>
      </c>
      <c r="J463" t="s">
        <v>1267</v>
      </c>
      <c r="K463" t="s">
        <v>1275</v>
      </c>
      <c r="L463" s="2" t="s">
        <v>1274</v>
      </c>
      <c r="M463" t="str">
        <f t="shared" ref="M463:AB463" si="1848">CONCATENATE("&lt;/li&gt;&lt;li&gt;&lt;a href=|http://",M1191,"/job/27.htm","| ","title=|",M1190,"| target=|_top|&gt;",M1192,"&lt;/a&gt;")</f>
        <v>&lt;/li&gt;&lt;li&gt;&lt;a href=|http://niv.scripturetext.com/job/27.htm| title=|New International Version| target=|_top|&gt;NIV&lt;/a&gt;</v>
      </c>
      <c r="N463" t="str">
        <f t="shared" si="1848"/>
        <v>&lt;/li&gt;&lt;li&gt;&lt;a href=|http://nlt.scripturetext.com/job/27.htm| title=|New Living Translation| target=|_top|&gt;NLT&lt;/a&gt;</v>
      </c>
      <c r="O463" t="str">
        <f t="shared" si="1848"/>
        <v>&lt;/li&gt;&lt;li&gt;&lt;a href=|http://nasb.scripturetext.com/job/27.htm| title=|New American Standard Bible| target=|_top|&gt;NAS&lt;/a&gt;</v>
      </c>
      <c r="P463" t="str">
        <f t="shared" si="1848"/>
        <v>&lt;/li&gt;&lt;li&gt;&lt;a href=|http://gwt.scripturetext.com/job/27.htm| title=|God's Word Translation| target=|_top|&gt;GWT&lt;/a&gt;</v>
      </c>
      <c r="Q463" t="str">
        <f t="shared" si="1848"/>
        <v>&lt;/li&gt;&lt;li&gt;&lt;a href=|http://kingjbible.com/job/27.htm| title=|King James Bible| target=|_top|&gt;KJV&lt;/a&gt;</v>
      </c>
      <c r="R463" t="str">
        <f t="shared" si="1848"/>
        <v>&lt;/li&gt;&lt;li&gt;&lt;a href=|http://asvbible.com/job/27.htm| title=|American Standard Version| target=|_top|&gt;ASV&lt;/a&gt;</v>
      </c>
      <c r="S463" t="str">
        <f t="shared" si="1848"/>
        <v>&lt;/li&gt;&lt;li&gt;&lt;a href=|http://drb.scripturetext.com/job/27.htm| title=|Douay-Rheims Bible| target=|_top|&gt;DRB&lt;/a&gt;</v>
      </c>
      <c r="T463" t="str">
        <f t="shared" si="1848"/>
        <v>&lt;/li&gt;&lt;li&gt;&lt;a href=|http://erv.scripturetext.com/job/27.htm| title=|English Revised Version| target=|_top|&gt;ERV&lt;/a&gt;</v>
      </c>
      <c r="V463" t="str">
        <f>CONCATENATE("&lt;/li&gt;&lt;li&gt;&lt;a href=|http://",V1191,"/job/27.htm","| ","title=|",V1190,"| target=|_top|&gt;",V1192,"&lt;/a&gt;")</f>
        <v>&lt;/li&gt;&lt;li&gt;&lt;a href=|http://study.interlinearbible.org/job/27.htm| title=|Hebrew Study Bible| target=|_top|&gt;Heb Study&lt;/a&gt;</v>
      </c>
      <c r="W463" t="str">
        <f t="shared" si="1848"/>
        <v>&lt;/li&gt;&lt;li&gt;&lt;a href=|http://apostolic.interlinearbible.org/job/27.htm| title=|Apostolic Bible Polyglot Interlinear| target=|_top|&gt;Polyglot&lt;/a&gt;</v>
      </c>
      <c r="X463" t="str">
        <f t="shared" si="1848"/>
        <v>&lt;/li&gt;&lt;li&gt;&lt;a href=|http://interlinearbible.org/job/27.htm| title=|Interlinear Bible| target=|_top|&gt;Interlin&lt;/a&gt;</v>
      </c>
      <c r="Y463" t="str">
        <f t="shared" ref="Y463" si="1849">CONCATENATE("&lt;/li&gt;&lt;li&gt;&lt;a href=|http://",Y1191,"/job/27.htm","| ","title=|",Y1190,"| target=|_top|&gt;",Y1192,"&lt;/a&gt;")</f>
        <v>&lt;/li&gt;&lt;li&gt;&lt;a href=|http://bibleoutline.org/job/27.htm| title=|Outline with People and Places List| target=|_top|&gt;Outline&lt;/a&gt;</v>
      </c>
      <c r="Z463" t="str">
        <f t="shared" si="1848"/>
        <v>&lt;/li&gt;&lt;li&gt;&lt;a href=|http://kjvs.scripturetext.com/job/27.htm| title=|King James Bible with Strong's Numbers| target=|_top|&gt;Strong's&lt;/a&gt;</v>
      </c>
      <c r="AA463" t="str">
        <f t="shared" si="1848"/>
        <v>&lt;/li&gt;&lt;li&gt;&lt;a href=|http://childrensbibleonline.com/job/27.htm| title=|The Children's Bible| target=|_top|&gt;Children's&lt;/a&gt;</v>
      </c>
      <c r="AB463" s="2" t="str">
        <f t="shared" si="1848"/>
        <v>&lt;/li&gt;&lt;li&gt;&lt;a href=|http://tsk.scripturetext.com/job/27.htm| title=|Treasury of Scripture Knowledge| target=|_top|&gt;TSK&lt;/a&gt;</v>
      </c>
      <c r="AC463" t="str">
        <f>CONCATENATE("&lt;a href=|http://",AC1191,"/job/27.htm","| ","title=|",AC1190,"| target=|_top|&gt;",AC1192,"&lt;/a&gt;")</f>
        <v>&lt;a href=|http://parallelbible.com/job/27.htm| title=|Parallel Chapters| target=|_top|&gt;PAR&lt;/a&gt;</v>
      </c>
      <c r="AD463" s="2" t="str">
        <f t="shared" ref="AD463:AK463" si="1850">CONCATENATE("&lt;/li&gt;&lt;li&gt;&lt;a href=|http://",AD1191,"/job/27.htm","| ","title=|",AD1190,"| target=|_top|&gt;",AD1192,"&lt;/a&gt;")</f>
        <v>&lt;/li&gt;&lt;li&gt;&lt;a href=|http://gsb.biblecommenter.com/job/27.htm| title=|Geneva Study Bible| target=|_top|&gt;GSB&lt;/a&gt;</v>
      </c>
      <c r="AE463" s="2" t="str">
        <f t="shared" si="1850"/>
        <v>&lt;/li&gt;&lt;li&gt;&lt;a href=|http://jfb.biblecommenter.com/job/27.htm| title=|Jamieson-Fausset-Brown Bible Commentary| target=|_top|&gt;JFB&lt;/a&gt;</v>
      </c>
      <c r="AF463" s="2" t="str">
        <f t="shared" si="1850"/>
        <v>&lt;/li&gt;&lt;li&gt;&lt;a href=|http://kjt.biblecommenter.com/job/27.htm| title=|King James Translators' Notes| target=|_top|&gt;KJT&lt;/a&gt;</v>
      </c>
      <c r="AG463" s="2" t="str">
        <f t="shared" si="1850"/>
        <v>&lt;/li&gt;&lt;li&gt;&lt;a href=|http://mhc.biblecommenter.com/job/27.htm| title=|Matthew Henry's Concise Commentary| target=|_top|&gt;MHC&lt;/a&gt;</v>
      </c>
      <c r="AH463" s="2" t="str">
        <f t="shared" si="1850"/>
        <v>&lt;/li&gt;&lt;li&gt;&lt;a href=|http://sco.biblecommenter.com/job/27.htm| title=|Scofield Reference Notes| target=|_top|&gt;SCO&lt;/a&gt;</v>
      </c>
      <c r="AI463" s="2" t="str">
        <f t="shared" si="1850"/>
        <v>&lt;/li&gt;&lt;li&gt;&lt;a href=|http://wes.biblecommenter.com/job/27.htm| title=|Wesley's Notes on the Bible| target=|_top|&gt;WES&lt;/a&gt;</v>
      </c>
      <c r="AJ463" t="str">
        <f t="shared" si="1850"/>
        <v>&lt;/li&gt;&lt;li&gt;&lt;a href=|http://worldebible.com/job/27.htm| title=|World English Bible| target=|_top|&gt;WEB&lt;/a&gt;</v>
      </c>
      <c r="AK463" t="str">
        <f t="shared" si="1850"/>
        <v>&lt;/li&gt;&lt;li&gt;&lt;a href=|http://yltbible.com/job/27.htm| title=|Young's Literal Translation| target=|_top|&gt;YLT&lt;/a&gt;</v>
      </c>
      <c r="AL463" t="str">
        <f>CONCATENATE("&lt;a href=|http://",AL1191,"/job/27.htm","| ","title=|",AL1190,"| target=|_top|&gt;",AL1192,"&lt;/a&gt;")</f>
        <v>&lt;a href=|http://kjv.us/job/27.htm| title=|American King James Version| target=|_top|&gt;AKJ&lt;/a&gt;</v>
      </c>
      <c r="AM463" t="str">
        <f t="shared" ref="AM463:AN463" si="1851">CONCATENATE("&lt;/li&gt;&lt;li&gt;&lt;a href=|http://",AM1191,"/job/27.htm","| ","title=|",AM1190,"| target=|_top|&gt;",AM1192,"&lt;/a&gt;")</f>
        <v>&lt;/li&gt;&lt;li&gt;&lt;a href=|http://basicenglishbible.com/job/27.htm| title=|Bible in Basic English| target=|_top|&gt;BBE&lt;/a&gt;</v>
      </c>
      <c r="AN463" t="str">
        <f t="shared" si="1851"/>
        <v>&lt;/li&gt;&lt;li&gt;&lt;a href=|http://darbybible.com/job/27.htm| title=|Darby Bible Translation| target=|_top|&gt;DBY&lt;/a&gt;</v>
      </c>
      <c r="AO46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6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6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63" t="str">
        <f>CONCATENATE("&lt;/li&gt;&lt;li&gt;&lt;a href=|http://",AR1191,"/job/27.htm","| ","title=|",AR1190,"| target=|_top|&gt;",AR1192,"&lt;/a&gt;")</f>
        <v>&lt;/li&gt;&lt;li&gt;&lt;a href=|http://websterbible.com/job/27.htm| title=|Webster's Bible Translation| target=|_top|&gt;WBS&lt;/a&gt;</v>
      </c>
      <c r="AS46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63" t="str">
        <f>CONCATENATE("&lt;/li&gt;&lt;li&gt;&lt;a href=|http://",AT1191,"/job/27-1.htm","| ","title=|",AT1190,"| target=|_top|&gt;",AT1192,"&lt;/a&gt;")</f>
        <v>&lt;/li&gt;&lt;li&gt;&lt;a href=|http://biblebrowser.com/job/27-1.htm| title=|Split View| target=|_top|&gt;Split&lt;/a&gt;</v>
      </c>
      <c r="AU463" s="2" t="s">
        <v>1276</v>
      </c>
      <c r="AV463" t="s">
        <v>64</v>
      </c>
    </row>
    <row r="464" spans="1:48">
      <c r="A464" t="s">
        <v>622</v>
      </c>
      <c r="B464" t="s">
        <v>702</v>
      </c>
      <c r="C464" t="s">
        <v>624</v>
      </c>
      <c r="D464" t="s">
        <v>1268</v>
      </c>
      <c r="E464" t="s">
        <v>1277</v>
      </c>
      <c r="F464" t="s">
        <v>1304</v>
      </c>
      <c r="G464" t="s">
        <v>1266</v>
      </c>
      <c r="H464" t="s">
        <v>1305</v>
      </c>
      <c r="I464" t="s">
        <v>1303</v>
      </c>
      <c r="J464" t="s">
        <v>1267</v>
      </c>
      <c r="K464" t="s">
        <v>1275</v>
      </c>
      <c r="L464" s="2" t="s">
        <v>1274</v>
      </c>
      <c r="M464" t="str">
        <f t="shared" ref="M464:AB464" si="1852">CONCATENATE("&lt;/li&gt;&lt;li&gt;&lt;a href=|http://",M1191,"/job/28.htm","| ","title=|",M1190,"| target=|_top|&gt;",M1192,"&lt;/a&gt;")</f>
        <v>&lt;/li&gt;&lt;li&gt;&lt;a href=|http://niv.scripturetext.com/job/28.htm| title=|New International Version| target=|_top|&gt;NIV&lt;/a&gt;</v>
      </c>
      <c r="N464" t="str">
        <f t="shared" si="1852"/>
        <v>&lt;/li&gt;&lt;li&gt;&lt;a href=|http://nlt.scripturetext.com/job/28.htm| title=|New Living Translation| target=|_top|&gt;NLT&lt;/a&gt;</v>
      </c>
      <c r="O464" t="str">
        <f t="shared" si="1852"/>
        <v>&lt;/li&gt;&lt;li&gt;&lt;a href=|http://nasb.scripturetext.com/job/28.htm| title=|New American Standard Bible| target=|_top|&gt;NAS&lt;/a&gt;</v>
      </c>
      <c r="P464" t="str">
        <f t="shared" si="1852"/>
        <v>&lt;/li&gt;&lt;li&gt;&lt;a href=|http://gwt.scripturetext.com/job/28.htm| title=|God's Word Translation| target=|_top|&gt;GWT&lt;/a&gt;</v>
      </c>
      <c r="Q464" t="str">
        <f t="shared" si="1852"/>
        <v>&lt;/li&gt;&lt;li&gt;&lt;a href=|http://kingjbible.com/job/28.htm| title=|King James Bible| target=|_top|&gt;KJV&lt;/a&gt;</v>
      </c>
      <c r="R464" t="str">
        <f t="shared" si="1852"/>
        <v>&lt;/li&gt;&lt;li&gt;&lt;a href=|http://asvbible.com/job/28.htm| title=|American Standard Version| target=|_top|&gt;ASV&lt;/a&gt;</v>
      </c>
      <c r="S464" t="str">
        <f t="shared" si="1852"/>
        <v>&lt;/li&gt;&lt;li&gt;&lt;a href=|http://drb.scripturetext.com/job/28.htm| title=|Douay-Rheims Bible| target=|_top|&gt;DRB&lt;/a&gt;</v>
      </c>
      <c r="T464" t="str">
        <f t="shared" si="1852"/>
        <v>&lt;/li&gt;&lt;li&gt;&lt;a href=|http://erv.scripturetext.com/job/28.htm| title=|English Revised Version| target=|_top|&gt;ERV&lt;/a&gt;</v>
      </c>
      <c r="V464" t="str">
        <f>CONCATENATE("&lt;/li&gt;&lt;li&gt;&lt;a href=|http://",V1191,"/job/28.htm","| ","title=|",V1190,"| target=|_top|&gt;",V1192,"&lt;/a&gt;")</f>
        <v>&lt;/li&gt;&lt;li&gt;&lt;a href=|http://study.interlinearbible.org/job/28.htm| title=|Hebrew Study Bible| target=|_top|&gt;Heb Study&lt;/a&gt;</v>
      </c>
      <c r="W464" t="str">
        <f t="shared" si="1852"/>
        <v>&lt;/li&gt;&lt;li&gt;&lt;a href=|http://apostolic.interlinearbible.org/job/28.htm| title=|Apostolic Bible Polyglot Interlinear| target=|_top|&gt;Polyglot&lt;/a&gt;</v>
      </c>
      <c r="X464" t="str">
        <f t="shared" si="1852"/>
        <v>&lt;/li&gt;&lt;li&gt;&lt;a href=|http://interlinearbible.org/job/28.htm| title=|Interlinear Bible| target=|_top|&gt;Interlin&lt;/a&gt;</v>
      </c>
      <c r="Y464" t="str">
        <f t="shared" ref="Y464" si="1853">CONCATENATE("&lt;/li&gt;&lt;li&gt;&lt;a href=|http://",Y1191,"/job/28.htm","| ","title=|",Y1190,"| target=|_top|&gt;",Y1192,"&lt;/a&gt;")</f>
        <v>&lt;/li&gt;&lt;li&gt;&lt;a href=|http://bibleoutline.org/job/28.htm| title=|Outline with People and Places List| target=|_top|&gt;Outline&lt;/a&gt;</v>
      </c>
      <c r="Z464" t="str">
        <f t="shared" si="1852"/>
        <v>&lt;/li&gt;&lt;li&gt;&lt;a href=|http://kjvs.scripturetext.com/job/28.htm| title=|King James Bible with Strong's Numbers| target=|_top|&gt;Strong's&lt;/a&gt;</v>
      </c>
      <c r="AA464" t="str">
        <f t="shared" si="1852"/>
        <v>&lt;/li&gt;&lt;li&gt;&lt;a href=|http://childrensbibleonline.com/job/28.htm| title=|The Children's Bible| target=|_top|&gt;Children's&lt;/a&gt;</v>
      </c>
      <c r="AB464" s="2" t="str">
        <f t="shared" si="1852"/>
        <v>&lt;/li&gt;&lt;li&gt;&lt;a href=|http://tsk.scripturetext.com/job/28.htm| title=|Treasury of Scripture Knowledge| target=|_top|&gt;TSK&lt;/a&gt;</v>
      </c>
      <c r="AC464" t="str">
        <f>CONCATENATE("&lt;a href=|http://",AC1191,"/job/28.htm","| ","title=|",AC1190,"| target=|_top|&gt;",AC1192,"&lt;/a&gt;")</f>
        <v>&lt;a href=|http://parallelbible.com/job/28.htm| title=|Parallel Chapters| target=|_top|&gt;PAR&lt;/a&gt;</v>
      </c>
      <c r="AD464" s="2" t="str">
        <f t="shared" ref="AD464:AK464" si="1854">CONCATENATE("&lt;/li&gt;&lt;li&gt;&lt;a href=|http://",AD1191,"/job/28.htm","| ","title=|",AD1190,"| target=|_top|&gt;",AD1192,"&lt;/a&gt;")</f>
        <v>&lt;/li&gt;&lt;li&gt;&lt;a href=|http://gsb.biblecommenter.com/job/28.htm| title=|Geneva Study Bible| target=|_top|&gt;GSB&lt;/a&gt;</v>
      </c>
      <c r="AE464" s="2" t="str">
        <f t="shared" si="1854"/>
        <v>&lt;/li&gt;&lt;li&gt;&lt;a href=|http://jfb.biblecommenter.com/job/28.htm| title=|Jamieson-Fausset-Brown Bible Commentary| target=|_top|&gt;JFB&lt;/a&gt;</v>
      </c>
      <c r="AF464" s="2" t="str">
        <f t="shared" si="1854"/>
        <v>&lt;/li&gt;&lt;li&gt;&lt;a href=|http://kjt.biblecommenter.com/job/28.htm| title=|King James Translators' Notes| target=|_top|&gt;KJT&lt;/a&gt;</v>
      </c>
      <c r="AG464" s="2" t="str">
        <f t="shared" si="1854"/>
        <v>&lt;/li&gt;&lt;li&gt;&lt;a href=|http://mhc.biblecommenter.com/job/28.htm| title=|Matthew Henry's Concise Commentary| target=|_top|&gt;MHC&lt;/a&gt;</v>
      </c>
      <c r="AH464" s="2" t="str">
        <f t="shared" si="1854"/>
        <v>&lt;/li&gt;&lt;li&gt;&lt;a href=|http://sco.biblecommenter.com/job/28.htm| title=|Scofield Reference Notes| target=|_top|&gt;SCO&lt;/a&gt;</v>
      </c>
      <c r="AI464" s="2" t="str">
        <f t="shared" si="1854"/>
        <v>&lt;/li&gt;&lt;li&gt;&lt;a href=|http://wes.biblecommenter.com/job/28.htm| title=|Wesley's Notes on the Bible| target=|_top|&gt;WES&lt;/a&gt;</v>
      </c>
      <c r="AJ464" t="str">
        <f t="shared" si="1854"/>
        <v>&lt;/li&gt;&lt;li&gt;&lt;a href=|http://worldebible.com/job/28.htm| title=|World English Bible| target=|_top|&gt;WEB&lt;/a&gt;</v>
      </c>
      <c r="AK464" t="str">
        <f t="shared" si="1854"/>
        <v>&lt;/li&gt;&lt;li&gt;&lt;a href=|http://yltbible.com/job/28.htm| title=|Young's Literal Translation| target=|_top|&gt;YLT&lt;/a&gt;</v>
      </c>
      <c r="AL464" t="str">
        <f>CONCATENATE("&lt;a href=|http://",AL1191,"/job/28.htm","| ","title=|",AL1190,"| target=|_top|&gt;",AL1192,"&lt;/a&gt;")</f>
        <v>&lt;a href=|http://kjv.us/job/28.htm| title=|American King James Version| target=|_top|&gt;AKJ&lt;/a&gt;</v>
      </c>
      <c r="AM464" t="str">
        <f t="shared" ref="AM464:AN464" si="1855">CONCATENATE("&lt;/li&gt;&lt;li&gt;&lt;a href=|http://",AM1191,"/job/28.htm","| ","title=|",AM1190,"| target=|_top|&gt;",AM1192,"&lt;/a&gt;")</f>
        <v>&lt;/li&gt;&lt;li&gt;&lt;a href=|http://basicenglishbible.com/job/28.htm| title=|Bible in Basic English| target=|_top|&gt;BBE&lt;/a&gt;</v>
      </c>
      <c r="AN464" t="str">
        <f t="shared" si="1855"/>
        <v>&lt;/li&gt;&lt;li&gt;&lt;a href=|http://darbybible.com/job/28.htm| title=|Darby Bible Translation| target=|_top|&gt;DBY&lt;/a&gt;</v>
      </c>
      <c r="AO46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6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6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64" t="str">
        <f>CONCATENATE("&lt;/li&gt;&lt;li&gt;&lt;a href=|http://",AR1191,"/job/28.htm","| ","title=|",AR1190,"| target=|_top|&gt;",AR1192,"&lt;/a&gt;")</f>
        <v>&lt;/li&gt;&lt;li&gt;&lt;a href=|http://websterbible.com/job/28.htm| title=|Webster's Bible Translation| target=|_top|&gt;WBS&lt;/a&gt;</v>
      </c>
      <c r="AS46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64" t="str">
        <f>CONCATENATE("&lt;/li&gt;&lt;li&gt;&lt;a href=|http://",AT1191,"/job/28-1.htm","| ","title=|",AT1190,"| target=|_top|&gt;",AT1192,"&lt;/a&gt;")</f>
        <v>&lt;/li&gt;&lt;li&gt;&lt;a href=|http://biblebrowser.com/job/28-1.htm| title=|Split View| target=|_top|&gt;Split&lt;/a&gt;</v>
      </c>
      <c r="AU464" s="2" t="s">
        <v>1276</v>
      </c>
      <c r="AV464" t="s">
        <v>64</v>
      </c>
    </row>
    <row r="465" spans="1:48">
      <c r="A465" t="s">
        <v>622</v>
      </c>
      <c r="B465" t="s">
        <v>703</v>
      </c>
      <c r="C465" t="s">
        <v>624</v>
      </c>
      <c r="D465" t="s">
        <v>1268</v>
      </c>
      <c r="E465" t="s">
        <v>1277</v>
      </c>
      <c r="F465" t="s">
        <v>1304</v>
      </c>
      <c r="G465" t="s">
        <v>1266</v>
      </c>
      <c r="H465" t="s">
        <v>1305</v>
      </c>
      <c r="I465" t="s">
        <v>1303</v>
      </c>
      <c r="J465" t="s">
        <v>1267</v>
      </c>
      <c r="K465" t="s">
        <v>1275</v>
      </c>
      <c r="L465" s="2" t="s">
        <v>1274</v>
      </c>
      <c r="M465" t="str">
        <f t="shared" ref="M465:AB465" si="1856">CONCATENATE("&lt;/li&gt;&lt;li&gt;&lt;a href=|http://",M1191,"/job/29.htm","| ","title=|",M1190,"| target=|_top|&gt;",M1192,"&lt;/a&gt;")</f>
        <v>&lt;/li&gt;&lt;li&gt;&lt;a href=|http://niv.scripturetext.com/job/29.htm| title=|New International Version| target=|_top|&gt;NIV&lt;/a&gt;</v>
      </c>
      <c r="N465" t="str">
        <f t="shared" si="1856"/>
        <v>&lt;/li&gt;&lt;li&gt;&lt;a href=|http://nlt.scripturetext.com/job/29.htm| title=|New Living Translation| target=|_top|&gt;NLT&lt;/a&gt;</v>
      </c>
      <c r="O465" t="str">
        <f t="shared" si="1856"/>
        <v>&lt;/li&gt;&lt;li&gt;&lt;a href=|http://nasb.scripturetext.com/job/29.htm| title=|New American Standard Bible| target=|_top|&gt;NAS&lt;/a&gt;</v>
      </c>
      <c r="P465" t="str">
        <f t="shared" si="1856"/>
        <v>&lt;/li&gt;&lt;li&gt;&lt;a href=|http://gwt.scripturetext.com/job/29.htm| title=|God's Word Translation| target=|_top|&gt;GWT&lt;/a&gt;</v>
      </c>
      <c r="Q465" t="str">
        <f t="shared" si="1856"/>
        <v>&lt;/li&gt;&lt;li&gt;&lt;a href=|http://kingjbible.com/job/29.htm| title=|King James Bible| target=|_top|&gt;KJV&lt;/a&gt;</v>
      </c>
      <c r="R465" t="str">
        <f t="shared" si="1856"/>
        <v>&lt;/li&gt;&lt;li&gt;&lt;a href=|http://asvbible.com/job/29.htm| title=|American Standard Version| target=|_top|&gt;ASV&lt;/a&gt;</v>
      </c>
      <c r="S465" t="str">
        <f t="shared" si="1856"/>
        <v>&lt;/li&gt;&lt;li&gt;&lt;a href=|http://drb.scripturetext.com/job/29.htm| title=|Douay-Rheims Bible| target=|_top|&gt;DRB&lt;/a&gt;</v>
      </c>
      <c r="T465" t="str">
        <f t="shared" si="1856"/>
        <v>&lt;/li&gt;&lt;li&gt;&lt;a href=|http://erv.scripturetext.com/job/29.htm| title=|English Revised Version| target=|_top|&gt;ERV&lt;/a&gt;</v>
      </c>
      <c r="V465" t="str">
        <f>CONCATENATE("&lt;/li&gt;&lt;li&gt;&lt;a href=|http://",V1191,"/job/29.htm","| ","title=|",V1190,"| target=|_top|&gt;",V1192,"&lt;/a&gt;")</f>
        <v>&lt;/li&gt;&lt;li&gt;&lt;a href=|http://study.interlinearbible.org/job/29.htm| title=|Hebrew Study Bible| target=|_top|&gt;Heb Study&lt;/a&gt;</v>
      </c>
      <c r="W465" t="str">
        <f t="shared" si="1856"/>
        <v>&lt;/li&gt;&lt;li&gt;&lt;a href=|http://apostolic.interlinearbible.org/job/29.htm| title=|Apostolic Bible Polyglot Interlinear| target=|_top|&gt;Polyglot&lt;/a&gt;</v>
      </c>
      <c r="X465" t="str">
        <f t="shared" si="1856"/>
        <v>&lt;/li&gt;&lt;li&gt;&lt;a href=|http://interlinearbible.org/job/29.htm| title=|Interlinear Bible| target=|_top|&gt;Interlin&lt;/a&gt;</v>
      </c>
      <c r="Y465" t="str">
        <f t="shared" ref="Y465" si="1857">CONCATENATE("&lt;/li&gt;&lt;li&gt;&lt;a href=|http://",Y1191,"/job/29.htm","| ","title=|",Y1190,"| target=|_top|&gt;",Y1192,"&lt;/a&gt;")</f>
        <v>&lt;/li&gt;&lt;li&gt;&lt;a href=|http://bibleoutline.org/job/29.htm| title=|Outline with People and Places List| target=|_top|&gt;Outline&lt;/a&gt;</v>
      </c>
      <c r="Z465" t="str">
        <f t="shared" si="1856"/>
        <v>&lt;/li&gt;&lt;li&gt;&lt;a href=|http://kjvs.scripturetext.com/job/29.htm| title=|King James Bible with Strong's Numbers| target=|_top|&gt;Strong's&lt;/a&gt;</v>
      </c>
      <c r="AA465" t="str">
        <f t="shared" si="1856"/>
        <v>&lt;/li&gt;&lt;li&gt;&lt;a href=|http://childrensbibleonline.com/job/29.htm| title=|The Children's Bible| target=|_top|&gt;Children's&lt;/a&gt;</v>
      </c>
      <c r="AB465" s="2" t="str">
        <f t="shared" si="1856"/>
        <v>&lt;/li&gt;&lt;li&gt;&lt;a href=|http://tsk.scripturetext.com/job/29.htm| title=|Treasury of Scripture Knowledge| target=|_top|&gt;TSK&lt;/a&gt;</v>
      </c>
      <c r="AC465" t="str">
        <f>CONCATENATE("&lt;a href=|http://",AC1191,"/job/29.htm","| ","title=|",AC1190,"| target=|_top|&gt;",AC1192,"&lt;/a&gt;")</f>
        <v>&lt;a href=|http://parallelbible.com/job/29.htm| title=|Parallel Chapters| target=|_top|&gt;PAR&lt;/a&gt;</v>
      </c>
      <c r="AD465" s="2" t="str">
        <f t="shared" ref="AD465:AK465" si="1858">CONCATENATE("&lt;/li&gt;&lt;li&gt;&lt;a href=|http://",AD1191,"/job/29.htm","| ","title=|",AD1190,"| target=|_top|&gt;",AD1192,"&lt;/a&gt;")</f>
        <v>&lt;/li&gt;&lt;li&gt;&lt;a href=|http://gsb.biblecommenter.com/job/29.htm| title=|Geneva Study Bible| target=|_top|&gt;GSB&lt;/a&gt;</v>
      </c>
      <c r="AE465" s="2" t="str">
        <f t="shared" si="1858"/>
        <v>&lt;/li&gt;&lt;li&gt;&lt;a href=|http://jfb.biblecommenter.com/job/29.htm| title=|Jamieson-Fausset-Brown Bible Commentary| target=|_top|&gt;JFB&lt;/a&gt;</v>
      </c>
      <c r="AF465" s="2" t="str">
        <f t="shared" si="1858"/>
        <v>&lt;/li&gt;&lt;li&gt;&lt;a href=|http://kjt.biblecommenter.com/job/29.htm| title=|King James Translators' Notes| target=|_top|&gt;KJT&lt;/a&gt;</v>
      </c>
      <c r="AG465" s="2" t="str">
        <f t="shared" si="1858"/>
        <v>&lt;/li&gt;&lt;li&gt;&lt;a href=|http://mhc.biblecommenter.com/job/29.htm| title=|Matthew Henry's Concise Commentary| target=|_top|&gt;MHC&lt;/a&gt;</v>
      </c>
      <c r="AH465" s="2" t="str">
        <f t="shared" si="1858"/>
        <v>&lt;/li&gt;&lt;li&gt;&lt;a href=|http://sco.biblecommenter.com/job/29.htm| title=|Scofield Reference Notes| target=|_top|&gt;SCO&lt;/a&gt;</v>
      </c>
      <c r="AI465" s="2" t="str">
        <f t="shared" si="1858"/>
        <v>&lt;/li&gt;&lt;li&gt;&lt;a href=|http://wes.biblecommenter.com/job/29.htm| title=|Wesley's Notes on the Bible| target=|_top|&gt;WES&lt;/a&gt;</v>
      </c>
      <c r="AJ465" t="str">
        <f t="shared" si="1858"/>
        <v>&lt;/li&gt;&lt;li&gt;&lt;a href=|http://worldebible.com/job/29.htm| title=|World English Bible| target=|_top|&gt;WEB&lt;/a&gt;</v>
      </c>
      <c r="AK465" t="str">
        <f t="shared" si="1858"/>
        <v>&lt;/li&gt;&lt;li&gt;&lt;a href=|http://yltbible.com/job/29.htm| title=|Young's Literal Translation| target=|_top|&gt;YLT&lt;/a&gt;</v>
      </c>
      <c r="AL465" t="str">
        <f>CONCATENATE("&lt;a href=|http://",AL1191,"/job/29.htm","| ","title=|",AL1190,"| target=|_top|&gt;",AL1192,"&lt;/a&gt;")</f>
        <v>&lt;a href=|http://kjv.us/job/29.htm| title=|American King James Version| target=|_top|&gt;AKJ&lt;/a&gt;</v>
      </c>
      <c r="AM465" t="str">
        <f t="shared" ref="AM465:AN465" si="1859">CONCATENATE("&lt;/li&gt;&lt;li&gt;&lt;a href=|http://",AM1191,"/job/29.htm","| ","title=|",AM1190,"| target=|_top|&gt;",AM1192,"&lt;/a&gt;")</f>
        <v>&lt;/li&gt;&lt;li&gt;&lt;a href=|http://basicenglishbible.com/job/29.htm| title=|Bible in Basic English| target=|_top|&gt;BBE&lt;/a&gt;</v>
      </c>
      <c r="AN465" t="str">
        <f t="shared" si="1859"/>
        <v>&lt;/li&gt;&lt;li&gt;&lt;a href=|http://darbybible.com/job/29.htm| title=|Darby Bible Translation| target=|_top|&gt;DBY&lt;/a&gt;</v>
      </c>
      <c r="AO46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6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6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65" t="str">
        <f>CONCATENATE("&lt;/li&gt;&lt;li&gt;&lt;a href=|http://",AR1191,"/job/29.htm","| ","title=|",AR1190,"| target=|_top|&gt;",AR1192,"&lt;/a&gt;")</f>
        <v>&lt;/li&gt;&lt;li&gt;&lt;a href=|http://websterbible.com/job/29.htm| title=|Webster's Bible Translation| target=|_top|&gt;WBS&lt;/a&gt;</v>
      </c>
      <c r="AS46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65" t="str">
        <f>CONCATENATE("&lt;/li&gt;&lt;li&gt;&lt;a href=|http://",AT1191,"/job/29-1.htm","| ","title=|",AT1190,"| target=|_top|&gt;",AT1192,"&lt;/a&gt;")</f>
        <v>&lt;/li&gt;&lt;li&gt;&lt;a href=|http://biblebrowser.com/job/29-1.htm| title=|Split View| target=|_top|&gt;Split&lt;/a&gt;</v>
      </c>
      <c r="AU465" s="2" t="s">
        <v>1276</v>
      </c>
      <c r="AV465" t="s">
        <v>64</v>
      </c>
    </row>
    <row r="466" spans="1:48">
      <c r="A466" t="s">
        <v>622</v>
      </c>
      <c r="B466" t="s">
        <v>704</v>
      </c>
      <c r="C466" t="s">
        <v>624</v>
      </c>
      <c r="D466" t="s">
        <v>1268</v>
      </c>
      <c r="E466" t="s">
        <v>1277</v>
      </c>
      <c r="F466" t="s">
        <v>1304</v>
      </c>
      <c r="G466" t="s">
        <v>1266</v>
      </c>
      <c r="H466" t="s">
        <v>1305</v>
      </c>
      <c r="I466" t="s">
        <v>1303</v>
      </c>
      <c r="J466" t="s">
        <v>1267</v>
      </c>
      <c r="K466" t="s">
        <v>1275</v>
      </c>
      <c r="L466" s="2" t="s">
        <v>1274</v>
      </c>
      <c r="M466" t="str">
        <f t="shared" ref="M466:AB466" si="1860">CONCATENATE("&lt;/li&gt;&lt;li&gt;&lt;a href=|http://",M1191,"/job/30.htm","| ","title=|",M1190,"| target=|_top|&gt;",M1192,"&lt;/a&gt;")</f>
        <v>&lt;/li&gt;&lt;li&gt;&lt;a href=|http://niv.scripturetext.com/job/30.htm| title=|New International Version| target=|_top|&gt;NIV&lt;/a&gt;</v>
      </c>
      <c r="N466" t="str">
        <f t="shared" si="1860"/>
        <v>&lt;/li&gt;&lt;li&gt;&lt;a href=|http://nlt.scripturetext.com/job/30.htm| title=|New Living Translation| target=|_top|&gt;NLT&lt;/a&gt;</v>
      </c>
      <c r="O466" t="str">
        <f t="shared" si="1860"/>
        <v>&lt;/li&gt;&lt;li&gt;&lt;a href=|http://nasb.scripturetext.com/job/30.htm| title=|New American Standard Bible| target=|_top|&gt;NAS&lt;/a&gt;</v>
      </c>
      <c r="P466" t="str">
        <f t="shared" si="1860"/>
        <v>&lt;/li&gt;&lt;li&gt;&lt;a href=|http://gwt.scripturetext.com/job/30.htm| title=|God's Word Translation| target=|_top|&gt;GWT&lt;/a&gt;</v>
      </c>
      <c r="Q466" t="str">
        <f t="shared" si="1860"/>
        <v>&lt;/li&gt;&lt;li&gt;&lt;a href=|http://kingjbible.com/job/30.htm| title=|King James Bible| target=|_top|&gt;KJV&lt;/a&gt;</v>
      </c>
      <c r="R466" t="str">
        <f t="shared" si="1860"/>
        <v>&lt;/li&gt;&lt;li&gt;&lt;a href=|http://asvbible.com/job/30.htm| title=|American Standard Version| target=|_top|&gt;ASV&lt;/a&gt;</v>
      </c>
      <c r="S466" t="str">
        <f t="shared" si="1860"/>
        <v>&lt;/li&gt;&lt;li&gt;&lt;a href=|http://drb.scripturetext.com/job/30.htm| title=|Douay-Rheims Bible| target=|_top|&gt;DRB&lt;/a&gt;</v>
      </c>
      <c r="T466" t="str">
        <f t="shared" si="1860"/>
        <v>&lt;/li&gt;&lt;li&gt;&lt;a href=|http://erv.scripturetext.com/job/30.htm| title=|English Revised Version| target=|_top|&gt;ERV&lt;/a&gt;</v>
      </c>
      <c r="V466" t="str">
        <f>CONCATENATE("&lt;/li&gt;&lt;li&gt;&lt;a href=|http://",V1191,"/job/30.htm","| ","title=|",V1190,"| target=|_top|&gt;",V1192,"&lt;/a&gt;")</f>
        <v>&lt;/li&gt;&lt;li&gt;&lt;a href=|http://study.interlinearbible.org/job/30.htm| title=|Hebrew Study Bible| target=|_top|&gt;Heb Study&lt;/a&gt;</v>
      </c>
      <c r="W466" t="str">
        <f t="shared" si="1860"/>
        <v>&lt;/li&gt;&lt;li&gt;&lt;a href=|http://apostolic.interlinearbible.org/job/30.htm| title=|Apostolic Bible Polyglot Interlinear| target=|_top|&gt;Polyglot&lt;/a&gt;</v>
      </c>
      <c r="X466" t="str">
        <f t="shared" si="1860"/>
        <v>&lt;/li&gt;&lt;li&gt;&lt;a href=|http://interlinearbible.org/job/30.htm| title=|Interlinear Bible| target=|_top|&gt;Interlin&lt;/a&gt;</v>
      </c>
      <c r="Y466" t="str">
        <f t="shared" ref="Y466" si="1861">CONCATENATE("&lt;/li&gt;&lt;li&gt;&lt;a href=|http://",Y1191,"/job/30.htm","| ","title=|",Y1190,"| target=|_top|&gt;",Y1192,"&lt;/a&gt;")</f>
        <v>&lt;/li&gt;&lt;li&gt;&lt;a href=|http://bibleoutline.org/job/30.htm| title=|Outline with People and Places List| target=|_top|&gt;Outline&lt;/a&gt;</v>
      </c>
      <c r="Z466" t="str">
        <f t="shared" si="1860"/>
        <v>&lt;/li&gt;&lt;li&gt;&lt;a href=|http://kjvs.scripturetext.com/job/30.htm| title=|King James Bible with Strong's Numbers| target=|_top|&gt;Strong's&lt;/a&gt;</v>
      </c>
      <c r="AA466" t="str">
        <f t="shared" si="1860"/>
        <v>&lt;/li&gt;&lt;li&gt;&lt;a href=|http://childrensbibleonline.com/job/30.htm| title=|The Children's Bible| target=|_top|&gt;Children's&lt;/a&gt;</v>
      </c>
      <c r="AB466" s="2" t="str">
        <f t="shared" si="1860"/>
        <v>&lt;/li&gt;&lt;li&gt;&lt;a href=|http://tsk.scripturetext.com/job/30.htm| title=|Treasury of Scripture Knowledge| target=|_top|&gt;TSK&lt;/a&gt;</v>
      </c>
      <c r="AC466" t="str">
        <f>CONCATENATE("&lt;a href=|http://",AC1191,"/job/30.htm","| ","title=|",AC1190,"| target=|_top|&gt;",AC1192,"&lt;/a&gt;")</f>
        <v>&lt;a href=|http://parallelbible.com/job/30.htm| title=|Parallel Chapters| target=|_top|&gt;PAR&lt;/a&gt;</v>
      </c>
      <c r="AD466" s="2" t="str">
        <f t="shared" ref="AD466:AK466" si="1862">CONCATENATE("&lt;/li&gt;&lt;li&gt;&lt;a href=|http://",AD1191,"/job/30.htm","| ","title=|",AD1190,"| target=|_top|&gt;",AD1192,"&lt;/a&gt;")</f>
        <v>&lt;/li&gt;&lt;li&gt;&lt;a href=|http://gsb.biblecommenter.com/job/30.htm| title=|Geneva Study Bible| target=|_top|&gt;GSB&lt;/a&gt;</v>
      </c>
      <c r="AE466" s="2" t="str">
        <f t="shared" si="1862"/>
        <v>&lt;/li&gt;&lt;li&gt;&lt;a href=|http://jfb.biblecommenter.com/job/30.htm| title=|Jamieson-Fausset-Brown Bible Commentary| target=|_top|&gt;JFB&lt;/a&gt;</v>
      </c>
      <c r="AF466" s="2" t="str">
        <f t="shared" si="1862"/>
        <v>&lt;/li&gt;&lt;li&gt;&lt;a href=|http://kjt.biblecommenter.com/job/30.htm| title=|King James Translators' Notes| target=|_top|&gt;KJT&lt;/a&gt;</v>
      </c>
      <c r="AG466" s="2" t="str">
        <f t="shared" si="1862"/>
        <v>&lt;/li&gt;&lt;li&gt;&lt;a href=|http://mhc.biblecommenter.com/job/30.htm| title=|Matthew Henry's Concise Commentary| target=|_top|&gt;MHC&lt;/a&gt;</v>
      </c>
      <c r="AH466" s="2" t="str">
        <f t="shared" si="1862"/>
        <v>&lt;/li&gt;&lt;li&gt;&lt;a href=|http://sco.biblecommenter.com/job/30.htm| title=|Scofield Reference Notes| target=|_top|&gt;SCO&lt;/a&gt;</v>
      </c>
      <c r="AI466" s="2" t="str">
        <f t="shared" si="1862"/>
        <v>&lt;/li&gt;&lt;li&gt;&lt;a href=|http://wes.biblecommenter.com/job/30.htm| title=|Wesley's Notes on the Bible| target=|_top|&gt;WES&lt;/a&gt;</v>
      </c>
      <c r="AJ466" t="str">
        <f t="shared" si="1862"/>
        <v>&lt;/li&gt;&lt;li&gt;&lt;a href=|http://worldebible.com/job/30.htm| title=|World English Bible| target=|_top|&gt;WEB&lt;/a&gt;</v>
      </c>
      <c r="AK466" t="str">
        <f t="shared" si="1862"/>
        <v>&lt;/li&gt;&lt;li&gt;&lt;a href=|http://yltbible.com/job/30.htm| title=|Young's Literal Translation| target=|_top|&gt;YLT&lt;/a&gt;</v>
      </c>
      <c r="AL466" t="str">
        <f>CONCATENATE("&lt;a href=|http://",AL1191,"/job/30.htm","| ","title=|",AL1190,"| target=|_top|&gt;",AL1192,"&lt;/a&gt;")</f>
        <v>&lt;a href=|http://kjv.us/job/30.htm| title=|American King James Version| target=|_top|&gt;AKJ&lt;/a&gt;</v>
      </c>
      <c r="AM466" t="str">
        <f t="shared" ref="AM466:AN466" si="1863">CONCATENATE("&lt;/li&gt;&lt;li&gt;&lt;a href=|http://",AM1191,"/job/30.htm","| ","title=|",AM1190,"| target=|_top|&gt;",AM1192,"&lt;/a&gt;")</f>
        <v>&lt;/li&gt;&lt;li&gt;&lt;a href=|http://basicenglishbible.com/job/30.htm| title=|Bible in Basic English| target=|_top|&gt;BBE&lt;/a&gt;</v>
      </c>
      <c r="AN466" t="str">
        <f t="shared" si="1863"/>
        <v>&lt;/li&gt;&lt;li&gt;&lt;a href=|http://darbybible.com/job/30.htm| title=|Darby Bible Translation| target=|_top|&gt;DBY&lt;/a&gt;</v>
      </c>
      <c r="AO46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6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6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66" t="str">
        <f>CONCATENATE("&lt;/li&gt;&lt;li&gt;&lt;a href=|http://",AR1191,"/job/30.htm","| ","title=|",AR1190,"| target=|_top|&gt;",AR1192,"&lt;/a&gt;")</f>
        <v>&lt;/li&gt;&lt;li&gt;&lt;a href=|http://websterbible.com/job/30.htm| title=|Webster's Bible Translation| target=|_top|&gt;WBS&lt;/a&gt;</v>
      </c>
      <c r="AS46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66" t="str">
        <f>CONCATENATE("&lt;/li&gt;&lt;li&gt;&lt;a href=|http://",AT1191,"/job/30-1.htm","| ","title=|",AT1190,"| target=|_top|&gt;",AT1192,"&lt;/a&gt;")</f>
        <v>&lt;/li&gt;&lt;li&gt;&lt;a href=|http://biblebrowser.com/job/30-1.htm| title=|Split View| target=|_top|&gt;Split&lt;/a&gt;</v>
      </c>
      <c r="AU466" s="2" t="s">
        <v>1276</v>
      </c>
      <c r="AV466" t="s">
        <v>64</v>
      </c>
    </row>
    <row r="467" spans="1:48">
      <c r="A467" t="s">
        <v>622</v>
      </c>
      <c r="B467" t="s">
        <v>705</v>
      </c>
      <c r="C467" t="s">
        <v>624</v>
      </c>
      <c r="D467" t="s">
        <v>1268</v>
      </c>
      <c r="E467" t="s">
        <v>1277</v>
      </c>
      <c r="F467" t="s">
        <v>1304</v>
      </c>
      <c r="G467" t="s">
        <v>1266</v>
      </c>
      <c r="H467" t="s">
        <v>1305</v>
      </c>
      <c r="I467" t="s">
        <v>1303</v>
      </c>
      <c r="J467" t="s">
        <v>1267</v>
      </c>
      <c r="K467" t="s">
        <v>1275</v>
      </c>
      <c r="L467" s="2" t="s">
        <v>1274</v>
      </c>
      <c r="M467" t="str">
        <f t="shared" ref="M467:AB467" si="1864">CONCATENATE("&lt;/li&gt;&lt;li&gt;&lt;a href=|http://",M1191,"/job/31.htm","| ","title=|",M1190,"| target=|_top|&gt;",M1192,"&lt;/a&gt;")</f>
        <v>&lt;/li&gt;&lt;li&gt;&lt;a href=|http://niv.scripturetext.com/job/31.htm| title=|New International Version| target=|_top|&gt;NIV&lt;/a&gt;</v>
      </c>
      <c r="N467" t="str">
        <f t="shared" si="1864"/>
        <v>&lt;/li&gt;&lt;li&gt;&lt;a href=|http://nlt.scripturetext.com/job/31.htm| title=|New Living Translation| target=|_top|&gt;NLT&lt;/a&gt;</v>
      </c>
      <c r="O467" t="str">
        <f t="shared" si="1864"/>
        <v>&lt;/li&gt;&lt;li&gt;&lt;a href=|http://nasb.scripturetext.com/job/31.htm| title=|New American Standard Bible| target=|_top|&gt;NAS&lt;/a&gt;</v>
      </c>
      <c r="P467" t="str">
        <f t="shared" si="1864"/>
        <v>&lt;/li&gt;&lt;li&gt;&lt;a href=|http://gwt.scripturetext.com/job/31.htm| title=|God's Word Translation| target=|_top|&gt;GWT&lt;/a&gt;</v>
      </c>
      <c r="Q467" t="str">
        <f t="shared" si="1864"/>
        <v>&lt;/li&gt;&lt;li&gt;&lt;a href=|http://kingjbible.com/job/31.htm| title=|King James Bible| target=|_top|&gt;KJV&lt;/a&gt;</v>
      </c>
      <c r="R467" t="str">
        <f t="shared" si="1864"/>
        <v>&lt;/li&gt;&lt;li&gt;&lt;a href=|http://asvbible.com/job/31.htm| title=|American Standard Version| target=|_top|&gt;ASV&lt;/a&gt;</v>
      </c>
      <c r="S467" t="str">
        <f t="shared" si="1864"/>
        <v>&lt;/li&gt;&lt;li&gt;&lt;a href=|http://drb.scripturetext.com/job/31.htm| title=|Douay-Rheims Bible| target=|_top|&gt;DRB&lt;/a&gt;</v>
      </c>
      <c r="T467" t="str">
        <f t="shared" si="1864"/>
        <v>&lt;/li&gt;&lt;li&gt;&lt;a href=|http://erv.scripturetext.com/job/31.htm| title=|English Revised Version| target=|_top|&gt;ERV&lt;/a&gt;</v>
      </c>
      <c r="V467" t="str">
        <f>CONCATENATE("&lt;/li&gt;&lt;li&gt;&lt;a href=|http://",V1191,"/job/31.htm","| ","title=|",V1190,"| target=|_top|&gt;",V1192,"&lt;/a&gt;")</f>
        <v>&lt;/li&gt;&lt;li&gt;&lt;a href=|http://study.interlinearbible.org/job/31.htm| title=|Hebrew Study Bible| target=|_top|&gt;Heb Study&lt;/a&gt;</v>
      </c>
      <c r="W467" t="str">
        <f t="shared" si="1864"/>
        <v>&lt;/li&gt;&lt;li&gt;&lt;a href=|http://apostolic.interlinearbible.org/job/31.htm| title=|Apostolic Bible Polyglot Interlinear| target=|_top|&gt;Polyglot&lt;/a&gt;</v>
      </c>
      <c r="X467" t="str">
        <f t="shared" si="1864"/>
        <v>&lt;/li&gt;&lt;li&gt;&lt;a href=|http://interlinearbible.org/job/31.htm| title=|Interlinear Bible| target=|_top|&gt;Interlin&lt;/a&gt;</v>
      </c>
      <c r="Y467" t="str">
        <f t="shared" ref="Y467" si="1865">CONCATENATE("&lt;/li&gt;&lt;li&gt;&lt;a href=|http://",Y1191,"/job/31.htm","| ","title=|",Y1190,"| target=|_top|&gt;",Y1192,"&lt;/a&gt;")</f>
        <v>&lt;/li&gt;&lt;li&gt;&lt;a href=|http://bibleoutline.org/job/31.htm| title=|Outline with People and Places List| target=|_top|&gt;Outline&lt;/a&gt;</v>
      </c>
      <c r="Z467" t="str">
        <f t="shared" si="1864"/>
        <v>&lt;/li&gt;&lt;li&gt;&lt;a href=|http://kjvs.scripturetext.com/job/31.htm| title=|King James Bible with Strong's Numbers| target=|_top|&gt;Strong's&lt;/a&gt;</v>
      </c>
      <c r="AA467" t="str">
        <f t="shared" si="1864"/>
        <v>&lt;/li&gt;&lt;li&gt;&lt;a href=|http://childrensbibleonline.com/job/31.htm| title=|The Children's Bible| target=|_top|&gt;Children's&lt;/a&gt;</v>
      </c>
      <c r="AB467" s="2" t="str">
        <f t="shared" si="1864"/>
        <v>&lt;/li&gt;&lt;li&gt;&lt;a href=|http://tsk.scripturetext.com/job/31.htm| title=|Treasury of Scripture Knowledge| target=|_top|&gt;TSK&lt;/a&gt;</v>
      </c>
      <c r="AC467" t="str">
        <f>CONCATENATE("&lt;a href=|http://",AC1191,"/job/31.htm","| ","title=|",AC1190,"| target=|_top|&gt;",AC1192,"&lt;/a&gt;")</f>
        <v>&lt;a href=|http://parallelbible.com/job/31.htm| title=|Parallel Chapters| target=|_top|&gt;PAR&lt;/a&gt;</v>
      </c>
      <c r="AD467" s="2" t="str">
        <f t="shared" ref="AD467:AK467" si="1866">CONCATENATE("&lt;/li&gt;&lt;li&gt;&lt;a href=|http://",AD1191,"/job/31.htm","| ","title=|",AD1190,"| target=|_top|&gt;",AD1192,"&lt;/a&gt;")</f>
        <v>&lt;/li&gt;&lt;li&gt;&lt;a href=|http://gsb.biblecommenter.com/job/31.htm| title=|Geneva Study Bible| target=|_top|&gt;GSB&lt;/a&gt;</v>
      </c>
      <c r="AE467" s="2" t="str">
        <f t="shared" si="1866"/>
        <v>&lt;/li&gt;&lt;li&gt;&lt;a href=|http://jfb.biblecommenter.com/job/31.htm| title=|Jamieson-Fausset-Brown Bible Commentary| target=|_top|&gt;JFB&lt;/a&gt;</v>
      </c>
      <c r="AF467" s="2" t="str">
        <f t="shared" si="1866"/>
        <v>&lt;/li&gt;&lt;li&gt;&lt;a href=|http://kjt.biblecommenter.com/job/31.htm| title=|King James Translators' Notes| target=|_top|&gt;KJT&lt;/a&gt;</v>
      </c>
      <c r="AG467" s="2" t="str">
        <f t="shared" si="1866"/>
        <v>&lt;/li&gt;&lt;li&gt;&lt;a href=|http://mhc.biblecommenter.com/job/31.htm| title=|Matthew Henry's Concise Commentary| target=|_top|&gt;MHC&lt;/a&gt;</v>
      </c>
      <c r="AH467" s="2" t="str">
        <f t="shared" si="1866"/>
        <v>&lt;/li&gt;&lt;li&gt;&lt;a href=|http://sco.biblecommenter.com/job/31.htm| title=|Scofield Reference Notes| target=|_top|&gt;SCO&lt;/a&gt;</v>
      </c>
      <c r="AI467" s="2" t="str">
        <f t="shared" si="1866"/>
        <v>&lt;/li&gt;&lt;li&gt;&lt;a href=|http://wes.biblecommenter.com/job/31.htm| title=|Wesley's Notes on the Bible| target=|_top|&gt;WES&lt;/a&gt;</v>
      </c>
      <c r="AJ467" t="str">
        <f t="shared" si="1866"/>
        <v>&lt;/li&gt;&lt;li&gt;&lt;a href=|http://worldebible.com/job/31.htm| title=|World English Bible| target=|_top|&gt;WEB&lt;/a&gt;</v>
      </c>
      <c r="AK467" t="str">
        <f t="shared" si="1866"/>
        <v>&lt;/li&gt;&lt;li&gt;&lt;a href=|http://yltbible.com/job/31.htm| title=|Young's Literal Translation| target=|_top|&gt;YLT&lt;/a&gt;</v>
      </c>
      <c r="AL467" t="str">
        <f>CONCATENATE("&lt;a href=|http://",AL1191,"/job/31.htm","| ","title=|",AL1190,"| target=|_top|&gt;",AL1192,"&lt;/a&gt;")</f>
        <v>&lt;a href=|http://kjv.us/job/31.htm| title=|American King James Version| target=|_top|&gt;AKJ&lt;/a&gt;</v>
      </c>
      <c r="AM467" t="str">
        <f t="shared" ref="AM467:AN467" si="1867">CONCATENATE("&lt;/li&gt;&lt;li&gt;&lt;a href=|http://",AM1191,"/job/31.htm","| ","title=|",AM1190,"| target=|_top|&gt;",AM1192,"&lt;/a&gt;")</f>
        <v>&lt;/li&gt;&lt;li&gt;&lt;a href=|http://basicenglishbible.com/job/31.htm| title=|Bible in Basic English| target=|_top|&gt;BBE&lt;/a&gt;</v>
      </c>
      <c r="AN467" t="str">
        <f t="shared" si="1867"/>
        <v>&lt;/li&gt;&lt;li&gt;&lt;a href=|http://darbybible.com/job/31.htm| title=|Darby Bible Translation| target=|_top|&gt;DBY&lt;/a&gt;</v>
      </c>
      <c r="AO46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6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6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67" t="str">
        <f>CONCATENATE("&lt;/li&gt;&lt;li&gt;&lt;a href=|http://",AR1191,"/job/31.htm","| ","title=|",AR1190,"| target=|_top|&gt;",AR1192,"&lt;/a&gt;")</f>
        <v>&lt;/li&gt;&lt;li&gt;&lt;a href=|http://websterbible.com/job/31.htm| title=|Webster's Bible Translation| target=|_top|&gt;WBS&lt;/a&gt;</v>
      </c>
      <c r="AS46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67" t="str">
        <f>CONCATENATE("&lt;/li&gt;&lt;li&gt;&lt;a href=|http://",AT1191,"/job/31-1.htm","| ","title=|",AT1190,"| target=|_top|&gt;",AT1192,"&lt;/a&gt;")</f>
        <v>&lt;/li&gt;&lt;li&gt;&lt;a href=|http://biblebrowser.com/job/31-1.htm| title=|Split View| target=|_top|&gt;Split&lt;/a&gt;</v>
      </c>
      <c r="AU467" s="2" t="s">
        <v>1276</v>
      </c>
      <c r="AV467" t="s">
        <v>64</v>
      </c>
    </row>
    <row r="468" spans="1:48">
      <c r="A468" t="s">
        <v>622</v>
      </c>
      <c r="B468" t="s">
        <v>706</v>
      </c>
      <c r="C468" t="s">
        <v>624</v>
      </c>
      <c r="D468" t="s">
        <v>1268</v>
      </c>
      <c r="E468" t="s">
        <v>1277</v>
      </c>
      <c r="F468" t="s">
        <v>1304</v>
      </c>
      <c r="G468" t="s">
        <v>1266</v>
      </c>
      <c r="H468" t="s">
        <v>1305</v>
      </c>
      <c r="I468" t="s">
        <v>1303</v>
      </c>
      <c r="J468" t="s">
        <v>1267</v>
      </c>
      <c r="K468" t="s">
        <v>1275</v>
      </c>
      <c r="L468" s="2" t="s">
        <v>1274</v>
      </c>
      <c r="M468" t="str">
        <f t="shared" ref="M468:AB468" si="1868">CONCATENATE("&lt;/li&gt;&lt;li&gt;&lt;a href=|http://",M1191,"/job/32.htm","| ","title=|",M1190,"| target=|_top|&gt;",M1192,"&lt;/a&gt;")</f>
        <v>&lt;/li&gt;&lt;li&gt;&lt;a href=|http://niv.scripturetext.com/job/32.htm| title=|New International Version| target=|_top|&gt;NIV&lt;/a&gt;</v>
      </c>
      <c r="N468" t="str">
        <f t="shared" si="1868"/>
        <v>&lt;/li&gt;&lt;li&gt;&lt;a href=|http://nlt.scripturetext.com/job/32.htm| title=|New Living Translation| target=|_top|&gt;NLT&lt;/a&gt;</v>
      </c>
      <c r="O468" t="str">
        <f t="shared" si="1868"/>
        <v>&lt;/li&gt;&lt;li&gt;&lt;a href=|http://nasb.scripturetext.com/job/32.htm| title=|New American Standard Bible| target=|_top|&gt;NAS&lt;/a&gt;</v>
      </c>
      <c r="P468" t="str">
        <f t="shared" si="1868"/>
        <v>&lt;/li&gt;&lt;li&gt;&lt;a href=|http://gwt.scripturetext.com/job/32.htm| title=|God's Word Translation| target=|_top|&gt;GWT&lt;/a&gt;</v>
      </c>
      <c r="Q468" t="str">
        <f t="shared" si="1868"/>
        <v>&lt;/li&gt;&lt;li&gt;&lt;a href=|http://kingjbible.com/job/32.htm| title=|King James Bible| target=|_top|&gt;KJV&lt;/a&gt;</v>
      </c>
      <c r="R468" t="str">
        <f t="shared" si="1868"/>
        <v>&lt;/li&gt;&lt;li&gt;&lt;a href=|http://asvbible.com/job/32.htm| title=|American Standard Version| target=|_top|&gt;ASV&lt;/a&gt;</v>
      </c>
      <c r="S468" t="str">
        <f t="shared" si="1868"/>
        <v>&lt;/li&gt;&lt;li&gt;&lt;a href=|http://drb.scripturetext.com/job/32.htm| title=|Douay-Rheims Bible| target=|_top|&gt;DRB&lt;/a&gt;</v>
      </c>
      <c r="T468" t="str">
        <f t="shared" si="1868"/>
        <v>&lt;/li&gt;&lt;li&gt;&lt;a href=|http://erv.scripturetext.com/job/32.htm| title=|English Revised Version| target=|_top|&gt;ERV&lt;/a&gt;</v>
      </c>
      <c r="V468" t="str">
        <f>CONCATENATE("&lt;/li&gt;&lt;li&gt;&lt;a href=|http://",V1191,"/job/32.htm","| ","title=|",V1190,"| target=|_top|&gt;",V1192,"&lt;/a&gt;")</f>
        <v>&lt;/li&gt;&lt;li&gt;&lt;a href=|http://study.interlinearbible.org/job/32.htm| title=|Hebrew Study Bible| target=|_top|&gt;Heb Study&lt;/a&gt;</v>
      </c>
      <c r="W468" t="str">
        <f t="shared" si="1868"/>
        <v>&lt;/li&gt;&lt;li&gt;&lt;a href=|http://apostolic.interlinearbible.org/job/32.htm| title=|Apostolic Bible Polyglot Interlinear| target=|_top|&gt;Polyglot&lt;/a&gt;</v>
      </c>
      <c r="X468" t="str">
        <f t="shared" si="1868"/>
        <v>&lt;/li&gt;&lt;li&gt;&lt;a href=|http://interlinearbible.org/job/32.htm| title=|Interlinear Bible| target=|_top|&gt;Interlin&lt;/a&gt;</v>
      </c>
      <c r="Y468" t="str">
        <f t="shared" ref="Y468" si="1869">CONCATENATE("&lt;/li&gt;&lt;li&gt;&lt;a href=|http://",Y1191,"/job/32.htm","| ","title=|",Y1190,"| target=|_top|&gt;",Y1192,"&lt;/a&gt;")</f>
        <v>&lt;/li&gt;&lt;li&gt;&lt;a href=|http://bibleoutline.org/job/32.htm| title=|Outline with People and Places List| target=|_top|&gt;Outline&lt;/a&gt;</v>
      </c>
      <c r="Z468" t="str">
        <f t="shared" si="1868"/>
        <v>&lt;/li&gt;&lt;li&gt;&lt;a href=|http://kjvs.scripturetext.com/job/32.htm| title=|King James Bible with Strong's Numbers| target=|_top|&gt;Strong's&lt;/a&gt;</v>
      </c>
      <c r="AA468" t="str">
        <f t="shared" si="1868"/>
        <v>&lt;/li&gt;&lt;li&gt;&lt;a href=|http://childrensbibleonline.com/job/32.htm| title=|The Children's Bible| target=|_top|&gt;Children's&lt;/a&gt;</v>
      </c>
      <c r="AB468" s="2" t="str">
        <f t="shared" si="1868"/>
        <v>&lt;/li&gt;&lt;li&gt;&lt;a href=|http://tsk.scripturetext.com/job/32.htm| title=|Treasury of Scripture Knowledge| target=|_top|&gt;TSK&lt;/a&gt;</v>
      </c>
      <c r="AC468" t="str">
        <f>CONCATENATE("&lt;a href=|http://",AC1191,"/job/32.htm","| ","title=|",AC1190,"| target=|_top|&gt;",AC1192,"&lt;/a&gt;")</f>
        <v>&lt;a href=|http://parallelbible.com/job/32.htm| title=|Parallel Chapters| target=|_top|&gt;PAR&lt;/a&gt;</v>
      </c>
      <c r="AD468" s="2" t="str">
        <f t="shared" ref="AD468:AK468" si="1870">CONCATENATE("&lt;/li&gt;&lt;li&gt;&lt;a href=|http://",AD1191,"/job/32.htm","| ","title=|",AD1190,"| target=|_top|&gt;",AD1192,"&lt;/a&gt;")</f>
        <v>&lt;/li&gt;&lt;li&gt;&lt;a href=|http://gsb.biblecommenter.com/job/32.htm| title=|Geneva Study Bible| target=|_top|&gt;GSB&lt;/a&gt;</v>
      </c>
      <c r="AE468" s="2" t="str">
        <f t="shared" si="1870"/>
        <v>&lt;/li&gt;&lt;li&gt;&lt;a href=|http://jfb.biblecommenter.com/job/32.htm| title=|Jamieson-Fausset-Brown Bible Commentary| target=|_top|&gt;JFB&lt;/a&gt;</v>
      </c>
      <c r="AF468" s="2" t="str">
        <f t="shared" si="1870"/>
        <v>&lt;/li&gt;&lt;li&gt;&lt;a href=|http://kjt.biblecommenter.com/job/32.htm| title=|King James Translators' Notes| target=|_top|&gt;KJT&lt;/a&gt;</v>
      </c>
      <c r="AG468" s="2" t="str">
        <f t="shared" si="1870"/>
        <v>&lt;/li&gt;&lt;li&gt;&lt;a href=|http://mhc.biblecommenter.com/job/32.htm| title=|Matthew Henry's Concise Commentary| target=|_top|&gt;MHC&lt;/a&gt;</v>
      </c>
      <c r="AH468" s="2" t="str">
        <f t="shared" si="1870"/>
        <v>&lt;/li&gt;&lt;li&gt;&lt;a href=|http://sco.biblecommenter.com/job/32.htm| title=|Scofield Reference Notes| target=|_top|&gt;SCO&lt;/a&gt;</v>
      </c>
      <c r="AI468" s="2" t="str">
        <f t="shared" si="1870"/>
        <v>&lt;/li&gt;&lt;li&gt;&lt;a href=|http://wes.biblecommenter.com/job/32.htm| title=|Wesley's Notes on the Bible| target=|_top|&gt;WES&lt;/a&gt;</v>
      </c>
      <c r="AJ468" t="str">
        <f t="shared" si="1870"/>
        <v>&lt;/li&gt;&lt;li&gt;&lt;a href=|http://worldebible.com/job/32.htm| title=|World English Bible| target=|_top|&gt;WEB&lt;/a&gt;</v>
      </c>
      <c r="AK468" t="str">
        <f t="shared" si="1870"/>
        <v>&lt;/li&gt;&lt;li&gt;&lt;a href=|http://yltbible.com/job/32.htm| title=|Young's Literal Translation| target=|_top|&gt;YLT&lt;/a&gt;</v>
      </c>
      <c r="AL468" t="str">
        <f>CONCATENATE("&lt;a href=|http://",AL1191,"/job/32.htm","| ","title=|",AL1190,"| target=|_top|&gt;",AL1192,"&lt;/a&gt;")</f>
        <v>&lt;a href=|http://kjv.us/job/32.htm| title=|American King James Version| target=|_top|&gt;AKJ&lt;/a&gt;</v>
      </c>
      <c r="AM468" t="str">
        <f t="shared" ref="AM468:AN468" si="1871">CONCATENATE("&lt;/li&gt;&lt;li&gt;&lt;a href=|http://",AM1191,"/job/32.htm","| ","title=|",AM1190,"| target=|_top|&gt;",AM1192,"&lt;/a&gt;")</f>
        <v>&lt;/li&gt;&lt;li&gt;&lt;a href=|http://basicenglishbible.com/job/32.htm| title=|Bible in Basic English| target=|_top|&gt;BBE&lt;/a&gt;</v>
      </c>
      <c r="AN468" t="str">
        <f t="shared" si="1871"/>
        <v>&lt;/li&gt;&lt;li&gt;&lt;a href=|http://darbybible.com/job/32.htm| title=|Darby Bible Translation| target=|_top|&gt;DBY&lt;/a&gt;</v>
      </c>
      <c r="AO46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6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6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68" t="str">
        <f>CONCATENATE("&lt;/li&gt;&lt;li&gt;&lt;a href=|http://",AR1191,"/job/32.htm","| ","title=|",AR1190,"| target=|_top|&gt;",AR1192,"&lt;/a&gt;")</f>
        <v>&lt;/li&gt;&lt;li&gt;&lt;a href=|http://websterbible.com/job/32.htm| title=|Webster's Bible Translation| target=|_top|&gt;WBS&lt;/a&gt;</v>
      </c>
      <c r="AS46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68" t="str">
        <f>CONCATENATE("&lt;/li&gt;&lt;li&gt;&lt;a href=|http://",AT1191,"/job/32-1.htm","| ","title=|",AT1190,"| target=|_top|&gt;",AT1192,"&lt;/a&gt;")</f>
        <v>&lt;/li&gt;&lt;li&gt;&lt;a href=|http://biblebrowser.com/job/32-1.htm| title=|Split View| target=|_top|&gt;Split&lt;/a&gt;</v>
      </c>
      <c r="AU468" s="2" t="s">
        <v>1276</v>
      </c>
      <c r="AV468" t="s">
        <v>64</v>
      </c>
    </row>
    <row r="469" spans="1:48">
      <c r="A469" t="s">
        <v>622</v>
      </c>
      <c r="B469" t="s">
        <v>707</v>
      </c>
      <c r="C469" t="s">
        <v>624</v>
      </c>
      <c r="D469" t="s">
        <v>1268</v>
      </c>
      <c r="E469" t="s">
        <v>1277</v>
      </c>
      <c r="F469" t="s">
        <v>1304</v>
      </c>
      <c r="G469" t="s">
        <v>1266</v>
      </c>
      <c r="H469" t="s">
        <v>1305</v>
      </c>
      <c r="I469" t="s">
        <v>1303</v>
      </c>
      <c r="J469" t="s">
        <v>1267</v>
      </c>
      <c r="K469" t="s">
        <v>1275</v>
      </c>
      <c r="L469" s="2" t="s">
        <v>1274</v>
      </c>
      <c r="M469" t="str">
        <f t="shared" ref="M469:AB469" si="1872">CONCATENATE("&lt;/li&gt;&lt;li&gt;&lt;a href=|http://",M1191,"/job/33.htm","| ","title=|",M1190,"| target=|_top|&gt;",M1192,"&lt;/a&gt;")</f>
        <v>&lt;/li&gt;&lt;li&gt;&lt;a href=|http://niv.scripturetext.com/job/33.htm| title=|New International Version| target=|_top|&gt;NIV&lt;/a&gt;</v>
      </c>
      <c r="N469" t="str">
        <f t="shared" si="1872"/>
        <v>&lt;/li&gt;&lt;li&gt;&lt;a href=|http://nlt.scripturetext.com/job/33.htm| title=|New Living Translation| target=|_top|&gt;NLT&lt;/a&gt;</v>
      </c>
      <c r="O469" t="str">
        <f t="shared" si="1872"/>
        <v>&lt;/li&gt;&lt;li&gt;&lt;a href=|http://nasb.scripturetext.com/job/33.htm| title=|New American Standard Bible| target=|_top|&gt;NAS&lt;/a&gt;</v>
      </c>
      <c r="P469" t="str">
        <f t="shared" si="1872"/>
        <v>&lt;/li&gt;&lt;li&gt;&lt;a href=|http://gwt.scripturetext.com/job/33.htm| title=|God's Word Translation| target=|_top|&gt;GWT&lt;/a&gt;</v>
      </c>
      <c r="Q469" t="str">
        <f t="shared" si="1872"/>
        <v>&lt;/li&gt;&lt;li&gt;&lt;a href=|http://kingjbible.com/job/33.htm| title=|King James Bible| target=|_top|&gt;KJV&lt;/a&gt;</v>
      </c>
      <c r="R469" t="str">
        <f t="shared" si="1872"/>
        <v>&lt;/li&gt;&lt;li&gt;&lt;a href=|http://asvbible.com/job/33.htm| title=|American Standard Version| target=|_top|&gt;ASV&lt;/a&gt;</v>
      </c>
      <c r="S469" t="str">
        <f t="shared" si="1872"/>
        <v>&lt;/li&gt;&lt;li&gt;&lt;a href=|http://drb.scripturetext.com/job/33.htm| title=|Douay-Rheims Bible| target=|_top|&gt;DRB&lt;/a&gt;</v>
      </c>
      <c r="T469" t="str">
        <f t="shared" si="1872"/>
        <v>&lt;/li&gt;&lt;li&gt;&lt;a href=|http://erv.scripturetext.com/job/33.htm| title=|English Revised Version| target=|_top|&gt;ERV&lt;/a&gt;</v>
      </c>
      <c r="V469" t="str">
        <f>CONCATENATE("&lt;/li&gt;&lt;li&gt;&lt;a href=|http://",V1191,"/job/33.htm","| ","title=|",V1190,"| target=|_top|&gt;",V1192,"&lt;/a&gt;")</f>
        <v>&lt;/li&gt;&lt;li&gt;&lt;a href=|http://study.interlinearbible.org/job/33.htm| title=|Hebrew Study Bible| target=|_top|&gt;Heb Study&lt;/a&gt;</v>
      </c>
      <c r="W469" t="str">
        <f t="shared" si="1872"/>
        <v>&lt;/li&gt;&lt;li&gt;&lt;a href=|http://apostolic.interlinearbible.org/job/33.htm| title=|Apostolic Bible Polyglot Interlinear| target=|_top|&gt;Polyglot&lt;/a&gt;</v>
      </c>
      <c r="X469" t="str">
        <f t="shared" si="1872"/>
        <v>&lt;/li&gt;&lt;li&gt;&lt;a href=|http://interlinearbible.org/job/33.htm| title=|Interlinear Bible| target=|_top|&gt;Interlin&lt;/a&gt;</v>
      </c>
      <c r="Y469" t="str">
        <f t="shared" ref="Y469" si="1873">CONCATENATE("&lt;/li&gt;&lt;li&gt;&lt;a href=|http://",Y1191,"/job/33.htm","| ","title=|",Y1190,"| target=|_top|&gt;",Y1192,"&lt;/a&gt;")</f>
        <v>&lt;/li&gt;&lt;li&gt;&lt;a href=|http://bibleoutline.org/job/33.htm| title=|Outline with People and Places List| target=|_top|&gt;Outline&lt;/a&gt;</v>
      </c>
      <c r="Z469" t="str">
        <f t="shared" si="1872"/>
        <v>&lt;/li&gt;&lt;li&gt;&lt;a href=|http://kjvs.scripturetext.com/job/33.htm| title=|King James Bible with Strong's Numbers| target=|_top|&gt;Strong's&lt;/a&gt;</v>
      </c>
      <c r="AA469" t="str">
        <f t="shared" si="1872"/>
        <v>&lt;/li&gt;&lt;li&gt;&lt;a href=|http://childrensbibleonline.com/job/33.htm| title=|The Children's Bible| target=|_top|&gt;Children's&lt;/a&gt;</v>
      </c>
      <c r="AB469" s="2" t="str">
        <f t="shared" si="1872"/>
        <v>&lt;/li&gt;&lt;li&gt;&lt;a href=|http://tsk.scripturetext.com/job/33.htm| title=|Treasury of Scripture Knowledge| target=|_top|&gt;TSK&lt;/a&gt;</v>
      </c>
      <c r="AC469" t="str">
        <f>CONCATENATE("&lt;a href=|http://",AC1191,"/job/33.htm","| ","title=|",AC1190,"| target=|_top|&gt;",AC1192,"&lt;/a&gt;")</f>
        <v>&lt;a href=|http://parallelbible.com/job/33.htm| title=|Parallel Chapters| target=|_top|&gt;PAR&lt;/a&gt;</v>
      </c>
      <c r="AD469" s="2" t="str">
        <f t="shared" ref="AD469:AK469" si="1874">CONCATENATE("&lt;/li&gt;&lt;li&gt;&lt;a href=|http://",AD1191,"/job/33.htm","| ","title=|",AD1190,"| target=|_top|&gt;",AD1192,"&lt;/a&gt;")</f>
        <v>&lt;/li&gt;&lt;li&gt;&lt;a href=|http://gsb.biblecommenter.com/job/33.htm| title=|Geneva Study Bible| target=|_top|&gt;GSB&lt;/a&gt;</v>
      </c>
      <c r="AE469" s="2" t="str">
        <f t="shared" si="1874"/>
        <v>&lt;/li&gt;&lt;li&gt;&lt;a href=|http://jfb.biblecommenter.com/job/33.htm| title=|Jamieson-Fausset-Brown Bible Commentary| target=|_top|&gt;JFB&lt;/a&gt;</v>
      </c>
      <c r="AF469" s="2" t="str">
        <f t="shared" si="1874"/>
        <v>&lt;/li&gt;&lt;li&gt;&lt;a href=|http://kjt.biblecommenter.com/job/33.htm| title=|King James Translators' Notes| target=|_top|&gt;KJT&lt;/a&gt;</v>
      </c>
      <c r="AG469" s="2" t="str">
        <f t="shared" si="1874"/>
        <v>&lt;/li&gt;&lt;li&gt;&lt;a href=|http://mhc.biblecommenter.com/job/33.htm| title=|Matthew Henry's Concise Commentary| target=|_top|&gt;MHC&lt;/a&gt;</v>
      </c>
      <c r="AH469" s="2" t="str">
        <f t="shared" si="1874"/>
        <v>&lt;/li&gt;&lt;li&gt;&lt;a href=|http://sco.biblecommenter.com/job/33.htm| title=|Scofield Reference Notes| target=|_top|&gt;SCO&lt;/a&gt;</v>
      </c>
      <c r="AI469" s="2" t="str">
        <f t="shared" si="1874"/>
        <v>&lt;/li&gt;&lt;li&gt;&lt;a href=|http://wes.biblecommenter.com/job/33.htm| title=|Wesley's Notes on the Bible| target=|_top|&gt;WES&lt;/a&gt;</v>
      </c>
      <c r="AJ469" t="str">
        <f t="shared" si="1874"/>
        <v>&lt;/li&gt;&lt;li&gt;&lt;a href=|http://worldebible.com/job/33.htm| title=|World English Bible| target=|_top|&gt;WEB&lt;/a&gt;</v>
      </c>
      <c r="AK469" t="str">
        <f t="shared" si="1874"/>
        <v>&lt;/li&gt;&lt;li&gt;&lt;a href=|http://yltbible.com/job/33.htm| title=|Young's Literal Translation| target=|_top|&gt;YLT&lt;/a&gt;</v>
      </c>
      <c r="AL469" t="str">
        <f>CONCATENATE("&lt;a href=|http://",AL1191,"/job/33.htm","| ","title=|",AL1190,"| target=|_top|&gt;",AL1192,"&lt;/a&gt;")</f>
        <v>&lt;a href=|http://kjv.us/job/33.htm| title=|American King James Version| target=|_top|&gt;AKJ&lt;/a&gt;</v>
      </c>
      <c r="AM469" t="str">
        <f t="shared" ref="AM469:AN469" si="1875">CONCATENATE("&lt;/li&gt;&lt;li&gt;&lt;a href=|http://",AM1191,"/job/33.htm","| ","title=|",AM1190,"| target=|_top|&gt;",AM1192,"&lt;/a&gt;")</f>
        <v>&lt;/li&gt;&lt;li&gt;&lt;a href=|http://basicenglishbible.com/job/33.htm| title=|Bible in Basic English| target=|_top|&gt;BBE&lt;/a&gt;</v>
      </c>
      <c r="AN469" t="str">
        <f t="shared" si="1875"/>
        <v>&lt;/li&gt;&lt;li&gt;&lt;a href=|http://darbybible.com/job/33.htm| title=|Darby Bible Translation| target=|_top|&gt;DBY&lt;/a&gt;</v>
      </c>
      <c r="AO46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6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6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69" t="str">
        <f>CONCATENATE("&lt;/li&gt;&lt;li&gt;&lt;a href=|http://",AR1191,"/job/33.htm","| ","title=|",AR1190,"| target=|_top|&gt;",AR1192,"&lt;/a&gt;")</f>
        <v>&lt;/li&gt;&lt;li&gt;&lt;a href=|http://websterbible.com/job/33.htm| title=|Webster's Bible Translation| target=|_top|&gt;WBS&lt;/a&gt;</v>
      </c>
      <c r="AS46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69" t="str">
        <f>CONCATENATE("&lt;/li&gt;&lt;li&gt;&lt;a href=|http://",AT1191,"/job/33-1.htm","| ","title=|",AT1190,"| target=|_top|&gt;",AT1192,"&lt;/a&gt;")</f>
        <v>&lt;/li&gt;&lt;li&gt;&lt;a href=|http://biblebrowser.com/job/33-1.htm| title=|Split View| target=|_top|&gt;Split&lt;/a&gt;</v>
      </c>
      <c r="AU469" s="2" t="s">
        <v>1276</v>
      </c>
      <c r="AV469" t="s">
        <v>64</v>
      </c>
    </row>
    <row r="470" spans="1:48">
      <c r="A470" t="s">
        <v>622</v>
      </c>
      <c r="B470" t="s">
        <v>708</v>
      </c>
      <c r="C470" t="s">
        <v>624</v>
      </c>
      <c r="D470" t="s">
        <v>1268</v>
      </c>
      <c r="E470" t="s">
        <v>1277</v>
      </c>
      <c r="F470" t="s">
        <v>1304</v>
      </c>
      <c r="G470" t="s">
        <v>1266</v>
      </c>
      <c r="H470" t="s">
        <v>1305</v>
      </c>
      <c r="I470" t="s">
        <v>1303</v>
      </c>
      <c r="J470" t="s">
        <v>1267</v>
      </c>
      <c r="K470" t="s">
        <v>1275</v>
      </c>
      <c r="L470" s="2" t="s">
        <v>1274</v>
      </c>
      <c r="M470" t="str">
        <f t="shared" ref="M470:AB470" si="1876">CONCATENATE("&lt;/li&gt;&lt;li&gt;&lt;a href=|http://",M1191,"/job/34.htm","| ","title=|",M1190,"| target=|_top|&gt;",M1192,"&lt;/a&gt;")</f>
        <v>&lt;/li&gt;&lt;li&gt;&lt;a href=|http://niv.scripturetext.com/job/34.htm| title=|New International Version| target=|_top|&gt;NIV&lt;/a&gt;</v>
      </c>
      <c r="N470" t="str">
        <f t="shared" si="1876"/>
        <v>&lt;/li&gt;&lt;li&gt;&lt;a href=|http://nlt.scripturetext.com/job/34.htm| title=|New Living Translation| target=|_top|&gt;NLT&lt;/a&gt;</v>
      </c>
      <c r="O470" t="str">
        <f t="shared" si="1876"/>
        <v>&lt;/li&gt;&lt;li&gt;&lt;a href=|http://nasb.scripturetext.com/job/34.htm| title=|New American Standard Bible| target=|_top|&gt;NAS&lt;/a&gt;</v>
      </c>
      <c r="P470" t="str">
        <f t="shared" si="1876"/>
        <v>&lt;/li&gt;&lt;li&gt;&lt;a href=|http://gwt.scripturetext.com/job/34.htm| title=|God's Word Translation| target=|_top|&gt;GWT&lt;/a&gt;</v>
      </c>
      <c r="Q470" t="str">
        <f t="shared" si="1876"/>
        <v>&lt;/li&gt;&lt;li&gt;&lt;a href=|http://kingjbible.com/job/34.htm| title=|King James Bible| target=|_top|&gt;KJV&lt;/a&gt;</v>
      </c>
      <c r="R470" t="str">
        <f t="shared" si="1876"/>
        <v>&lt;/li&gt;&lt;li&gt;&lt;a href=|http://asvbible.com/job/34.htm| title=|American Standard Version| target=|_top|&gt;ASV&lt;/a&gt;</v>
      </c>
      <c r="S470" t="str">
        <f t="shared" si="1876"/>
        <v>&lt;/li&gt;&lt;li&gt;&lt;a href=|http://drb.scripturetext.com/job/34.htm| title=|Douay-Rheims Bible| target=|_top|&gt;DRB&lt;/a&gt;</v>
      </c>
      <c r="T470" t="str">
        <f t="shared" si="1876"/>
        <v>&lt;/li&gt;&lt;li&gt;&lt;a href=|http://erv.scripturetext.com/job/34.htm| title=|English Revised Version| target=|_top|&gt;ERV&lt;/a&gt;</v>
      </c>
      <c r="V470" t="str">
        <f>CONCATENATE("&lt;/li&gt;&lt;li&gt;&lt;a href=|http://",V1191,"/job/34.htm","| ","title=|",V1190,"| target=|_top|&gt;",V1192,"&lt;/a&gt;")</f>
        <v>&lt;/li&gt;&lt;li&gt;&lt;a href=|http://study.interlinearbible.org/job/34.htm| title=|Hebrew Study Bible| target=|_top|&gt;Heb Study&lt;/a&gt;</v>
      </c>
      <c r="W470" t="str">
        <f t="shared" si="1876"/>
        <v>&lt;/li&gt;&lt;li&gt;&lt;a href=|http://apostolic.interlinearbible.org/job/34.htm| title=|Apostolic Bible Polyglot Interlinear| target=|_top|&gt;Polyglot&lt;/a&gt;</v>
      </c>
      <c r="X470" t="str">
        <f t="shared" si="1876"/>
        <v>&lt;/li&gt;&lt;li&gt;&lt;a href=|http://interlinearbible.org/job/34.htm| title=|Interlinear Bible| target=|_top|&gt;Interlin&lt;/a&gt;</v>
      </c>
      <c r="Y470" t="str">
        <f t="shared" ref="Y470" si="1877">CONCATENATE("&lt;/li&gt;&lt;li&gt;&lt;a href=|http://",Y1191,"/job/34.htm","| ","title=|",Y1190,"| target=|_top|&gt;",Y1192,"&lt;/a&gt;")</f>
        <v>&lt;/li&gt;&lt;li&gt;&lt;a href=|http://bibleoutline.org/job/34.htm| title=|Outline with People and Places List| target=|_top|&gt;Outline&lt;/a&gt;</v>
      </c>
      <c r="Z470" t="str">
        <f t="shared" si="1876"/>
        <v>&lt;/li&gt;&lt;li&gt;&lt;a href=|http://kjvs.scripturetext.com/job/34.htm| title=|King James Bible with Strong's Numbers| target=|_top|&gt;Strong's&lt;/a&gt;</v>
      </c>
      <c r="AA470" t="str">
        <f t="shared" si="1876"/>
        <v>&lt;/li&gt;&lt;li&gt;&lt;a href=|http://childrensbibleonline.com/job/34.htm| title=|The Children's Bible| target=|_top|&gt;Children's&lt;/a&gt;</v>
      </c>
      <c r="AB470" s="2" t="str">
        <f t="shared" si="1876"/>
        <v>&lt;/li&gt;&lt;li&gt;&lt;a href=|http://tsk.scripturetext.com/job/34.htm| title=|Treasury of Scripture Knowledge| target=|_top|&gt;TSK&lt;/a&gt;</v>
      </c>
      <c r="AC470" t="str">
        <f>CONCATENATE("&lt;a href=|http://",AC1191,"/job/34.htm","| ","title=|",AC1190,"| target=|_top|&gt;",AC1192,"&lt;/a&gt;")</f>
        <v>&lt;a href=|http://parallelbible.com/job/34.htm| title=|Parallel Chapters| target=|_top|&gt;PAR&lt;/a&gt;</v>
      </c>
      <c r="AD470" s="2" t="str">
        <f t="shared" ref="AD470:AK470" si="1878">CONCATENATE("&lt;/li&gt;&lt;li&gt;&lt;a href=|http://",AD1191,"/job/34.htm","| ","title=|",AD1190,"| target=|_top|&gt;",AD1192,"&lt;/a&gt;")</f>
        <v>&lt;/li&gt;&lt;li&gt;&lt;a href=|http://gsb.biblecommenter.com/job/34.htm| title=|Geneva Study Bible| target=|_top|&gt;GSB&lt;/a&gt;</v>
      </c>
      <c r="AE470" s="2" t="str">
        <f t="shared" si="1878"/>
        <v>&lt;/li&gt;&lt;li&gt;&lt;a href=|http://jfb.biblecommenter.com/job/34.htm| title=|Jamieson-Fausset-Brown Bible Commentary| target=|_top|&gt;JFB&lt;/a&gt;</v>
      </c>
      <c r="AF470" s="2" t="str">
        <f t="shared" si="1878"/>
        <v>&lt;/li&gt;&lt;li&gt;&lt;a href=|http://kjt.biblecommenter.com/job/34.htm| title=|King James Translators' Notes| target=|_top|&gt;KJT&lt;/a&gt;</v>
      </c>
      <c r="AG470" s="2" t="str">
        <f t="shared" si="1878"/>
        <v>&lt;/li&gt;&lt;li&gt;&lt;a href=|http://mhc.biblecommenter.com/job/34.htm| title=|Matthew Henry's Concise Commentary| target=|_top|&gt;MHC&lt;/a&gt;</v>
      </c>
      <c r="AH470" s="2" t="str">
        <f t="shared" si="1878"/>
        <v>&lt;/li&gt;&lt;li&gt;&lt;a href=|http://sco.biblecommenter.com/job/34.htm| title=|Scofield Reference Notes| target=|_top|&gt;SCO&lt;/a&gt;</v>
      </c>
      <c r="AI470" s="2" t="str">
        <f t="shared" si="1878"/>
        <v>&lt;/li&gt;&lt;li&gt;&lt;a href=|http://wes.biblecommenter.com/job/34.htm| title=|Wesley's Notes on the Bible| target=|_top|&gt;WES&lt;/a&gt;</v>
      </c>
      <c r="AJ470" t="str">
        <f t="shared" si="1878"/>
        <v>&lt;/li&gt;&lt;li&gt;&lt;a href=|http://worldebible.com/job/34.htm| title=|World English Bible| target=|_top|&gt;WEB&lt;/a&gt;</v>
      </c>
      <c r="AK470" t="str">
        <f t="shared" si="1878"/>
        <v>&lt;/li&gt;&lt;li&gt;&lt;a href=|http://yltbible.com/job/34.htm| title=|Young's Literal Translation| target=|_top|&gt;YLT&lt;/a&gt;</v>
      </c>
      <c r="AL470" t="str">
        <f>CONCATENATE("&lt;a href=|http://",AL1191,"/job/34.htm","| ","title=|",AL1190,"| target=|_top|&gt;",AL1192,"&lt;/a&gt;")</f>
        <v>&lt;a href=|http://kjv.us/job/34.htm| title=|American King James Version| target=|_top|&gt;AKJ&lt;/a&gt;</v>
      </c>
      <c r="AM470" t="str">
        <f t="shared" ref="AM470:AN470" si="1879">CONCATENATE("&lt;/li&gt;&lt;li&gt;&lt;a href=|http://",AM1191,"/job/34.htm","| ","title=|",AM1190,"| target=|_top|&gt;",AM1192,"&lt;/a&gt;")</f>
        <v>&lt;/li&gt;&lt;li&gt;&lt;a href=|http://basicenglishbible.com/job/34.htm| title=|Bible in Basic English| target=|_top|&gt;BBE&lt;/a&gt;</v>
      </c>
      <c r="AN470" t="str">
        <f t="shared" si="1879"/>
        <v>&lt;/li&gt;&lt;li&gt;&lt;a href=|http://darbybible.com/job/34.htm| title=|Darby Bible Translation| target=|_top|&gt;DBY&lt;/a&gt;</v>
      </c>
      <c r="AO47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7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7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70" t="str">
        <f>CONCATENATE("&lt;/li&gt;&lt;li&gt;&lt;a href=|http://",AR1191,"/job/34.htm","| ","title=|",AR1190,"| target=|_top|&gt;",AR1192,"&lt;/a&gt;")</f>
        <v>&lt;/li&gt;&lt;li&gt;&lt;a href=|http://websterbible.com/job/34.htm| title=|Webster's Bible Translation| target=|_top|&gt;WBS&lt;/a&gt;</v>
      </c>
      <c r="AS47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70" t="str">
        <f>CONCATENATE("&lt;/li&gt;&lt;li&gt;&lt;a href=|http://",AT1191,"/job/34-1.htm","| ","title=|",AT1190,"| target=|_top|&gt;",AT1192,"&lt;/a&gt;")</f>
        <v>&lt;/li&gt;&lt;li&gt;&lt;a href=|http://biblebrowser.com/job/34-1.htm| title=|Split View| target=|_top|&gt;Split&lt;/a&gt;</v>
      </c>
      <c r="AU470" s="2" t="s">
        <v>1276</v>
      </c>
      <c r="AV470" t="s">
        <v>64</v>
      </c>
    </row>
    <row r="471" spans="1:48">
      <c r="A471" t="s">
        <v>622</v>
      </c>
      <c r="B471" t="s">
        <v>709</v>
      </c>
      <c r="C471" t="s">
        <v>624</v>
      </c>
      <c r="D471" t="s">
        <v>1268</v>
      </c>
      <c r="E471" t="s">
        <v>1277</v>
      </c>
      <c r="F471" t="s">
        <v>1304</v>
      </c>
      <c r="G471" t="s">
        <v>1266</v>
      </c>
      <c r="H471" t="s">
        <v>1305</v>
      </c>
      <c r="I471" t="s">
        <v>1303</v>
      </c>
      <c r="J471" t="s">
        <v>1267</v>
      </c>
      <c r="K471" t="s">
        <v>1275</v>
      </c>
      <c r="L471" s="2" t="s">
        <v>1274</v>
      </c>
      <c r="M471" t="str">
        <f t="shared" ref="M471:AB471" si="1880">CONCATENATE("&lt;/li&gt;&lt;li&gt;&lt;a href=|http://",M1191,"/job/35.htm","| ","title=|",M1190,"| target=|_top|&gt;",M1192,"&lt;/a&gt;")</f>
        <v>&lt;/li&gt;&lt;li&gt;&lt;a href=|http://niv.scripturetext.com/job/35.htm| title=|New International Version| target=|_top|&gt;NIV&lt;/a&gt;</v>
      </c>
      <c r="N471" t="str">
        <f t="shared" si="1880"/>
        <v>&lt;/li&gt;&lt;li&gt;&lt;a href=|http://nlt.scripturetext.com/job/35.htm| title=|New Living Translation| target=|_top|&gt;NLT&lt;/a&gt;</v>
      </c>
      <c r="O471" t="str">
        <f t="shared" si="1880"/>
        <v>&lt;/li&gt;&lt;li&gt;&lt;a href=|http://nasb.scripturetext.com/job/35.htm| title=|New American Standard Bible| target=|_top|&gt;NAS&lt;/a&gt;</v>
      </c>
      <c r="P471" t="str">
        <f t="shared" si="1880"/>
        <v>&lt;/li&gt;&lt;li&gt;&lt;a href=|http://gwt.scripturetext.com/job/35.htm| title=|God's Word Translation| target=|_top|&gt;GWT&lt;/a&gt;</v>
      </c>
      <c r="Q471" t="str">
        <f t="shared" si="1880"/>
        <v>&lt;/li&gt;&lt;li&gt;&lt;a href=|http://kingjbible.com/job/35.htm| title=|King James Bible| target=|_top|&gt;KJV&lt;/a&gt;</v>
      </c>
      <c r="R471" t="str">
        <f t="shared" si="1880"/>
        <v>&lt;/li&gt;&lt;li&gt;&lt;a href=|http://asvbible.com/job/35.htm| title=|American Standard Version| target=|_top|&gt;ASV&lt;/a&gt;</v>
      </c>
      <c r="S471" t="str">
        <f t="shared" si="1880"/>
        <v>&lt;/li&gt;&lt;li&gt;&lt;a href=|http://drb.scripturetext.com/job/35.htm| title=|Douay-Rheims Bible| target=|_top|&gt;DRB&lt;/a&gt;</v>
      </c>
      <c r="T471" t="str">
        <f t="shared" si="1880"/>
        <v>&lt;/li&gt;&lt;li&gt;&lt;a href=|http://erv.scripturetext.com/job/35.htm| title=|English Revised Version| target=|_top|&gt;ERV&lt;/a&gt;</v>
      </c>
      <c r="V471" t="str">
        <f>CONCATENATE("&lt;/li&gt;&lt;li&gt;&lt;a href=|http://",V1191,"/job/35.htm","| ","title=|",V1190,"| target=|_top|&gt;",V1192,"&lt;/a&gt;")</f>
        <v>&lt;/li&gt;&lt;li&gt;&lt;a href=|http://study.interlinearbible.org/job/35.htm| title=|Hebrew Study Bible| target=|_top|&gt;Heb Study&lt;/a&gt;</v>
      </c>
      <c r="W471" t="str">
        <f t="shared" si="1880"/>
        <v>&lt;/li&gt;&lt;li&gt;&lt;a href=|http://apostolic.interlinearbible.org/job/35.htm| title=|Apostolic Bible Polyglot Interlinear| target=|_top|&gt;Polyglot&lt;/a&gt;</v>
      </c>
      <c r="X471" t="str">
        <f t="shared" si="1880"/>
        <v>&lt;/li&gt;&lt;li&gt;&lt;a href=|http://interlinearbible.org/job/35.htm| title=|Interlinear Bible| target=|_top|&gt;Interlin&lt;/a&gt;</v>
      </c>
      <c r="Y471" t="str">
        <f t="shared" ref="Y471" si="1881">CONCATENATE("&lt;/li&gt;&lt;li&gt;&lt;a href=|http://",Y1191,"/job/35.htm","| ","title=|",Y1190,"| target=|_top|&gt;",Y1192,"&lt;/a&gt;")</f>
        <v>&lt;/li&gt;&lt;li&gt;&lt;a href=|http://bibleoutline.org/job/35.htm| title=|Outline with People and Places List| target=|_top|&gt;Outline&lt;/a&gt;</v>
      </c>
      <c r="Z471" t="str">
        <f t="shared" si="1880"/>
        <v>&lt;/li&gt;&lt;li&gt;&lt;a href=|http://kjvs.scripturetext.com/job/35.htm| title=|King James Bible with Strong's Numbers| target=|_top|&gt;Strong's&lt;/a&gt;</v>
      </c>
      <c r="AA471" t="str">
        <f t="shared" si="1880"/>
        <v>&lt;/li&gt;&lt;li&gt;&lt;a href=|http://childrensbibleonline.com/job/35.htm| title=|The Children's Bible| target=|_top|&gt;Children's&lt;/a&gt;</v>
      </c>
      <c r="AB471" s="2" t="str">
        <f t="shared" si="1880"/>
        <v>&lt;/li&gt;&lt;li&gt;&lt;a href=|http://tsk.scripturetext.com/job/35.htm| title=|Treasury of Scripture Knowledge| target=|_top|&gt;TSK&lt;/a&gt;</v>
      </c>
      <c r="AC471" t="str">
        <f>CONCATENATE("&lt;a href=|http://",AC1191,"/job/35.htm","| ","title=|",AC1190,"| target=|_top|&gt;",AC1192,"&lt;/a&gt;")</f>
        <v>&lt;a href=|http://parallelbible.com/job/35.htm| title=|Parallel Chapters| target=|_top|&gt;PAR&lt;/a&gt;</v>
      </c>
      <c r="AD471" s="2" t="str">
        <f t="shared" ref="AD471:AK471" si="1882">CONCATENATE("&lt;/li&gt;&lt;li&gt;&lt;a href=|http://",AD1191,"/job/35.htm","| ","title=|",AD1190,"| target=|_top|&gt;",AD1192,"&lt;/a&gt;")</f>
        <v>&lt;/li&gt;&lt;li&gt;&lt;a href=|http://gsb.biblecommenter.com/job/35.htm| title=|Geneva Study Bible| target=|_top|&gt;GSB&lt;/a&gt;</v>
      </c>
      <c r="AE471" s="2" t="str">
        <f t="shared" si="1882"/>
        <v>&lt;/li&gt;&lt;li&gt;&lt;a href=|http://jfb.biblecommenter.com/job/35.htm| title=|Jamieson-Fausset-Brown Bible Commentary| target=|_top|&gt;JFB&lt;/a&gt;</v>
      </c>
      <c r="AF471" s="2" t="str">
        <f t="shared" si="1882"/>
        <v>&lt;/li&gt;&lt;li&gt;&lt;a href=|http://kjt.biblecommenter.com/job/35.htm| title=|King James Translators' Notes| target=|_top|&gt;KJT&lt;/a&gt;</v>
      </c>
      <c r="AG471" s="2" t="str">
        <f t="shared" si="1882"/>
        <v>&lt;/li&gt;&lt;li&gt;&lt;a href=|http://mhc.biblecommenter.com/job/35.htm| title=|Matthew Henry's Concise Commentary| target=|_top|&gt;MHC&lt;/a&gt;</v>
      </c>
      <c r="AH471" s="2" t="str">
        <f t="shared" si="1882"/>
        <v>&lt;/li&gt;&lt;li&gt;&lt;a href=|http://sco.biblecommenter.com/job/35.htm| title=|Scofield Reference Notes| target=|_top|&gt;SCO&lt;/a&gt;</v>
      </c>
      <c r="AI471" s="2" t="str">
        <f t="shared" si="1882"/>
        <v>&lt;/li&gt;&lt;li&gt;&lt;a href=|http://wes.biblecommenter.com/job/35.htm| title=|Wesley's Notes on the Bible| target=|_top|&gt;WES&lt;/a&gt;</v>
      </c>
      <c r="AJ471" t="str">
        <f t="shared" si="1882"/>
        <v>&lt;/li&gt;&lt;li&gt;&lt;a href=|http://worldebible.com/job/35.htm| title=|World English Bible| target=|_top|&gt;WEB&lt;/a&gt;</v>
      </c>
      <c r="AK471" t="str">
        <f t="shared" si="1882"/>
        <v>&lt;/li&gt;&lt;li&gt;&lt;a href=|http://yltbible.com/job/35.htm| title=|Young's Literal Translation| target=|_top|&gt;YLT&lt;/a&gt;</v>
      </c>
      <c r="AL471" t="str">
        <f>CONCATENATE("&lt;a href=|http://",AL1191,"/job/35.htm","| ","title=|",AL1190,"| target=|_top|&gt;",AL1192,"&lt;/a&gt;")</f>
        <v>&lt;a href=|http://kjv.us/job/35.htm| title=|American King James Version| target=|_top|&gt;AKJ&lt;/a&gt;</v>
      </c>
      <c r="AM471" t="str">
        <f t="shared" ref="AM471:AN471" si="1883">CONCATENATE("&lt;/li&gt;&lt;li&gt;&lt;a href=|http://",AM1191,"/job/35.htm","| ","title=|",AM1190,"| target=|_top|&gt;",AM1192,"&lt;/a&gt;")</f>
        <v>&lt;/li&gt;&lt;li&gt;&lt;a href=|http://basicenglishbible.com/job/35.htm| title=|Bible in Basic English| target=|_top|&gt;BBE&lt;/a&gt;</v>
      </c>
      <c r="AN471" t="str">
        <f t="shared" si="1883"/>
        <v>&lt;/li&gt;&lt;li&gt;&lt;a href=|http://darbybible.com/job/35.htm| title=|Darby Bible Translation| target=|_top|&gt;DBY&lt;/a&gt;</v>
      </c>
      <c r="AO47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7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7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71" t="str">
        <f>CONCATENATE("&lt;/li&gt;&lt;li&gt;&lt;a href=|http://",AR1191,"/job/35.htm","| ","title=|",AR1190,"| target=|_top|&gt;",AR1192,"&lt;/a&gt;")</f>
        <v>&lt;/li&gt;&lt;li&gt;&lt;a href=|http://websterbible.com/job/35.htm| title=|Webster's Bible Translation| target=|_top|&gt;WBS&lt;/a&gt;</v>
      </c>
      <c r="AS47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71" t="str">
        <f>CONCATENATE("&lt;/li&gt;&lt;li&gt;&lt;a href=|http://",AT1191,"/job/35-1.htm","| ","title=|",AT1190,"| target=|_top|&gt;",AT1192,"&lt;/a&gt;")</f>
        <v>&lt;/li&gt;&lt;li&gt;&lt;a href=|http://biblebrowser.com/job/35-1.htm| title=|Split View| target=|_top|&gt;Split&lt;/a&gt;</v>
      </c>
      <c r="AU471" s="2" t="s">
        <v>1276</v>
      </c>
      <c r="AV471" t="s">
        <v>64</v>
      </c>
    </row>
    <row r="472" spans="1:48">
      <c r="A472" t="s">
        <v>622</v>
      </c>
      <c r="B472" t="s">
        <v>710</v>
      </c>
      <c r="C472" t="s">
        <v>624</v>
      </c>
      <c r="D472" t="s">
        <v>1268</v>
      </c>
      <c r="E472" t="s">
        <v>1277</v>
      </c>
      <c r="F472" t="s">
        <v>1304</v>
      </c>
      <c r="G472" t="s">
        <v>1266</v>
      </c>
      <c r="H472" t="s">
        <v>1305</v>
      </c>
      <c r="I472" t="s">
        <v>1303</v>
      </c>
      <c r="J472" t="s">
        <v>1267</v>
      </c>
      <c r="K472" t="s">
        <v>1275</v>
      </c>
      <c r="L472" s="2" t="s">
        <v>1274</v>
      </c>
      <c r="M472" t="str">
        <f t="shared" ref="M472:AB472" si="1884">CONCATENATE("&lt;/li&gt;&lt;li&gt;&lt;a href=|http://",M1191,"/job/36.htm","| ","title=|",M1190,"| target=|_top|&gt;",M1192,"&lt;/a&gt;")</f>
        <v>&lt;/li&gt;&lt;li&gt;&lt;a href=|http://niv.scripturetext.com/job/36.htm| title=|New International Version| target=|_top|&gt;NIV&lt;/a&gt;</v>
      </c>
      <c r="N472" t="str">
        <f t="shared" si="1884"/>
        <v>&lt;/li&gt;&lt;li&gt;&lt;a href=|http://nlt.scripturetext.com/job/36.htm| title=|New Living Translation| target=|_top|&gt;NLT&lt;/a&gt;</v>
      </c>
      <c r="O472" t="str">
        <f t="shared" si="1884"/>
        <v>&lt;/li&gt;&lt;li&gt;&lt;a href=|http://nasb.scripturetext.com/job/36.htm| title=|New American Standard Bible| target=|_top|&gt;NAS&lt;/a&gt;</v>
      </c>
      <c r="P472" t="str">
        <f t="shared" si="1884"/>
        <v>&lt;/li&gt;&lt;li&gt;&lt;a href=|http://gwt.scripturetext.com/job/36.htm| title=|God's Word Translation| target=|_top|&gt;GWT&lt;/a&gt;</v>
      </c>
      <c r="Q472" t="str">
        <f t="shared" si="1884"/>
        <v>&lt;/li&gt;&lt;li&gt;&lt;a href=|http://kingjbible.com/job/36.htm| title=|King James Bible| target=|_top|&gt;KJV&lt;/a&gt;</v>
      </c>
      <c r="R472" t="str">
        <f t="shared" si="1884"/>
        <v>&lt;/li&gt;&lt;li&gt;&lt;a href=|http://asvbible.com/job/36.htm| title=|American Standard Version| target=|_top|&gt;ASV&lt;/a&gt;</v>
      </c>
      <c r="S472" t="str">
        <f t="shared" si="1884"/>
        <v>&lt;/li&gt;&lt;li&gt;&lt;a href=|http://drb.scripturetext.com/job/36.htm| title=|Douay-Rheims Bible| target=|_top|&gt;DRB&lt;/a&gt;</v>
      </c>
      <c r="T472" t="str">
        <f t="shared" si="1884"/>
        <v>&lt;/li&gt;&lt;li&gt;&lt;a href=|http://erv.scripturetext.com/job/36.htm| title=|English Revised Version| target=|_top|&gt;ERV&lt;/a&gt;</v>
      </c>
      <c r="V472" t="str">
        <f>CONCATENATE("&lt;/li&gt;&lt;li&gt;&lt;a href=|http://",V1191,"/job/36.htm","| ","title=|",V1190,"| target=|_top|&gt;",V1192,"&lt;/a&gt;")</f>
        <v>&lt;/li&gt;&lt;li&gt;&lt;a href=|http://study.interlinearbible.org/job/36.htm| title=|Hebrew Study Bible| target=|_top|&gt;Heb Study&lt;/a&gt;</v>
      </c>
      <c r="W472" t="str">
        <f t="shared" si="1884"/>
        <v>&lt;/li&gt;&lt;li&gt;&lt;a href=|http://apostolic.interlinearbible.org/job/36.htm| title=|Apostolic Bible Polyglot Interlinear| target=|_top|&gt;Polyglot&lt;/a&gt;</v>
      </c>
      <c r="X472" t="str">
        <f t="shared" si="1884"/>
        <v>&lt;/li&gt;&lt;li&gt;&lt;a href=|http://interlinearbible.org/job/36.htm| title=|Interlinear Bible| target=|_top|&gt;Interlin&lt;/a&gt;</v>
      </c>
      <c r="Y472" t="str">
        <f t="shared" ref="Y472" si="1885">CONCATENATE("&lt;/li&gt;&lt;li&gt;&lt;a href=|http://",Y1191,"/job/36.htm","| ","title=|",Y1190,"| target=|_top|&gt;",Y1192,"&lt;/a&gt;")</f>
        <v>&lt;/li&gt;&lt;li&gt;&lt;a href=|http://bibleoutline.org/job/36.htm| title=|Outline with People and Places List| target=|_top|&gt;Outline&lt;/a&gt;</v>
      </c>
      <c r="Z472" t="str">
        <f t="shared" si="1884"/>
        <v>&lt;/li&gt;&lt;li&gt;&lt;a href=|http://kjvs.scripturetext.com/job/36.htm| title=|King James Bible with Strong's Numbers| target=|_top|&gt;Strong's&lt;/a&gt;</v>
      </c>
      <c r="AA472" t="str">
        <f t="shared" si="1884"/>
        <v>&lt;/li&gt;&lt;li&gt;&lt;a href=|http://childrensbibleonline.com/job/36.htm| title=|The Children's Bible| target=|_top|&gt;Children's&lt;/a&gt;</v>
      </c>
      <c r="AB472" s="2" t="str">
        <f t="shared" si="1884"/>
        <v>&lt;/li&gt;&lt;li&gt;&lt;a href=|http://tsk.scripturetext.com/job/36.htm| title=|Treasury of Scripture Knowledge| target=|_top|&gt;TSK&lt;/a&gt;</v>
      </c>
      <c r="AC472" t="str">
        <f>CONCATENATE("&lt;a href=|http://",AC1191,"/job/36.htm","| ","title=|",AC1190,"| target=|_top|&gt;",AC1192,"&lt;/a&gt;")</f>
        <v>&lt;a href=|http://parallelbible.com/job/36.htm| title=|Parallel Chapters| target=|_top|&gt;PAR&lt;/a&gt;</v>
      </c>
      <c r="AD472" s="2" t="str">
        <f t="shared" ref="AD472:AK472" si="1886">CONCATENATE("&lt;/li&gt;&lt;li&gt;&lt;a href=|http://",AD1191,"/job/36.htm","| ","title=|",AD1190,"| target=|_top|&gt;",AD1192,"&lt;/a&gt;")</f>
        <v>&lt;/li&gt;&lt;li&gt;&lt;a href=|http://gsb.biblecommenter.com/job/36.htm| title=|Geneva Study Bible| target=|_top|&gt;GSB&lt;/a&gt;</v>
      </c>
      <c r="AE472" s="2" t="str">
        <f t="shared" si="1886"/>
        <v>&lt;/li&gt;&lt;li&gt;&lt;a href=|http://jfb.biblecommenter.com/job/36.htm| title=|Jamieson-Fausset-Brown Bible Commentary| target=|_top|&gt;JFB&lt;/a&gt;</v>
      </c>
      <c r="AF472" s="2" t="str">
        <f t="shared" si="1886"/>
        <v>&lt;/li&gt;&lt;li&gt;&lt;a href=|http://kjt.biblecommenter.com/job/36.htm| title=|King James Translators' Notes| target=|_top|&gt;KJT&lt;/a&gt;</v>
      </c>
      <c r="AG472" s="2" t="str">
        <f t="shared" si="1886"/>
        <v>&lt;/li&gt;&lt;li&gt;&lt;a href=|http://mhc.biblecommenter.com/job/36.htm| title=|Matthew Henry's Concise Commentary| target=|_top|&gt;MHC&lt;/a&gt;</v>
      </c>
      <c r="AH472" s="2" t="str">
        <f t="shared" si="1886"/>
        <v>&lt;/li&gt;&lt;li&gt;&lt;a href=|http://sco.biblecommenter.com/job/36.htm| title=|Scofield Reference Notes| target=|_top|&gt;SCO&lt;/a&gt;</v>
      </c>
      <c r="AI472" s="2" t="str">
        <f t="shared" si="1886"/>
        <v>&lt;/li&gt;&lt;li&gt;&lt;a href=|http://wes.biblecommenter.com/job/36.htm| title=|Wesley's Notes on the Bible| target=|_top|&gt;WES&lt;/a&gt;</v>
      </c>
      <c r="AJ472" t="str">
        <f t="shared" si="1886"/>
        <v>&lt;/li&gt;&lt;li&gt;&lt;a href=|http://worldebible.com/job/36.htm| title=|World English Bible| target=|_top|&gt;WEB&lt;/a&gt;</v>
      </c>
      <c r="AK472" t="str">
        <f t="shared" si="1886"/>
        <v>&lt;/li&gt;&lt;li&gt;&lt;a href=|http://yltbible.com/job/36.htm| title=|Young's Literal Translation| target=|_top|&gt;YLT&lt;/a&gt;</v>
      </c>
      <c r="AL472" t="str">
        <f>CONCATENATE("&lt;a href=|http://",AL1191,"/job/36.htm","| ","title=|",AL1190,"| target=|_top|&gt;",AL1192,"&lt;/a&gt;")</f>
        <v>&lt;a href=|http://kjv.us/job/36.htm| title=|American King James Version| target=|_top|&gt;AKJ&lt;/a&gt;</v>
      </c>
      <c r="AM472" t="str">
        <f t="shared" ref="AM472:AN472" si="1887">CONCATENATE("&lt;/li&gt;&lt;li&gt;&lt;a href=|http://",AM1191,"/job/36.htm","| ","title=|",AM1190,"| target=|_top|&gt;",AM1192,"&lt;/a&gt;")</f>
        <v>&lt;/li&gt;&lt;li&gt;&lt;a href=|http://basicenglishbible.com/job/36.htm| title=|Bible in Basic English| target=|_top|&gt;BBE&lt;/a&gt;</v>
      </c>
      <c r="AN472" t="str">
        <f t="shared" si="1887"/>
        <v>&lt;/li&gt;&lt;li&gt;&lt;a href=|http://darbybible.com/job/36.htm| title=|Darby Bible Translation| target=|_top|&gt;DBY&lt;/a&gt;</v>
      </c>
      <c r="AO47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7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7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72" t="str">
        <f>CONCATENATE("&lt;/li&gt;&lt;li&gt;&lt;a href=|http://",AR1191,"/job/36.htm","| ","title=|",AR1190,"| target=|_top|&gt;",AR1192,"&lt;/a&gt;")</f>
        <v>&lt;/li&gt;&lt;li&gt;&lt;a href=|http://websterbible.com/job/36.htm| title=|Webster's Bible Translation| target=|_top|&gt;WBS&lt;/a&gt;</v>
      </c>
      <c r="AS47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72" t="str">
        <f>CONCATENATE("&lt;/li&gt;&lt;li&gt;&lt;a href=|http://",AT1191,"/job/36-1.htm","| ","title=|",AT1190,"| target=|_top|&gt;",AT1192,"&lt;/a&gt;")</f>
        <v>&lt;/li&gt;&lt;li&gt;&lt;a href=|http://biblebrowser.com/job/36-1.htm| title=|Split View| target=|_top|&gt;Split&lt;/a&gt;</v>
      </c>
      <c r="AU472" s="2" t="s">
        <v>1276</v>
      </c>
      <c r="AV472" t="s">
        <v>64</v>
      </c>
    </row>
    <row r="473" spans="1:48">
      <c r="A473" t="s">
        <v>622</v>
      </c>
      <c r="B473" t="s">
        <v>711</v>
      </c>
      <c r="C473" t="s">
        <v>624</v>
      </c>
      <c r="D473" t="s">
        <v>1268</v>
      </c>
      <c r="E473" t="s">
        <v>1277</v>
      </c>
      <c r="F473" t="s">
        <v>1304</v>
      </c>
      <c r="G473" t="s">
        <v>1266</v>
      </c>
      <c r="H473" t="s">
        <v>1305</v>
      </c>
      <c r="I473" t="s">
        <v>1303</v>
      </c>
      <c r="J473" t="s">
        <v>1267</v>
      </c>
      <c r="K473" t="s">
        <v>1275</v>
      </c>
      <c r="L473" s="2" t="s">
        <v>1274</v>
      </c>
      <c r="M473" t="str">
        <f t="shared" ref="M473:AB473" si="1888">CONCATENATE("&lt;/li&gt;&lt;li&gt;&lt;a href=|http://",M1191,"/job/37.htm","| ","title=|",M1190,"| target=|_top|&gt;",M1192,"&lt;/a&gt;")</f>
        <v>&lt;/li&gt;&lt;li&gt;&lt;a href=|http://niv.scripturetext.com/job/37.htm| title=|New International Version| target=|_top|&gt;NIV&lt;/a&gt;</v>
      </c>
      <c r="N473" t="str">
        <f t="shared" si="1888"/>
        <v>&lt;/li&gt;&lt;li&gt;&lt;a href=|http://nlt.scripturetext.com/job/37.htm| title=|New Living Translation| target=|_top|&gt;NLT&lt;/a&gt;</v>
      </c>
      <c r="O473" t="str">
        <f t="shared" si="1888"/>
        <v>&lt;/li&gt;&lt;li&gt;&lt;a href=|http://nasb.scripturetext.com/job/37.htm| title=|New American Standard Bible| target=|_top|&gt;NAS&lt;/a&gt;</v>
      </c>
      <c r="P473" t="str">
        <f t="shared" si="1888"/>
        <v>&lt;/li&gt;&lt;li&gt;&lt;a href=|http://gwt.scripturetext.com/job/37.htm| title=|God's Word Translation| target=|_top|&gt;GWT&lt;/a&gt;</v>
      </c>
      <c r="Q473" t="str">
        <f t="shared" si="1888"/>
        <v>&lt;/li&gt;&lt;li&gt;&lt;a href=|http://kingjbible.com/job/37.htm| title=|King James Bible| target=|_top|&gt;KJV&lt;/a&gt;</v>
      </c>
      <c r="R473" t="str">
        <f t="shared" si="1888"/>
        <v>&lt;/li&gt;&lt;li&gt;&lt;a href=|http://asvbible.com/job/37.htm| title=|American Standard Version| target=|_top|&gt;ASV&lt;/a&gt;</v>
      </c>
      <c r="S473" t="str">
        <f t="shared" si="1888"/>
        <v>&lt;/li&gt;&lt;li&gt;&lt;a href=|http://drb.scripturetext.com/job/37.htm| title=|Douay-Rheims Bible| target=|_top|&gt;DRB&lt;/a&gt;</v>
      </c>
      <c r="T473" t="str">
        <f t="shared" si="1888"/>
        <v>&lt;/li&gt;&lt;li&gt;&lt;a href=|http://erv.scripturetext.com/job/37.htm| title=|English Revised Version| target=|_top|&gt;ERV&lt;/a&gt;</v>
      </c>
      <c r="V473" t="str">
        <f>CONCATENATE("&lt;/li&gt;&lt;li&gt;&lt;a href=|http://",V1191,"/job/37.htm","| ","title=|",V1190,"| target=|_top|&gt;",V1192,"&lt;/a&gt;")</f>
        <v>&lt;/li&gt;&lt;li&gt;&lt;a href=|http://study.interlinearbible.org/job/37.htm| title=|Hebrew Study Bible| target=|_top|&gt;Heb Study&lt;/a&gt;</v>
      </c>
      <c r="W473" t="str">
        <f t="shared" si="1888"/>
        <v>&lt;/li&gt;&lt;li&gt;&lt;a href=|http://apostolic.interlinearbible.org/job/37.htm| title=|Apostolic Bible Polyglot Interlinear| target=|_top|&gt;Polyglot&lt;/a&gt;</v>
      </c>
      <c r="X473" t="str">
        <f t="shared" si="1888"/>
        <v>&lt;/li&gt;&lt;li&gt;&lt;a href=|http://interlinearbible.org/job/37.htm| title=|Interlinear Bible| target=|_top|&gt;Interlin&lt;/a&gt;</v>
      </c>
      <c r="Y473" t="str">
        <f t="shared" ref="Y473" si="1889">CONCATENATE("&lt;/li&gt;&lt;li&gt;&lt;a href=|http://",Y1191,"/job/37.htm","| ","title=|",Y1190,"| target=|_top|&gt;",Y1192,"&lt;/a&gt;")</f>
        <v>&lt;/li&gt;&lt;li&gt;&lt;a href=|http://bibleoutline.org/job/37.htm| title=|Outline with People and Places List| target=|_top|&gt;Outline&lt;/a&gt;</v>
      </c>
      <c r="Z473" t="str">
        <f t="shared" si="1888"/>
        <v>&lt;/li&gt;&lt;li&gt;&lt;a href=|http://kjvs.scripturetext.com/job/37.htm| title=|King James Bible with Strong's Numbers| target=|_top|&gt;Strong's&lt;/a&gt;</v>
      </c>
      <c r="AA473" t="str">
        <f t="shared" si="1888"/>
        <v>&lt;/li&gt;&lt;li&gt;&lt;a href=|http://childrensbibleonline.com/job/37.htm| title=|The Children's Bible| target=|_top|&gt;Children's&lt;/a&gt;</v>
      </c>
      <c r="AB473" s="2" t="str">
        <f t="shared" si="1888"/>
        <v>&lt;/li&gt;&lt;li&gt;&lt;a href=|http://tsk.scripturetext.com/job/37.htm| title=|Treasury of Scripture Knowledge| target=|_top|&gt;TSK&lt;/a&gt;</v>
      </c>
      <c r="AC473" t="str">
        <f>CONCATENATE("&lt;a href=|http://",AC1191,"/job/37.htm","| ","title=|",AC1190,"| target=|_top|&gt;",AC1192,"&lt;/a&gt;")</f>
        <v>&lt;a href=|http://parallelbible.com/job/37.htm| title=|Parallel Chapters| target=|_top|&gt;PAR&lt;/a&gt;</v>
      </c>
      <c r="AD473" s="2" t="str">
        <f t="shared" ref="AD473:AK473" si="1890">CONCATENATE("&lt;/li&gt;&lt;li&gt;&lt;a href=|http://",AD1191,"/job/37.htm","| ","title=|",AD1190,"| target=|_top|&gt;",AD1192,"&lt;/a&gt;")</f>
        <v>&lt;/li&gt;&lt;li&gt;&lt;a href=|http://gsb.biblecommenter.com/job/37.htm| title=|Geneva Study Bible| target=|_top|&gt;GSB&lt;/a&gt;</v>
      </c>
      <c r="AE473" s="2" t="str">
        <f t="shared" si="1890"/>
        <v>&lt;/li&gt;&lt;li&gt;&lt;a href=|http://jfb.biblecommenter.com/job/37.htm| title=|Jamieson-Fausset-Brown Bible Commentary| target=|_top|&gt;JFB&lt;/a&gt;</v>
      </c>
      <c r="AF473" s="2" t="str">
        <f t="shared" si="1890"/>
        <v>&lt;/li&gt;&lt;li&gt;&lt;a href=|http://kjt.biblecommenter.com/job/37.htm| title=|King James Translators' Notes| target=|_top|&gt;KJT&lt;/a&gt;</v>
      </c>
      <c r="AG473" s="2" t="str">
        <f t="shared" si="1890"/>
        <v>&lt;/li&gt;&lt;li&gt;&lt;a href=|http://mhc.biblecommenter.com/job/37.htm| title=|Matthew Henry's Concise Commentary| target=|_top|&gt;MHC&lt;/a&gt;</v>
      </c>
      <c r="AH473" s="2" t="str">
        <f t="shared" si="1890"/>
        <v>&lt;/li&gt;&lt;li&gt;&lt;a href=|http://sco.biblecommenter.com/job/37.htm| title=|Scofield Reference Notes| target=|_top|&gt;SCO&lt;/a&gt;</v>
      </c>
      <c r="AI473" s="2" t="str">
        <f t="shared" si="1890"/>
        <v>&lt;/li&gt;&lt;li&gt;&lt;a href=|http://wes.biblecommenter.com/job/37.htm| title=|Wesley's Notes on the Bible| target=|_top|&gt;WES&lt;/a&gt;</v>
      </c>
      <c r="AJ473" t="str">
        <f t="shared" si="1890"/>
        <v>&lt;/li&gt;&lt;li&gt;&lt;a href=|http://worldebible.com/job/37.htm| title=|World English Bible| target=|_top|&gt;WEB&lt;/a&gt;</v>
      </c>
      <c r="AK473" t="str">
        <f t="shared" si="1890"/>
        <v>&lt;/li&gt;&lt;li&gt;&lt;a href=|http://yltbible.com/job/37.htm| title=|Young's Literal Translation| target=|_top|&gt;YLT&lt;/a&gt;</v>
      </c>
      <c r="AL473" t="str">
        <f>CONCATENATE("&lt;a href=|http://",AL1191,"/job/37.htm","| ","title=|",AL1190,"| target=|_top|&gt;",AL1192,"&lt;/a&gt;")</f>
        <v>&lt;a href=|http://kjv.us/job/37.htm| title=|American King James Version| target=|_top|&gt;AKJ&lt;/a&gt;</v>
      </c>
      <c r="AM473" t="str">
        <f t="shared" ref="AM473:AN473" si="1891">CONCATENATE("&lt;/li&gt;&lt;li&gt;&lt;a href=|http://",AM1191,"/job/37.htm","| ","title=|",AM1190,"| target=|_top|&gt;",AM1192,"&lt;/a&gt;")</f>
        <v>&lt;/li&gt;&lt;li&gt;&lt;a href=|http://basicenglishbible.com/job/37.htm| title=|Bible in Basic English| target=|_top|&gt;BBE&lt;/a&gt;</v>
      </c>
      <c r="AN473" t="str">
        <f t="shared" si="1891"/>
        <v>&lt;/li&gt;&lt;li&gt;&lt;a href=|http://darbybible.com/job/37.htm| title=|Darby Bible Translation| target=|_top|&gt;DBY&lt;/a&gt;</v>
      </c>
      <c r="AO47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7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7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73" t="str">
        <f>CONCATENATE("&lt;/li&gt;&lt;li&gt;&lt;a href=|http://",AR1191,"/job/37.htm","| ","title=|",AR1190,"| target=|_top|&gt;",AR1192,"&lt;/a&gt;")</f>
        <v>&lt;/li&gt;&lt;li&gt;&lt;a href=|http://websterbible.com/job/37.htm| title=|Webster's Bible Translation| target=|_top|&gt;WBS&lt;/a&gt;</v>
      </c>
      <c r="AS47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73" t="str">
        <f>CONCATENATE("&lt;/li&gt;&lt;li&gt;&lt;a href=|http://",AT1191,"/job/37-1.htm","| ","title=|",AT1190,"| target=|_top|&gt;",AT1192,"&lt;/a&gt;")</f>
        <v>&lt;/li&gt;&lt;li&gt;&lt;a href=|http://biblebrowser.com/job/37-1.htm| title=|Split View| target=|_top|&gt;Split&lt;/a&gt;</v>
      </c>
      <c r="AU473" s="2" t="s">
        <v>1276</v>
      </c>
      <c r="AV473" t="s">
        <v>64</v>
      </c>
    </row>
    <row r="474" spans="1:48">
      <c r="A474" t="s">
        <v>622</v>
      </c>
      <c r="B474" t="s">
        <v>712</v>
      </c>
      <c r="C474" t="s">
        <v>624</v>
      </c>
      <c r="D474" t="s">
        <v>1268</v>
      </c>
      <c r="E474" t="s">
        <v>1277</v>
      </c>
      <c r="F474" t="s">
        <v>1304</v>
      </c>
      <c r="G474" t="s">
        <v>1266</v>
      </c>
      <c r="H474" t="s">
        <v>1305</v>
      </c>
      <c r="I474" t="s">
        <v>1303</v>
      </c>
      <c r="J474" t="s">
        <v>1267</v>
      </c>
      <c r="K474" t="s">
        <v>1275</v>
      </c>
      <c r="L474" s="2" t="s">
        <v>1274</v>
      </c>
      <c r="M474" t="str">
        <f t="shared" ref="M474:AB474" si="1892">CONCATENATE("&lt;/li&gt;&lt;li&gt;&lt;a href=|http://",M1191,"/job/38.htm","| ","title=|",M1190,"| target=|_top|&gt;",M1192,"&lt;/a&gt;")</f>
        <v>&lt;/li&gt;&lt;li&gt;&lt;a href=|http://niv.scripturetext.com/job/38.htm| title=|New International Version| target=|_top|&gt;NIV&lt;/a&gt;</v>
      </c>
      <c r="N474" t="str">
        <f t="shared" si="1892"/>
        <v>&lt;/li&gt;&lt;li&gt;&lt;a href=|http://nlt.scripturetext.com/job/38.htm| title=|New Living Translation| target=|_top|&gt;NLT&lt;/a&gt;</v>
      </c>
      <c r="O474" t="str">
        <f t="shared" si="1892"/>
        <v>&lt;/li&gt;&lt;li&gt;&lt;a href=|http://nasb.scripturetext.com/job/38.htm| title=|New American Standard Bible| target=|_top|&gt;NAS&lt;/a&gt;</v>
      </c>
      <c r="P474" t="str">
        <f t="shared" si="1892"/>
        <v>&lt;/li&gt;&lt;li&gt;&lt;a href=|http://gwt.scripturetext.com/job/38.htm| title=|God's Word Translation| target=|_top|&gt;GWT&lt;/a&gt;</v>
      </c>
      <c r="Q474" t="str">
        <f t="shared" si="1892"/>
        <v>&lt;/li&gt;&lt;li&gt;&lt;a href=|http://kingjbible.com/job/38.htm| title=|King James Bible| target=|_top|&gt;KJV&lt;/a&gt;</v>
      </c>
      <c r="R474" t="str">
        <f t="shared" si="1892"/>
        <v>&lt;/li&gt;&lt;li&gt;&lt;a href=|http://asvbible.com/job/38.htm| title=|American Standard Version| target=|_top|&gt;ASV&lt;/a&gt;</v>
      </c>
      <c r="S474" t="str">
        <f t="shared" si="1892"/>
        <v>&lt;/li&gt;&lt;li&gt;&lt;a href=|http://drb.scripturetext.com/job/38.htm| title=|Douay-Rheims Bible| target=|_top|&gt;DRB&lt;/a&gt;</v>
      </c>
      <c r="T474" t="str">
        <f t="shared" si="1892"/>
        <v>&lt;/li&gt;&lt;li&gt;&lt;a href=|http://erv.scripturetext.com/job/38.htm| title=|English Revised Version| target=|_top|&gt;ERV&lt;/a&gt;</v>
      </c>
      <c r="V474" t="str">
        <f>CONCATENATE("&lt;/li&gt;&lt;li&gt;&lt;a href=|http://",V1191,"/job/38.htm","| ","title=|",V1190,"| target=|_top|&gt;",V1192,"&lt;/a&gt;")</f>
        <v>&lt;/li&gt;&lt;li&gt;&lt;a href=|http://study.interlinearbible.org/job/38.htm| title=|Hebrew Study Bible| target=|_top|&gt;Heb Study&lt;/a&gt;</v>
      </c>
      <c r="W474" t="str">
        <f t="shared" si="1892"/>
        <v>&lt;/li&gt;&lt;li&gt;&lt;a href=|http://apostolic.interlinearbible.org/job/38.htm| title=|Apostolic Bible Polyglot Interlinear| target=|_top|&gt;Polyglot&lt;/a&gt;</v>
      </c>
      <c r="X474" t="str">
        <f t="shared" si="1892"/>
        <v>&lt;/li&gt;&lt;li&gt;&lt;a href=|http://interlinearbible.org/job/38.htm| title=|Interlinear Bible| target=|_top|&gt;Interlin&lt;/a&gt;</v>
      </c>
      <c r="Y474" t="str">
        <f t="shared" ref="Y474" si="1893">CONCATENATE("&lt;/li&gt;&lt;li&gt;&lt;a href=|http://",Y1191,"/job/38.htm","| ","title=|",Y1190,"| target=|_top|&gt;",Y1192,"&lt;/a&gt;")</f>
        <v>&lt;/li&gt;&lt;li&gt;&lt;a href=|http://bibleoutline.org/job/38.htm| title=|Outline with People and Places List| target=|_top|&gt;Outline&lt;/a&gt;</v>
      </c>
      <c r="Z474" t="str">
        <f t="shared" si="1892"/>
        <v>&lt;/li&gt;&lt;li&gt;&lt;a href=|http://kjvs.scripturetext.com/job/38.htm| title=|King James Bible with Strong's Numbers| target=|_top|&gt;Strong's&lt;/a&gt;</v>
      </c>
      <c r="AA474" t="str">
        <f t="shared" si="1892"/>
        <v>&lt;/li&gt;&lt;li&gt;&lt;a href=|http://childrensbibleonline.com/job/38.htm| title=|The Children's Bible| target=|_top|&gt;Children's&lt;/a&gt;</v>
      </c>
      <c r="AB474" s="2" t="str">
        <f t="shared" si="1892"/>
        <v>&lt;/li&gt;&lt;li&gt;&lt;a href=|http://tsk.scripturetext.com/job/38.htm| title=|Treasury of Scripture Knowledge| target=|_top|&gt;TSK&lt;/a&gt;</v>
      </c>
      <c r="AC474" t="str">
        <f>CONCATENATE("&lt;a href=|http://",AC1191,"/job/38.htm","| ","title=|",AC1190,"| target=|_top|&gt;",AC1192,"&lt;/a&gt;")</f>
        <v>&lt;a href=|http://parallelbible.com/job/38.htm| title=|Parallel Chapters| target=|_top|&gt;PAR&lt;/a&gt;</v>
      </c>
      <c r="AD474" s="2" t="str">
        <f t="shared" ref="AD474:AK474" si="1894">CONCATENATE("&lt;/li&gt;&lt;li&gt;&lt;a href=|http://",AD1191,"/job/38.htm","| ","title=|",AD1190,"| target=|_top|&gt;",AD1192,"&lt;/a&gt;")</f>
        <v>&lt;/li&gt;&lt;li&gt;&lt;a href=|http://gsb.biblecommenter.com/job/38.htm| title=|Geneva Study Bible| target=|_top|&gt;GSB&lt;/a&gt;</v>
      </c>
      <c r="AE474" s="2" t="str">
        <f t="shared" si="1894"/>
        <v>&lt;/li&gt;&lt;li&gt;&lt;a href=|http://jfb.biblecommenter.com/job/38.htm| title=|Jamieson-Fausset-Brown Bible Commentary| target=|_top|&gt;JFB&lt;/a&gt;</v>
      </c>
      <c r="AF474" s="2" t="str">
        <f t="shared" si="1894"/>
        <v>&lt;/li&gt;&lt;li&gt;&lt;a href=|http://kjt.biblecommenter.com/job/38.htm| title=|King James Translators' Notes| target=|_top|&gt;KJT&lt;/a&gt;</v>
      </c>
      <c r="AG474" s="2" t="str">
        <f t="shared" si="1894"/>
        <v>&lt;/li&gt;&lt;li&gt;&lt;a href=|http://mhc.biblecommenter.com/job/38.htm| title=|Matthew Henry's Concise Commentary| target=|_top|&gt;MHC&lt;/a&gt;</v>
      </c>
      <c r="AH474" s="2" t="str">
        <f t="shared" si="1894"/>
        <v>&lt;/li&gt;&lt;li&gt;&lt;a href=|http://sco.biblecommenter.com/job/38.htm| title=|Scofield Reference Notes| target=|_top|&gt;SCO&lt;/a&gt;</v>
      </c>
      <c r="AI474" s="2" t="str">
        <f t="shared" si="1894"/>
        <v>&lt;/li&gt;&lt;li&gt;&lt;a href=|http://wes.biblecommenter.com/job/38.htm| title=|Wesley's Notes on the Bible| target=|_top|&gt;WES&lt;/a&gt;</v>
      </c>
      <c r="AJ474" t="str">
        <f t="shared" si="1894"/>
        <v>&lt;/li&gt;&lt;li&gt;&lt;a href=|http://worldebible.com/job/38.htm| title=|World English Bible| target=|_top|&gt;WEB&lt;/a&gt;</v>
      </c>
      <c r="AK474" t="str">
        <f t="shared" si="1894"/>
        <v>&lt;/li&gt;&lt;li&gt;&lt;a href=|http://yltbible.com/job/38.htm| title=|Young's Literal Translation| target=|_top|&gt;YLT&lt;/a&gt;</v>
      </c>
      <c r="AL474" t="str">
        <f>CONCATENATE("&lt;a href=|http://",AL1191,"/job/38.htm","| ","title=|",AL1190,"| target=|_top|&gt;",AL1192,"&lt;/a&gt;")</f>
        <v>&lt;a href=|http://kjv.us/job/38.htm| title=|American King James Version| target=|_top|&gt;AKJ&lt;/a&gt;</v>
      </c>
      <c r="AM474" t="str">
        <f t="shared" ref="AM474:AN474" si="1895">CONCATENATE("&lt;/li&gt;&lt;li&gt;&lt;a href=|http://",AM1191,"/job/38.htm","| ","title=|",AM1190,"| target=|_top|&gt;",AM1192,"&lt;/a&gt;")</f>
        <v>&lt;/li&gt;&lt;li&gt;&lt;a href=|http://basicenglishbible.com/job/38.htm| title=|Bible in Basic English| target=|_top|&gt;BBE&lt;/a&gt;</v>
      </c>
      <c r="AN474" t="str">
        <f t="shared" si="1895"/>
        <v>&lt;/li&gt;&lt;li&gt;&lt;a href=|http://darbybible.com/job/38.htm| title=|Darby Bible Translation| target=|_top|&gt;DBY&lt;/a&gt;</v>
      </c>
      <c r="AO47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7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7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74" t="str">
        <f>CONCATENATE("&lt;/li&gt;&lt;li&gt;&lt;a href=|http://",AR1191,"/job/38.htm","| ","title=|",AR1190,"| target=|_top|&gt;",AR1192,"&lt;/a&gt;")</f>
        <v>&lt;/li&gt;&lt;li&gt;&lt;a href=|http://websterbible.com/job/38.htm| title=|Webster's Bible Translation| target=|_top|&gt;WBS&lt;/a&gt;</v>
      </c>
      <c r="AS47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74" t="str">
        <f>CONCATENATE("&lt;/li&gt;&lt;li&gt;&lt;a href=|http://",AT1191,"/job/38-1.htm","| ","title=|",AT1190,"| target=|_top|&gt;",AT1192,"&lt;/a&gt;")</f>
        <v>&lt;/li&gt;&lt;li&gt;&lt;a href=|http://biblebrowser.com/job/38-1.htm| title=|Split View| target=|_top|&gt;Split&lt;/a&gt;</v>
      </c>
      <c r="AU474" s="2" t="s">
        <v>1276</v>
      </c>
      <c r="AV474" t="s">
        <v>64</v>
      </c>
    </row>
    <row r="475" spans="1:48">
      <c r="A475" t="s">
        <v>622</v>
      </c>
      <c r="B475" t="s">
        <v>713</v>
      </c>
      <c r="C475" t="s">
        <v>624</v>
      </c>
      <c r="D475" t="s">
        <v>1268</v>
      </c>
      <c r="E475" t="s">
        <v>1277</v>
      </c>
      <c r="F475" t="s">
        <v>1304</v>
      </c>
      <c r="G475" t="s">
        <v>1266</v>
      </c>
      <c r="H475" t="s">
        <v>1305</v>
      </c>
      <c r="I475" t="s">
        <v>1303</v>
      </c>
      <c r="J475" t="s">
        <v>1267</v>
      </c>
      <c r="K475" t="s">
        <v>1275</v>
      </c>
      <c r="L475" s="2" t="s">
        <v>1274</v>
      </c>
      <c r="M475" t="str">
        <f t="shared" ref="M475:AB475" si="1896">CONCATENATE("&lt;/li&gt;&lt;li&gt;&lt;a href=|http://",M1191,"/job/39.htm","| ","title=|",M1190,"| target=|_top|&gt;",M1192,"&lt;/a&gt;")</f>
        <v>&lt;/li&gt;&lt;li&gt;&lt;a href=|http://niv.scripturetext.com/job/39.htm| title=|New International Version| target=|_top|&gt;NIV&lt;/a&gt;</v>
      </c>
      <c r="N475" t="str">
        <f t="shared" si="1896"/>
        <v>&lt;/li&gt;&lt;li&gt;&lt;a href=|http://nlt.scripturetext.com/job/39.htm| title=|New Living Translation| target=|_top|&gt;NLT&lt;/a&gt;</v>
      </c>
      <c r="O475" t="str">
        <f t="shared" si="1896"/>
        <v>&lt;/li&gt;&lt;li&gt;&lt;a href=|http://nasb.scripturetext.com/job/39.htm| title=|New American Standard Bible| target=|_top|&gt;NAS&lt;/a&gt;</v>
      </c>
      <c r="P475" t="str">
        <f t="shared" si="1896"/>
        <v>&lt;/li&gt;&lt;li&gt;&lt;a href=|http://gwt.scripturetext.com/job/39.htm| title=|God's Word Translation| target=|_top|&gt;GWT&lt;/a&gt;</v>
      </c>
      <c r="Q475" t="str">
        <f t="shared" si="1896"/>
        <v>&lt;/li&gt;&lt;li&gt;&lt;a href=|http://kingjbible.com/job/39.htm| title=|King James Bible| target=|_top|&gt;KJV&lt;/a&gt;</v>
      </c>
      <c r="R475" t="str">
        <f t="shared" si="1896"/>
        <v>&lt;/li&gt;&lt;li&gt;&lt;a href=|http://asvbible.com/job/39.htm| title=|American Standard Version| target=|_top|&gt;ASV&lt;/a&gt;</v>
      </c>
      <c r="S475" t="str">
        <f t="shared" si="1896"/>
        <v>&lt;/li&gt;&lt;li&gt;&lt;a href=|http://drb.scripturetext.com/job/39.htm| title=|Douay-Rheims Bible| target=|_top|&gt;DRB&lt;/a&gt;</v>
      </c>
      <c r="T475" t="str">
        <f t="shared" si="1896"/>
        <v>&lt;/li&gt;&lt;li&gt;&lt;a href=|http://erv.scripturetext.com/job/39.htm| title=|English Revised Version| target=|_top|&gt;ERV&lt;/a&gt;</v>
      </c>
      <c r="V475" t="str">
        <f>CONCATENATE("&lt;/li&gt;&lt;li&gt;&lt;a href=|http://",V1191,"/job/39.htm","| ","title=|",V1190,"| target=|_top|&gt;",V1192,"&lt;/a&gt;")</f>
        <v>&lt;/li&gt;&lt;li&gt;&lt;a href=|http://study.interlinearbible.org/job/39.htm| title=|Hebrew Study Bible| target=|_top|&gt;Heb Study&lt;/a&gt;</v>
      </c>
      <c r="W475" t="str">
        <f t="shared" si="1896"/>
        <v>&lt;/li&gt;&lt;li&gt;&lt;a href=|http://apostolic.interlinearbible.org/job/39.htm| title=|Apostolic Bible Polyglot Interlinear| target=|_top|&gt;Polyglot&lt;/a&gt;</v>
      </c>
      <c r="X475" t="str">
        <f t="shared" si="1896"/>
        <v>&lt;/li&gt;&lt;li&gt;&lt;a href=|http://interlinearbible.org/job/39.htm| title=|Interlinear Bible| target=|_top|&gt;Interlin&lt;/a&gt;</v>
      </c>
      <c r="Y475" t="str">
        <f t="shared" ref="Y475" si="1897">CONCATENATE("&lt;/li&gt;&lt;li&gt;&lt;a href=|http://",Y1191,"/job/39.htm","| ","title=|",Y1190,"| target=|_top|&gt;",Y1192,"&lt;/a&gt;")</f>
        <v>&lt;/li&gt;&lt;li&gt;&lt;a href=|http://bibleoutline.org/job/39.htm| title=|Outline with People and Places List| target=|_top|&gt;Outline&lt;/a&gt;</v>
      </c>
      <c r="Z475" t="str">
        <f t="shared" si="1896"/>
        <v>&lt;/li&gt;&lt;li&gt;&lt;a href=|http://kjvs.scripturetext.com/job/39.htm| title=|King James Bible with Strong's Numbers| target=|_top|&gt;Strong's&lt;/a&gt;</v>
      </c>
      <c r="AA475" t="str">
        <f t="shared" si="1896"/>
        <v>&lt;/li&gt;&lt;li&gt;&lt;a href=|http://childrensbibleonline.com/job/39.htm| title=|The Children's Bible| target=|_top|&gt;Children's&lt;/a&gt;</v>
      </c>
      <c r="AB475" s="2" t="str">
        <f t="shared" si="1896"/>
        <v>&lt;/li&gt;&lt;li&gt;&lt;a href=|http://tsk.scripturetext.com/job/39.htm| title=|Treasury of Scripture Knowledge| target=|_top|&gt;TSK&lt;/a&gt;</v>
      </c>
      <c r="AC475" t="str">
        <f>CONCATENATE("&lt;a href=|http://",AC1191,"/job/39.htm","| ","title=|",AC1190,"| target=|_top|&gt;",AC1192,"&lt;/a&gt;")</f>
        <v>&lt;a href=|http://parallelbible.com/job/39.htm| title=|Parallel Chapters| target=|_top|&gt;PAR&lt;/a&gt;</v>
      </c>
      <c r="AD475" s="2" t="str">
        <f t="shared" ref="AD475:AK475" si="1898">CONCATENATE("&lt;/li&gt;&lt;li&gt;&lt;a href=|http://",AD1191,"/job/39.htm","| ","title=|",AD1190,"| target=|_top|&gt;",AD1192,"&lt;/a&gt;")</f>
        <v>&lt;/li&gt;&lt;li&gt;&lt;a href=|http://gsb.biblecommenter.com/job/39.htm| title=|Geneva Study Bible| target=|_top|&gt;GSB&lt;/a&gt;</v>
      </c>
      <c r="AE475" s="2" t="str">
        <f t="shared" si="1898"/>
        <v>&lt;/li&gt;&lt;li&gt;&lt;a href=|http://jfb.biblecommenter.com/job/39.htm| title=|Jamieson-Fausset-Brown Bible Commentary| target=|_top|&gt;JFB&lt;/a&gt;</v>
      </c>
      <c r="AF475" s="2" t="str">
        <f t="shared" si="1898"/>
        <v>&lt;/li&gt;&lt;li&gt;&lt;a href=|http://kjt.biblecommenter.com/job/39.htm| title=|King James Translators' Notes| target=|_top|&gt;KJT&lt;/a&gt;</v>
      </c>
      <c r="AG475" s="2" t="str">
        <f t="shared" si="1898"/>
        <v>&lt;/li&gt;&lt;li&gt;&lt;a href=|http://mhc.biblecommenter.com/job/39.htm| title=|Matthew Henry's Concise Commentary| target=|_top|&gt;MHC&lt;/a&gt;</v>
      </c>
      <c r="AH475" s="2" t="str">
        <f t="shared" si="1898"/>
        <v>&lt;/li&gt;&lt;li&gt;&lt;a href=|http://sco.biblecommenter.com/job/39.htm| title=|Scofield Reference Notes| target=|_top|&gt;SCO&lt;/a&gt;</v>
      </c>
      <c r="AI475" s="2" t="str">
        <f t="shared" si="1898"/>
        <v>&lt;/li&gt;&lt;li&gt;&lt;a href=|http://wes.biblecommenter.com/job/39.htm| title=|Wesley's Notes on the Bible| target=|_top|&gt;WES&lt;/a&gt;</v>
      </c>
      <c r="AJ475" t="str">
        <f t="shared" si="1898"/>
        <v>&lt;/li&gt;&lt;li&gt;&lt;a href=|http://worldebible.com/job/39.htm| title=|World English Bible| target=|_top|&gt;WEB&lt;/a&gt;</v>
      </c>
      <c r="AK475" t="str">
        <f t="shared" si="1898"/>
        <v>&lt;/li&gt;&lt;li&gt;&lt;a href=|http://yltbible.com/job/39.htm| title=|Young's Literal Translation| target=|_top|&gt;YLT&lt;/a&gt;</v>
      </c>
      <c r="AL475" t="str">
        <f>CONCATENATE("&lt;a href=|http://",AL1191,"/job/39.htm","| ","title=|",AL1190,"| target=|_top|&gt;",AL1192,"&lt;/a&gt;")</f>
        <v>&lt;a href=|http://kjv.us/job/39.htm| title=|American King James Version| target=|_top|&gt;AKJ&lt;/a&gt;</v>
      </c>
      <c r="AM475" t="str">
        <f t="shared" ref="AM475:AN475" si="1899">CONCATENATE("&lt;/li&gt;&lt;li&gt;&lt;a href=|http://",AM1191,"/job/39.htm","| ","title=|",AM1190,"| target=|_top|&gt;",AM1192,"&lt;/a&gt;")</f>
        <v>&lt;/li&gt;&lt;li&gt;&lt;a href=|http://basicenglishbible.com/job/39.htm| title=|Bible in Basic English| target=|_top|&gt;BBE&lt;/a&gt;</v>
      </c>
      <c r="AN475" t="str">
        <f t="shared" si="1899"/>
        <v>&lt;/li&gt;&lt;li&gt;&lt;a href=|http://darbybible.com/job/39.htm| title=|Darby Bible Translation| target=|_top|&gt;DBY&lt;/a&gt;</v>
      </c>
      <c r="AO47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7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7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75" t="str">
        <f>CONCATENATE("&lt;/li&gt;&lt;li&gt;&lt;a href=|http://",AR1191,"/job/39.htm","| ","title=|",AR1190,"| target=|_top|&gt;",AR1192,"&lt;/a&gt;")</f>
        <v>&lt;/li&gt;&lt;li&gt;&lt;a href=|http://websterbible.com/job/39.htm| title=|Webster's Bible Translation| target=|_top|&gt;WBS&lt;/a&gt;</v>
      </c>
      <c r="AS47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75" t="str">
        <f>CONCATENATE("&lt;/li&gt;&lt;li&gt;&lt;a href=|http://",AT1191,"/job/39-1.htm","| ","title=|",AT1190,"| target=|_top|&gt;",AT1192,"&lt;/a&gt;")</f>
        <v>&lt;/li&gt;&lt;li&gt;&lt;a href=|http://biblebrowser.com/job/39-1.htm| title=|Split View| target=|_top|&gt;Split&lt;/a&gt;</v>
      </c>
      <c r="AU475" s="2" t="s">
        <v>1276</v>
      </c>
      <c r="AV475" t="s">
        <v>64</v>
      </c>
    </row>
    <row r="476" spans="1:48">
      <c r="A476" t="s">
        <v>622</v>
      </c>
      <c r="B476" t="s">
        <v>714</v>
      </c>
      <c r="C476" t="s">
        <v>624</v>
      </c>
      <c r="D476" t="s">
        <v>1268</v>
      </c>
      <c r="E476" t="s">
        <v>1277</v>
      </c>
      <c r="F476" t="s">
        <v>1304</v>
      </c>
      <c r="G476" t="s">
        <v>1266</v>
      </c>
      <c r="H476" t="s">
        <v>1305</v>
      </c>
      <c r="I476" t="s">
        <v>1303</v>
      </c>
      <c r="J476" t="s">
        <v>1267</v>
      </c>
      <c r="K476" t="s">
        <v>1275</v>
      </c>
      <c r="L476" s="2" t="s">
        <v>1274</v>
      </c>
      <c r="M476" t="str">
        <f t="shared" ref="M476:AB476" si="1900">CONCATENATE("&lt;/li&gt;&lt;li&gt;&lt;a href=|http://",M1191,"/job/40.htm","| ","title=|",M1190,"| target=|_top|&gt;",M1192,"&lt;/a&gt;")</f>
        <v>&lt;/li&gt;&lt;li&gt;&lt;a href=|http://niv.scripturetext.com/job/40.htm| title=|New International Version| target=|_top|&gt;NIV&lt;/a&gt;</v>
      </c>
      <c r="N476" t="str">
        <f t="shared" si="1900"/>
        <v>&lt;/li&gt;&lt;li&gt;&lt;a href=|http://nlt.scripturetext.com/job/40.htm| title=|New Living Translation| target=|_top|&gt;NLT&lt;/a&gt;</v>
      </c>
      <c r="O476" t="str">
        <f t="shared" si="1900"/>
        <v>&lt;/li&gt;&lt;li&gt;&lt;a href=|http://nasb.scripturetext.com/job/40.htm| title=|New American Standard Bible| target=|_top|&gt;NAS&lt;/a&gt;</v>
      </c>
      <c r="P476" t="str">
        <f t="shared" si="1900"/>
        <v>&lt;/li&gt;&lt;li&gt;&lt;a href=|http://gwt.scripturetext.com/job/40.htm| title=|God's Word Translation| target=|_top|&gt;GWT&lt;/a&gt;</v>
      </c>
      <c r="Q476" t="str">
        <f t="shared" si="1900"/>
        <v>&lt;/li&gt;&lt;li&gt;&lt;a href=|http://kingjbible.com/job/40.htm| title=|King James Bible| target=|_top|&gt;KJV&lt;/a&gt;</v>
      </c>
      <c r="R476" t="str">
        <f t="shared" si="1900"/>
        <v>&lt;/li&gt;&lt;li&gt;&lt;a href=|http://asvbible.com/job/40.htm| title=|American Standard Version| target=|_top|&gt;ASV&lt;/a&gt;</v>
      </c>
      <c r="S476" t="str">
        <f t="shared" si="1900"/>
        <v>&lt;/li&gt;&lt;li&gt;&lt;a href=|http://drb.scripturetext.com/job/40.htm| title=|Douay-Rheims Bible| target=|_top|&gt;DRB&lt;/a&gt;</v>
      </c>
      <c r="T476" t="str">
        <f t="shared" si="1900"/>
        <v>&lt;/li&gt;&lt;li&gt;&lt;a href=|http://erv.scripturetext.com/job/40.htm| title=|English Revised Version| target=|_top|&gt;ERV&lt;/a&gt;</v>
      </c>
      <c r="V476" t="str">
        <f>CONCATENATE("&lt;/li&gt;&lt;li&gt;&lt;a href=|http://",V1191,"/job/40.htm","| ","title=|",V1190,"| target=|_top|&gt;",V1192,"&lt;/a&gt;")</f>
        <v>&lt;/li&gt;&lt;li&gt;&lt;a href=|http://study.interlinearbible.org/job/40.htm| title=|Hebrew Study Bible| target=|_top|&gt;Heb Study&lt;/a&gt;</v>
      </c>
      <c r="W476" t="str">
        <f t="shared" si="1900"/>
        <v>&lt;/li&gt;&lt;li&gt;&lt;a href=|http://apostolic.interlinearbible.org/job/40.htm| title=|Apostolic Bible Polyglot Interlinear| target=|_top|&gt;Polyglot&lt;/a&gt;</v>
      </c>
      <c r="X476" t="str">
        <f t="shared" si="1900"/>
        <v>&lt;/li&gt;&lt;li&gt;&lt;a href=|http://interlinearbible.org/job/40.htm| title=|Interlinear Bible| target=|_top|&gt;Interlin&lt;/a&gt;</v>
      </c>
      <c r="Y476" t="str">
        <f t="shared" ref="Y476" si="1901">CONCATENATE("&lt;/li&gt;&lt;li&gt;&lt;a href=|http://",Y1191,"/job/40.htm","| ","title=|",Y1190,"| target=|_top|&gt;",Y1192,"&lt;/a&gt;")</f>
        <v>&lt;/li&gt;&lt;li&gt;&lt;a href=|http://bibleoutline.org/job/40.htm| title=|Outline with People and Places List| target=|_top|&gt;Outline&lt;/a&gt;</v>
      </c>
      <c r="Z476" t="str">
        <f t="shared" si="1900"/>
        <v>&lt;/li&gt;&lt;li&gt;&lt;a href=|http://kjvs.scripturetext.com/job/40.htm| title=|King James Bible with Strong's Numbers| target=|_top|&gt;Strong's&lt;/a&gt;</v>
      </c>
      <c r="AA476" t="str">
        <f t="shared" si="1900"/>
        <v>&lt;/li&gt;&lt;li&gt;&lt;a href=|http://childrensbibleonline.com/job/40.htm| title=|The Children's Bible| target=|_top|&gt;Children's&lt;/a&gt;</v>
      </c>
      <c r="AB476" s="2" t="str">
        <f t="shared" si="1900"/>
        <v>&lt;/li&gt;&lt;li&gt;&lt;a href=|http://tsk.scripturetext.com/job/40.htm| title=|Treasury of Scripture Knowledge| target=|_top|&gt;TSK&lt;/a&gt;</v>
      </c>
      <c r="AC476" t="str">
        <f>CONCATENATE("&lt;a href=|http://",AC1191,"/job/40.htm","| ","title=|",AC1190,"| target=|_top|&gt;",AC1192,"&lt;/a&gt;")</f>
        <v>&lt;a href=|http://parallelbible.com/job/40.htm| title=|Parallel Chapters| target=|_top|&gt;PAR&lt;/a&gt;</v>
      </c>
      <c r="AD476" s="2" t="str">
        <f t="shared" ref="AD476:AK476" si="1902">CONCATENATE("&lt;/li&gt;&lt;li&gt;&lt;a href=|http://",AD1191,"/job/40.htm","| ","title=|",AD1190,"| target=|_top|&gt;",AD1192,"&lt;/a&gt;")</f>
        <v>&lt;/li&gt;&lt;li&gt;&lt;a href=|http://gsb.biblecommenter.com/job/40.htm| title=|Geneva Study Bible| target=|_top|&gt;GSB&lt;/a&gt;</v>
      </c>
      <c r="AE476" s="2" t="str">
        <f t="shared" si="1902"/>
        <v>&lt;/li&gt;&lt;li&gt;&lt;a href=|http://jfb.biblecommenter.com/job/40.htm| title=|Jamieson-Fausset-Brown Bible Commentary| target=|_top|&gt;JFB&lt;/a&gt;</v>
      </c>
      <c r="AF476" s="2" t="str">
        <f t="shared" si="1902"/>
        <v>&lt;/li&gt;&lt;li&gt;&lt;a href=|http://kjt.biblecommenter.com/job/40.htm| title=|King James Translators' Notes| target=|_top|&gt;KJT&lt;/a&gt;</v>
      </c>
      <c r="AG476" s="2" t="str">
        <f t="shared" si="1902"/>
        <v>&lt;/li&gt;&lt;li&gt;&lt;a href=|http://mhc.biblecommenter.com/job/40.htm| title=|Matthew Henry's Concise Commentary| target=|_top|&gt;MHC&lt;/a&gt;</v>
      </c>
      <c r="AH476" s="2" t="str">
        <f t="shared" si="1902"/>
        <v>&lt;/li&gt;&lt;li&gt;&lt;a href=|http://sco.biblecommenter.com/job/40.htm| title=|Scofield Reference Notes| target=|_top|&gt;SCO&lt;/a&gt;</v>
      </c>
      <c r="AI476" s="2" t="str">
        <f t="shared" si="1902"/>
        <v>&lt;/li&gt;&lt;li&gt;&lt;a href=|http://wes.biblecommenter.com/job/40.htm| title=|Wesley's Notes on the Bible| target=|_top|&gt;WES&lt;/a&gt;</v>
      </c>
      <c r="AJ476" t="str">
        <f t="shared" si="1902"/>
        <v>&lt;/li&gt;&lt;li&gt;&lt;a href=|http://worldebible.com/job/40.htm| title=|World English Bible| target=|_top|&gt;WEB&lt;/a&gt;</v>
      </c>
      <c r="AK476" t="str">
        <f t="shared" si="1902"/>
        <v>&lt;/li&gt;&lt;li&gt;&lt;a href=|http://yltbible.com/job/40.htm| title=|Young's Literal Translation| target=|_top|&gt;YLT&lt;/a&gt;</v>
      </c>
      <c r="AL476" t="str">
        <f>CONCATENATE("&lt;a href=|http://",AL1191,"/job/40.htm","| ","title=|",AL1190,"| target=|_top|&gt;",AL1192,"&lt;/a&gt;")</f>
        <v>&lt;a href=|http://kjv.us/job/40.htm| title=|American King James Version| target=|_top|&gt;AKJ&lt;/a&gt;</v>
      </c>
      <c r="AM476" t="str">
        <f t="shared" ref="AM476:AN476" si="1903">CONCATENATE("&lt;/li&gt;&lt;li&gt;&lt;a href=|http://",AM1191,"/job/40.htm","| ","title=|",AM1190,"| target=|_top|&gt;",AM1192,"&lt;/a&gt;")</f>
        <v>&lt;/li&gt;&lt;li&gt;&lt;a href=|http://basicenglishbible.com/job/40.htm| title=|Bible in Basic English| target=|_top|&gt;BBE&lt;/a&gt;</v>
      </c>
      <c r="AN476" t="str">
        <f t="shared" si="1903"/>
        <v>&lt;/li&gt;&lt;li&gt;&lt;a href=|http://darbybible.com/job/40.htm| title=|Darby Bible Translation| target=|_top|&gt;DBY&lt;/a&gt;</v>
      </c>
      <c r="AO47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7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7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76" t="str">
        <f>CONCATENATE("&lt;/li&gt;&lt;li&gt;&lt;a href=|http://",AR1191,"/job/40.htm","| ","title=|",AR1190,"| target=|_top|&gt;",AR1192,"&lt;/a&gt;")</f>
        <v>&lt;/li&gt;&lt;li&gt;&lt;a href=|http://websterbible.com/job/40.htm| title=|Webster's Bible Translation| target=|_top|&gt;WBS&lt;/a&gt;</v>
      </c>
      <c r="AS47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76" t="str">
        <f>CONCATENATE("&lt;/li&gt;&lt;li&gt;&lt;a href=|http://",AT1191,"/job/40-1.htm","| ","title=|",AT1190,"| target=|_top|&gt;",AT1192,"&lt;/a&gt;")</f>
        <v>&lt;/li&gt;&lt;li&gt;&lt;a href=|http://biblebrowser.com/job/40-1.htm| title=|Split View| target=|_top|&gt;Split&lt;/a&gt;</v>
      </c>
      <c r="AU476" s="2" t="s">
        <v>1276</v>
      </c>
      <c r="AV476" t="s">
        <v>64</v>
      </c>
    </row>
    <row r="477" spans="1:48">
      <c r="A477" t="s">
        <v>622</v>
      </c>
      <c r="B477" t="s">
        <v>715</v>
      </c>
      <c r="C477" t="s">
        <v>624</v>
      </c>
      <c r="D477" t="s">
        <v>1268</v>
      </c>
      <c r="E477" t="s">
        <v>1277</v>
      </c>
      <c r="F477" t="s">
        <v>1304</v>
      </c>
      <c r="G477" t="s">
        <v>1266</v>
      </c>
      <c r="H477" t="s">
        <v>1305</v>
      </c>
      <c r="I477" t="s">
        <v>1303</v>
      </c>
      <c r="J477" t="s">
        <v>1267</v>
      </c>
      <c r="K477" t="s">
        <v>1275</v>
      </c>
      <c r="L477" s="2" t="s">
        <v>1274</v>
      </c>
      <c r="M477" t="str">
        <f t="shared" ref="M477:AB477" si="1904">CONCATENATE("&lt;/li&gt;&lt;li&gt;&lt;a href=|http://",M1191,"/job/41.htm","| ","title=|",M1190,"| target=|_top|&gt;",M1192,"&lt;/a&gt;")</f>
        <v>&lt;/li&gt;&lt;li&gt;&lt;a href=|http://niv.scripturetext.com/job/41.htm| title=|New International Version| target=|_top|&gt;NIV&lt;/a&gt;</v>
      </c>
      <c r="N477" t="str">
        <f t="shared" si="1904"/>
        <v>&lt;/li&gt;&lt;li&gt;&lt;a href=|http://nlt.scripturetext.com/job/41.htm| title=|New Living Translation| target=|_top|&gt;NLT&lt;/a&gt;</v>
      </c>
      <c r="O477" t="str">
        <f t="shared" si="1904"/>
        <v>&lt;/li&gt;&lt;li&gt;&lt;a href=|http://nasb.scripturetext.com/job/41.htm| title=|New American Standard Bible| target=|_top|&gt;NAS&lt;/a&gt;</v>
      </c>
      <c r="P477" t="str">
        <f t="shared" si="1904"/>
        <v>&lt;/li&gt;&lt;li&gt;&lt;a href=|http://gwt.scripturetext.com/job/41.htm| title=|God's Word Translation| target=|_top|&gt;GWT&lt;/a&gt;</v>
      </c>
      <c r="Q477" t="str">
        <f t="shared" si="1904"/>
        <v>&lt;/li&gt;&lt;li&gt;&lt;a href=|http://kingjbible.com/job/41.htm| title=|King James Bible| target=|_top|&gt;KJV&lt;/a&gt;</v>
      </c>
      <c r="R477" t="str">
        <f t="shared" si="1904"/>
        <v>&lt;/li&gt;&lt;li&gt;&lt;a href=|http://asvbible.com/job/41.htm| title=|American Standard Version| target=|_top|&gt;ASV&lt;/a&gt;</v>
      </c>
      <c r="S477" t="str">
        <f t="shared" si="1904"/>
        <v>&lt;/li&gt;&lt;li&gt;&lt;a href=|http://drb.scripturetext.com/job/41.htm| title=|Douay-Rheims Bible| target=|_top|&gt;DRB&lt;/a&gt;</v>
      </c>
      <c r="T477" t="str">
        <f t="shared" si="1904"/>
        <v>&lt;/li&gt;&lt;li&gt;&lt;a href=|http://erv.scripturetext.com/job/41.htm| title=|English Revised Version| target=|_top|&gt;ERV&lt;/a&gt;</v>
      </c>
      <c r="V477" t="str">
        <f>CONCATENATE("&lt;/li&gt;&lt;li&gt;&lt;a href=|http://",V1191,"/job/41.htm","| ","title=|",V1190,"| target=|_top|&gt;",V1192,"&lt;/a&gt;")</f>
        <v>&lt;/li&gt;&lt;li&gt;&lt;a href=|http://study.interlinearbible.org/job/41.htm| title=|Hebrew Study Bible| target=|_top|&gt;Heb Study&lt;/a&gt;</v>
      </c>
      <c r="W477" t="str">
        <f t="shared" si="1904"/>
        <v>&lt;/li&gt;&lt;li&gt;&lt;a href=|http://apostolic.interlinearbible.org/job/41.htm| title=|Apostolic Bible Polyglot Interlinear| target=|_top|&gt;Polyglot&lt;/a&gt;</v>
      </c>
      <c r="X477" t="str">
        <f t="shared" si="1904"/>
        <v>&lt;/li&gt;&lt;li&gt;&lt;a href=|http://interlinearbible.org/job/41.htm| title=|Interlinear Bible| target=|_top|&gt;Interlin&lt;/a&gt;</v>
      </c>
      <c r="Y477" t="str">
        <f t="shared" ref="Y477" si="1905">CONCATENATE("&lt;/li&gt;&lt;li&gt;&lt;a href=|http://",Y1191,"/job/41.htm","| ","title=|",Y1190,"| target=|_top|&gt;",Y1192,"&lt;/a&gt;")</f>
        <v>&lt;/li&gt;&lt;li&gt;&lt;a href=|http://bibleoutline.org/job/41.htm| title=|Outline with People and Places List| target=|_top|&gt;Outline&lt;/a&gt;</v>
      </c>
      <c r="Z477" t="str">
        <f t="shared" si="1904"/>
        <v>&lt;/li&gt;&lt;li&gt;&lt;a href=|http://kjvs.scripturetext.com/job/41.htm| title=|King James Bible with Strong's Numbers| target=|_top|&gt;Strong's&lt;/a&gt;</v>
      </c>
      <c r="AA477" t="str">
        <f t="shared" si="1904"/>
        <v>&lt;/li&gt;&lt;li&gt;&lt;a href=|http://childrensbibleonline.com/job/41.htm| title=|The Children's Bible| target=|_top|&gt;Children's&lt;/a&gt;</v>
      </c>
      <c r="AB477" s="2" t="str">
        <f t="shared" si="1904"/>
        <v>&lt;/li&gt;&lt;li&gt;&lt;a href=|http://tsk.scripturetext.com/job/41.htm| title=|Treasury of Scripture Knowledge| target=|_top|&gt;TSK&lt;/a&gt;</v>
      </c>
      <c r="AC477" t="str">
        <f>CONCATENATE("&lt;a href=|http://",AC1191,"/job/41.htm","| ","title=|",AC1190,"| target=|_top|&gt;",AC1192,"&lt;/a&gt;")</f>
        <v>&lt;a href=|http://parallelbible.com/job/41.htm| title=|Parallel Chapters| target=|_top|&gt;PAR&lt;/a&gt;</v>
      </c>
      <c r="AD477" s="2" t="str">
        <f t="shared" ref="AD477:AK477" si="1906">CONCATENATE("&lt;/li&gt;&lt;li&gt;&lt;a href=|http://",AD1191,"/job/41.htm","| ","title=|",AD1190,"| target=|_top|&gt;",AD1192,"&lt;/a&gt;")</f>
        <v>&lt;/li&gt;&lt;li&gt;&lt;a href=|http://gsb.biblecommenter.com/job/41.htm| title=|Geneva Study Bible| target=|_top|&gt;GSB&lt;/a&gt;</v>
      </c>
      <c r="AE477" s="2" t="str">
        <f t="shared" si="1906"/>
        <v>&lt;/li&gt;&lt;li&gt;&lt;a href=|http://jfb.biblecommenter.com/job/41.htm| title=|Jamieson-Fausset-Brown Bible Commentary| target=|_top|&gt;JFB&lt;/a&gt;</v>
      </c>
      <c r="AF477" s="2" t="str">
        <f t="shared" si="1906"/>
        <v>&lt;/li&gt;&lt;li&gt;&lt;a href=|http://kjt.biblecommenter.com/job/41.htm| title=|King James Translators' Notes| target=|_top|&gt;KJT&lt;/a&gt;</v>
      </c>
      <c r="AG477" s="2" t="str">
        <f t="shared" si="1906"/>
        <v>&lt;/li&gt;&lt;li&gt;&lt;a href=|http://mhc.biblecommenter.com/job/41.htm| title=|Matthew Henry's Concise Commentary| target=|_top|&gt;MHC&lt;/a&gt;</v>
      </c>
      <c r="AH477" s="2" t="str">
        <f t="shared" si="1906"/>
        <v>&lt;/li&gt;&lt;li&gt;&lt;a href=|http://sco.biblecommenter.com/job/41.htm| title=|Scofield Reference Notes| target=|_top|&gt;SCO&lt;/a&gt;</v>
      </c>
      <c r="AI477" s="2" t="str">
        <f t="shared" si="1906"/>
        <v>&lt;/li&gt;&lt;li&gt;&lt;a href=|http://wes.biblecommenter.com/job/41.htm| title=|Wesley's Notes on the Bible| target=|_top|&gt;WES&lt;/a&gt;</v>
      </c>
      <c r="AJ477" t="str">
        <f t="shared" si="1906"/>
        <v>&lt;/li&gt;&lt;li&gt;&lt;a href=|http://worldebible.com/job/41.htm| title=|World English Bible| target=|_top|&gt;WEB&lt;/a&gt;</v>
      </c>
      <c r="AK477" t="str">
        <f t="shared" si="1906"/>
        <v>&lt;/li&gt;&lt;li&gt;&lt;a href=|http://yltbible.com/job/41.htm| title=|Young's Literal Translation| target=|_top|&gt;YLT&lt;/a&gt;</v>
      </c>
      <c r="AL477" t="str">
        <f>CONCATENATE("&lt;a href=|http://",AL1191,"/job/41.htm","| ","title=|",AL1190,"| target=|_top|&gt;",AL1192,"&lt;/a&gt;")</f>
        <v>&lt;a href=|http://kjv.us/job/41.htm| title=|American King James Version| target=|_top|&gt;AKJ&lt;/a&gt;</v>
      </c>
      <c r="AM477" t="str">
        <f t="shared" ref="AM477:AN477" si="1907">CONCATENATE("&lt;/li&gt;&lt;li&gt;&lt;a href=|http://",AM1191,"/job/41.htm","| ","title=|",AM1190,"| target=|_top|&gt;",AM1192,"&lt;/a&gt;")</f>
        <v>&lt;/li&gt;&lt;li&gt;&lt;a href=|http://basicenglishbible.com/job/41.htm| title=|Bible in Basic English| target=|_top|&gt;BBE&lt;/a&gt;</v>
      </c>
      <c r="AN477" t="str">
        <f t="shared" si="1907"/>
        <v>&lt;/li&gt;&lt;li&gt;&lt;a href=|http://darbybible.com/job/41.htm| title=|Darby Bible Translation| target=|_top|&gt;DBY&lt;/a&gt;</v>
      </c>
      <c r="AO47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7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7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77" t="str">
        <f>CONCATENATE("&lt;/li&gt;&lt;li&gt;&lt;a href=|http://",AR1191,"/job/41.htm","| ","title=|",AR1190,"| target=|_top|&gt;",AR1192,"&lt;/a&gt;")</f>
        <v>&lt;/li&gt;&lt;li&gt;&lt;a href=|http://websterbible.com/job/41.htm| title=|Webster's Bible Translation| target=|_top|&gt;WBS&lt;/a&gt;</v>
      </c>
      <c r="AS47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77" t="str">
        <f>CONCATENATE("&lt;/li&gt;&lt;li&gt;&lt;a href=|http://",AT1191,"/job/41-1.htm","| ","title=|",AT1190,"| target=|_top|&gt;",AT1192,"&lt;/a&gt;")</f>
        <v>&lt;/li&gt;&lt;li&gt;&lt;a href=|http://biblebrowser.com/job/41-1.htm| title=|Split View| target=|_top|&gt;Split&lt;/a&gt;</v>
      </c>
      <c r="AU477" s="2" t="s">
        <v>1276</v>
      </c>
      <c r="AV477" t="s">
        <v>64</v>
      </c>
    </row>
    <row r="478" spans="1:48">
      <c r="A478" t="s">
        <v>622</v>
      </c>
      <c r="B478" t="s">
        <v>716</v>
      </c>
      <c r="C478" t="s">
        <v>624</v>
      </c>
      <c r="D478" t="s">
        <v>1268</v>
      </c>
      <c r="E478" t="s">
        <v>1277</v>
      </c>
      <c r="F478" t="s">
        <v>1304</v>
      </c>
      <c r="G478" t="s">
        <v>1266</v>
      </c>
      <c r="H478" t="s">
        <v>1305</v>
      </c>
      <c r="I478" t="s">
        <v>1303</v>
      </c>
      <c r="J478" t="s">
        <v>1267</v>
      </c>
      <c r="K478" t="s">
        <v>1275</v>
      </c>
      <c r="L478" s="2" t="s">
        <v>1274</v>
      </c>
      <c r="M478" t="str">
        <f t="shared" ref="M478:AB478" si="1908">CONCATENATE("&lt;/li&gt;&lt;li&gt;&lt;a href=|http://",M1191,"/job/42.htm","| ","title=|",M1190,"| target=|_top|&gt;",M1192,"&lt;/a&gt;")</f>
        <v>&lt;/li&gt;&lt;li&gt;&lt;a href=|http://niv.scripturetext.com/job/42.htm| title=|New International Version| target=|_top|&gt;NIV&lt;/a&gt;</v>
      </c>
      <c r="N478" t="str">
        <f t="shared" si="1908"/>
        <v>&lt;/li&gt;&lt;li&gt;&lt;a href=|http://nlt.scripturetext.com/job/42.htm| title=|New Living Translation| target=|_top|&gt;NLT&lt;/a&gt;</v>
      </c>
      <c r="O478" t="str">
        <f t="shared" si="1908"/>
        <v>&lt;/li&gt;&lt;li&gt;&lt;a href=|http://nasb.scripturetext.com/job/42.htm| title=|New American Standard Bible| target=|_top|&gt;NAS&lt;/a&gt;</v>
      </c>
      <c r="P478" t="str">
        <f t="shared" si="1908"/>
        <v>&lt;/li&gt;&lt;li&gt;&lt;a href=|http://gwt.scripturetext.com/job/42.htm| title=|God's Word Translation| target=|_top|&gt;GWT&lt;/a&gt;</v>
      </c>
      <c r="Q478" t="str">
        <f t="shared" si="1908"/>
        <v>&lt;/li&gt;&lt;li&gt;&lt;a href=|http://kingjbible.com/job/42.htm| title=|King James Bible| target=|_top|&gt;KJV&lt;/a&gt;</v>
      </c>
      <c r="R478" t="str">
        <f t="shared" si="1908"/>
        <v>&lt;/li&gt;&lt;li&gt;&lt;a href=|http://asvbible.com/job/42.htm| title=|American Standard Version| target=|_top|&gt;ASV&lt;/a&gt;</v>
      </c>
      <c r="S478" t="str">
        <f t="shared" si="1908"/>
        <v>&lt;/li&gt;&lt;li&gt;&lt;a href=|http://drb.scripturetext.com/job/42.htm| title=|Douay-Rheims Bible| target=|_top|&gt;DRB&lt;/a&gt;</v>
      </c>
      <c r="T478" t="str">
        <f t="shared" si="1908"/>
        <v>&lt;/li&gt;&lt;li&gt;&lt;a href=|http://erv.scripturetext.com/job/42.htm| title=|English Revised Version| target=|_top|&gt;ERV&lt;/a&gt;</v>
      </c>
      <c r="V478" t="str">
        <f>CONCATENATE("&lt;/li&gt;&lt;li&gt;&lt;a href=|http://",V1191,"/job/42.htm","| ","title=|",V1190,"| target=|_top|&gt;",V1192,"&lt;/a&gt;")</f>
        <v>&lt;/li&gt;&lt;li&gt;&lt;a href=|http://study.interlinearbible.org/job/42.htm| title=|Hebrew Study Bible| target=|_top|&gt;Heb Study&lt;/a&gt;</v>
      </c>
      <c r="W478" t="str">
        <f t="shared" si="1908"/>
        <v>&lt;/li&gt;&lt;li&gt;&lt;a href=|http://apostolic.interlinearbible.org/job/42.htm| title=|Apostolic Bible Polyglot Interlinear| target=|_top|&gt;Polyglot&lt;/a&gt;</v>
      </c>
      <c r="X478" t="str">
        <f t="shared" si="1908"/>
        <v>&lt;/li&gt;&lt;li&gt;&lt;a href=|http://interlinearbible.org/job/42.htm| title=|Interlinear Bible| target=|_top|&gt;Interlin&lt;/a&gt;</v>
      </c>
      <c r="Y478" t="str">
        <f t="shared" ref="Y478" si="1909">CONCATENATE("&lt;/li&gt;&lt;li&gt;&lt;a href=|http://",Y1191,"/job/42.htm","| ","title=|",Y1190,"| target=|_top|&gt;",Y1192,"&lt;/a&gt;")</f>
        <v>&lt;/li&gt;&lt;li&gt;&lt;a href=|http://bibleoutline.org/job/42.htm| title=|Outline with People and Places List| target=|_top|&gt;Outline&lt;/a&gt;</v>
      </c>
      <c r="Z478" t="str">
        <f t="shared" si="1908"/>
        <v>&lt;/li&gt;&lt;li&gt;&lt;a href=|http://kjvs.scripturetext.com/job/42.htm| title=|King James Bible with Strong's Numbers| target=|_top|&gt;Strong's&lt;/a&gt;</v>
      </c>
      <c r="AA478" t="str">
        <f t="shared" si="1908"/>
        <v>&lt;/li&gt;&lt;li&gt;&lt;a href=|http://childrensbibleonline.com/job/42.htm| title=|The Children's Bible| target=|_top|&gt;Children's&lt;/a&gt;</v>
      </c>
      <c r="AB478" s="2" t="str">
        <f t="shared" si="1908"/>
        <v>&lt;/li&gt;&lt;li&gt;&lt;a href=|http://tsk.scripturetext.com/job/42.htm| title=|Treasury of Scripture Knowledge| target=|_top|&gt;TSK&lt;/a&gt;</v>
      </c>
      <c r="AC478" t="str">
        <f>CONCATENATE("&lt;a href=|http://",AC1191,"/job/42.htm","| ","title=|",AC1190,"| target=|_top|&gt;",AC1192,"&lt;/a&gt;")</f>
        <v>&lt;a href=|http://parallelbible.com/job/42.htm| title=|Parallel Chapters| target=|_top|&gt;PAR&lt;/a&gt;</v>
      </c>
      <c r="AD478" s="2" t="str">
        <f t="shared" ref="AD478:AK478" si="1910">CONCATENATE("&lt;/li&gt;&lt;li&gt;&lt;a href=|http://",AD1191,"/job/42.htm","| ","title=|",AD1190,"| target=|_top|&gt;",AD1192,"&lt;/a&gt;")</f>
        <v>&lt;/li&gt;&lt;li&gt;&lt;a href=|http://gsb.biblecommenter.com/job/42.htm| title=|Geneva Study Bible| target=|_top|&gt;GSB&lt;/a&gt;</v>
      </c>
      <c r="AE478" s="2" t="str">
        <f t="shared" si="1910"/>
        <v>&lt;/li&gt;&lt;li&gt;&lt;a href=|http://jfb.biblecommenter.com/job/42.htm| title=|Jamieson-Fausset-Brown Bible Commentary| target=|_top|&gt;JFB&lt;/a&gt;</v>
      </c>
      <c r="AF478" s="2" t="str">
        <f t="shared" si="1910"/>
        <v>&lt;/li&gt;&lt;li&gt;&lt;a href=|http://kjt.biblecommenter.com/job/42.htm| title=|King James Translators' Notes| target=|_top|&gt;KJT&lt;/a&gt;</v>
      </c>
      <c r="AG478" s="2" t="str">
        <f t="shared" si="1910"/>
        <v>&lt;/li&gt;&lt;li&gt;&lt;a href=|http://mhc.biblecommenter.com/job/42.htm| title=|Matthew Henry's Concise Commentary| target=|_top|&gt;MHC&lt;/a&gt;</v>
      </c>
      <c r="AH478" s="2" t="str">
        <f t="shared" si="1910"/>
        <v>&lt;/li&gt;&lt;li&gt;&lt;a href=|http://sco.biblecommenter.com/job/42.htm| title=|Scofield Reference Notes| target=|_top|&gt;SCO&lt;/a&gt;</v>
      </c>
      <c r="AI478" s="2" t="str">
        <f t="shared" si="1910"/>
        <v>&lt;/li&gt;&lt;li&gt;&lt;a href=|http://wes.biblecommenter.com/job/42.htm| title=|Wesley's Notes on the Bible| target=|_top|&gt;WES&lt;/a&gt;</v>
      </c>
      <c r="AJ478" t="str">
        <f t="shared" si="1910"/>
        <v>&lt;/li&gt;&lt;li&gt;&lt;a href=|http://worldebible.com/job/42.htm| title=|World English Bible| target=|_top|&gt;WEB&lt;/a&gt;</v>
      </c>
      <c r="AK478" t="str">
        <f t="shared" si="1910"/>
        <v>&lt;/li&gt;&lt;li&gt;&lt;a href=|http://yltbible.com/job/42.htm| title=|Young's Literal Translation| target=|_top|&gt;YLT&lt;/a&gt;</v>
      </c>
      <c r="AL478" t="str">
        <f>CONCATENATE("&lt;a href=|http://",AL1191,"/job/42.htm","| ","title=|",AL1190,"| target=|_top|&gt;",AL1192,"&lt;/a&gt;")</f>
        <v>&lt;a href=|http://kjv.us/job/42.htm| title=|American King James Version| target=|_top|&gt;AKJ&lt;/a&gt;</v>
      </c>
      <c r="AM478" t="str">
        <f t="shared" ref="AM478:AN478" si="1911">CONCATENATE("&lt;/li&gt;&lt;li&gt;&lt;a href=|http://",AM1191,"/job/42.htm","| ","title=|",AM1190,"| target=|_top|&gt;",AM1192,"&lt;/a&gt;")</f>
        <v>&lt;/li&gt;&lt;li&gt;&lt;a href=|http://basicenglishbible.com/job/42.htm| title=|Bible in Basic English| target=|_top|&gt;BBE&lt;/a&gt;</v>
      </c>
      <c r="AN478" t="str">
        <f t="shared" si="1911"/>
        <v>&lt;/li&gt;&lt;li&gt;&lt;a href=|http://darbybible.com/job/42.htm| title=|Darby Bible Translation| target=|_top|&gt;DBY&lt;/a&gt;</v>
      </c>
      <c r="AO47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7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7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78" t="str">
        <f>CONCATENATE("&lt;/li&gt;&lt;li&gt;&lt;a href=|http://",AR1191,"/job/42.htm","| ","title=|",AR1190,"| target=|_top|&gt;",AR1192,"&lt;/a&gt;")</f>
        <v>&lt;/li&gt;&lt;li&gt;&lt;a href=|http://websterbible.com/job/42.htm| title=|Webster's Bible Translation| target=|_top|&gt;WBS&lt;/a&gt;</v>
      </c>
      <c r="AS47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78" t="str">
        <f>CONCATENATE("&lt;/li&gt;&lt;li&gt;&lt;a href=|http://",AT1191,"/job/42-1.htm","| ","title=|",AT1190,"| target=|_top|&gt;",AT1192,"&lt;/a&gt;")</f>
        <v>&lt;/li&gt;&lt;li&gt;&lt;a href=|http://biblebrowser.com/job/42-1.htm| title=|Split View| target=|_top|&gt;Split&lt;/a&gt;</v>
      </c>
      <c r="AU478" s="2" t="s">
        <v>1276</v>
      </c>
      <c r="AV478" t="s">
        <v>64</v>
      </c>
    </row>
    <row r="479" spans="1:48">
      <c r="A479" t="s">
        <v>622</v>
      </c>
      <c r="B479" t="s">
        <v>717</v>
      </c>
      <c r="C479" t="s">
        <v>624</v>
      </c>
      <c r="D479" t="s">
        <v>1268</v>
      </c>
      <c r="E479" t="s">
        <v>1277</v>
      </c>
      <c r="F479" t="s">
        <v>1304</v>
      </c>
      <c r="G479" t="s">
        <v>1266</v>
      </c>
      <c r="H479" t="s">
        <v>1305</v>
      </c>
      <c r="I479" t="s">
        <v>1303</v>
      </c>
      <c r="J479" t="s">
        <v>1267</v>
      </c>
      <c r="K479" t="s">
        <v>1275</v>
      </c>
      <c r="L479" s="2" t="s">
        <v>1274</v>
      </c>
      <c r="M479" t="str">
        <f t="shared" ref="M479:AB479" si="1912">CONCATENATE("&lt;/li&gt;&lt;li&gt;&lt;a href=|http://",M1191,"/psalms/1.htm","| ","title=|",M1190,"| target=|_top|&gt;",M1192,"&lt;/a&gt;")</f>
        <v>&lt;/li&gt;&lt;li&gt;&lt;a href=|http://niv.scripturetext.com/psalms/1.htm| title=|New International Version| target=|_top|&gt;NIV&lt;/a&gt;</v>
      </c>
      <c r="N479" t="str">
        <f t="shared" si="1912"/>
        <v>&lt;/li&gt;&lt;li&gt;&lt;a href=|http://nlt.scripturetext.com/psalms/1.htm| title=|New Living Translation| target=|_top|&gt;NLT&lt;/a&gt;</v>
      </c>
      <c r="O479" t="str">
        <f t="shared" si="1912"/>
        <v>&lt;/li&gt;&lt;li&gt;&lt;a href=|http://nasb.scripturetext.com/psalms/1.htm| title=|New American Standard Bible| target=|_top|&gt;NAS&lt;/a&gt;</v>
      </c>
      <c r="P479" t="str">
        <f t="shared" si="1912"/>
        <v>&lt;/li&gt;&lt;li&gt;&lt;a href=|http://gwt.scripturetext.com/psalms/1.htm| title=|God's Word Translation| target=|_top|&gt;GWT&lt;/a&gt;</v>
      </c>
      <c r="Q479" t="str">
        <f t="shared" si="1912"/>
        <v>&lt;/li&gt;&lt;li&gt;&lt;a href=|http://kingjbible.com/psalms/1.htm| title=|King James Bible| target=|_top|&gt;KJV&lt;/a&gt;</v>
      </c>
      <c r="R479" t="str">
        <f t="shared" si="1912"/>
        <v>&lt;/li&gt;&lt;li&gt;&lt;a href=|http://asvbible.com/psalms/1.htm| title=|American Standard Version| target=|_top|&gt;ASV&lt;/a&gt;</v>
      </c>
      <c r="S479" t="str">
        <f t="shared" si="1912"/>
        <v>&lt;/li&gt;&lt;li&gt;&lt;a href=|http://drb.scripturetext.com/psalms/1.htm| title=|Douay-Rheims Bible| target=|_top|&gt;DRB&lt;/a&gt;</v>
      </c>
      <c r="T479" t="str">
        <f t="shared" si="1912"/>
        <v>&lt;/li&gt;&lt;li&gt;&lt;a href=|http://erv.scripturetext.com/psalms/1.htm| title=|English Revised Version| target=|_top|&gt;ERV&lt;/a&gt;</v>
      </c>
      <c r="V479" t="str">
        <f>CONCATENATE("&lt;/li&gt;&lt;li&gt;&lt;a href=|http://",V1191,"/psalms/1.htm","| ","title=|",V1190,"| target=|_top|&gt;",V1192,"&lt;/a&gt;")</f>
        <v>&lt;/li&gt;&lt;li&gt;&lt;a href=|http://study.interlinearbible.org/psalms/1.htm| title=|Hebrew Study Bible| target=|_top|&gt;Heb Study&lt;/a&gt;</v>
      </c>
      <c r="W479" t="str">
        <f t="shared" si="1912"/>
        <v>&lt;/li&gt;&lt;li&gt;&lt;a href=|http://apostolic.interlinearbible.org/psalms/1.htm| title=|Apostolic Bible Polyglot Interlinear| target=|_top|&gt;Polyglot&lt;/a&gt;</v>
      </c>
      <c r="X479" t="str">
        <f t="shared" si="1912"/>
        <v>&lt;/li&gt;&lt;li&gt;&lt;a href=|http://interlinearbible.org/psalms/1.htm| title=|Interlinear Bible| target=|_top|&gt;Interlin&lt;/a&gt;</v>
      </c>
      <c r="Y479" t="str">
        <f t="shared" ref="Y479" si="1913">CONCATENATE("&lt;/li&gt;&lt;li&gt;&lt;a href=|http://",Y1191,"/psalms/1.htm","| ","title=|",Y1190,"| target=|_top|&gt;",Y1192,"&lt;/a&gt;")</f>
        <v>&lt;/li&gt;&lt;li&gt;&lt;a href=|http://bibleoutline.org/psalms/1.htm| title=|Outline with People and Places List| target=|_top|&gt;Outline&lt;/a&gt;</v>
      </c>
      <c r="Z479" t="str">
        <f t="shared" si="1912"/>
        <v>&lt;/li&gt;&lt;li&gt;&lt;a href=|http://kjvs.scripturetext.com/psalms/1.htm| title=|King James Bible with Strong's Numbers| target=|_top|&gt;Strong's&lt;/a&gt;</v>
      </c>
      <c r="AA479" t="str">
        <f t="shared" si="1912"/>
        <v>&lt;/li&gt;&lt;li&gt;&lt;a href=|http://childrensbibleonline.com/psalms/1.htm| title=|The Children's Bible| target=|_top|&gt;Children's&lt;/a&gt;</v>
      </c>
      <c r="AB479" s="2" t="str">
        <f t="shared" si="1912"/>
        <v>&lt;/li&gt;&lt;li&gt;&lt;a href=|http://tsk.scripturetext.com/psalms/1.htm| title=|Treasury of Scripture Knowledge| target=|_top|&gt;TSK&lt;/a&gt;</v>
      </c>
      <c r="AC479" t="str">
        <f>CONCATENATE("&lt;a href=|http://",AC1191,"/psalms/1.htm","| ","title=|",AC1190,"| target=|_top|&gt;",AC1192,"&lt;/a&gt;")</f>
        <v>&lt;a href=|http://parallelbible.com/psalms/1.htm| title=|Parallel Chapters| target=|_top|&gt;PAR&lt;/a&gt;</v>
      </c>
      <c r="AD479" s="2" t="str">
        <f t="shared" ref="AD479:AK479" si="1914">CONCATENATE("&lt;/li&gt;&lt;li&gt;&lt;a href=|http://",AD1191,"/psalms/1.htm","| ","title=|",AD1190,"| target=|_top|&gt;",AD1192,"&lt;/a&gt;")</f>
        <v>&lt;/li&gt;&lt;li&gt;&lt;a href=|http://gsb.biblecommenter.com/psalms/1.htm| title=|Geneva Study Bible| target=|_top|&gt;GSB&lt;/a&gt;</v>
      </c>
      <c r="AE479" s="2" t="str">
        <f t="shared" si="1914"/>
        <v>&lt;/li&gt;&lt;li&gt;&lt;a href=|http://jfb.biblecommenter.com/psalms/1.htm| title=|Jamieson-Fausset-Brown Bible Commentary| target=|_top|&gt;JFB&lt;/a&gt;</v>
      </c>
      <c r="AF479" s="2" t="str">
        <f t="shared" si="1914"/>
        <v>&lt;/li&gt;&lt;li&gt;&lt;a href=|http://kjt.biblecommenter.com/psalms/1.htm| title=|King James Translators' Notes| target=|_top|&gt;KJT&lt;/a&gt;</v>
      </c>
      <c r="AG479" s="2" t="str">
        <f t="shared" si="1914"/>
        <v>&lt;/li&gt;&lt;li&gt;&lt;a href=|http://mhc.biblecommenter.com/psalms/1.htm| title=|Matthew Henry's Concise Commentary| target=|_top|&gt;MHC&lt;/a&gt;</v>
      </c>
      <c r="AH479" s="2" t="str">
        <f t="shared" si="1914"/>
        <v>&lt;/li&gt;&lt;li&gt;&lt;a href=|http://sco.biblecommenter.com/psalms/1.htm| title=|Scofield Reference Notes| target=|_top|&gt;SCO&lt;/a&gt;</v>
      </c>
      <c r="AI479" s="2" t="str">
        <f t="shared" si="1914"/>
        <v>&lt;/li&gt;&lt;li&gt;&lt;a href=|http://wes.biblecommenter.com/psalms/1.htm| title=|Wesley's Notes on the Bible| target=|_top|&gt;WES&lt;/a&gt;</v>
      </c>
      <c r="AJ479" t="str">
        <f t="shared" si="1914"/>
        <v>&lt;/li&gt;&lt;li&gt;&lt;a href=|http://worldebible.com/psalms/1.htm| title=|World English Bible| target=|_top|&gt;WEB&lt;/a&gt;</v>
      </c>
      <c r="AK479" t="str">
        <f t="shared" si="1914"/>
        <v>&lt;/li&gt;&lt;li&gt;&lt;a href=|http://yltbible.com/psalms/1.htm| title=|Young's Literal Translation| target=|_top|&gt;YLT&lt;/a&gt;</v>
      </c>
      <c r="AL479" t="str">
        <f>CONCATENATE("&lt;a href=|http://",AL1191,"/psalms/1.htm","| ","title=|",AL1190,"| target=|_top|&gt;",AL1192,"&lt;/a&gt;")</f>
        <v>&lt;a href=|http://kjv.us/psalms/1.htm| title=|American King James Version| target=|_top|&gt;AKJ&lt;/a&gt;</v>
      </c>
      <c r="AM479" t="str">
        <f t="shared" ref="AM479:AN479" si="1915">CONCATENATE("&lt;/li&gt;&lt;li&gt;&lt;a href=|http://",AM1191,"/psalms/1.htm","| ","title=|",AM1190,"| target=|_top|&gt;",AM1192,"&lt;/a&gt;")</f>
        <v>&lt;/li&gt;&lt;li&gt;&lt;a href=|http://basicenglishbible.com/psalms/1.htm| title=|Bible in Basic English| target=|_top|&gt;BBE&lt;/a&gt;</v>
      </c>
      <c r="AN479" t="str">
        <f t="shared" si="1915"/>
        <v>&lt;/li&gt;&lt;li&gt;&lt;a href=|http://darbybible.com/psalms/1.htm| title=|Darby Bible Translation| target=|_top|&gt;DBY&lt;/a&gt;</v>
      </c>
      <c r="AO47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7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7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79" t="str">
        <f>CONCATENATE("&lt;/li&gt;&lt;li&gt;&lt;a href=|http://",AR1191,"/psalms/1.htm","| ","title=|",AR1190,"| target=|_top|&gt;",AR1192,"&lt;/a&gt;")</f>
        <v>&lt;/li&gt;&lt;li&gt;&lt;a href=|http://websterbible.com/psalms/1.htm| title=|Webster's Bible Translation| target=|_top|&gt;WBS&lt;/a&gt;</v>
      </c>
      <c r="AS47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79" t="str">
        <f>CONCATENATE("&lt;/li&gt;&lt;li&gt;&lt;a href=|http://",AT1191,"/psalms/1-1.htm","| ","title=|",AT1190,"| target=|_top|&gt;",AT1192,"&lt;/a&gt;")</f>
        <v>&lt;/li&gt;&lt;li&gt;&lt;a href=|http://biblebrowser.com/psalms/1-1.htm| title=|Split View| target=|_top|&gt;Split&lt;/a&gt;</v>
      </c>
      <c r="AU479" s="2" t="s">
        <v>1276</v>
      </c>
      <c r="AV479" t="s">
        <v>64</v>
      </c>
    </row>
    <row r="480" spans="1:48">
      <c r="A480" t="s">
        <v>622</v>
      </c>
      <c r="B480" t="s">
        <v>718</v>
      </c>
      <c r="C480" t="s">
        <v>624</v>
      </c>
      <c r="D480" t="s">
        <v>1268</v>
      </c>
      <c r="E480" t="s">
        <v>1277</v>
      </c>
      <c r="F480" t="s">
        <v>1304</v>
      </c>
      <c r="G480" t="s">
        <v>1266</v>
      </c>
      <c r="H480" t="s">
        <v>1305</v>
      </c>
      <c r="I480" t="s">
        <v>1303</v>
      </c>
      <c r="J480" t="s">
        <v>1267</v>
      </c>
      <c r="K480" t="s">
        <v>1275</v>
      </c>
      <c r="L480" s="2" t="s">
        <v>1274</v>
      </c>
      <c r="M480" t="str">
        <f t="shared" ref="M480:AB480" si="1916">CONCATENATE("&lt;/li&gt;&lt;li&gt;&lt;a href=|http://",M1191,"/psalms/2.htm","| ","title=|",M1190,"| target=|_top|&gt;",M1192,"&lt;/a&gt;")</f>
        <v>&lt;/li&gt;&lt;li&gt;&lt;a href=|http://niv.scripturetext.com/psalms/2.htm| title=|New International Version| target=|_top|&gt;NIV&lt;/a&gt;</v>
      </c>
      <c r="N480" t="str">
        <f t="shared" si="1916"/>
        <v>&lt;/li&gt;&lt;li&gt;&lt;a href=|http://nlt.scripturetext.com/psalms/2.htm| title=|New Living Translation| target=|_top|&gt;NLT&lt;/a&gt;</v>
      </c>
      <c r="O480" t="str">
        <f t="shared" si="1916"/>
        <v>&lt;/li&gt;&lt;li&gt;&lt;a href=|http://nasb.scripturetext.com/psalms/2.htm| title=|New American Standard Bible| target=|_top|&gt;NAS&lt;/a&gt;</v>
      </c>
      <c r="P480" t="str">
        <f t="shared" si="1916"/>
        <v>&lt;/li&gt;&lt;li&gt;&lt;a href=|http://gwt.scripturetext.com/psalms/2.htm| title=|God's Word Translation| target=|_top|&gt;GWT&lt;/a&gt;</v>
      </c>
      <c r="Q480" t="str">
        <f t="shared" si="1916"/>
        <v>&lt;/li&gt;&lt;li&gt;&lt;a href=|http://kingjbible.com/psalms/2.htm| title=|King James Bible| target=|_top|&gt;KJV&lt;/a&gt;</v>
      </c>
      <c r="R480" t="str">
        <f t="shared" si="1916"/>
        <v>&lt;/li&gt;&lt;li&gt;&lt;a href=|http://asvbible.com/psalms/2.htm| title=|American Standard Version| target=|_top|&gt;ASV&lt;/a&gt;</v>
      </c>
      <c r="S480" t="str">
        <f t="shared" si="1916"/>
        <v>&lt;/li&gt;&lt;li&gt;&lt;a href=|http://drb.scripturetext.com/psalms/2.htm| title=|Douay-Rheims Bible| target=|_top|&gt;DRB&lt;/a&gt;</v>
      </c>
      <c r="T480" t="str">
        <f t="shared" si="1916"/>
        <v>&lt;/li&gt;&lt;li&gt;&lt;a href=|http://erv.scripturetext.com/psalms/2.htm| title=|English Revised Version| target=|_top|&gt;ERV&lt;/a&gt;</v>
      </c>
      <c r="V480" t="str">
        <f>CONCATENATE("&lt;/li&gt;&lt;li&gt;&lt;a href=|http://",V1191,"/psalms/2.htm","| ","title=|",V1190,"| target=|_top|&gt;",V1192,"&lt;/a&gt;")</f>
        <v>&lt;/li&gt;&lt;li&gt;&lt;a href=|http://study.interlinearbible.org/psalms/2.htm| title=|Hebrew Study Bible| target=|_top|&gt;Heb Study&lt;/a&gt;</v>
      </c>
      <c r="W480" t="str">
        <f t="shared" si="1916"/>
        <v>&lt;/li&gt;&lt;li&gt;&lt;a href=|http://apostolic.interlinearbible.org/psalms/2.htm| title=|Apostolic Bible Polyglot Interlinear| target=|_top|&gt;Polyglot&lt;/a&gt;</v>
      </c>
      <c r="X480" t="str">
        <f t="shared" si="1916"/>
        <v>&lt;/li&gt;&lt;li&gt;&lt;a href=|http://interlinearbible.org/psalms/2.htm| title=|Interlinear Bible| target=|_top|&gt;Interlin&lt;/a&gt;</v>
      </c>
      <c r="Y480" t="str">
        <f t="shared" ref="Y480" si="1917">CONCATENATE("&lt;/li&gt;&lt;li&gt;&lt;a href=|http://",Y1191,"/psalms/2.htm","| ","title=|",Y1190,"| target=|_top|&gt;",Y1192,"&lt;/a&gt;")</f>
        <v>&lt;/li&gt;&lt;li&gt;&lt;a href=|http://bibleoutline.org/psalms/2.htm| title=|Outline with People and Places List| target=|_top|&gt;Outline&lt;/a&gt;</v>
      </c>
      <c r="Z480" t="str">
        <f t="shared" si="1916"/>
        <v>&lt;/li&gt;&lt;li&gt;&lt;a href=|http://kjvs.scripturetext.com/psalms/2.htm| title=|King James Bible with Strong's Numbers| target=|_top|&gt;Strong's&lt;/a&gt;</v>
      </c>
      <c r="AA480" t="str">
        <f t="shared" si="1916"/>
        <v>&lt;/li&gt;&lt;li&gt;&lt;a href=|http://childrensbibleonline.com/psalms/2.htm| title=|The Children's Bible| target=|_top|&gt;Children's&lt;/a&gt;</v>
      </c>
      <c r="AB480" s="2" t="str">
        <f t="shared" si="1916"/>
        <v>&lt;/li&gt;&lt;li&gt;&lt;a href=|http://tsk.scripturetext.com/psalms/2.htm| title=|Treasury of Scripture Knowledge| target=|_top|&gt;TSK&lt;/a&gt;</v>
      </c>
      <c r="AC480" t="str">
        <f>CONCATENATE("&lt;a href=|http://",AC1191,"/psalms/2.htm","| ","title=|",AC1190,"| target=|_top|&gt;",AC1192,"&lt;/a&gt;")</f>
        <v>&lt;a href=|http://parallelbible.com/psalms/2.htm| title=|Parallel Chapters| target=|_top|&gt;PAR&lt;/a&gt;</v>
      </c>
      <c r="AD480" s="2" t="str">
        <f t="shared" ref="AD480:AK480" si="1918">CONCATENATE("&lt;/li&gt;&lt;li&gt;&lt;a href=|http://",AD1191,"/psalms/2.htm","| ","title=|",AD1190,"| target=|_top|&gt;",AD1192,"&lt;/a&gt;")</f>
        <v>&lt;/li&gt;&lt;li&gt;&lt;a href=|http://gsb.biblecommenter.com/psalms/2.htm| title=|Geneva Study Bible| target=|_top|&gt;GSB&lt;/a&gt;</v>
      </c>
      <c r="AE480" s="2" t="str">
        <f t="shared" si="1918"/>
        <v>&lt;/li&gt;&lt;li&gt;&lt;a href=|http://jfb.biblecommenter.com/psalms/2.htm| title=|Jamieson-Fausset-Brown Bible Commentary| target=|_top|&gt;JFB&lt;/a&gt;</v>
      </c>
      <c r="AF480" s="2" t="str">
        <f t="shared" si="1918"/>
        <v>&lt;/li&gt;&lt;li&gt;&lt;a href=|http://kjt.biblecommenter.com/psalms/2.htm| title=|King James Translators' Notes| target=|_top|&gt;KJT&lt;/a&gt;</v>
      </c>
      <c r="AG480" s="2" t="str">
        <f t="shared" si="1918"/>
        <v>&lt;/li&gt;&lt;li&gt;&lt;a href=|http://mhc.biblecommenter.com/psalms/2.htm| title=|Matthew Henry's Concise Commentary| target=|_top|&gt;MHC&lt;/a&gt;</v>
      </c>
      <c r="AH480" s="2" t="str">
        <f t="shared" si="1918"/>
        <v>&lt;/li&gt;&lt;li&gt;&lt;a href=|http://sco.biblecommenter.com/psalms/2.htm| title=|Scofield Reference Notes| target=|_top|&gt;SCO&lt;/a&gt;</v>
      </c>
      <c r="AI480" s="2" t="str">
        <f t="shared" si="1918"/>
        <v>&lt;/li&gt;&lt;li&gt;&lt;a href=|http://wes.biblecommenter.com/psalms/2.htm| title=|Wesley's Notes on the Bible| target=|_top|&gt;WES&lt;/a&gt;</v>
      </c>
      <c r="AJ480" t="str">
        <f t="shared" si="1918"/>
        <v>&lt;/li&gt;&lt;li&gt;&lt;a href=|http://worldebible.com/psalms/2.htm| title=|World English Bible| target=|_top|&gt;WEB&lt;/a&gt;</v>
      </c>
      <c r="AK480" t="str">
        <f t="shared" si="1918"/>
        <v>&lt;/li&gt;&lt;li&gt;&lt;a href=|http://yltbible.com/psalms/2.htm| title=|Young's Literal Translation| target=|_top|&gt;YLT&lt;/a&gt;</v>
      </c>
      <c r="AL480" t="str">
        <f>CONCATENATE("&lt;a href=|http://",AL1191,"/psalms/2.htm","| ","title=|",AL1190,"| target=|_top|&gt;",AL1192,"&lt;/a&gt;")</f>
        <v>&lt;a href=|http://kjv.us/psalms/2.htm| title=|American King James Version| target=|_top|&gt;AKJ&lt;/a&gt;</v>
      </c>
      <c r="AM480" t="str">
        <f t="shared" ref="AM480:AN480" si="1919">CONCATENATE("&lt;/li&gt;&lt;li&gt;&lt;a href=|http://",AM1191,"/psalms/2.htm","| ","title=|",AM1190,"| target=|_top|&gt;",AM1192,"&lt;/a&gt;")</f>
        <v>&lt;/li&gt;&lt;li&gt;&lt;a href=|http://basicenglishbible.com/psalms/2.htm| title=|Bible in Basic English| target=|_top|&gt;BBE&lt;/a&gt;</v>
      </c>
      <c r="AN480" t="str">
        <f t="shared" si="1919"/>
        <v>&lt;/li&gt;&lt;li&gt;&lt;a href=|http://darbybible.com/psalms/2.htm| title=|Darby Bible Translation| target=|_top|&gt;DBY&lt;/a&gt;</v>
      </c>
      <c r="AO48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8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8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80" t="str">
        <f>CONCATENATE("&lt;/li&gt;&lt;li&gt;&lt;a href=|http://",AR1191,"/psalms/2.htm","| ","title=|",AR1190,"| target=|_top|&gt;",AR1192,"&lt;/a&gt;")</f>
        <v>&lt;/li&gt;&lt;li&gt;&lt;a href=|http://websterbible.com/psalms/2.htm| title=|Webster's Bible Translation| target=|_top|&gt;WBS&lt;/a&gt;</v>
      </c>
      <c r="AS48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80" t="str">
        <f>CONCATENATE("&lt;/li&gt;&lt;li&gt;&lt;a href=|http://",AT1191,"/psalms/2-1.htm","| ","title=|",AT1190,"| target=|_top|&gt;",AT1192,"&lt;/a&gt;")</f>
        <v>&lt;/li&gt;&lt;li&gt;&lt;a href=|http://biblebrowser.com/psalms/2-1.htm| title=|Split View| target=|_top|&gt;Split&lt;/a&gt;</v>
      </c>
      <c r="AU480" s="2" t="s">
        <v>1276</v>
      </c>
      <c r="AV480" t="s">
        <v>64</v>
      </c>
    </row>
    <row r="481" spans="1:48">
      <c r="A481" t="s">
        <v>622</v>
      </c>
      <c r="B481" t="s">
        <v>719</v>
      </c>
      <c r="C481" t="s">
        <v>624</v>
      </c>
      <c r="D481" t="s">
        <v>1268</v>
      </c>
      <c r="E481" t="s">
        <v>1277</v>
      </c>
      <c r="F481" t="s">
        <v>1304</v>
      </c>
      <c r="G481" t="s">
        <v>1266</v>
      </c>
      <c r="H481" t="s">
        <v>1305</v>
      </c>
      <c r="I481" t="s">
        <v>1303</v>
      </c>
      <c r="J481" t="s">
        <v>1267</v>
      </c>
      <c r="K481" t="s">
        <v>1275</v>
      </c>
      <c r="L481" s="2" t="s">
        <v>1274</v>
      </c>
      <c r="M481" t="str">
        <f t="shared" ref="M481:AB481" si="1920">CONCATENATE("&lt;/li&gt;&lt;li&gt;&lt;a href=|http://",M1191,"/psalms/3.htm","| ","title=|",M1190,"| target=|_top|&gt;",M1192,"&lt;/a&gt;")</f>
        <v>&lt;/li&gt;&lt;li&gt;&lt;a href=|http://niv.scripturetext.com/psalms/3.htm| title=|New International Version| target=|_top|&gt;NIV&lt;/a&gt;</v>
      </c>
      <c r="N481" t="str">
        <f t="shared" si="1920"/>
        <v>&lt;/li&gt;&lt;li&gt;&lt;a href=|http://nlt.scripturetext.com/psalms/3.htm| title=|New Living Translation| target=|_top|&gt;NLT&lt;/a&gt;</v>
      </c>
      <c r="O481" t="str">
        <f t="shared" si="1920"/>
        <v>&lt;/li&gt;&lt;li&gt;&lt;a href=|http://nasb.scripturetext.com/psalms/3.htm| title=|New American Standard Bible| target=|_top|&gt;NAS&lt;/a&gt;</v>
      </c>
      <c r="P481" t="str">
        <f t="shared" si="1920"/>
        <v>&lt;/li&gt;&lt;li&gt;&lt;a href=|http://gwt.scripturetext.com/psalms/3.htm| title=|God's Word Translation| target=|_top|&gt;GWT&lt;/a&gt;</v>
      </c>
      <c r="Q481" t="str">
        <f t="shared" si="1920"/>
        <v>&lt;/li&gt;&lt;li&gt;&lt;a href=|http://kingjbible.com/psalms/3.htm| title=|King James Bible| target=|_top|&gt;KJV&lt;/a&gt;</v>
      </c>
      <c r="R481" t="str">
        <f t="shared" si="1920"/>
        <v>&lt;/li&gt;&lt;li&gt;&lt;a href=|http://asvbible.com/psalms/3.htm| title=|American Standard Version| target=|_top|&gt;ASV&lt;/a&gt;</v>
      </c>
      <c r="S481" t="str">
        <f t="shared" si="1920"/>
        <v>&lt;/li&gt;&lt;li&gt;&lt;a href=|http://drb.scripturetext.com/psalms/3.htm| title=|Douay-Rheims Bible| target=|_top|&gt;DRB&lt;/a&gt;</v>
      </c>
      <c r="T481" t="str">
        <f t="shared" si="1920"/>
        <v>&lt;/li&gt;&lt;li&gt;&lt;a href=|http://erv.scripturetext.com/psalms/3.htm| title=|English Revised Version| target=|_top|&gt;ERV&lt;/a&gt;</v>
      </c>
      <c r="V481" t="str">
        <f>CONCATENATE("&lt;/li&gt;&lt;li&gt;&lt;a href=|http://",V1191,"/psalms/3.htm","| ","title=|",V1190,"| target=|_top|&gt;",V1192,"&lt;/a&gt;")</f>
        <v>&lt;/li&gt;&lt;li&gt;&lt;a href=|http://study.interlinearbible.org/psalms/3.htm| title=|Hebrew Study Bible| target=|_top|&gt;Heb Study&lt;/a&gt;</v>
      </c>
      <c r="W481" t="str">
        <f t="shared" si="1920"/>
        <v>&lt;/li&gt;&lt;li&gt;&lt;a href=|http://apostolic.interlinearbible.org/psalms/3.htm| title=|Apostolic Bible Polyglot Interlinear| target=|_top|&gt;Polyglot&lt;/a&gt;</v>
      </c>
      <c r="X481" t="str">
        <f t="shared" si="1920"/>
        <v>&lt;/li&gt;&lt;li&gt;&lt;a href=|http://interlinearbible.org/psalms/3.htm| title=|Interlinear Bible| target=|_top|&gt;Interlin&lt;/a&gt;</v>
      </c>
      <c r="Y481" t="str">
        <f t="shared" ref="Y481" si="1921">CONCATENATE("&lt;/li&gt;&lt;li&gt;&lt;a href=|http://",Y1191,"/psalms/3.htm","| ","title=|",Y1190,"| target=|_top|&gt;",Y1192,"&lt;/a&gt;")</f>
        <v>&lt;/li&gt;&lt;li&gt;&lt;a href=|http://bibleoutline.org/psalms/3.htm| title=|Outline with People and Places List| target=|_top|&gt;Outline&lt;/a&gt;</v>
      </c>
      <c r="Z481" t="str">
        <f t="shared" si="1920"/>
        <v>&lt;/li&gt;&lt;li&gt;&lt;a href=|http://kjvs.scripturetext.com/psalms/3.htm| title=|King James Bible with Strong's Numbers| target=|_top|&gt;Strong's&lt;/a&gt;</v>
      </c>
      <c r="AA481" t="str">
        <f t="shared" si="1920"/>
        <v>&lt;/li&gt;&lt;li&gt;&lt;a href=|http://childrensbibleonline.com/psalms/3.htm| title=|The Children's Bible| target=|_top|&gt;Children's&lt;/a&gt;</v>
      </c>
      <c r="AB481" s="2" t="str">
        <f t="shared" si="1920"/>
        <v>&lt;/li&gt;&lt;li&gt;&lt;a href=|http://tsk.scripturetext.com/psalms/3.htm| title=|Treasury of Scripture Knowledge| target=|_top|&gt;TSK&lt;/a&gt;</v>
      </c>
      <c r="AC481" t="str">
        <f>CONCATENATE("&lt;a href=|http://",AC1191,"/psalms/3.htm","| ","title=|",AC1190,"| target=|_top|&gt;",AC1192,"&lt;/a&gt;")</f>
        <v>&lt;a href=|http://parallelbible.com/psalms/3.htm| title=|Parallel Chapters| target=|_top|&gt;PAR&lt;/a&gt;</v>
      </c>
      <c r="AD481" s="2" t="str">
        <f t="shared" ref="AD481:AK481" si="1922">CONCATENATE("&lt;/li&gt;&lt;li&gt;&lt;a href=|http://",AD1191,"/psalms/3.htm","| ","title=|",AD1190,"| target=|_top|&gt;",AD1192,"&lt;/a&gt;")</f>
        <v>&lt;/li&gt;&lt;li&gt;&lt;a href=|http://gsb.biblecommenter.com/psalms/3.htm| title=|Geneva Study Bible| target=|_top|&gt;GSB&lt;/a&gt;</v>
      </c>
      <c r="AE481" s="2" t="str">
        <f t="shared" si="1922"/>
        <v>&lt;/li&gt;&lt;li&gt;&lt;a href=|http://jfb.biblecommenter.com/psalms/3.htm| title=|Jamieson-Fausset-Brown Bible Commentary| target=|_top|&gt;JFB&lt;/a&gt;</v>
      </c>
      <c r="AF481" s="2" t="str">
        <f t="shared" si="1922"/>
        <v>&lt;/li&gt;&lt;li&gt;&lt;a href=|http://kjt.biblecommenter.com/psalms/3.htm| title=|King James Translators' Notes| target=|_top|&gt;KJT&lt;/a&gt;</v>
      </c>
      <c r="AG481" s="2" t="str">
        <f t="shared" si="1922"/>
        <v>&lt;/li&gt;&lt;li&gt;&lt;a href=|http://mhc.biblecommenter.com/psalms/3.htm| title=|Matthew Henry's Concise Commentary| target=|_top|&gt;MHC&lt;/a&gt;</v>
      </c>
      <c r="AH481" s="2" t="str">
        <f t="shared" si="1922"/>
        <v>&lt;/li&gt;&lt;li&gt;&lt;a href=|http://sco.biblecommenter.com/psalms/3.htm| title=|Scofield Reference Notes| target=|_top|&gt;SCO&lt;/a&gt;</v>
      </c>
      <c r="AI481" s="2" t="str">
        <f t="shared" si="1922"/>
        <v>&lt;/li&gt;&lt;li&gt;&lt;a href=|http://wes.biblecommenter.com/psalms/3.htm| title=|Wesley's Notes on the Bible| target=|_top|&gt;WES&lt;/a&gt;</v>
      </c>
      <c r="AJ481" t="str">
        <f t="shared" si="1922"/>
        <v>&lt;/li&gt;&lt;li&gt;&lt;a href=|http://worldebible.com/psalms/3.htm| title=|World English Bible| target=|_top|&gt;WEB&lt;/a&gt;</v>
      </c>
      <c r="AK481" t="str">
        <f t="shared" si="1922"/>
        <v>&lt;/li&gt;&lt;li&gt;&lt;a href=|http://yltbible.com/psalms/3.htm| title=|Young's Literal Translation| target=|_top|&gt;YLT&lt;/a&gt;</v>
      </c>
      <c r="AL481" t="str">
        <f>CONCATENATE("&lt;a href=|http://",AL1191,"/psalms/3.htm","| ","title=|",AL1190,"| target=|_top|&gt;",AL1192,"&lt;/a&gt;")</f>
        <v>&lt;a href=|http://kjv.us/psalms/3.htm| title=|American King James Version| target=|_top|&gt;AKJ&lt;/a&gt;</v>
      </c>
      <c r="AM481" t="str">
        <f t="shared" ref="AM481:AN481" si="1923">CONCATENATE("&lt;/li&gt;&lt;li&gt;&lt;a href=|http://",AM1191,"/psalms/3.htm","| ","title=|",AM1190,"| target=|_top|&gt;",AM1192,"&lt;/a&gt;")</f>
        <v>&lt;/li&gt;&lt;li&gt;&lt;a href=|http://basicenglishbible.com/psalms/3.htm| title=|Bible in Basic English| target=|_top|&gt;BBE&lt;/a&gt;</v>
      </c>
      <c r="AN481" t="str">
        <f t="shared" si="1923"/>
        <v>&lt;/li&gt;&lt;li&gt;&lt;a href=|http://darbybible.com/psalms/3.htm| title=|Darby Bible Translation| target=|_top|&gt;DBY&lt;/a&gt;</v>
      </c>
      <c r="AO48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8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8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81" t="str">
        <f>CONCATENATE("&lt;/li&gt;&lt;li&gt;&lt;a href=|http://",AR1191,"/psalms/3.htm","| ","title=|",AR1190,"| target=|_top|&gt;",AR1192,"&lt;/a&gt;")</f>
        <v>&lt;/li&gt;&lt;li&gt;&lt;a href=|http://websterbible.com/psalms/3.htm| title=|Webster's Bible Translation| target=|_top|&gt;WBS&lt;/a&gt;</v>
      </c>
      <c r="AS48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81" t="str">
        <f>CONCATENATE("&lt;/li&gt;&lt;li&gt;&lt;a href=|http://",AT1191,"/psalms/3-1.htm","| ","title=|",AT1190,"| target=|_top|&gt;",AT1192,"&lt;/a&gt;")</f>
        <v>&lt;/li&gt;&lt;li&gt;&lt;a href=|http://biblebrowser.com/psalms/3-1.htm| title=|Split View| target=|_top|&gt;Split&lt;/a&gt;</v>
      </c>
      <c r="AU481" s="2" t="s">
        <v>1276</v>
      </c>
      <c r="AV481" t="s">
        <v>64</v>
      </c>
    </row>
    <row r="482" spans="1:48">
      <c r="A482" t="s">
        <v>622</v>
      </c>
      <c r="B482" t="s">
        <v>720</v>
      </c>
      <c r="C482" t="s">
        <v>624</v>
      </c>
      <c r="D482" t="s">
        <v>1268</v>
      </c>
      <c r="E482" t="s">
        <v>1277</v>
      </c>
      <c r="F482" t="s">
        <v>1304</v>
      </c>
      <c r="G482" t="s">
        <v>1266</v>
      </c>
      <c r="H482" t="s">
        <v>1305</v>
      </c>
      <c r="I482" t="s">
        <v>1303</v>
      </c>
      <c r="J482" t="s">
        <v>1267</v>
      </c>
      <c r="K482" t="s">
        <v>1275</v>
      </c>
      <c r="L482" s="2" t="s">
        <v>1274</v>
      </c>
      <c r="M482" t="str">
        <f t="shared" ref="M482:AB482" si="1924">CONCATENATE("&lt;/li&gt;&lt;li&gt;&lt;a href=|http://",M1191,"/psalms/4.htm","| ","title=|",M1190,"| target=|_top|&gt;",M1192,"&lt;/a&gt;")</f>
        <v>&lt;/li&gt;&lt;li&gt;&lt;a href=|http://niv.scripturetext.com/psalms/4.htm| title=|New International Version| target=|_top|&gt;NIV&lt;/a&gt;</v>
      </c>
      <c r="N482" t="str">
        <f t="shared" si="1924"/>
        <v>&lt;/li&gt;&lt;li&gt;&lt;a href=|http://nlt.scripturetext.com/psalms/4.htm| title=|New Living Translation| target=|_top|&gt;NLT&lt;/a&gt;</v>
      </c>
      <c r="O482" t="str">
        <f t="shared" si="1924"/>
        <v>&lt;/li&gt;&lt;li&gt;&lt;a href=|http://nasb.scripturetext.com/psalms/4.htm| title=|New American Standard Bible| target=|_top|&gt;NAS&lt;/a&gt;</v>
      </c>
      <c r="P482" t="str">
        <f t="shared" si="1924"/>
        <v>&lt;/li&gt;&lt;li&gt;&lt;a href=|http://gwt.scripturetext.com/psalms/4.htm| title=|God's Word Translation| target=|_top|&gt;GWT&lt;/a&gt;</v>
      </c>
      <c r="Q482" t="str">
        <f t="shared" si="1924"/>
        <v>&lt;/li&gt;&lt;li&gt;&lt;a href=|http://kingjbible.com/psalms/4.htm| title=|King James Bible| target=|_top|&gt;KJV&lt;/a&gt;</v>
      </c>
      <c r="R482" t="str">
        <f t="shared" si="1924"/>
        <v>&lt;/li&gt;&lt;li&gt;&lt;a href=|http://asvbible.com/psalms/4.htm| title=|American Standard Version| target=|_top|&gt;ASV&lt;/a&gt;</v>
      </c>
      <c r="S482" t="str">
        <f t="shared" si="1924"/>
        <v>&lt;/li&gt;&lt;li&gt;&lt;a href=|http://drb.scripturetext.com/psalms/4.htm| title=|Douay-Rheims Bible| target=|_top|&gt;DRB&lt;/a&gt;</v>
      </c>
      <c r="T482" t="str">
        <f t="shared" si="1924"/>
        <v>&lt;/li&gt;&lt;li&gt;&lt;a href=|http://erv.scripturetext.com/psalms/4.htm| title=|English Revised Version| target=|_top|&gt;ERV&lt;/a&gt;</v>
      </c>
      <c r="V482" t="str">
        <f>CONCATENATE("&lt;/li&gt;&lt;li&gt;&lt;a href=|http://",V1191,"/psalms/4.htm","| ","title=|",V1190,"| target=|_top|&gt;",V1192,"&lt;/a&gt;")</f>
        <v>&lt;/li&gt;&lt;li&gt;&lt;a href=|http://study.interlinearbible.org/psalms/4.htm| title=|Hebrew Study Bible| target=|_top|&gt;Heb Study&lt;/a&gt;</v>
      </c>
      <c r="W482" t="str">
        <f t="shared" si="1924"/>
        <v>&lt;/li&gt;&lt;li&gt;&lt;a href=|http://apostolic.interlinearbible.org/psalms/4.htm| title=|Apostolic Bible Polyglot Interlinear| target=|_top|&gt;Polyglot&lt;/a&gt;</v>
      </c>
      <c r="X482" t="str">
        <f t="shared" si="1924"/>
        <v>&lt;/li&gt;&lt;li&gt;&lt;a href=|http://interlinearbible.org/psalms/4.htm| title=|Interlinear Bible| target=|_top|&gt;Interlin&lt;/a&gt;</v>
      </c>
      <c r="Y482" t="str">
        <f t="shared" ref="Y482" si="1925">CONCATENATE("&lt;/li&gt;&lt;li&gt;&lt;a href=|http://",Y1191,"/psalms/4.htm","| ","title=|",Y1190,"| target=|_top|&gt;",Y1192,"&lt;/a&gt;")</f>
        <v>&lt;/li&gt;&lt;li&gt;&lt;a href=|http://bibleoutline.org/psalms/4.htm| title=|Outline with People and Places List| target=|_top|&gt;Outline&lt;/a&gt;</v>
      </c>
      <c r="Z482" t="str">
        <f t="shared" si="1924"/>
        <v>&lt;/li&gt;&lt;li&gt;&lt;a href=|http://kjvs.scripturetext.com/psalms/4.htm| title=|King James Bible with Strong's Numbers| target=|_top|&gt;Strong's&lt;/a&gt;</v>
      </c>
      <c r="AA482" t="str">
        <f t="shared" si="1924"/>
        <v>&lt;/li&gt;&lt;li&gt;&lt;a href=|http://childrensbibleonline.com/psalms/4.htm| title=|The Children's Bible| target=|_top|&gt;Children's&lt;/a&gt;</v>
      </c>
      <c r="AB482" s="2" t="str">
        <f t="shared" si="1924"/>
        <v>&lt;/li&gt;&lt;li&gt;&lt;a href=|http://tsk.scripturetext.com/psalms/4.htm| title=|Treasury of Scripture Knowledge| target=|_top|&gt;TSK&lt;/a&gt;</v>
      </c>
      <c r="AC482" t="str">
        <f>CONCATENATE("&lt;a href=|http://",AC1191,"/psalms/4.htm","| ","title=|",AC1190,"| target=|_top|&gt;",AC1192,"&lt;/a&gt;")</f>
        <v>&lt;a href=|http://parallelbible.com/psalms/4.htm| title=|Parallel Chapters| target=|_top|&gt;PAR&lt;/a&gt;</v>
      </c>
      <c r="AD482" s="2" t="str">
        <f t="shared" ref="AD482:AK482" si="1926">CONCATENATE("&lt;/li&gt;&lt;li&gt;&lt;a href=|http://",AD1191,"/psalms/4.htm","| ","title=|",AD1190,"| target=|_top|&gt;",AD1192,"&lt;/a&gt;")</f>
        <v>&lt;/li&gt;&lt;li&gt;&lt;a href=|http://gsb.biblecommenter.com/psalms/4.htm| title=|Geneva Study Bible| target=|_top|&gt;GSB&lt;/a&gt;</v>
      </c>
      <c r="AE482" s="2" t="str">
        <f t="shared" si="1926"/>
        <v>&lt;/li&gt;&lt;li&gt;&lt;a href=|http://jfb.biblecommenter.com/psalms/4.htm| title=|Jamieson-Fausset-Brown Bible Commentary| target=|_top|&gt;JFB&lt;/a&gt;</v>
      </c>
      <c r="AF482" s="2" t="str">
        <f t="shared" si="1926"/>
        <v>&lt;/li&gt;&lt;li&gt;&lt;a href=|http://kjt.biblecommenter.com/psalms/4.htm| title=|King James Translators' Notes| target=|_top|&gt;KJT&lt;/a&gt;</v>
      </c>
      <c r="AG482" s="2" t="str">
        <f t="shared" si="1926"/>
        <v>&lt;/li&gt;&lt;li&gt;&lt;a href=|http://mhc.biblecommenter.com/psalms/4.htm| title=|Matthew Henry's Concise Commentary| target=|_top|&gt;MHC&lt;/a&gt;</v>
      </c>
      <c r="AH482" s="2" t="str">
        <f t="shared" si="1926"/>
        <v>&lt;/li&gt;&lt;li&gt;&lt;a href=|http://sco.biblecommenter.com/psalms/4.htm| title=|Scofield Reference Notes| target=|_top|&gt;SCO&lt;/a&gt;</v>
      </c>
      <c r="AI482" s="2" t="str">
        <f t="shared" si="1926"/>
        <v>&lt;/li&gt;&lt;li&gt;&lt;a href=|http://wes.biblecommenter.com/psalms/4.htm| title=|Wesley's Notes on the Bible| target=|_top|&gt;WES&lt;/a&gt;</v>
      </c>
      <c r="AJ482" t="str">
        <f t="shared" si="1926"/>
        <v>&lt;/li&gt;&lt;li&gt;&lt;a href=|http://worldebible.com/psalms/4.htm| title=|World English Bible| target=|_top|&gt;WEB&lt;/a&gt;</v>
      </c>
      <c r="AK482" t="str">
        <f t="shared" si="1926"/>
        <v>&lt;/li&gt;&lt;li&gt;&lt;a href=|http://yltbible.com/psalms/4.htm| title=|Young's Literal Translation| target=|_top|&gt;YLT&lt;/a&gt;</v>
      </c>
      <c r="AL482" t="str">
        <f>CONCATENATE("&lt;a href=|http://",AL1191,"/psalms/4.htm","| ","title=|",AL1190,"| target=|_top|&gt;",AL1192,"&lt;/a&gt;")</f>
        <v>&lt;a href=|http://kjv.us/psalms/4.htm| title=|American King James Version| target=|_top|&gt;AKJ&lt;/a&gt;</v>
      </c>
      <c r="AM482" t="str">
        <f t="shared" ref="AM482:AN482" si="1927">CONCATENATE("&lt;/li&gt;&lt;li&gt;&lt;a href=|http://",AM1191,"/psalms/4.htm","| ","title=|",AM1190,"| target=|_top|&gt;",AM1192,"&lt;/a&gt;")</f>
        <v>&lt;/li&gt;&lt;li&gt;&lt;a href=|http://basicenglishbible.com/psalms/4.htm| title=|Bible in Basic English| target=|_top|&gt;BBE&lt;/a&gt;</v>
      </c>
      <c r="AN482" t="str">
        <f t="shared" si="1927"/>
        <v>&lt;/li&gt;&lt;li&gt;&lt;a href=|http://darbybible.com/psalms/4.htm| title=|Darby Bible Translation| target=|_top|&gt;DBY&lt;/a&gt;</v>
      </c>
      <c r="AO48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8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8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82" t="str">
        <f>CONCATENATE("&lt;/li&gt;&lt;li&gt;&lt;a href=|http://",AR1191,"/psalms/4.htm","| ","title=|",AR1190,"| target=|_top|&gt;",AR1192,"&lt;/a&gt;")</f>
        <v>&lt;/li&gt;&lt;li&gt;&lt;a href=|http://websterbible.com/psalms/4.htm| title=|Webster's Bible Translation| target=|_top|&gt;WBS&lt;/a&gt;</v>
      </c>
      <c r="AS48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82" t="str">
        <f>CONCATENATE("&lt;/li&gt;&lt;li&gt;&lt;a href=|http://",AT1191,"/psalms/4-1.htm","| ","title=|",AT1190,"| target=|_top|&gt;",AT1192,"&lt;/a&gt;")</f>
        <v>&lt;/li&gt;&lt;li&gt;&lt;a href=|http://biblebrowser.com/psalms/4-1.htm| title=|Split View| target=|_top|&gt;Split&lt;/a&gt;</v>
      </c>
      <c r="AU482" s="2" t="s">
        <v>1276</v>
      </c>
      <c r="AV482" t="s">
        <v>64</v>
      </c>
    </row>
    <row r="483" spans="1:48">
      <c r="A483" t="s">
        <v>622</v>
      </c>
      <c r="B483" t="s">
        <v>721</v>
      </c>
      <c r="C483" t="s">
        <v>624</v>
      </c>
      <c r="D483" t="s">
        <v>1268</v>
      </c>
      <c r="E483" t="s">
        <v>1277</v>
      </c>
      <c r="F483" t="s">
        <v>1304</v>
      </c>
      <c r="G483" t="s">
        <v>1266</v>
      </c>
      <c r="H483" t="s">
        <v>1305</v>
      </c>
      <c r="I483" t="s">
        <v>1303</v>
      </c>
      <c r="J483" t="s">
        <v>1267</v>
      </c>
      <c r="K483" t="s">
        <v>1275</v>
      </c>
      <c r="L483" s="2" t="s">
        <v>1274</v>
      </c>
      <c r="M483" t="str">
        <f t="shared" ref="M483:AB483" si="1928">CONCATENATE("&lt;/li&gt;&lt;li&gt;&lt;a href=|http://",M1191,"/psalms/5.htm","| ","title=|",M1190,"| target=|_top|&gt;",M1192,"&lt;/a&gt;")</f>
        <v>&lt;/li&gt;&lt;li&gt;&lt;a href=|http://niv.scripturetext.com/psalms/5.htm| title=|New International Version| target=|_top|&gt;NIV&lt;/a&gt;</v>
      </c>
      <c r="N483" t="str">
        <f t="shared" si="1928"/>
        <v>&lt;/li&gt;&lt;li&gt;&lt;a href=|http://nlt.scripturetext.com/psalms/5.htm| title=|New Living Translation| target=|_top|&gt;NLT&lt;/a&gt;</v>
      </c>
      <c r="O483" t="str">
        <f t="shared" si="1928"/>
        <v>&lt;/li&gt;&lt;li&gt;&lt;a href=|http://nasb.scripturetext.com/psalms/5.htm| title=|New American Standard Bible| target=|_top|&gt;NAS&lt;/a&gt;</v>
      </c>
      <c r="P483" t="str">
        <f t="shared" si="1928"/>
        <v>&lt;/li&gt;&lt;li&gt;&lt;a href=|http://gwt.scripturetext.com/psalms/5.htm| title=|God's Word Translation| target=|_top|&gt;GWT&lt;/a&gt;</v>
      </c>
      <c r="Q483" t="str">
        <f t="shared" si="1928"/>
        <v>&lt;/li&gt;&lt;li&gt;&lt;a href=|http://kingjbible.com/psalms/5.htm| title=|King James Bible| target=|_top|&gt;KJV&lt;/a&gt;</v>
      </c>
      <c r="R483" t="str">
        <f t="shared" si="1928"/>
        <v>&lt;/li&gt;&lt;li&gt;&lt;a href=|http://asvbible.com/psalms/5.htm| title=|American Standard Version| target=|_top|&gt;ASV&lt;/a&gt;</v>
      </c>
      <c r="S483" t="str">
        <f t="shared" si="1928"/>
        <v>&lt;/li&gt;&lt;li&gt;&lt;a href=|http://drb.scripturetext.com/psalms/5.htm| title=|Douay-Rheims Bible| target=|_top|&gt;DRB&lt;/a&gt;</v>
      </c>
      <c r="T483" t="str">
        <f t="shared" si="1928"/>
        <v>&lt;/li&gt;&lt;li&gt;&lt;a href=|http://erv.scripturetext.com/psalms/5.htm| title=|English Revised Version| target=|_top|&gt;ERV&lt;/a&gt;</v>
      </c>
      <c r="V483" t="str">
        <f>CONCATENATE("&lt;/li&gt;&lt;li&gt;&lt;a href=|http://",V1191,"/psalms/5.htm","| ","title=|",V1190,"| target=|_top|&gt;",V1192,"&lt;/a&gt;")</f>
        <v>&lt;/li&gt;&lt;li&gt;&lt;a href=|http://study.interlinearbible.org/psalms/5.htm| title=|Hebrew Study Bible| target=|_top|&gt;Heb Study&lt;/a&gt;</v>
      </c>
      <c r="W483" t="str">
        <f t="shared" si="1928"/>
        <v>&lt;/li&gt;&lt;li&gt;&lt;a href=|http://apostolic.interlinearbible.org/psalms/5.htm| title=|Apostolic Bible Polyglot Interlinear| target=|_top|&gt;Polyglot&lt;/a&gt;</v>
      </c>
      <c r="X483" t="str">
        <f t="shared" si="1928"/>
        <v>&lt;/li&gt;&lt;li&gt;&lt;a href=|http://interlinearbible.org/psalms/5.htm| title=|Interlinear Bible| target=|_top|&gt;Interlin&lt;/a&gt;</v>
      </c>
      <c r="Y483" t="str">
        <f t="shared" ref="Y483" si="1929">CONCATENATE("&lt;/li&gt;&lt;li&gt;&lt;a href=|http://",Y1191,"/psalms/5.htm","| ","title=|",Y1190,"| target=|_top|&gt;",Y1192,"&lt;/a&gt;")</f>
        <v>&lt;/li&gt;&lt;li&gt;&lt;a href=|http://bibleoutline.org/psalms/5.htm| title=|Outline with People and Places List| target=|_top|&gt;Outline&lt;/a&gt;</v>
      </c>
      <c r="Z483" t="str">
        <f t="shared" si="1928"/>
        <v>&lt;/li&gt;&lt;li&gt;&lt;a href=|http://kjvs.scripturetext.com/psalms/5.htm| title=|King James Bible with Strong's Numbers| target=|_top|&gt;Strong's&lt;/a&gt;</v>
      </c>
      <c r="AA483" t="str">
        <f t="shared" si="1928"/>
        <v>&lt;/li&gt;&lt;li&gt;&lt;a href=|http://childrensbibleonline.com/psalms/5.htm| title=|The Children's Bible| target=|_top|&gt;Children's&lt;/a&gt;</v>
      </c>
      <c r="AB483" s="2" t="str">
        <f t="shared" si="1928"/>
        <v>&lt;/li&gt;&lt;li&gt;&lt;a href=|http://tsk.scripturetext.com/psalms/5.htm| title=|Treasury of Scripture Knowledge| target=|_top|&gt;TSK&lt;/a&gt;</v>
      </c>
      <c r="AC483" t="str">
        <f>CONCATENATE("&lt;a href=|http://",AC1191,"/psalms/5.htm","| ","title=|",AC1190,"| target=|_top|&gt;",AC1192,"&lt;/a&gt;")</f>
        <v>&lt;a href=|http://parallelbible.com/psalms/5.htm| title=|Parallel Chapters| target=|_top|&gt;PAR&lt;/a&gt;</v>
      </c>
      <c r="AD483" s="2" t="str">
        <f t="shared" ref="AD483:AK483" si="1930">CONCATENATE("&lt;/li&gt;&lt;li&gt;&lt;a href=|http://",AD1191,"/psalms/5.htm","| ","title=|",AD1190,"| target=|_top|&gt;",AD1192,"&lt;/a&gt;")</f>
        <v>&lt;/li&gt;&lt;li&gt;&lt;a href=|http://gsb.biblecommenter.com/psalms/5.htm| title=|Geneva Study Bible| target=|_top|&gt;GSB&lt;/a&gt;</v>
      </c>
      <c r="AE483" s="2" t="str">
        <f t="shared" si="1930"/>
        <v>&lt;/li&gt;&lt;li&gt;&lt;a href=|http://jfb.biblecommenter.com/psalms/5.htm| title=|Jamieson-Fausset-Brown Bible Commentary| target=|_top|&gt;JFB&lt;/a&gt;</v>
      </c>
      <c r="AF483" s="2" t="str">
        <f t="shared" si="1930"/>
        <v>&lt;/li&gt;&lt;li&gt;&lt;a href=|http://kjt.biblecommenter.com/psalms/5.htm| title=|King James Translators' Notes| target=|_top|&gt;KJT&lt;/a&gt;</v>
      </c>
      <c r="AG483" s="2" t="str">
        <f t="shared" si="1930"/>
        <v>&lt;/li&gt;&lt;li&gt;&lt;a href=|http://mhc.biblecommenter.com/psalms/5.htm| title=|Matthew Henry's Concise Commentary| target=|_top|&gt;MHC&lt;/a&gt;</v>
      </c>
      <c r="AH483" s="2" t="str">
        <f t="shared" si="1930"/>
        <v>&lt;/li&gt;&lt;li&gt;&lt;a href=|http://sco.biblecommenter.com/psalms/5.htm| title=|Scofield Reference Notes| target=|_top|&gt;SCO&lt;/a&gt;</v>
      </c>
      <c r="AI483" s="2" t="str">
        <f t="shared" si="1930"/>
        <v>&lt;/li&gt;&lt;li&gt;&lt;a href=|http://wes.biblecommenter.com/psalms/5.htm| title=|Wesley's Notes on the Bible| target=|_top|&gt;WES&lt;/a&gt;</v>
      </c>
      <c r="AJ483" t="str">
        <f t="shared" si="1930"/>
        <v>&lt;/li&gt;&lt;li&gt;&lt;a href=|http://worldebible.com/psalms/5.htm| title=|World English Bible| target=|_top|&gt;WEB&lt;/a&gt;</v>
      </c>
      <c r="AK483" t="str">
        <f t="shared" si="1930"/>
        <v>&lt;/li&gt;&lt;li&gt;&lt;a href=|http://yltbible.com/psalms/5.htm| title=|Young's Literal Translation| target=|_top|&gt;YLT&lt;/a&gt;</v>
      </c>
      <c r="AL483" t="str">
        <f>CONCATENATE("&lt;a href=|http://",AL1191,"/psalms/5.htm","| ","title=|",AL1190,"| target=|_top|&gt;",AL1192,"&lt;/a&gt;")</f>
        <v>&lt;a href=|http://kjv.us/psalms/5.htm| title=|American King James Version| target=|_top|&gt;AKJ&lt;/a&gt;</v>
      </c>
      <c r="AM483" t="str">
        <f t="shared" ref="AM483:AN483" si="1931">CONCATENATE("&lt;/li&gt;&lt;li&gt;&lt;a href=|http://",AM1191,"/psalms/5.htm","| ","title=|",AM1190,"| target=|_top|&gt;",AM1192,"&lt;/a&gt;")</f>
        <v>&lt;/li&gt;&lt;li&gt;&lt;a href=|http://basicenglishbible.com/psalms/5.htm| title=|Bible in Basic English| target=|_top|&gt;BBE&lt;/a&gt;</v>
      </c>
      <c r="AN483" t="str">
        <f t="shared" si="1931"/>
        <v>&lt;/li&gt;&lt;li&gt;&lt;a href=|http://darbybible.com/psalms/5.htm| title=|Darby Bible Translation| target=|_top|&gt;DBY&lt;/a&gt;</v>
      </c>
      <c r="AO48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8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8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83" t="str">
        <f>CONCATENATE("&lt;/li&gt;&lt;li&gt;&lt;a href=|http://",AR1191,"/psalms/5.htm","| ","title=|",AR1190,"| target=|_top|&gt;",AR1192,"&lt;/a&gt;")</f>
        <v>&lt;/li&gt;&lt;li&gt;&lt;a href=|http://websterbible.com/psalms/5.htm| title=|Webster's Bible Translation| target=|_top|&gt;WBS&lt;/a&gt;</v>
      </c>
      <c r="AS48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83" t="str">
        <f>CONCATENATE("&lt;/li&gt;&lt;li&gt;&lt;a href=|http://",AT1191,"/psalms/5-1.htm","| ","title=|",AT1190,"| target=|_top|&gt;",AT1192,"&lt;/a&gt;")</f>
        <v>&lt;/li&gt;&lt;li&gt;&lt;a href=|http://biblebrowser.com/psalms/5-1.htm| title=|Split View| target=|_top|&gt;Split&lt;/a&gt;</v>
      </c>
      <c r="AU483" s="2" t="s">
        <v>1276</v>
      </c>
      <c r="AV483" t="s">
        <v>64</v>
      </c>
    </row>
    <row r="484" spans="1:48">
      <c r="A484" t="s">
        <v>622</v>
      </c>
      <c r="B484" t="s">
        <v>722</v>
      </c>
      <c r="C484" t="s">
        <v>624</v>
      </c>
      <c r="D484" t="s">
        <v>1268</v>
      </c>
      <c r="E484" t="s">
        <v>1277</v>
      </c>
      <c r="F484" t="s">
        <v>1304</v>
      </c>
      <c r="G484" t="s">
        <v>1266</v>
      </c>
      <c r="H484" t="s">
        <v>1305</v>
      </c>
      <c r="I484" t="s">
        <v>1303</v>
      </c>
      <c r="J484" t="s">
        <v>1267</v>
      </c>
      <c r="K484" t="s">
        <v>1275</v>
      </c>
      <c r="L484" s="2" t="s">
        <v>1274</v>
      </c>
      <c r="M484" t="str">
        <f t="shared" ref="M484:AB484" si="1932">CONCATENATE("&lt;/li&gt;&lt;li&gt;&lt;a href=|http://",M1191,"/psalms/6.htm","| ","title=|",M1190,"| target=|_top|&gt;",M1192,"&lt;/a&gt;")</f>
        <v>&lt;/li&gt;&lt;li&gt;&lt;a href=|http://niv.scripturetext.com/psalms/6.htm| title=|New International Version| target=|_top|&gt;NIV&lt;/a&gt;</v>
      </c>
      <c r="N484" t="str">
        <f t="shared" si="1932"/>
        <v>&lt;/li&gt;&lt;li&gt;&lt;a href=|http://nlt.scripturetext.com/psalms/6.htm| title=|New Living Translation| target=|_top|&gt;NLT&lt;/a&gt;</v>
      </c>
      <c r="O484" t="str">
        <f t="shared" si="1932"/>
        <v>&lt;/li&gt;&lt;li&gt;&lt;a href=|http://nasb.scripturetext.com/psalms/6.htm| title=|New American Standard Bible| target=|_top|&gt;NAS&lt;/a&gt;</v>
      </c>
      <c r="P484" t="str">
        <f t="shared" si="1932"/>
        <v>&lt;/li&gt;&lt;li&gt;&lt;a href=|http://gwt.scripturetext.com/psalms/6.htm| title=|God's Word Translation| target=|_top|&gt;GWT&lt;/a&gt;</v>
      </c>
      <c r="Q484" t="str">
        <f t="shared" si="1932"/>
        <v>&lt;/li&gt;&lt;li&gt;&lt;a href=|http://kingjbible.com/psalms/6.htm| title=|King James Bible| target=|_top|&gt;KJV&lt;/a&gt;</v>
      </c>
      <c r="R484" t="str">
        <f t="shared" si="1932"/>
        <v>&lt;/li&gt;&lt;li&gt;&lt;a href=|http://asvbible.com/psalms/6.htm| title=|American Standard Version| target=|_top|&gt;ASV&lt;/a&gt;</v>
      </c>
      <c r="S484" t="str">
        <f t="shared" si="1932"/>
        <v>&lt;/li&gt;&lt;li&gt;&lt;a href=|http://drb.scripturetext.com/psalms/6.htm| title=|Douay-Rheims Bible| target=|_top|&gt;DRB&lt;/a&gt;</v>
      </c>
      <c r="T484" t="str">
        <f t="shared" si="1932"/>
        <v>&lt;/li&gt;&lt;li&gt;&lt;a href=|http://erv.scripturetext.com/psalms/6.htm| title=|English Revised Version| target=|_top|&gt;ERV&lt;/a&gt;</v>
      </c>
      <c r="V484" t="str">
        <f>CONCATENATE("&lt;/li&gt;&lt;li&gt;&lt;a href=|http://",V1191,"/psalms/6.htm","| ","title=|",V1190,"| target=|_top|&gt;",V1192,"&lt;/a&gt;")</f>
        <v>&lt;/li&gt;&lt;li&gt;&lt;a href=|http://study.interlinearbible.org/psalms/6.htm| title=|Hebrew Study Bible| target=|_top|&gt;Heb Study&lt;/a&gt;</v>
      </c>
      <c r="W484" t="str">
        <f t="shared" si="1932"/>
        <v>&lt;/li&gt;&lt;li&gt;&lt;a href=|http://apostolic.interlinearbible.org/psalms/6.htm| title=|Apostolic Bible Polyglot Interlinear| target=|_top|&gt;Polyglot&lt;/a&gt;</v>
      </c>
      <c r="X484" t="str">
        <f t="shared" si="1932"/>
        <v>&lt;/li&gt;&lt;li&gt;&lt;a href=|http://interlinearbible.org/psalms/6.htm| title=|Interlinear Bible| target=|_top|&gt;Interlin&lt;/a&gt;</v>
      </c>
      <c r="Y484" t="str">
        <f t="shared" ref="Y484" si="1933">CONCATENATE("&lt;/li&gt;&lt;li&gt;&lt;a href=|http://",Y1191,"/psalms/6.htm","| ","title=|",Y1190,"| target=|_top|&gt;",Y1192,"&lt;/a&gt;")</f>
        <v>&lt;/li&gt;&lt;li&gt;&lt;a href=|http://bibleoutline.org/psalms/6.htm| title=|Outline with People and Places List| target=|_top|&gt;Outline&lt;/a&gt;</v>
      </c>
      <c r="Z484" t="str">
        <f t="shared" si="1932"/>
        <v>&lt;/li&gt;&lt;li&gt;&lt;a href=|http://kjvs.scripturetext.com/psalms/6.htm| title=|King James Bible with Strong's Numbers| target=|_top|&gt;Strong's&lt;/a&gt;</v>
      </c>
      <c r="AA484" t="str">
        <f t="shared" si="1932"/>
        <v>&lt;/li&gt;&lt;li&gt;&lt;a href=|http://childrensbibleonline.com/psalms/6.htm| title=|The Children's Bible| target=|_top|&gt;Children's&lt;/a&gt;</v>
      </c>
      <c r="AB484" s="2" t="str">
        <f t="shared" si="1932"/>
        <v>&lt;/li&gt;&lt;li&gt;&lt;a href=|http://tsk.scripturetext.com/psalms/6.htm| title=|Treasury of Scripture Knowledge| target=|_top|&gt;TSK&lt;/a&gt;</v>
      </c>
      <c r="AC484" t="str">
        <f>CONCATENATE("&lt;a href=|http://",AC1191,"/psalms/6.htm","| ","title=|",AC1190,"| target=|_top|&gt;",AC1192,"&lt;/a&gt;")</f>
        <v>&lt;a href=|http://parallelbible.com/psalms/6.htm| title=|Parallel Chapters| target=|_top|&gt;PAR&lt;/a&gt;</v>
      </c>
      <c r="AD484" s="2" t="str">
        <f t="shared" ref="AD484:AK484" si="1934">CONCATENATE("&lt;/li&gt;&lt;li&gt;&lt;a href=|http://",AD1191,"/psalms/6.htm","| ","title=|",AD1190,"| target=|_top|&gt;",AD1192,"&lt;/a&gt;")</f>
        <v>&lt;/li&gt;&lt;li&gt;&lt;a href=|http://gsb.biblecommenter.com/psalms/6.htm| title=|Geneva Study Bible| target=|_top|&gt;GSB&lt;/a&gt;</v>
      </c>
      <c r="AE484" s="2" t="str">
        <f t="shared" si="1934"/>
        <v>&lt;/li&gt;&lt;li&gt;&lt;a href=|http://jfb.biblecommenter.com/psalms/6.htm| title=|Jamieson-Fausset-Brown Bible Commentary| target=|_top|&gt;JFB&lt;/a&gt;</v>
      </c>
      <c r="AF484" s="2" t="str">
        <f t="shared" si="1934"/>
        <v>&lt;/li&gt;&lt;li&gt;&lt;a href=|http://kjt.biblecommenter.com/psalms/6.htm| title=|King James Translators' Notes| target=|_top|&gt;KJT&lt;/a&gt;</v>
      </c>
      <c r="AG484" s="2" t="str">
        <f t="shared" si="1934"/>
        <v>&lt;/li&gt;&lt;li&gt;&lt;a href=|http://mhc.biblecommenter.com/psalms/6.htm| title=|Matthew Henry's Concise Commentary| target=|_top|&gt;MHC&lt;/a&gt;</v>
      </c>
      <c r="AH484" s="2" t="str">
        <f t="shared" si="1934"/>
        <v>&lt;/li&gt;&lt;li&gt;&lt;a href=|http://sco.biblecommenter.com/psalms/6.htm| title=|Scofield Reference Notes| target=|_top|&gt;SCO&lt;/a&gt;</v>
      </c>
      <c r="AI484" s="2" t="str">
        <f t="shared" si="1934"/>
        <v>&lt;/li&gt;&lt;li&gt;&lt;a href=|http://wes.biblecommenter.com/psalms/6.htm| title=|Wesley's Notes on the Bible| target=|_top|&gt;WES&lt;/a&gt;</v>
      </c>
      <c r="AJ484" t="str">
        <f t="shared" si="1934"/>
        <v>&lt;/li&gt;&lt;li&gt;&lt;a href=|http://worldebible.com/psalms/6.htm| title=|World English Bible| target=|_top|&gt;WEB&lt;/a&gt;</v>
      </c>
      <c r="AK484" t="str">
        <f t="shared" si="1934"/>
        <v>&lt;/li&gt;&lt;li&gt;&lt;a href=|http://yltbible.com/psalms/6.htm| title=|Young's Literal Translation| target=|_top|&gt;YLT&lt;/a&gt;</v>
      </c>
      <c r="AL484" t="str">
        <f>CONCATENATE("&lt;a href=|http://",AL1191,"/psalms/6.htm","| ","title=|",AL1190,"| target=|_top|&gt;",AL1192,"&lt;/a&gt;")</f>
        <v>&lt;a href=|http://kjv.us/psalms/6.htm| title=|American King James Version| target=|_top|&gt;AKJ&lt;/a&gt;</v>
      </c>
      <c r="AM484" t="str">
        <f t="shared" ref="AM484:AN484" si="1935">CONCATENATE("&lt;/li&gt;&lt;li&gt;&lt;a href=|http://",AM1191,"/psalms/6.htm","| ","title=|",AM1190,"| target=|_top|&gt;",AM1192,"&lt;/a&gt;")</f>
        <v>&lt;/li&gt;&lt;li&gt;&lt;a href=|http://basicenglishbible.com/psalms/6.htm| title=|Bible in Basic English| target=|_top|&gt;BBE&lt;/a&gt;</v>
      </c>
      <c r="AN484" t="str">
        <f t="shared" si="1935"/>
        <v>&lt;/li&gt;&lt;li&gt;&lt;a href=|http://darbybible.com/psalms/6.htm| title=|Darby Bible Translation| target=|_top|&gt;DBY&lt;/a&gt;</v>
      </c>
      <c r="AO48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8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8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84" t="str">
        <f>CONCATENATE("&lt;/li&gt;&lt;li&gt;&lt;a href=|http://",AR1191,"/psalms/6.htm","| ","title=|",AR1190,"| target=|_top|&gt;",AR1192,"&lt;/a&gt;")</f>
        <v>&lt;/li&gt;&lt;li&gt;&lt;a href=|http://websterbible.com/psalms/6.htm| title=|Webster's Bible Translation| target=|_top|&gt;WBS&lt;/a&gt;</v>
      </c>
      <c r="AS48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84" t="str">
        <f>CONCATENATE("&lt;/li&gt;&lt;li&gt;&lt;a href=|http://",AT1191,"/psalms/6-1.htm","| ","title=|",AT1190,"| target=|_top|&gt;",AT1192,"&lt;/a&gt;")</f>
        <v>&lt;/li&gt;&lt;li&gt;&lt;a href=|http://biblebrowser.com/psalms/6-1.htm| title=|Split View| target=|_top|&gt;Split&lt;/a&gt;</v>
      </c>
      <c r="AU484" s="2" t="s">
        <v>1276</v>
      </c>
      <c r="AV484" t="s">
        <v>64</v>
      </c>
    </row>
    <row r="485" spans="1:48">
      <c r="A485" t="s">
        <v>622</v>
      </c>
      <c r="B485" t="s">
        <v>723</v>
      </c>
      <c r="C485" t="s">
        <v>624</v>
      </c>
      <c r="D485" t="s">
        <v>1268</v>
      </c>
      <c r="E485" t="s">
        <v>1277</v>
      </c>
      <c r="F485" t="s">
        <v>1304</v>
      </c>
      <c r="G485" t="s">
        <v>1266</v>
      </c>
      <c r="H485" t="s">
        <v>1305</v>
      </c>
      <c r="I485" t="s">
        <v>1303</v>
      </c>
      <c r="J485" t="s">
        <v>1267</v>
      </c>
      <c r="K485" t="s">
        <v>1275</v>
      </c>
      <c r="L485" s="2" t="s">
        <v>1274</v>
      </c>
      <c r="M485" t="str">
        <f t="shared" ref="M485:AB485" si="1936">CONCATENATE("&lt;/li&gt;&lt;li&gt;&lt;a href=|http://",M1191,"/psalms/7.htm","| ","title=|",M1190,"| target=|_top|&gt;",M1192,"&lt;/a&gt;")</f>
        <v>&lt;/li&gt;&lt;li&gt;&lt;a href=|http://niv.scripturetext.com/psalms/7.htm| title=|New International Version| target=|_top|&gt;NIV&lt;/a&gt;</v>
      </c>
      <c r="N485" t="str">
        <f t="shared" si="1936"/>
        <v>&lt;/li&gt;&lt;li&gt;&lt;a href=|http://nlt.scripturetext.com/psalms/7.htm| title=|New Living Translation| target=|_top|&gt;NLT&lt;/a&gt;</v>
      </c>
      <c r="O485" t="str">
        <f t="shared" si="1936"/>
        <v>&lt;/li&gt;&lt;li&gt;&lt;a href=|http://nasb.scripturetext.com/psalms/7.htm| title=|New American Standard Bible| target=|_top|&gt;NAS&lt;/a&gt;</v>
      </c>
      <c r="P485" t="str">
        <f t="shared" si="1936"/>
        <v>&lt;/li&gt;&lt;li&gt;&lt;a href=|http://gwt.scripturetext.com/psalms/7.htm| title=|God's Word Translation| target=|_top|&gt;GWT&lt;/a&gt;</v>
      </c>
      <c r="Q485" t="str">
        <f t="shared" si="1936"/>
        <v>&lt;/li&gt;&lt;li&gt;&lt;a href=|http://kingjbible.com/psalms/7.htm| title=|King James Bible| target=|_top|&gt;KJV&lt;/a&gt;</v>
      </c>
      <c r="R485" t="str">
        <f t="shared" si="1936"/>
        <v>&lt;/li&gt;&lt;li&gt;&lt;a href=|http://asvbible.com/psalms/7.htm| title=|American Standard Version| target=|_top|&gt;ASV&lt;/a&gt;</v>
      </c>
      <c r="S485" t="str">
        <f t="shared" si="1936"/>
        <v>&lt;/li&gt;&lt;li&gt;&lt;a href=|http://drb.scripturetext.com/psalms/7.htm| title=|Douay-Rheims Bible| target=|_top|&gt;DRB&lt;/a&gt;</v>
      </c>
      <c r="T485" t="str">
        <f t="shared" si="1936"/>
        <v>&lt;/li&gt;&lt;li&gt;&lt;a href=|http://erv.scripturetext.com/psalms/7.htm| title=|English Revised Version| target=|_top|&gt;ERV&lt;/a&gt;</v>
      </c>
      <c r="V485" t="str">
        <f>CONCATENATE("&lt;/li&gt;&lt;li&gt;&lt;a href=|http://",V1191,"/psalms/7.htm","| ","title=|",V1190,"| target=|_top|&gt;",V1192,"&lt;/a&gt;")</f>
        <v>&lt;/li&gt;&lt;li&gt;&lt;a href=|http://study.interlinearbible.org/psalms/7.htm| title=|Hebrew Study Bible| target=|_top|&gt;Heb Study&lt;/a&gt;</v>
      </c>
      <c r="W485" t="str">
        <f t="shared" si="1936"/>
        <v>&lt;/li&gt;&lt;li&gt;&lt;a href=|http://apostolic.interlinearbible.org/psalms/7.htm| title=|Apostolic Bible Polyglot Interlinear| target=|_top|&gt;Polyglot&lt;/a&gt;</v>
      </c>
      <c r="X485" t="str">
        <f t="shared" si="1936"/>
        <v>&lt;/li&gt;&lt;li&gt;&lt;a href=|http://interlinearbible.org/psalms/7.htm| title=|Interlinear Bible| target=|_top|&gt;Interlin&lt;/a&gt;</v>
      </c>
      <c r="Y485" t="str">
        <f t="shared" ref="Y485" si="1937">CONCATENATE("&lt;/li&gt;&lt;li&gt;&lt;a href=|http://",Y1191,"/psalms/7.htm","| ","title=|",Y1190,"| target=|_top|&gt;",Y1192,"&lt;/a&gt;")</f>
        <v>&lt;/li&gt;&lt;li&gt;&lt;a href=|http://bibleoutline.org/psalms/7.htm| title=|Outline with People and Places List| target=|_top|&gt;Outline&lt;/a&gt;</v>
      </c>
      <c r="Z485" t="str">
        <f t="shared" si="1936"/>
        <v>&lt;/li&gt;&lt;li&gt;&lt;a href=|http://kjvs.scripturetext.com/psalms/7.htm| title=|King James Bible with Strong's Numbers| target=|_top|&gt;Strong's&lt;/a&gt;</v>
      </c>
      <c r="AA485" t="str">
        <f t="shared" si="1936"/>
        <v>&lt;/li&gt;&lt;li&gt;&lt;a href=|http://childrensbibleonline.com/psalms/7.htm| title=|The Children's Bible| target=|_top|&gt;Children's&lt;/a&gt;</v>
      </c>
      <c r="AB485" s="2" t="str">
        <f t="shared" si="1936"/>
        <v>&lt;/li&gt;&lt;li&gt;&lt;a href=|http://tsk.scripturetext.com/psalms/7.htm| title=|Treasury of Scripture Knowledge| target=|_top|&gt;TSK&lt;/a&gt;</v>
      </c>
      <c r="AC485" t="str">
        <f>CONCATENATE("&lt;a href=|http://",AC1191,"/psalms/7.htm","| ","title=|",AC1190,"| target=|_top|&gt;",AC1192,"&lt;/a&gt;")</f>
        <v>&lt;a href=|http://parallelbible.com/psalms/7.htm| title=|Parallel Chapters| target=|_top|&gt;PAR&lt;/a&gt;</v>
      </c>
      <c r="AD485" s="2" t="str">
        <f t="shared" ref="AD485:AK485" si="1938">CONCATENATE("&lt;/li&gt;&lt;li&gt;&lt;a href=|http://",AD1191,"/psalms/7.htm","| ","title=|",AD1190,"| target=|_top|&gt;",AD1192,"&lt;/a&gt;")</f>
        <v>&lt;/li&gt;&lt;li&gt;&lt;a href=|http://gsb.biblecommenter.com/psalms/7.htm| title=|Geneva Study Bible| target=|_top|&gt;GSB&lt;/a&gt;</v>
      </c>
      <c r="AE485" s="2" t="str">
        <f t="shared" si="1938"/>
        <v>&lt;/li&gt;&lt;li&gt;&lt;a href=|http://jfb.biblecommenter.com/psalms/7.htm| title=|Jamieson-Fausset-Brown Bible Commentary| target=|_top|&gt;JFB&lt;/a&gt;</v>
      </c>
      <c r="AF485" s="2" t="str">
        <f t="shared" si="1938"/>
        <v>&lt;/li&gt;&lt;li&gt;&lt;a href=|http://kjt.biblecommenter.com/psalms/7.htm| title=|King James Translators' Notes| target=|_top|&gt;KJT&lt;/a&gt;</v>
      </c>
      <c r="AG485" s="2" t="str">
        <f t="shared" si="1938"/>
        <v>&lt;/li&gt;&lt;li&gt;&lt;a href=|http://mhc.biblecommenter.com/psalms/7.htm| title=|Matthew Henry's Concise Commentary| target=|_top|&gt;MHC&lt;/a&gt;</v>
      </c>
      <c r="AH485" s="2" t="str">
        <f t="shared" si="1938"/>
        <v>&lt;/li&gt;&lt;li&gt;&lt;a href=|http://sco.biblecommenter.com/psalms/7.htm| title=|Scofield Reference Notes| target=|_top|&gt;SCO&lt;/a&gt;</v>
      </c>
      <c r="AI485" s="2" t="str">
        <f t="shared" si="1938"/>
        <v>&lt;/li&gt;&lt;li&gt;&lt;a href=|http://wes.biblecommenter.com/psalms/7.htm| title=|Wesley's Notes on the Bible| target=|_top|&gt;WES&lt;/a&gt;</v>
      </c>
      <c r="AJ485" t="str">
        <f t="shared" si="1938"/>
        <v>&lt;/li&gt;&lt;li&gt;&lt;a href=|http://worldebible.com/psalms/7.htm| title=|World English Bible| target=|_top|&gt;WEB&lt;/a&gt;</v>
      </c>
      <c r="AK485" t="str">
        <f t="shared" si="1938"/>
        <v>&lt;/li&gt;&lt;li&gt;&lt;a href=|http://yltbible.com/psalms/7.htm| title=|Young's Literal Translation| target=|_top|&gt;YLT&lt;/a&gt;</v>
      </c>
      <c r="AL485" t="str">
        <f>CONCATENATE("&lt;a href=|http://",AL1191,"/psalms/7.htm","| ","title=|",AL1190,"| target=|_top|&gt;",AL1192,"&lt;/a&gt;")</f>
        <v>&lt;a href=|http://kjv.us/psalms/7.htm| title=|American King James Version| target=|_top|&gt;AKJ&lt;/a&gt;</v>
      </c>
      <c r="AM485" t="str">
        <f t="shared" ref="AM485:AN485" si="1939">CONCATENATE("&lt;/li&gt;&lt;li&gt;&lt;a href=|http://",AM1191,"/psalms/7.htm","| ","title=|",AM1190,"| target=|_top|&gt;",AM1192,"&lt;/a&gt;")</f>
        <v>&lt;/li&gt;&lt;li&gt;&lt;a href=|http://basicenglishbible.com/psalms/7.htm| title=|Bible in Basic English| target=|_top|&gt;BBE&lt;/a&gt;</v>
      </c>
      <c r="AN485" t="str">
        <f t="shared" si="1939"/>
        <v>&lt;/li&gt;&lt;li&gt;&lt;a href=|http://darbybible.com/psalms/7.htm| title=|Darby Bible Translation| target=|_top|&gt;DBY&lt;/a&gt;</v>
      </c>
      <c r="AO48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8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8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85" t="str">
        <f>CONCATENATE("&lt;/li&gt;&lt;li&gt;&lt;a href=|http://",AR1191,"/psalms/7.htm","| ","title=|",AR1190,"| target=|_top|&gt;",AR1192,"&lt;/a&gt;")</f>
        <v>&lt;/li&gt;&lt;li&gt;&lt;a href=|http://websterbible.com/psalms/7.htm| title=|Webster's Bible Translation| target=|_top|&gt;WBS&lt;/a&gt;</v>
      </c>
      <c r="AS48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85" t="str">
        <f>CONCATENATE("&lt;/li&gt;&lt;li&gt;&lt;a href=|http://",AT1191,"/psalms/7-1.htm","| ","title=|",AT1190,"| target=|_top|&gt;",AT1192,"&lt;/a&gt;")</f>
        <v>&lt;/li&gt;&lt;li&gt;&lt;a href=|http://biblebrowser.com/psalms/7-1.htm| title=|Split View| target=|_top|&gt;Split&lt;/a&gt;</v>
      </c>
      <c r="AU485" s="2" t="s">
        <v>1276</v>
      </c>
      <c r="AV485" t="s">
        <v>64</v>
      </c>
    </row>
    <row r="486" spans="1:48">
      <c r="A486" t="s">
        <v>622</v>
      </c>
      <c r="B486" t="s">
        <v>724</v>
      </c>
      <c r="C486" t="s">
        <v>624</v>
      </c>
      <c r="D486" t="s">
        <v>1268</v>
      </c>
      <c r="E486" t="s">
        <v>1277</v>
      </c>
      <c r="F486" t="s">
        <v>1304</v>
      </c>
      <c r="G486" t="s">
        <v>1266</v>
      </c>
      <c r="H486" t="s">
        <v>1305</v>
      </c>
      <c r="I486" t="s">
        <v>1303</v>
      </c>
      <c r="J486" t="s">
        <v>1267</v>
      </c>
      <c r="K486" t="s">
        <v>1275</v>
      </c>
      <c r="L486" s="2" t="s">
        <v>1274</v>
      </c>
      <c r="M486" t="str">
        <f t="shared" ref="M486:AB486" si="1940">CONCATENATE("&lt;/li&gt;&lt;li&gt;&lt;a href=|http://",M1191,"/psalms/8.htm","| ","title=|",M1190,"| target=|_top|&gt;",M1192,"&lt;/a&gt;")</f>
        <v>&lt;/li&gt;&lt;li&gt;&lt;a href=|http://niv.scripturetext.com/psalms/8.htm| title=|New International Version| target=|_top|&gt;NIV&lt;/a&gt;</v>
      </c>
      <c r="N486" t="str">
        <f t="shared" si="1940"/>
        <v>&lt;/li&gt;&lt;li&gt;&lt;a href=|http://nlt.scripturetext.com/psalms/8.htm| title=|New Living Translation| target=|_top|&gt;NLT&lt;/a&gt;</v>
      </c>
      <c r="O486" t="str">
        <f t="shared" si="1940"/>
        <v>&lt;/li&gt;&lt;li&gt;&lt;a href=|http://nasb.scripturetext.com/psalms/8.htm| title=|New American Standard Bible| target=|_top|&gt;NAS&lt;/a&gt;</v>
      </c>
      <c r="P486" t="str">
        <f t="shared" si="1940"/>
        <v>&lt;/li&gt;&lt;li&gt;&lt;a href=|http://gwt.scripturetext.com/psalms/8.htm| title=|God's Word Translation| target=|_top|&gt;GWT&lt;/a&gt;</v>
      </c>
      <c r="Q486" t="str">
        <f t="shared" si="1940"/>
        <v>&lt;/li&gt;&lt;li&gt;&lt;a href=|http://kingjbible.com/psalms/8.htm| title=|King James Bible| target=|_top|&gt;KJV&lt;/a&gt;</v>
      </c>
      <c r="R486" t="str">
        <f t="shared" si="1940"/>
        <v>&lt;/li&gt;&lt;li&gt;&lt;a href=|http://asvbible.com/psalms/8.htm| title=|American Standard Version| target=|_top|&gt;ASV&lt;/a&gt;</v>
      </c>
      <c r="S486" t="str">
        <f t="shared" si="1940"/>
        <v>&lt;/li&gt;&lt;li&gt;&lt;a href=|http://drb.scripturetext.com/psalms/8.htm| title=|Douay-Rheims Bible| target=|_top|&gt;DRB&lt;/a&gt;</v>
      </c>
      <c r="T486" t="str">
        <f t="shared" si="1940"/>
        <v>&lt;/li&gt;&lt;li&gt;&lt;a href=|http://erv.scripturetext.com/psalms/8.htm| title=|English Revised Version| target=|_top|&gt;ERV&lt;/a&gt;</v>
      </c>
      <c r="V486" t="str">
        <f>CONCATENATE("&lt;/li&gt;&lt;li&gt;&lt;a href=|http://",V1191,"/psalms/8.htm","| ","title=|",V1190,"| target=|_top|&gt;",V1192,"&lt;/a&gt;")</f>
        <v>&lt;/li&gt;&lt;li&gt;&lt;a href=|http://study.interlinearbible.org/psalms/8.htm| title=|Hebrew Study Bible| target=|_top|&gt;Heb Study&lt;/a&gt;</v>
      </c>
      <c r="W486" t="str">
        <f t="shared" si="1940"/>
        <v>&lt;/li&gt;&lt;li&gt;&lt;a href=|http://apostolic.interlinearbible.org/psalms/8.htm| title=|Apostolic Bible Polyglot Interlinear| target=|_top|&gt;Polyglot&lt;/a&gt;</v>
      </c>
      <c r="X486" t="str">
        <f t="shared" si="1940"/>
        <v>&lt;/li&gt;&lt;li&gt;&lt;a href=|http://interlinearbible.org/psalms/8.htm| title=|Interlinear Bible| target=|_top|&gt;Interlin&lt;/a&gt;</v>
      </c>
      <c r="Y486" t="str">
        <f t="shared" ref="Y486" si="1941">CONCATENATE("&lt;/li&gt;&lt;li&gt;&lt;a href=|http://",Y1191,"/psalms/8.htm","| ","title=|",Y1190,"| target=|_top|&gt;",Y1192,"&lt;/a&gt;")</f>
        <v>&lt;/li&gt;&lt;li&gt;&lt;a href=|http://bibleoutline.org/psalms/8.htm| title=|Outline with People and Places List| target=|_top|&gt;Outline&lt;/a&gt;</v>
      </c>
      <c r="Z486" t="str">
        <f t="shared" si="1940"/>
        <v>&lt;/li&gt;&lt;li&gt;&lt;a href=|http://kjvs.scripturetext.com/psalms/8.htm| title=|King James Bible with Strong's Numbers| target=|_top|&gt;Strong's&lt;/a&gt;</v>
      </c>
      <c r="AA486" t="str">
        <f t="shared" si="1940"/>
        <v>&lt;/li&gt;&lt;li&gt;&lt;a href=|http://childrensbibleonline.com/psalms/8.htm| title=|The Children's Bible| target=|_top|&gt;Children's&lt;/a&gt;</v>
      </c>
      <c r="AB486" s="2" t="str">
        <f t="shared" si="1940"/>
        <v>&lt;/li&gt;&lt;li&gt;&lt;a href=|http://tsk.scripturetext.com/psalms/8.htm| title=|Treasury of Scripture Knowledge| target=|_top|&gt;TSK&lt;/a&gt;</v>
      </c>
      <c r="AC486" t="str">
        <f>CONCATENATE("&lt;a href=|http://",AC1191,"/psalms/8.htm","| ","title=|",AC1190,"| target=|_top|&gt;",AC1192,"&lt;/a&gt;")</f>
        <v>&lt;a href=|http://parallelbible.com/psalms/8.htm| title=|Parallel Chapters| target=|_top|&gt;PAR&lt;/a&gt;</v>
      </c>
      <c r="AD486" s="2" t="str">
        <f t="shared" ref="AD486:AK486" si="1942">CONCATENATE("&lt;/li&gt;&lt;li&gt;&lt;a href=|http://",AD1191,"/psalms/8.htm","| ","title=|",AD1190,"| target=|_top|&gt;",AD1192,"&lt;/a&gt;")</f>
        <v>&lt;/li&gt;&lt;li&gt;&lt;a href=|http://gsb.biblecommenter.com/psalms/8.htm| title=|Geneva Study Bible| target=|_top|&gt;GSB&lt;/a&gt;</v>
      </c>
      <c r="AE486" s="2" t="str">
        <f t="shared" si="1942"/>
        <v>&lt;/li&gt;&lt;li&gt;&lt;a href=|http://jfb.biblecommenter.com/psalms/8.htm| title=|Jamieson-Fausset-Brown Bible Commentary| target=|_top|&gt;JFB&lt;/a&gt;</v>
      </c>
      <c r="AF486" s="2" t="str">
        <f t="shared" si="1942"/>
        <v>&lt;/li&gt;&lt;li&gt;&lt;a href=|http://kjt.biblecommenter.com/psalms/8.htm| title=|King James Translators' Notes| target=|_top|&gt;KJT&lt;/a&gt;</v>
      </c>
      <c r="AG486" s="2" t="str">
        <f t="shared" si="1942"/>
        <v>&lt;/li&gt;&lt;li&gt;&lt;a href=|http://mhc.biblecommenter.com/psalms/8.htm| title=|Matthew Henry's Concise Commentary| target=|_top|&gt;MHC&lt;/a&gt;</v>
      </c>
      <c r="AH486" s="2" t="str">
        <f t="shared" si="1942"/>
        <v>&lt;/li&gt;&lt;li&gt;&lt;a href=|http://sco.biblecommenter.com/psalms/8.htm| title=|Scofield Reference Notes| target=|_top|&gt;SCO&lt;/a&gt;</v>
      </c>
      <c r="AI486" s="2" t="str">
        <f t="shared" si="1942"/>
        <v>&lt;/li&gt;&lt;li&gt;&lt;a href=|http://wes.biblecommenter.com/psalms/8.htm| title=|Wesley's Notes on the Bible| target=|_top|&gt;WES&lt;/a&gt;</v>
      </c>
      <c r="AJ486" t="str">
        <f t="shared" si="1942"/>
        <v>&lt;/li&gt;&lt;li&gt;&lt;a href=|http://worldebible.com/psalms/8.htm| title=|World English Bible| target=|_top|&gt;WEB&lt;/a&gt;</v>
      </c>
      <c r="AK486" t="str">
        <f t="shared" si="1942"/>
        <v>&lt;/li&gt;&lt;li&gt;&lt;a href=|http://yltbible.com/psalms/8.htm| title=|Young's Literal Translation| target=|_top|&gt;YLT&lt;/a&gt;</v>
      </c>
      <c r="AL486" t="str">
        <f>CONCATENATE("&lt;a href=|http://",AL1191,"/psalms/8.htm","| ","title=|",AL1190,"| target=|_top|&gt;",AL1192,"&lt;/a&gt;")</f>
        <v>&lt;a href=|http://kjv.us/psalms/8.htm| title=|American King James Version| target=|_top|&gt;AKJ&lt;/a&gt;</v>
      </c>
      <c r="AM486" t="str">
        <f t="shared" ref="AM486:AN486" si="1943">CONCATENATE("&lt;/li&gt;&lt;li&gt;&lt;a href=|http://",AM1191,"/psalms/8.htm","| ","title=|",AM1190,"| target=|_top|&gt;",AM1192,"&lt;/a&gt;")</f>
        <v>&lt;/li&gt;&lt;li&gt;&lt;a href=|http://basicenglishbible.com/psalms/8.htm| title=|Bible in Basic English| target=|_top|&gt;BBE&lt;/a&gt;</v>
      </c>
      <c r="AN486" t="str">
        <f t="shared" si="1943"/>
        <v>&lt;/li&gt;&lt;li&gt;&lt;a href=|http://darbybible.com/psalms/8.htm| title=|Darby Bible Translation| target=|_top|&gt;DBY&lt;/a&gt;</v>
      </c>
      <c r="AO48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8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8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86" t="str">
        <f>CONCATENATE("&lt;/li&gt;&lt;li&gt;&lt;a href=|http://",AR1191,"/psalms/8.htm","| ","title=|",AR1190,"| target=|_top|&gt;",AR1192,"&lt;/a&gt;")</f>
        <v>&lt;/li&gt;&lt;li&gt;&lt;a href=|http://websterbible.com/psalms/8.htm| title=|Webster's Bible Translation| target=|_top|&gt;WBS&lt;/a&gt;</v>
      </c>
      <c r="AS48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86" t="str">
        <f>CONCATENATE("&lt;/li&gt;&lt;li&gt;&lt;a href=|http://",AT1191,"/psalms/8-1.htm","| ","title=|",AT1190,"| target=|_top|&gt;",AT1192,"&lt;/a&gt;")</f>
        <v>&lt;/li&gt;&lt;li&gt;&lt;a href=|http://biblebrowser.com/psalms/8-1.htm| title=|Split View| target=|_top|&gt;Split&lt;/a&gt;</v>
      </c>
      <c r="AU486" s="2" t="s">
        <v>1276</v>
      </c>
      <c r="AV486" t="s">
        <v>64</v>
      </c>
    </row>
    <row r="487" spans="1:48">
      <c r="A487" t="s">
        <v>622</v>
      </c>
      <c r="B487" t="s">
        <v>725</v>
      </c>
      <c r="C487" t="s">
        <v>624</v>
      </c>
      <c r="D487" t="s">
        <v>1268</v>
      </c>
      <c r="E487" t="s">
        <v>1277</v>
      </c>
      <c r="F487" t="s">
        <v>1304</v>
      </c>
      <c r="G487" t="s">
        <v>1266</v>
      </c>
      <c r="H487" t="s">
        <v>1305</v>
      </c>
      <c r="I487" t="s">
        <v>1303</v>
      </c>
      <c r="J487" t="s">
        <v>1267</v>
      </c>
      <c r="K487" t="s">
        <v>1275</v>
      </c>
      <c r="L487" s="2" t="s">
        <v>1274</v>
      </c>
      <c r="M487" t="str">
        <f t="shared" ref="M487:AB487" si="1944">CONCATENATE("&lt;/li&gt;&lt;li&gt;&lt;a href=|http://",M1191,"/psalms/9.htm","| ","title=|",M1190,"| target=|_top|&gt;",M1192,"&lt;/a&gt;")</f>
        <v>&lt;/li&gt;&lt;li&gt;&lt;a href=|http://niv.scripturetext.com/psalms/9.htm| title=|New International Version| target=|_top|&gt;NIV&lt;/a&gt;</v>
      </c>
      <c r="N487" t="str">
        <f t="shared" si="1944"/>
        <v>&lt;/li&gt;&lt;li&gt;&lt;a href=|http://nlt.scripturetext.com/psalms/9.htm| title=|New Living Translation| target=|_top|&gt;NLT&lt;/a&gt;</v>
      </c>
      <c r="O487" t="str">
        <f t="shared" si="1944"/>
        <v>&lt;/li&gt;&lt;li&gt;&lt;a href=|http://nasb.scripturetext.com/psalms/9.htm| title=|New American Standard Bible| target=|_top|&gt;NAS&lt;/a&gt;</v>
      </c>
      <c r="P487" t="str">
        <f t="shared" si="1944"/>
        <v>&lt;/li&gt;&lt;li&gt;&lt;a href=|http://gwt.scripturetext.com/psalms/9.htm| title=|God's Word Translation| target=|_top|&gt;GWT&lt;/a&gt;</v>
      </c>
      <c r="Q487" t="str">
        <f t="shared" si="1944"/>
        <v>&lt;/li&gt;&lt;li&gt;&lt;a href=|http://kingjbible.com/psalms/9.htm| title=|King James Bible| target=|_top|&gt;KJV&lt;/a&gt;</v>
      </c>
      <c r="R487" t="str">
        <f t="shared" si="1944"/>
        <v>&lt;/li&gt;&lt;li&gt;&lt;a href=|http://asvbible.com/psalms/9.htm| title=|American Standard Version| target=|_top|&gt;ASV&lt;/a&gt;</v>
      </c>
      <c r="S487" t="str">
        <f t="shared" si="1944"/>
        <v>&lt;/li&gt;&lt;li&gt;&lt;a href=|http://drb.scripturetext.com/psalms/9.htm| title=|Douay-Rheims Bible| target=|_top|&gt;DRB&lt;/a&gt;</v>
      </c>
      <c r="T487" t="str">
        <f t="shared" si="1944"/>
        <v>&lt;/li&gt;&lt;li&gt;&lt;a href=|http://erv.scripturetext.com/psalms/9.htm| title=|English Revised Version| target=|_top|&gt;ERV&lt;/a&gt;</v>
      </c>
      <c r="V487" t="str">
        <f>CONCATENATE("&lt;/li&gt;&lt;li&gt;&lt;a href=|http://",V1191,"/psalms/9.htm","| ","title=|",V1190,"| target=|_top|&gt;",V1192,"&lt;/a&gt;")</f>
        <v>&lt;/li&gt;&lt;li&gt;&lt;a href=|http://study.interlinearbible.org/psalms/9.htm| title=|Hebrew Study Bible| target=|_top|&gt;Heb Study&lt;/a&gt;</v>
      </c>
      <c r="W487" t="str">
        <f t="shared" si="1944"/>
        <v>&lt;/li&gt;&lt;li&gt;&lt;a href=|http://apostolic.interlinearbible.org/psalms/9.htm| title=|Apostolic Bible Polyglot Interlinear| target=|_top|&gt;Polyglot&lt;/a&gt;</v>
      </c>
      <c r="X487" t="str">
        <f t="shared" si="1944"/>
        <v>&lt;/li&gt;&lt;li&gt;&lt;a href=|http://interlinearbible.org/psalms/9.htm| title=|Interlinear Bible| target=|_top|&gt;Interlin&lt;/a&gt;</v>
      </c>
      <c r="Y487" t="str">
        <f t="shared" ref="Y487" si="1945">CONCATENATE("&lt;/li&gt;&lt;li&gt;&lt;a href=|http://",Y1191,"/psalms/9.htm","| ","title=|",Y1190,"| target=|_top|&gt;",Y1192,"&lt;/a&gt;")</f>
        <v>&lt;/li&gt;&lt;li&gt;&lt;a href=|http://bibleoutline.org/psalms/9.htm| title=|Outline with People and Places List| target=|_top|&gt;Outline&lt;/a&gt;</v>
      </c>
      <c r="Z487" t="str">
        <f t="shared" si="1944"/>
        <v>&lt;/li&gt;&lt;li&gt;&lt;a href=|http://kjvs.scripturetext.com/psalms/9.htm| title=|King James Bible with Strong's Numbers| target=|_top|&gt;Strong's&lt;/a&gt;</v>
      </c>
      <c r="AA487" t="str">
        <f t="shared" si="1944"/>
        <v>&lt;/li&gt;&lt;li&gt;&lt;a href=|http://childrensbibleonline.com/psalms/9.htm| title=|The Children's Bible| target=|_top|&gt;Children's&lt;/a&gt;</v>
      </c>
      <c r="AB487" s="2" t="str">
        <f t="shared" si="1944"/>
        <v>&lt;/li&gt;&lt;li&gt;&lt;a href=|http://tsk.scripturetext.com/psalms/9.htm| title=|Treasury of Scripture Knowledge| target=|_top|&gt;TSK&lt;/a&gt;</v>
      </c>
      <c r="AC487" t="str">
        <f>CONCATENATE("&lt;a href=|http://",AC1191,"/psalms/9.htm","| ","title=|",AC1190,"| target=|_top|&gt;",AC1192,"&lt;/a&gt;")</f>
        <v>&lt;a href=|http://parallelbible.com/psalms/9.htm| title=|Parallel Chapters| target=|_top|&gt;PAR&lt;/a&gt;</v>
      </c>
      <c r="AD487" s="2" t="str">
        <f t="shared" ref="AD487:AK487" si="1946">CONCATENATE("&lt;/li&gt;&lt;li&gt;&lt;a href=|http://",AD1191,"/psalms/9.htm","| ","title=|",AD1190,"| target=|_top|&gt;",AD1192,"&lt;/a&gt;")</f>
        <v>&lt;/li&gt;&lt;li&gt;&lt;a href=|http://gsb.biblecommenter.com/psalms/9.htm| title=|Geneva Study Bible| target=|_top|&gt;GSB&lt;/a&gt;</v>
      </c>
      <c r="AE487" s="2" t="str">
        <f t="shared" si="1946"/>
        <v>&lt;/li&gt;&lt;li&gt;&lt;a href=|http://jfb.biblecommenter.com/psalms/9.htm| title=|Jamieson-Fausset-Brown Bible Commentary| target=|_top|&gt;JFB&lt;/a&gt;</v>
      </c>
      <c r="AF487" s="2" t="str">
        <f t="shared" si="1946"/>
        <v>&lt;/li&gt;&lt;li&gt;&lt;a href=|http://kjt.biblecommenter.com/psalms/9.htm| title=|King James Translators' Notes| target=|_top|&gt;KJT&lt;/a&gt;</v>
      </c>
      <c r="AG487" s="2" t="str">
        <f t="shared" si="1946"/>
        <v>&lt;/li&gt;&lt;li&gt;&lt;a href=|http://mhc.biblecommenter.com/psalms/9.htm| title=|Matthew Henry's Concise Commentary| target=|_top|&gt;MHC&lt;/a&gt;</v>
      </c>
      <c r="AH487" s="2" t="str">
        <f t="shared" si="1946"/>
        <v>&lt;/li&gt;&lt;li&gt;&lt;a href=|http://sco.biblecommenter.com/psalms/9.htm| title=|Scofield Reference Notes| target=|_top|&gt;SCO&lt;/a&gt;</v>
      </c>
      <c r="AI487" s="2" t="str">
        <f t="shared" si="1946"/>
        <v>&lt;/li&gt;&lt;li&gt;&lt;a href=|http://wes.biblecommenter.com/psalms/9.htm| title=|Wesley's Notes on the Bible| target=|_top|&gt;WES&lt;/a&gt;</v>
      </c>
      <c r="AJ487" t="str">
        <f t="shared" si="1946"/>
        <v>&lt;/li&gt;&lt;li&gt;&lt;a href=|http://worldebible.com/psalms/9.htm| title=|World English Bible| target=|_top|&gt;WEB&lt;/a&gt;</v>
      </c>
      <c r="AK487" t="str">
        <f t="shared" si="1946"/>
        <v>&lt;/li&gt;&lt;li&gt;&lt;a href=|http://yltbible.com/psalms/9.htm| title=|Young's Literal Translation| target=|_top|&gt;YLT&lt;/a&gt;</v>
      </c>
      <c r="AL487" t="str">
        <f>CONCATENATE("&lt;a href=|http://",AL1191,"/psalms/9.htm","| ","title=|",AL1190,"| target=|_top|&gt;",AL1192,"&lt;/a&gt;")</f>
        <v>&lt;a href=|http://kjv.us/psalms/9.htm| title=|American King James Version| target=|_top|&gt;AKJ&lt;/a&gt;</v>
      </c>
      <c r="AM487" t="str">
        <f t="shared" ref="AM487:AN487" si="1947">CONCATENATE("&lt;/li&gt;&lt;li&gt;&lt;a href=|http://",AM1191,"/psalms/9.htm","| ","title=|",AM1190,"| target=|_top|&gt;",AM1192,"&lt;/a&gt;")</f>
        <v>&lt;/li&gt;&lt;li&gt;&lt;a href=|http://basicenglishbible.com/psalms/9.htm| title=|Bible in Basic English| target=|_top|&gt;BBE&lt;/a&gt;</v>
      </c>
      <c r="AN487" t="str">
        <f t="shared" si="1947"/>
        <v>&lt;/li&gt;&lt;li&gt;&lt;a href=|http://darbybible.com/psalms/9.htm| title=|Darby Bible Translation| target=|_top|&gt;DBY&lt;/a&gt;</v>
      </c>
      <c r="AO48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8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8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87" t="str">
        <f>CONCATENATE("&lt;/li&gt;&lt;li&gt;&lt;a href=|http://",AR1191,"/psalms/9.htm","| ","title=|",AR1190,"| target=|_top|&gt;",AR1192,"&lt;/a&gt;")</f>
        <v>&lt;/li&gt;&lt;li&gt;&lt;a href=|http://websterbible.com/psalms/9.htm| title=|Webster's Bible Translation| target=|_top|&gt;WBS&lt;/a&gt;</v>
      </c>
      <c r="AS48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87" t="str">
        <f>CONCATENATE("&lt;/li&gt;&lt;li&gt;&lt;a href=|http://",AT1191,"/psalms/9-1.htm","| ","title=|",AT1190,"| target=|_top|&gt;",AT1192,"&lt;/a&gt;")</f>
        <v>&lt;/li&gt;&lt;li&gt;&lt;a href=|http://biblebrowser.com/psalms/9-1.htm| title=|Split View| target=|_top|&gt;Split&lt;/a&gt;</v>
      </c>
      <c r="AU487" s="2" t="s">
        <v>1276</v>
      </c>
      <c r="AV487" t="s">
        <v>64</v>
      </c>
    </row>
    <row r="488" spans="1:48">
      <c r="A488" t="s">
        <v>622</v>
      </c>
      <c r="B488" t="s">
        <v>726</v>
      </c>
      <c r="C488" t="s">
        <v>624</v>
      </c>
      <c r="D488" t="s">
        <v>1268</v>
      </c>
      <c r="E488" t="s">
        <v>1277</v>
      </c>
      <c r="F488" t="s">
        <v>1304</v>
      </c>
      <c r="G488" t="s">
        <v>1266</v>
      </c>
      <c r="H488" t="s">
        <v>1305</v>
      </c>
      <c r="I488" t="s">
        <v>1303</v>
      </c>
      <c r="J488" t="s">
        <v>1267</v>
      </c>
      <c r="K488" t="s">
        <v>1275</v>
      </c>
      <c r="L488" s="2" t="s">
        <v>1274</v>
      </c>
      <c r="M488" t="str">
        <f t="shared" ref="M488:AB488" si="1948">CONCATENATE("&lt;/li&gt;&lt;li&gt;&lt;a href=|http://",M1191,"/psalms/10.htm","| ","title=|",M1190,"| target=|_top|&gt;",M1192,"&lt;/a&gt;")</f>
        <v>&lt;/li&gt;&lt;li&gt;&lt;a href=|http://niv.scripturetext.com/psalms/10.htm| title=|New International Version| target=|_top|&gt;NIV&lt;/a&gt;</v>
      </c>
      <c r="N488" t="str">
        <f t="shared" si="1948"/>
        <v>&lt;/li&gt;&lt;li&gt;&lt;a href=|http://nlt.scripturetext.com/psalms/10.htm| title=|New Living Translation| target=|_top|&gt;NLT&lt;/a&gt;</v>
      </c>
      <c r="O488" t="str">
        <f t="shared" si="1948"/>
        <v>&lt;/li&gt;&lt;li&gt;&lt;a href=|http://nasb.scripturetext.com/psalms/10.htm| title=|New American Standard Bible| target=|_top|&gt;NAS&lt;/a&gt;</v>
      </c>
      <c r="P488" t="str">
        <f t="shared" si="1948"/>
        <v>&lt;/li&gt;&lt;li&gt;&lt;a href=|http://gwt.scripturetext.com/psalms/10.htm| title=|God's Word Translation| target=|_top|&gt;GWT&lt;/a&gt;</v>
      </c>
      <c r="Q488" t="str">
        <f t="shared" si="1948"/>
        <v>&lt;/li&gt;&lt;li&gt;&lt;a href=|http://kingjbible.com/psalms/10.htm| title=|King James Bible| target=|_top|&gt;KJV&lt;/a&gt;</v>
      </c>
      <c r="R488" t="str">
        <f t="shared" si="1948"/>
        <v>&lt;/li&gt;&lt;li&gt;&lt;a href=|http://asvbible.com/psalms/10.htm| title=|American Standard Version| target=|_top|&gt;ASV&lt;/a&gt;</v>
      </c>
      <c r="S488" t="str">
        <f t="shared" si="1948"/>
        <v>&lt;/li&gt;&lt;li&gt;&lt;a href=|http://drb.scripturetext.com/psalms/10.htm| title=|Douay-Rheims Bible| target=|_top|&gt;DRB&lt;/a&gt;</v>
      </c>
      <c r="T488" t="str">
        <f t="shared" si="1948"/>
        <v>&lt;/li&gt;&lt;li&gt;&lt;a href=|http://erv.scripturetext.com/psalms/10.htm| title=|English Revised Version| target=|_top|&gt;ERV&lt;/a&gt;</v>
      </c>
      <c r="V488" t="str">
        <f>CONCATENATE("&lt;/li&gt;&lt;li&gt;&lt;a href=|http://",V1191,"/psalms/10.htm","| ","title=|",V1190,"| target=|_top|&gt;",V1192,"&lt;/a&gt;")</f>
        <v>&lt;/li&gt;&lt;li&gt;&lt;a href=|http://study.interlinearbible.org/psalms/10.htm| title=|Hebrew Study Bible| target=|_top|&gt;Heb Study&lt;/a&gt;</v>
      </c>
      <c r="W488" t="str">
        <f t="shared" si="1948"/>
        <v>&lt;/li&gt;&lt;li&gt;&lt;a href=|http://apostolic.interlinearbible.org/psalms/10.htm| title=|Apostolic Bible Polyglot Interlinear| target=|_top|&gt;Polyglot&lt;/a&gt;</v>
      </c>
      <c r="X488" t="str">
        <f t="shared" si="1948"/>
        <v>&lt;/li&gt;&lt;li&gt;&lt;a href=|http://interlinearbible.org/psalms/10.htm| title=|Interlinear Bible| target=|_top|&gt;Interlin&lt;/a&gt;</v>
      </c>
      <c r="Y488" t="str">
        <f t="shared" ref="Y488" si="1949">CONCATENATE("&lt;/li&gt;&lt;li&gt;&lt;a href=|http://",Y1191,"/psalms/10.htm","| ","title=|",Y1190,"| target=|_top|&gt;",Y1192,"&lt;/a&gt;")</f>
        <v>&lt;/li&gt;&lt;li&gt;&lt;a href=|http://bibleoutline.org/psalms/10.htm| title=|Outline with People and Places List| target=|_top|&gt;Outline&lt;/a&gt;</v>
      </c>
      <c r="Z488" t="str">
        <f t="shared" si="1948"/>
        <v>&lt;/li&gt;&lt;li&gt;&lt;a href=|http://kjvs.scripturetext.com/psalms/10.htm| title=|King James Bible with Strong's Numbers| target=|_top|&gt;Strong's&lt;/a&gt;</v>
      </c>
      <c r="AA488" t="str">
        <f t="shared" si="1948"/>
        <v>&lt;/li&gt;&lt;li&gt;&lt;a href=|http://childrensbibleonline.com/psalms/10.htm| title=|The Children's Bible| target=|_top|&gt;Children's&lt;/a&gt;</v>
      </c>
      <c r="AB488" s="2" t="str">
        <f t="shared" si="1948"/>
        <v>&lt;/li&gt;&lt;li&gt;&lt;a href=|http://tsk.scripturetext.com/psalms/10.htm| title=|Treasury of Scripture Knowledge| target=|_top|&gt;TSK&lt;/a&gt;</v>
      </c>
      <c r="AC488" t="str">
        <f>CONCATENATE("&lt;a href=|http://",AC1191,"/psalms/10.htm","| ","title=|",AC1190,"| target=|_top|&gt;",AC1192,"&lt;/a&gt;")</f>
        <v>&lt;a href=|http://parallelbible.com/psalms/10.htm| title=|Parallel Chapters| target=|_top|&gt;PAR&lt;/a&gt;</v>
      </c>
      <c r="AD488" s="2" t="str">
        <f t="shared" ref="AD488:AK488" si="1950">CONCATENATE("&lt;/li&gt;&lt;li&gt;&lt;a href=|http://",AD1191,"/psalms/10.htm","| ","title=|",AD1190,"| target=|_top|&gt;",AD1192,"&lt;/a&gt;")</f>
        <v>&lt;/li&gt;&lt;li&gt;&lt;a href=|http://gsb.biblecommenter.com/psalms/10.htm| title=|Geneva Study Bible| target=|_top|&gt;GSB&lt;/a&gt;</v>
      </c>
      <c r="AE488" s="2" t="str">
        <f t="shared" si="1950"/>
        <v>&lt;/li&gt;&lt;li&gt;&lt;a href=|http://jfb.biblecommenter.com/psalms/10.htm| title=|Jamieson-Fausset-Brown Bible Commentary| target=|_top|&gt;JFB&lt;/a&gt;</v>
      </c>
      <c r="AF488" s="2" t="str">
        <f t="shared" si="1950"/>
        <v>&lt;/li&gt;&lt;li&gt;&lt;a href=|http://kjt.biblecommenter.com/psalms/10.htm| title=|King James Translators' Notes| target=|_top|&gt;KJT&lt;/a&gt;</v>
      </c>
      <c r="AG488" s="2" t="str">
        <f t="shared" si="1950"/>
        <v>&lt;/li&gt;&lt;li&gt;&lt;a href=|http://mhc.biblecommenter.com/psalms/10.htm| title=|Matthew Henry's Concise Commentary| target=|_top|&gt;MHC&lt;/a&gt;</v>
      </c>
      <c r="AH488" s="2" t="str">
        <f t="shared" si="1950"/>
        <v>&lt;/li&gt;&lt;li&gt;&lt;a href=|http://sco.biblecommenter.com/psalms/10.htm| title=|Scofield Reference Notes| target=|_top|&gt;SCO&lt;/a&gt;</v>
      </c>
      <c r="AI488" s="2" t="str">
        <f t="shared" si="1950"/>
        <v>&lt;/li&gt;&lt;li&gt;&lt;a href=|http://wes.biblecommenter.com/psalms/10.htm| title=|Wesley's Notes on the Bible| target=|_top|&gt;WES&lt;/a&gt;</v>
      </c>
      <c r="AJ488" t="str">
        <f t="shared" si="1950"/>
        <v>&lt;/li&gt;&lt;li&gt;&lt;a href=|http://worldebible.com/psalms/10.htm| title=|World English Bible| target=|_top|&gt;WEB&lt;/a&gt;</v>
      </c>
      <c r="AK488" t="str">
        <f t="shared" si="1950"/>
        <v>&lt;/li&gt;&lt;li&gt;&lt;a href=|http://yltbible.com/psalms/10.htm| title=|Young's Literal Translation| target=|_top|&gt;YLT&lt;/a&gt;</v>
      </c>
      <c r="AL488" t="str">
        <f>CONCATENATE("&lt;a href=|http://",AL1191,"/psalms/10.htm","| ","title=|",AL1190,"| target=|_top|&gt;",AL1192,"&lt;/a&gt;")</f>
        <v>&lt;a href=|http://kjv.us/psalms/10.htm| title=|American King James Version| target=|_top|&gt;AKJ&lt;/a&gt;</v>
      </c>
      <c r="AM488" t="str">
        <f t="shared" ref="AM488:AN488" si="1951">CONCATENATE("&lt;/li&gt;&lt;li&gt;&lt;a href=|http://",AM1191,"/psalms/10.htm","| ","title=|",AM1190,"| target=|_top|&gt;",AM1192,"&lt;/a&gt;")</f>
        <v>&lt;/li&gt;&lt;li&gt;&lt;a href=|http://basicenglishbible.com/psalms/10.htm| title=|Bible in Basic English| target=|_top|&gt;BBE&lt;/a&gt;</v>
      </c>
      <c r="AN488" t="str">
        <f t="shared" si="1951"/>
        <v>&lt;/li&gt;&lt;li&gt;&lt;a href=|http://darbybible.com/psalms/10.htm| title=|Darby Bible Translation| target=|_top|&gt;DBY&lt;/a&gt;</v>
      </c>
      <c r="AO48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8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8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88" t="str">
        <f>CONCATENATE("&lt;/li&gt;&lt;li&gt;&lt;a href=|http://",AR1191,"/psalms/10.htm","| ","title=|",AR1190,"| target=|_top|&gt;",AR1192,"&lt;/a&gt;")</f>
        <v>&lt;/li&gt;&lt;li&gt;&lt;a href=|http://websterbible.com/psalms/10.htm| title=|Webster's Bible Translation| target=|_top|&gt;WBS&lt;/a&gt;</v>
      </c>
      <c r="AS48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88" t="str">
        <f>CONCATENATE("&lt;/li&gt;&lt;li&gt;&lt;a href=|http://",AT1191,"/psalms/10-1.htm","| ","title=|",AT1190,"| target=|_top|&gt;",AT1192,"&lt;/a&gt;")</f>
        <v>&lt;/li&gt;&lt;li&gt;&lt;a href=|http://biblebrowser.com/psalms/10-1.htm| title=|Split View| target=|_top|&gt;Split&lt;/a&gt;</v>
      </c>
      <c r="AU488" s="2" t="s">
        <v>1276</v>
      </c>
      <c r="AV488" t="s">
        <v>64</v>
      </c>
    </row>
    <row r="489" spans="1:48">
      <c r="A489" t="s">
        <v>622</v>
      </c>
      <c r="B489" t="s">
        <v>727</v>
      </c>
      <c r="C489" t="s">
        <v>624</v>
      </c>
      <c r="D489" t="s">
        <v>1268</v>
      </c>
      <c r="E489" t="s">
        <v>1277</v>
      </c>
      <c r="F489" t="s">
        <v>1304</v>
      </c>
      <c r="G489" t="s">
        <v>1266</v>
      </c>
      <c r="H489" t="s">
        <v>1305</v>
      </c>
      <c r="I489" t="s">
        <v>1303</v>
      </c>
      <c r="J489" t="s">
        <v>1267</v>
      </c>
      <c r="K489" t="s">
        <v>1275</v>
      </c>
      <c r="L489" s="2" t="s">
        <v>1274</v>
      </c>
      <c r="M489" t="str">
        <f t="shared" ref="M489:AB489" si="1952">CONCATENATE("&lt;/li&gt;&lt;li&gt;&lt;a href=|http://",M1191,"/psalms/11.htm","| ","title=|",M1190,"| target=|_top|&gt;",M1192,"&lt;/a&gt;")</f>
        <v>&lt;/li&gt;&lt;li&gt;&lt;a href=|http://niv.scripturetext.com/psalms/11.htm| title=|New International Version| target=|_top|&gt;NIV&lt;/a&gt;</v>
      </c>
      <c r="N489" t="str">
        <f t="shared" si="1952"/>
        <v>&lt;/li&gt;&lt;li&gt;&lt;a href=|http://nlt.scripturetext.com/psalms/11.htm| title=|New Living Translation| target=|_top|&gt;NLT&lt;/a&gt;</v>
      </c>
      <c r="O489" t="str">
        <f t="shared" si="1952"/>
        <v>&lt;/li&gt;&lt;li&gt;&lt;a href=|http://nasb.scripturetext.com/psalms/11.htm| title=|New American Standard Bible| target=|_top|&gt;NAS&lt;/a&gt;</v>
      </c>
      <c r="P489" t="str">
        <f t="shared" si="1952"/>
        <v>&lt;/li&gt;&lt;li&gt;&lt;a href=|http://gwt.scripturetext.com/psalms/11.htm| title=|God's Word Translation| target=|_top|&gt;GWT&lt;/a&gt;</v>
      </c>
      <c r="Q489" t="str">
        <f t="shared" si="1952"/>
        <v>&lt;/li&gt;&lt;li&gt;&lt;a href=|http://kingjbible.com/psalms/11.htm| title=|King James Bible| target=|_top|&gt;KJV&lt;/a&gt;</v>
      </c>
      <c r="R489" t="str">
        <f t="shared" si="1952"/>
        <v>&lt;/li&gt;&lt;li&gt;&lt;a href=|http://asvbible.com/psalms/11.htm| title=|American Standard Version| target=|_top|&gt;ASV&lt;/a&gt;</v>
      </c>
      <c r="S489" t="str">
        <f t="shared" si="1952"/>
        <v>&lt;/li&gt;&lt;li&gt;&lt;a href=|http://drb.scripturetext.com/psalms/11.htm| title=|Douay-Rheims Bible| target=|_top|&gt;DRB&lt;/a&gt;</v>
      </c>
      <c r="T489" t="str">
        <f t="shared" si="1952"/>
        <v>&lt;/li&gt;&lt;li&gt;&lt;a href=|http://erv.scripturetext.com/psalms/11.htm| title=|English Revised Version| target=|_top|&gt;ERV&lt;/a&gt;</v>
      </c>
      <c r="V489" t="str">
        <f>CONCATENATE("&lt;/li&gt;&lt;li&gt;&lt;a href=|http://",V1191,"/psalms/11.htm","| ","title=|",V1190,"| target=|_top|&gt;",V1192,"&lt;/a&gt;")</f>
        <v>&lt;/li&gt;&lt;li&gt;&lt;a href=|http://study.interlinearbible.org/psalms/11.htm| title=|Hebrew Study Bible| target=|_top|&gt;Heb Study&lt;/a&gt;</v>
      </c>
      <c r="W489" t="str">
        <f t="shared" si="1952"/>
        <v>&lt;/li&gt;&lt;li&gt;&lt;a href=|http://apostolic.interlinearbible.org/psalms/11.htm| title=|Apostolic Bible Polyglot Interlinear| target=|_top|&gt;Polyglot&lt;/a&gt;</v>
      </c>
      <c r="X489" t="str">
        <f t="shared" si="1952"/>
        <v>&lt;/li&gt;&lt;li&gt;&lt;a href=|http://interlinearbible.org/psalms/11.htm| title=|Interlinear Bible| target=|_top|&gt;Interlin&lt;/a&gt;</v>
      </c>
      <c r="Y489" t="str">
        <f t="shared" ref="Y489" si="1953">CONCATENATE("&lt;/li&gt;&lt;li&gt;&lt;a href=|http://",Y1191,"/psalms/11.htm","| ","title=|",Y1190,"| target=|_top|&gt;",Y1192,"&lt;/a&gt;")</f>
        <v>&lt;/li&gt;&lt;li&gt;&lt;a href=|http://bibleoutline.org/psalms/11.htm| title=|Outline with People and Places List| target=|_top|&gt;Outline&lt;/a&gt;</v>
      </c>
      <c r="Z489" t="str">
        <f t="shared" si="1952"/>
        <v>&lt;/li&gt;&lt;li&gt;&lt;a href=|http://kjvs.scripturetext.com/psalms/11.htm| title=|King James Bible with Strong's Numbers| target=|_top|&gt;Strong's&lt;/a&gt;</v>
      </c>
      <c r="AA489" t="str">
        <f t="shared" si="1952"/>
        <v>&lt;/li&gt;&lt;li&gt;&lt;a href=|http://childrensbibleonline.com/psalms/11.htm| title=|The Children's Bible| target=|_top|&gt;Children's&lt;/a&gt;</v>
      </c>
      <c r="AB489" s="2" t="str">
        <f t="shared" si="1952"/>
        <v>&lt;/li&gt;&lt;li&gt;&lt;a href=|http://tsk.scripturetext.com/psalms/11.htm| title=|Treasury of Scripture Knowledge| target=|_top|&gt;TSK&lt;/a&gt;</v>
      </c>
      <c r="AC489" t="str">
        <f>CONCATENATE("&lt;a href=|http://",AC1191,"/psalms/11.htm","| ","title=|",AC1190,"| target=|_top|&gt;",AC1192,"&lt;/a&gt;")</f>
        <v>&lt;a href=|http://parallelbible.com/psalms/11.htm| title=|Parallel Chapters| target=|_top|&gt;PAR&lt;/a&gt;</v>
      </c>
      <c r="AD489" s="2" t="str">
        <f t="shared" ref="AD489:AK489" si="1954">CONCATENATE("&lt;/li&gt;&lt;li&gt;&lt;a href=|http://",AD1191,"/psalms/11.htm","| ","title=|",AD1190,"| target=|_top|&gt;",AD1192,"&lt;/a&gt;")</f>
        <v>&lt;/li&gt;&lt;li&gt;&lt;a href=|http://gsb.biblecommenter.com/psalms/11.htm| title=|Geneva Study Bible| target=|_top|&gt;GSB&lt;/a&gt;</v>
      </c>
      <c r="AE489" s="2" t="str">
        <f t="shared" si="1954"/>
        <v>&lt;/li&gt;&lt;li&gt;&lt;a href=|http://jfb.biblecommenter.com/psalms/11.htm| title=|Jamieson-Fausset-Brown Bible Commentary| target=|_top|&gt;JFB&lt;/a&gt;</v>
      </c>
      <c r="AF489" s="2" t="str">
        <f t="shared" si="1954"/>
        <v>&lt;/li&gt;&lt;li&gt;&lt;a href=|http://kjt.biblecommenter.com/psalms/11.htm| title=|King James Translators' Notes| target=|_top|&gt;KJT&lt;/a&gt;</v>
      </c>
      <c r="AG489" s="2" t="str">
        <f t="shared" si="1954"/>
        <v>&lt;/li&gt;&lt;li&gt;&lt;a href=|http://mhc.biblecommenter.com/psalms/11.htm| title=|Matthew Henry's Concise Commentary| target=|_top|&gt;MHC&lt;/a&gt;</v>
      </c>
      <c r="AH489" s="2" t="str">
        <f t="shared" si="1954"/>
        <v>&lt;/li&gt;&lt;li&gt;&lt;a href=|http://sco.biblecommenter.com/psalms/11.htm| title=|Scofield Reference Notes| target=|_top|&gt;SCO&lt;/a&gt;</v>
      </c>
      <c r="AI489" s="2" t="str">
        <f t="shared" si="1954"/>
        <v>&lt;/li&gt;&lt;li&gt;&lt;a href=|http://wes.biblecommenter.com/psalms/11.htm| title=|Wesley's Notes on the Bible| target=|_top|&gt;WES&lt;/a&gt;</v>
      </c>
      <c r="AJ489" t="str">
        <f t="shared" si="1954"/>
        <v>&lt;/li&gt;&lt;li&gt;&lt;a href=|http://worldebible.com/psalms/11.htm| title=|World English Bible| target=|_top|&gt;WEB&lt;/a&gt;</v>
      </c>
      <c r="AK489" t="str">
        <f t="shared" si="1954"/>
        <v>&lt;/li&gt;&lt;li&gt;&lt;a href=|http://yltbible.com/psalms/11.htm| title=|Young's Literal Translation| target=|_top|&gt;YLT&lt;/a&gt;</v>
      </c>
      <c r="AL489" t="str">
        <f>CONCATENATE("&lt;a href=|http://",AL1191,"/psalms/11.htm","| ","title=|",AL1190,"| target=|_top|&gt;",AL1192,"&lt;/a&gt;")</f>
        <v>&lt;a href=|http://kjv.us/psalms/11.htm| title=|American King James Version| target=|_top|&gt;AKJ&lt;/a&gt;</v>
      </c>
      <c r="AM489" t="str">
        <f t="shared" ref="AM489:AN489" si="1955">CONCATENATE("&lt;/li&gt;&lt;li&gt;&lt;a href=|http://",AM1191,"/psalms/11.htm","| ","title=|",AM1190,"| target=|_top|&gt;",AM1192,"&lt;/a&gt;")</f>
        <v>&lt;/li&gt;&lt;li&gt;&lt;a href=|http://basicenglishbible.com/psalms/11.htm| title=|Bible in Basic English| target=|_top|&gt;BBE&lt;/a&gt;</v>
      </c>
      <c r="AN489" t="str">
        <f t="shared" si="1955"/>
        <v>&lt;/li&gt;&lt;li&gt;&lt;a href=|http://darbybible.com/psalms/11.htm| title=|Darby Bible Translation| target=|_top|&gt;DBY&lt;/a&gt;</v>
      </c>
      <c r="AO48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8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8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89" t="str">
        <f>CONCATENATE("&lt;/li&gt;&lt;li&gt;&lt;a href=|http://",AR1191,"/psalms/11.htm","| ","title=|",AR1190,"| target=|_top|&gt;",AR1192,"&lt;/a&gt;")</f>
        <v>&lt;/li&gt;&lt;li&gt;&lt;a href=|http://websterbible.com/psalms/11.htm| title=|Webster's Bible Translation| target=|_top|&gt;WBS&lt;/a&gt;</v>
      </c>
      <c r="AS48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89" t="str">
        <f>CONCATENATE("&lt;/li&gt;&lt;li&gt;&lt;a href=|http://",AT1191,"/psalms/11-1.htm","| ","title=|",AT1190,"| target=|_top|&gt;",AT1192,"&lt;/a&gt;")</f>
        <v>&lt;/li&gt;&lt;li&gt;&lt;a href=|http://biblebrowser.com/psalms/11-1.htm| title=|Split View| target=|_top|&gt;Split&lt;/a&gt;</v>
      </c>
      <c r="AU489" s="2" t="s">
        <v>1276</v>
      </c>
      <c r="AV489" t="s">
        <v>64</v>
      </c>
    </row>
    <row r="490" spans="1:48">
      <c r="A490" t="s">
        <v>622</v>
      </c>
      <c r="B490" t="s">
        <v>728</v>
      </c>
      <c r="C490" t="s">
        <v>624</v>
      </c>
      <c r="D490" t="s">
        <v>1268</v>
      </c>
      <c r="E490" t="s">
        <v>1277</v>
      </c>
      <c r="F490" t="s">
        <v>1304</v>
      </c>
      <c r="G490" t="s">
        <v>1266</v>
      </c>
      <c r="H490" t="s">
        <v>1305</v>
      </c>
      <c r="I490" t="s">
        <v>1303</v>
      </c>
      <c r="J490" t="s">
        <v>1267</v>
      </c>
      <c r="K490" t="s">
        <v>1275</v>
      </c>
      <c r="L490" s="2" t="s">
        <v>1274</v>
      </c>
      <c r="M490" t="str">
        <f t="shared" ref="M490:AB490" si="1956">CONCATENATE("&lt;/li&gt;&lt;li&gt;&lt;a href=|http://",M1191,"/psalms/12.htm","| ","title=|",M1190,"| target=|_top|&gt;",M1192,"&lt;/a&gt;")</f>
        <v>&lt;/li&gt;&lt;li&gt;&lt;a href=|http://niv.scripturetext.com/psalms/12.htm| title=|New International Version| target=|_top|&gt;NIV&lt;/a&gt;</v>
      </c>
      <c r="N490" t="str">
        <f t="shared" si="1956"/>
        <v>&lt;/li&gt;&lt;li&gt;&lt;a href=|http://nlt.scripturetext.com/psalms/12.htm| title=|New Living Translation| target=|_top|&gt;NLT&lt;/a&gt;</v>
      </c>
      <c r="O490" t="str">
        <f t="shared" si="1956"/>
        <v>&lt;/li&gt;&lt;li&gt;&lt;a href=|http://nasb.scripturetext.com/psalms/12.htm| title=|New American Standard Bible| target=|_top|&gt;NAS&lt;/a&gt;</v>
      </c>
      <c r="P490" t="str">
        <f t="shared" si="1956"/>
        <v>&lt;/li&gt;&lt;li&gt;&lt;a href=|http://gwt.scripturetext.com/psalms/12.htm| title=|God's Word Translation| target=|_top|&gt;GWT&lt;/a&gt;</v>
      </c>
      <c r="Q490" t="str">
        <f t="shared" si="1956"/>
        <v>&lt;/li&gt;&lt;li&gt;&lt;a href=|http://kingjbible.com/psalms/12.htm| title=|King James Bible| target=|_top|&gt;KJV&lt;/a&gt;</v>
      </c>
      <c r="R490" t="str">
        <f t="shared" si="1956"/>
        <v>&lt;/li&gt;&lt;li&gt;&lt;a href=|http://asvbible.com/psalms/12.htm| title=|American Standard Version| target=|_top|&gt;ASV&lt;/a&gt;</v>
      </c>
      <c r="S490" t="str">
        <f t="shared" si="1956"/>
        <v>&lt;/li&gt;&lt;li&gt;&lt;a href=|http://drb.scripturetext.com/psalms/12.htm| title=|Douay-Rheims Bible| target=|_top|&gt;DRB&lt;/a&gt;</v>
      </c>
      <c r="T490" t="str">
        <f t="shared" si="1956"/>
        <v>&lt;/li&gt;&lt;li&gt;&lt;a href=|http://erv.scripturetext.com/psalms/12.htm| title=|English Revised Version| target=|_top|&gt;ERV&lt;/a&gt;</v>
      </c>
      <c r="V490" t="str">
        <f>CONCATENATE("&lt;/li&gt;&lt;li&gt;&lt;a href=|http://",V1191,"/psalms/12.htm","| ","title=|",V1190,"| target=|_top|&gt;",V1192,"&lt;/a&gt;")</f>
        <v>&lt;/li&gt;&lt;li&gt;&lt;a href=|http://study.interlinearbible.org/psalms/12.htm| title=|Hebrew Study Bible| target=|_top|&gt;Heb Study&lt;/a&gt;</v>
      </c>
      <c r="W490" t="str">
        <f t="shared" si="1956"/>
        <v>&lt;/li&gt;&lt;li&gt;&lt;a href=|http://apostolic.interlinearbible.org/psalms/12.htm| title=|Apostolic Bible Polyglot Interlinear| target=|_top|&gt;Polyglot&lt;/a&gt;</v>
      </c>
      <c r="X490" t="str">
        <f t="shared" si="1956"/>
        <v>&lt;/li&gt;&lt;li&gt;&lt;a href=|http://interlinearbible.org/psalms/12.htm| title=|Interlinear Bible| target=|_top|&gt;Interlin&lt;/a&gt;</v>
      </c>
      <c r="Y490" t="str">
        <f t="shared" ref="Y490" si="1957">CONCATENATE("&lt;/li&gt;&lt;li&gt;&lt;a href=|http://",Y1191,"/psalms/12.htm","| ","title=|",Y1190,"| target=|_top|&gt;",Y1192,"&lt;/a&gt;")</f>
        <v>&lt;/li&gt;&lt;li&gt;&lt;a href=|http://bibleoutline.org/psalms/12.htm| title=|Outline with People and Places List| target=|_top|&gt;Outline&lt;/a&gt;</v>
      </c>
      <c r="Z490" t="str">
        <f t="shared" si="1956"/>
        <v>&lt;/li&gt;&lt;li&gt;&lt;a href=|http://kjvs.scripturetext.com/psalms/12.htm| title=|King James Bible with Strong's Numbers| target=|_top|&gt;Strong's&lt;/a&gt;</v>
      </c>
      <c r="AA490" t="str">
        <f t="shared" si="1956"/>
        <v>&lt;/li&gt;&lt;li&gt;&lt;a href=|http://childrensbibleonline.com/psalms/12.htm| title=|The Children's Bible| target=|_top|&gt;Children's&lt;/a&gt;</v>
      </c>
      <c r="AB490" s="2" t="str">
        <f t="shared" si="1956"/>
        <v>&lt;/li&gt;&lt;li&gt;&lt;a href=|http://tsk.scripturetext.com/psalms/12.htm| title=|Treasury of Scripture Knowledge| target=|_top|&gt;TSK&lt;/a&gt;</v>
      </c>
      <c r="AC490" t="str">
        <f>CONCATENATE("&lt;a href=|http://",AC1191,"/psalms/12.htm","| ","title=|",AC1190,"| target=|_top|&gt;",AC1192,"&lt;/a&gt;")</f>
        <v>&lt;a href=|http://parallelbible.com/psalms/12.htm| title=|Parallel Chapters| target=|_top|&gt;PAR&lt;/a&gt;</v>
      </c>
      <c r="AD490" s="2" t="str">
        <f t="shared" ref="AD490:AK490" si="1958">CONCATENATE("&lt;/li&gt;&lt;li&gt;&lt;a href=|http://",AD1191,"/psalms/12.htm","| ","title=|",AD1190,"| target=|_top|&gt;",AD1192,"&lt;/a&gt;")</f>
        <v>&lt;/li&gt;&lt;li&gt;&lt;a href=|http://gsb.biblecommenter.com/psalms/12.htm| title=|Geneva Study Bible| target=|_top|&gt;GSB&lt;/a&gt;</v>
      </c>
      <c r="AE490" s="2" t="str">
        <f t="shared" si="1958"/>
        <v>&lt;/li&gt;&lt;li&gt;&lt;a href=|http://jfb.biblecommenter.com/psalms/12.htm| title=|Jamieson-Fausset-Brown Bible Commentary| target=|_top|&gt;JFB&lt;/a&gt;</v>
      </c>
      <c r="AF490" s="2" t="str">
        <f t="shared" si="1958"/>
        <v>&lt;/li&gt;&lt;li&gt;&lt;a href=|http://kjt.biblecommenter.com/psalms/12.htm| title=|King James Translators' Notes| target=|_top|&gt;KJT&lt;/a&gt;</v>
      </c>
      <c r="AG490" s="2" t="str">
        <f t="shared" si="1958"/>
        <v>&lt;/li&gt;&lt;li&gt;&lt;a href=|http://mhc.biblecommenter.com/psalms/12.htm| title=|Matthew Henry's Concise Commentary| target=|_top|&gt;MHC&lt;/a&gt;</v>
      </c>
      <c r="AH490" s="2" t="str">
        <f t="shared" si="1958"/>
        <v>&lt;/li&gt;&lt;li&gt;&lt;a href=|http://sco.biblecommenter.com/psalms/12.htm| title=|Scofield Reference Notes| target=|_top|&gt;SCO&lt;/a&gt;</v>
      </c>
      <c r="AI490" s="2" t="str">
        <f t="shared" si="1958"/>
        <v>&lt;/li&gt;&lt;li&gt;&lt;a href=|http://wes.biblecommenter.com/psalms/12.htm| title=|Wesley's Notes on the Bible| target=|_top|&gt;WES&lt;/a&gt;</v>
      </c>
      <c r="AJ490" t="str">
        <f t="shared" si="1958"/>
        <v>&lt;/li&gt;&lt;li&gt;&lt;a href=|http://worldebible.com/psalms/12.htm| title=|World English Bible| target=|_top|&gt;WEB&lt;/a&gt;</v>
      </c>
      <c r="AK490" t="str">
        <f t="shared" si="1958"/>
        <v>&lt;/li&gt;&lt;li&gt;&lt;a href=|http://yltbible.com/psalms/12.htm| title=|Young's Literal Translation| target=|_top|&gt;YLT&lt;/a&gt;</v>
      </c>
      <c r="AL490" t="str">
        <f>CONCATENATE("&lt;a href=|http://",AL1191,"/psalms/12.htm","| ","title=|",AL1190,"| target=|_top|&gt;",AL1192,"&lt;/a&gt;")</f>
        <v>&lt;a href=|http://kjv.us/psalms/12.htm| title=|American King James Version| target=|_top|&gt;AKJ&lt;/a&gt;</v>
      </c>
      <c r="AM490" t="str">
        <f t="shared" ref="AM490:AN490" si="1959">CONCATENATE("&lt;/li&gt;&lt;li&gt;&lt;a href=|http://",AM1191,"/psalms/12.htm","| ","title=|",AM1190,"| target=|_top|&gt;",AM1192,"&lt;/a&gt;")</f>
        <v>&lt;/li&gt;&lt;li&gt;&lt;a href=|http://basicenglishbible.com/psalms/12.htm| title=|Bible in Basic English| target=|_top|&gt;BBE&lt;/a&gt;</v>
      </c>
      <c r="AN490" t="str">
        <f t="shared" si="1959"/>
        <v>&lt;/li&gt;&lt;li&gt;&lt;a href=|http://darbybible.com/psalms/12.htm| title=|Darby Bible Translation| target=|_top|&gt;DBY&lt;/a&gt;</v>
      </c>
      <c r="AO49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9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9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90" t="str">
        <f>CONCATENATE("&lt;/li&gt;&lt;li&gt;&lt;a href=|http://",AR1191,"/psalms/12.htm","| ","title=|",AR1190,"| target=|_top|&gt;",AR1192,"&lt;/a&gt;")</f>
        <v>&lt;/li&gt;&lt;li&gt;&lt;a href=|http://websterbible.com/psalms/12.htm| title=|Webster's Bible Translation| target=|_top|&gt;WBS&lt;/a&gt;</v>
      </c>
      <c r="AS49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90" t="str">
        <f>CONCATENATE("&lt;/li&gt;&lt;li&gt;&lt;a href=|http://",AT1191,"/psalms/12-1.htm","| ","title=|",AT1190,"| target=|_top|&gt;",AT1192,"&lt;/a&gt;")</f>
        <v>&lt;/li&gt;&lt;li&gt;&lt;a href=|http://biblebrowser.com/psalms/12-1.htm| title=|Split View| target=|_top|&gt;Split&lt;/a&gt;</v>
      </c>
      <c r="AU490" s="2" t="s">
        <v>1276</v>
      </c>
      <c r="AV490" t="s">
        <v>64</v>
      </c>
    </row>
    <row r="491" spans="1:48">
      <c r="A491" t="s">
        <v>622</v>
      </c>
      <c r="B491" t="s">
        <v>729</v>
      </c>
      <c r="C491" t="s">
        <v>624</v>
      </c>
      <c r="D491" t="s">
        <v>1268</v>
      </c>
      <c r="E491" t="s">
        <v>1277</v>
      </c>
      <c r="F491" t="s">
        <v>1304</v>
      </c>
      <c r="G491" t="s">
        <v>1266</v>
      </c>
      <c r="H491" t="s">
        <v>1305</v>
      </c>
      <c r="I491" t="s">
        <v>1303</v>
      </c>
      <c r="J491" t="s">
        <v>1267</v>
      </c>
      <c r="K491" t="s">
        <v>1275</v>
      </c>
      <c r="L491" s="2" t="s">
        <v>1274</v>
      </c>
      <c r="M491" t="str">
        <f t="shared" ref="M491:AB491" si="1960">CONCATENATE("&lt;/li&gt;&lt;li&gt;&lt;a href=|http://",M1191,"/psalms/13.htm","| ","title=|",M1190,"| target=|_top|&gt;",M1192,"&lt;/a&gt;")</f>
        <v>&lt;/li&gt;&lt;li&gt;&lt;a href=|http://niv.scripturetext.com/psalms/13.htm| title=|New International Version| target=|_top|&gt;NIV&lt;/a&gt;</v>
      </c>
      <c r="N491" t="str">
        <f t="shared" si="1960"/>
        <v>&lt;/li&gt;&lt;li&gt;&lt;a href=|http://nlt.scripturetext.com/psalms/13.htm| title=|New Living Translation| target=|_top|&gt;NLT&lt;/a&gt;</v>
      </c>
      <c r="O491" t="str">
        <f t="shared" si="1960"/>
        <v>&lt;/li&gt;&lt;li&gt;&lt;a href=|http://nasb.scripturetext.com/psalms/13.htm| title=|New American Standard Bible| target=|_top|&gt;NAS&lt;/a&gt;</v>
      </c>
      <c r="P491" t="str">
        <f t="shared" si="1960"/>
        <v>&lt;/li&gt;&lt;li&gt;&lt;a href=|http://gwt.scripturetext.com/psalms/13.htm| title=|God's Word Translation| target=|_top|&gt;GWT&lt;/a&gt;</v>
      </c>
      <c r="Q491" t="str">
        <f t="shared" si="1960"/>
        <v>&lt;/li&gt;&lt;li&gt;&lt;a href=|http://kingjbible.com/psalms/13.htm| title=|King James Bible| target=|_top|&gt;KJV&lt;/a&gt;</v>
      </c>
      <c r="R491" t="str">
        <f t="shared" si="1960"/>
        <v>&lt;/li&gt;&lt;li&gt;&lt;a href=|http://asvbible.com/psalms/13.htm| title=|American Standard Version| target=|_top|&gt;ASV&lt;/a&gt;</v>
      </c>
      <c r="S491" t="str">
        <f t="shared" si="1960"/>
        <v>&lt;/li&gt;&lt;li&gt;&lt;a href=|http://drb.scripturetext.com/psalms/13.htm| title=|Douay-Rheims Bible| target=|_top|&gt;DRB&lt;/a&gt;</v>
      </c>
      <c r="T491" t="str">
        <f t="shared" si="1960"/>
        <v>&lt;/li&gt;&lt;li&gt;&lt;a href=|http://erv.scripturetext.com/psalms/13.htm| title=|English Revised Version| target=|_top|&gt;ERV&lt;/a&gt;</v>
      </c>
      <c r="V491" t="str">
        <f>CONCATENATE("&lt;/li&gt;&lt;li&gt;&lt;a href=|http://",V1191,"/psalms/13.htm","| ","title=|",V1190,"| target=|_top|&gt;",V1192,"&lt;/a&gt;")</f>
        <v>&lt;/li&gt;&lt;li&gt;&lt;a href=|http://study.interlinearbible.org/psalms/13.htm| title=|Hebrew Study Bible| target=|_top|&gt;Heb Study&lt;/a&gt;</v>
      </c>
      <c r="W491" t="str">
        <f t="shared" si="1960"/>
        <v>&lt;/li&gt;&lt;li&gt;&lt;a href=|http://apostolic.interlinearbible.org/psalms/13.htm| title=|Apostolic Bible Polyglot Interlinear| target=|_top|&gt;Polyglot&lt;/a&gt;</v>
      </c>
      <c r="X491" t="str">
        <f t="shared" si="1960"/>
        <v>&lt;/li&gt;&lt;li&gt;&lt;a href=|http://interlinearbible.org/psalms/13.htm| title=|Interlinear Bible| target=|_top|&gt;Interlin&lt;/a&gt;</v>
      </c>
      <c r="Y491" t="str">
        <f t="shared" ref="Y491" si="1961">CONCATENATE("&lt;/li&gt;&lt;li&gt;&lt;a href=|http://",Y1191,"/psalms/13.htm","| ","title=|",Y1190,"| target=|_top|&gt;",Y1192,"&lt;/a&gt;")</f>
        <v>&lt;/li&gt;&lt;li&gt;&lt;a href=|http://bibleoutline.org/psalms/13.htm| title=|Outline with People and Places List| target=|_top|&gt;Outline&lt;/a&gt;</v>
      </c>
      <c r="Z491" t="str">
        <f t="shared" si="1960"/>
        <v>&lt;/li&gt;&lt;li&gt;&lt;a href=|http://kjvs.scripturetext.com/psalms/13.htm| title=|King James Bible with Strong's Numbers| target=|_top|&gt;Strong's&lt;/a&gt;</v>
      </c>
      <c r="AA491" t="str">
        <f t="shared" si="1960"/>
        <v>&lt;/li&gt;&lt;li&gt;&lt;a href=|http://childrensbibleonline.com/psalms/13.htm| title=|The Children's Bible| target=|_top|&gt;Children's&lt;/a&gt;</v>
      </c>
      <c r="AB491" s="2" t="str">
        <f t="shared" si="1960"/>
        <v>&lt;/li&gt;&lt;li&gt;&lt;a href=|http://tsk.scripturetext.com/psalms/13.htm| title=|Treasury of Scripture Knowledge| target=|_top|&gt;TSK&lt;/a&gt;</v>
      </c>
      <c r="AC491" t="str">
        <f>CONCATENATE("&lt;a href=|http://",AC1191,"/psalms/13.htm","| ","title=|",AC1190,"| target=|_top|&gt;",AC1192,"&lt;/a&gt;")</f>
        <v>&lt;a href=|http://parallelbible.com/psalms/13.htm| title=|Parallel Chapters| target=|_top|&gt;PAR&lt;/a&gt;</v>
      </c>
      <c r="AD491" s="2" t="str">
        <f t="shared" ref="AD491:AK491" si="1962">CONCATENATE("&lt;/li&gt;&lt;li&gt;&lt;a href=|http://",AD1191,"/psalms/13.htm","| ","title=|",AD1190,"| target=|_top|&gt;",AD1192,"&lt;/a&gt;")</f>
        <v>&lt;/li&gt;&lt;li&gt;&lt;a href=|http://gsb.biblecommenter.com/psalms/13.htm| title=|Geneva Study Bible| target=|_top|&gt;GSB&lt;/a&gt;</v>
      </c>
      <c r="AE491" s="2" t="str">
        <f t="shared" si="1962"/>
        <v>&lt;/li&gt;&lt;li&gt;&lt;a href=|http://jfb.biblecommenter.com/psalms/13.htm| title=|Jamieson-Fausset-Brown Bible Commentary| target=|_top|&gt;JFB&lt;/a&gt;</v>
      </c>
      <c r="AF491" s="2" t="str">
        <f t="shared" si="1962"/>
        <v>&lt;/li&gt;&lt;li&gt;&lt;a href=|http://kjt.biblecommenter.com/psalms/13.htm| title=|King James Translators' Notes| target=|_top|&gt;KJT&lt;/a&gt;</v>
      </c>
      <c r="AG491" s="2" t="str">
        <f t="shared" si="1962"/>
        <v>&lt;/li&gt;&lt;li&gt;&lt;a href=|http://mhc.biblecommenter.com/psalms/13.htm| title=|Matthew Henry's Concise Commentary| target=|_top|&gt;MHC&lt;/a&gt;</v>
      </c>
      <c r="AH491" s="2" t="str">
        <f t="shared" si="1962"/>
        <v>&lt;/li&gt;&lt;li&gt;&lt;a href=|http://sco.biblecommenter.com/psalms/13.htm| title=|Scofield Reference Notes| target=|_top|&gt;SCO&lt;/a&gt;</v>
      </c>
      <c r="AI491" s="2" t="str">
        <f t="shared" si="1962"/>
        <v>&lt;/li&gt;&lt;li&gt;&lt;a href=|http://wes.biblecommenter.com/psalms/13.htm| title=|Wesley's Notes on the Bible| target=|_top|&gt;WES&lt;/a&gt;</v>
      </c>
      <c r="AJ491" t="str">
        <f t="shared" si="1962"/>
        <v>&lt;/li&gt;&lt;li&gt;&lt;a href=|http://worldebible.com/psalms/13.htm| title=|World English Bible| target=|_top|&gt;WEB&lt;/a&gt;</v>
      </c>
      <c r="AK491" t="str">
        <f t="shared" si="1962"/>
        <v>&lt;/li&gt;&lt;li&gt;&lt;a href=|http://yltbible.com/psalms/13.htm| title=|Young's Literal Translation| target=|_top|&gt;YLT&lt;/a&gt;</v>
      </c>
      <c r="AL491" t="str">
        <f>CONCATENATE("&lt;a href=|http://",AL1191,"/psalms/13.htm","| ","title=|",AL1190,"| target=|_top|&gt;",AL1192,"&lt;/a&gt;")</f>
        <v>&lt;a href=|http://kjv.us/psalms/13.htm| title=|American King James Version| target=|_top|&gt;AKJ&lt;/a&gt;</v>
      </c>
      <c r="AM491" t="str">
        <f t="shared" ref="AM491:AN491" si="1963">CONCATENATE("&lt;/li&gt;&lt;li&gt;&lt;a href=|http://",AM1191,"/psalms/13.htm","| ","title=|",AM1190,"| target=|_top|&gt;",AM1192,"&lt;/a&gt;")</f>
        <v>&lt;/li&gt;&lt;li&gt;&lt;a href=|http://basicenglishbible.com/psalms/13.htm| title=|Bible in Basic English| target=|_top|&gt;BBE&lt;/a&gt;</v>
      </c>
      <c r="AN491" t="str">
        <f t="shared" si="1963"/>
        <v>&lt;/li&gt;&lt;li&gt;&lt;a href=|http://darbybible.com/psalms/13.htm| title=|Darby Bible Translation| target=|_top|&gt;DBY&lt;/a&gt;</v>
      </c>
      <c r="AO49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9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9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91" t="str">
        <f>CONCATENATE("&lt;/li&gt;&lt;li&gt;&lt;a href=|http://",AR1191,"/psalms/13.htm","| ","title=|",AR1190,"| target=|_top|&gt;",AR1192,"&lt;/a&gt;")</f>
        <v>&lt;/li&gt;&lt;li&gt;&lt;a href=|http://websterbible.com/psalms/13.htm| title=|Webster's Bible Translation| target=|_top|&gt;WBS&lt;/a&gt;</v>
      </c>
      <c r="AS49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91" t="str">
        <f>CONCATENATE("&lt;/li&gt;&lt;li&gt;&lt;a href=|http://",AT1191,"/psalms/13-1.htm","| ","title=|",AT1190,"| target=|_top|&gt;",AT1192,"&lt;/a&gt;")</f>
        <v>&lt;/li&gt;&lt;li&gt;&lt;a href=|http://biblebrowser.com/psalms/13-1.htm| title=|Split View| target=|_top|&gt;Split&lt;/a&gt;</v>
      </c>
      <c r="AU491" s="2" t="s">
        <v>1276</v>
      </c>
      <c r="AV491" t="s">
        <v>64</v>
      </c>
    </row>
    <row r="492" spans="1:48">
      <c r="A492" t="s">
        <v>622</v>
      </c>
      <c r="B492" t="s">
        <v>730</v>
      </c>
      <c r="C492" t="s">
        <v>624</v>
      </c>
      <c r="D492" t="s">
        <v>1268</v>
      </c>
      <c r="E492" t="s">
        <v>1277</v>
      </c>
      <c r="F492" t="s">
        <v>1304</v>
      </c>
      <c r="G492" t="s">
        <v>1266</v>
      </c>
      <c r="H492" t="s">
        <v>1305</v>
      </c>
      <c r="I492" t="s">
        <v>1303</v>
      </c>
      <c r="J492" t="s">
        <v>1267</v>
      </c>
      <c r="K492" t="s">
        <v>1275</v>
      </c>
      <c r="L492" s="2" t="s">
        <v>1274</v>
      </c>
      <c r="M492" t="str">
        <f t="shared" ref="M492:AB492" si="1964">CONCATENATE("&lt;/li&gt;&lt;li&gt;&lt;a href=|http://",M1191,"/psalms/14.htm","| ","title=|",M1190,"| target=|_top|&gt;",M1192,"&lt;/a&gt;")</f>
        <v>&lt;/li&gt;&lt;li&gt;&lt;a href=|http://niv.scripturetext.com/psalms/14.htm| title=|New International Version| target=|_top|&gt;NIV&lt;/a&gt;</v>
      </c>
      <c r="N492" t="str">
        <f t="shared" si="1964"/>
        <v>&lt;/li&gt;&lt;li&gt;&lt;a href=|http://nlt.scripturetext.com/psalms/14.htm| title=|New Living Translation| target=|_top|&gt;NLT&lt;/a&gt;</v>
      </c>
      <c r="O492" t="str">
        <f t="shared" si="1964"/>
        <v>&lt;/li&gt;&lt;li&gt;&lt;a href=|http://nasb.scripturetext.com/psalms/14.htm| title=|New American Standard Bible| target=|_top|&gt;NAS&lt;/a&gt;</v>
      </c>
      <c r="P492" t="str">
        <f t="shared" si="1964"/>
        <v>&lt;/li&gt;&lt;li&gt;&lt;a href=|http://gwt.scripturetext.com/psalms/14.htm| title=|God's Word Translation| target=|_top|&gt;GWT&lt;/a&gt;</v>
      </c>
      <c r="Q492" t="str">
        <f t="shared" si="1964"/>
        <v>&lt;/li&gt;&lt;li&gt;&lt;a href=|http://kingjbible.com/psalms/14.htm| title=|King James Bible| target=|_top|&gt;KJV&lt;/a&gt;</v>
      </c>
      <c r="R492" t="str">
        <f t="shared" si="1964"/>
        <v>&lt;/li&gt;&lt;li&gt;&lt;a href=|http://asvbible.com/psalms/14.htm| title=|American Standard Version| target=|_top|&gt;ASV&lt;/a&gt;</v>
      </c>
      <c r="S492" t="str">
        <f t="shared" si="1964"/>
        <v>&lt;/li&gt;&lt;li&gt;&lt;a href=|http://drb.scripturetext.com/psalms/14.htm| title=|Douay-Rheims Bible| target=|_top|&gt;DRB&lt;/a&gt;</v>
      </c>
      <c r="T492" t="str">
        <f t="shared" si="1964"/>
        <v>&lt;/li&gt;&lt;li&gt;&lt;a href=|http://erv.scripturetext.com/psalms/14.htm| title=|English Revised Version| target=|_top|&gt;ERV&lt;/a&gt;</v>
      </c>
      <c r="V492" t="str">
        <f>CONCATENATE("&lt;/li&gt;&lt;li&gt;&lt;a href=|http://",V1191,"/psalms/14.htm","| ","title=|",V1190,"| target=|_top|&gt;",V1192,"&lt;/a&gt;")</f>
        <v>&lt;/li&gt;&lt;li&gt;&lt;a href=|http://study.interlinearbible.org/psalms/14.htm| title=|Hebrew Study Bible| target=|_top|&gt;Heb Study&lt;/a&gt;</v>
      </c>
      <c r="W492" t="str">
        <f t="shared" si="1964"/>
        <v>&lt;/li&gt;&lt;li&gt;&lt;a href=|http://apostolic.interlinearbible.org/psalms/14.htm| title=|Apostolic Bible Polyglot Interlinear| target=|_top|&gt;Polyglot&lt;/a&gt;</v>
      </c>
      <c r="X492" t="str">
        <f t="shared" si="1964"/>
        <v>&lt;/li&gt;&lt;li&gt;&lt;a href=|http://interlinearbible.org/psalms/14.htm| title=|Interlinear Bible| target=|_top|&gt;Interlin&lt;/a&gt;</v>
      </c>
      <c r="Y492" t="str">
        <f t="shared" ref="Y492" si="1965">CONCATENATE("&lt;/li&gt;&lt;li&gt;&lt;a href=|http://",Y1191,"/psalms/14.htm","| ","title=|",Y1190,"| target=|_top|&gt;",Y1192,"&lt;/a&gt;")</f>
        <v>&lt;/li&gt;&lt;li&gt;&lt;a href=|http://bibleoutline.org/psalms/14.htm| title=|Outline with People and Places List| target=|_top|&gt;Outline&lt;/a&gt;</v>
      </c>
      <c r="Z492" t="str">
        <f t="shared" si="1964"/>
        <v>&lt;/li&gt;&lt;li&gt;&lt;a href=|http://kjvs.scripturetext.com/psalms/14.htm| title=|King James Bible with Strong's Numbers| target=|_top|&gt;Strong's&lt;/a&gt;</v>
      </c>
      <c r="AA492" t="str">
        <f t="shared" si="1964"/>
        <v>&lt;/li&gt;&lt;li&gt;&lt;a href=|http://childrensbibleonline.com/psalms/14.htm| title=|The Children's Bible| target=|_top|&gt;Children's&lt;/a&gt;</v>
      </c>
      <c r="AB492" s="2" t="str">
        <f t="shared" si="1964"/>
        <v>&lt;/li&gt;&lt;li&gt;&lt;a href=|http://tsk.scripturetext.com/psalms/14.htm| title=|Treasury of Scripture Knowledge| target=|_top|&gt;TSK&lt;/a&gt;</v>
      </c>
      <c r="AC492" t="str">
        <f>CONCATENATE("&lt;a href=|http://",AC1191,"/psalms/14.htm","| ","title=|",AC1190,"| target=|_top|&gt;",AC1192,"&lt;/a&gt;")</f>
        <v>&lt;a href=|http://parallelbible.com/psalms/14.htm| title=|Parallel Chapters| target=|_top|&gt;PAR&lt;/a&gt;</v>
      </c>
      <c r="AD492" s="2" t="str">
        <f t="shared" ref="AD492:AK492" si="1966">CONCATENATE("&lt;/li&gt;&lt;li&gt;&lt;a href=|http://",AD1191,"/psalms/14.htm","| ","title=|",AD1190,"| target=|_top|&gt;",AD1192,"&lt;/a&gt;")</f>
        <v>&lt;/li&gt;&lt;li&gt;&lt;a href=|http://gsb.biblecommenter.com/psalms/14.htm| title=|Geneva Study Bible| target=|_top|&gt;GSB&lt;/a&gt;</v>
      </c>
      <c r="AE492" s="2" t="str">
        <f t="shared" si="1966"/>
        <v>&lt;/li&gt;&lt;li&gt;&lt;a href=|http://jfb.biblecommenter.com/psalms/14.htm| title=|Jamieson-Fausset-Brown Bible Commentary| target=|_top|&gt;JFB&lt;/a&gt;</v>
      </c>
      <c r="AF492" s="2" t="str">
        <f t="shared" si="1966"/>
        <v>&lt;/li&gt;&lt;li&gt;&lt;a href=|http://kjt.biblecommenter.com/psalms/14.htm| title=|King James Translators' Notes| target=|_top|&gt;KJT&lt;/a&gt;</v>
      </c>
      <c r="AG492" s="2" t="str">
        <f t="shared" si="1966"/>
        <v>&lt;/li&gt;&lt;li&gt;&lt;a href=|http://mhc.biblecommenter.com/psalms/14.htm| title=|Matthew Henry's Concise Commentary| target=|_top|&gt;MHC&lt;/a&gt;</v>
      </c>
      <c r="AH492" s="2" t="str">
        <f t="shared" si="1966"/>
        <v>&lt;/li&gt;&lt;li&gt;&lt;a href=|http://sco.biblecommenter.com/psalms/14.htm| title=|Scofield Reference Notes| target=|_top|&gt;SCO&lt;/a&gt;</v>
      </c>
      <c r="AI492" s="2" t="str">
        <f t="shared" si="1966"/>
        <v>&lt;/li&gt;&lt;li&gt;&lt;a href=|http://wes.biblecommenter.com/psalms/14.htm| title=|Wesley's Notes on the Bible| target=|_top|&gt;WES&lt;/a&gt;</v>
      </c>
      <c r="AJ492" t="str">
        <f t="shared" si="1966"/>
        <v>&lt;/li&gt;&lt;li&gt;&lt;a href=|http://worldebible.com/psalms/14.htm| title=|World English Bible| target=|_top|&gt;WEB&lt;/a&gt;</v>
      </c>
      <c r="AK492" t="str">
        <f t="shared" si="1966"/>
        <v>&lt;/li&gt;&lt;li&gt;&lt;a href=|http://yltbible.com/psalms/14.htm| title=|Young's Literal Translation| target=|_top|&gt;YLT&lt;/a&gt;</v>
      </c>
      <c r="AL492" t="str">
        <f>CONCATENATE("&lt;a href=|http://",AL1191,"/psalms/14.htm","| ","title=|",AL1190,"| target=|_top|&gt;",AL1192,"&lt;/a&gt;")</f>
        <v>&lt;a href=|http://kjv.us/psalms/14.htm| title=|American King James Version| target=|_top|&gt;AKJ&lt;/a&gt;</v>
      </c>
      <c r="AM492" t="str">
        <f t="shared" ref="AM492:AN492" si="1967">CONCATENATE("&lt;/li&gt;&lt;li&gt;&lt;a href=|http://",AM1191,"/psalms/14.htm","| ","title=|",AM1190,"| target=|_top|&gt;",AM1192,"&lt;/a&gt;")</f>
        <v>&lt;/li&gt;&lt;li&gt;&lt;a href=|http://basicenglishbible.com/psalms/14.htm| title=|Bible in Basic English| target=|_top|&gt;BBE&lt;/a&gt;</v>
      </c>
      <c r="AN492" t="str">
        <f t="shared" si="1967"/>
        <v>&lt;/li&gt;&lt;li&gt;&lt;a href=|http://darbybible.com/psalms/14.htm| title=|Darby Bible Translation| target=|_top|&gt;DBY&lt;/a&gt;</v>
      </c>
      <c r="AO49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9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9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92" t="str">
        <f>CONCATENATE("&lt;/li&gt;&lt;li&gt;&lt;a href=|http://",AR1191,"/psalms/14.htm","| ","title=|",AR1190,"| target=|_top|&gt;",AR1192,"&lt;/a&gt;")</f>
        <v>&lt;/li&gt;&lt;li&gt;&lt;a href=|http://websterbible.com/psalms/14.htm| title=|Webster's Bible Translation| target=|_top|&gt;WBS&lt;/a&gt;</v>
      </c>
      <c r="AS49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92" t="str">
        <f>CONCATENATE("&lt;/li&gt;&lt;li&gt;&lt;a href=|http://",AT1191,"/psalms/14-1.htm","| ","title=|",AT1190,"| target=|_top|&gt;",AT1192,"&lt;/a&gt;")</f>
        <v>&lt;/li&gt;&lt;li&gt;&lt;a href=|http://biblebrowser.com/psalms/14-1.htm| title=|Split View| target=|_top|&gt;Split&lt;/a&gt;</v>
      </c>
      <c r="AU492" s="2" t="s">
        <v>1276</v>
      </c>
      <c r="AV492" t="s">
        <v>64</v>
      </c>
    </row>
    <row r="493" spans="1:48">
      <c r="A493" t="s">
        <v>622</v>
      </c>
      <c r="B493" t="s">
        <v>731</v>
      </c>
      <c r="C493" t="s">
        <v>624</v>
      </c>
      <c r="D493" t="s">
        <v>1268</v>
      </c>
      <c r="E493" t="s">
        <v>1277</v>
      </c>
      <c r="F493" t="s">
        <v>1304</v>
      </c>
      <c r="G493" t="s">
        <v>1266</v>
      </c>
      <c r="H493" t="s">
        <v>1305</v>
      </c>
      <c r="I493" t="s">
        <v>1303</v>
      </c>
      <c r="J493" t="s">
        <v>1267</v>
      </c>
      <c r="K493" t="s">
        <v>1275</v>
      </c>
      <c r="L493" s="2" t="s">
        <v>1274</v>
      </c>
      <c r="M493" t="str">
        <f t="shared" ref="M493:AB493" si="1968">CONCATENATE("&lt;/li&gt;&lt;li&gt;&lt;a href=|http://",M1191,"/psalms/15.htm","| ","title=|",M1190,"| target=|_top|&gt;",M1192,"&lt;/a&gt;")</f>
        <v>&lt;/li&gt;&lt;li&gt;&lt;a href=|http://niv.scripturetext.com/psalms/15.htm| title=|New International Version| target=|_top|&gt;NIV&lt;/a&gt;</v>
      </c>
      <c r="N493" t="str">
        <f t="shared" si="1968"/>
        <v>&lt;/li&gt;&lt;li&gt;&lt;a href=|http://nlt.scripturetext.com/psalms/15.htm| title=|New Living Translation| target=|_top|&gt;NLT&lt;/a&gt;</v>
      </c>
      <c r="O493" t="str">
        <f t="shared" si="1968"/>
        <v>&lt;/li&gt;&lt;li&gt;&lt;a href=|http://nasb.scripturetext.com/psalms/15.htm| title=|New American Standard Bible| target=|_top|&gt;NAS&lt;/a&gt;</v>
      </c>
      <c r="P493" t="str">
        <f t="shared" si="1968"/>
        <v>&lt;/li&gt;&lt;li&gt;&lt;a href=|http://gwt.scripturetext.com/psalms/15.htm| title=|God's Word Translation| target=|_top|&gt;GWT&lt;/a&gt;</v>
      </c>
      <c r="Q493" t="str">
        <f t="shared" si="1968"/>
        <v>&lt;/li&gt;&lt;li&gt;&lt;a href=|http://kingjbible.com/psalms/15.htm| title=|King James Bible| target=|_top|&gt;KJV&lt;/a&gt;</v>
      </c>
      <c r="R493" t="str">
        <f t="shared" si="1968"/>
        <v>&lt;/li&gt;&lt;li&gt;&lt;a href=|http://asvbible.com/psalms/15.htm| title=|American Standard Version| target=|_top|&gt;ASV&lt;/a&gt;</v>
      </c>
      <c r="S493" t="str">
        <f t="shared" si="1968"/>
        <v>&lt;/li&gt;&lt;li&gt;&lt;a href=|http://drb.scripturetext.com/psalms/15.htm| title=|Douay-Rheims Bible| target=|_top|&gt;DRB&lt;/a&gt;</v>
      </c>
      <c r="T493" t="str">
        <f t="shared" si="1968"/>
        <v>&lt;/li&gt;&lt;li&gt;&lt;a href=|http://erv.scripturetext.com/psalms/15.htm| title=|English Revised Version| target=|_top|&gt;ERV&lt;/a&gt;</v>
      </c>
      <c r="V493" t="str">
        <f>CONCATENATE("&lt;/li&gt;&lt;li&gt;&lt;a href=|http://",V1191,"/psalms/15.htm","| ","title=|",V1190,"| target=|_top|&gt;",V1192,"&lt;/a&gt;")</f>
        <v>&lt;/li&gt;&lt;li&gt;&lt;a href=|http://study.interlinearbible.org/psalms/15.htm| title=|Hebrew Study Bible| target=|_top|&gt;Heb Study&lt;/a&gt;</v>
      </c>
      <c r="W493" t="str">
        <f t="shared" si="1968"/>
        <v>&lt;/li&gt;&lt;li&gt;&lt;a href=|http://apostolic.interlinearbible.org/psalms/15.htm| title=|Apostolic Bible Polyglot Interlinear| target=|_top|&gt;Polyglot&lt;/a&gt;</v>
      </c>
      <c r="X493" t="str">
        <f t="shared" si="1968"/>
        <v>&lt;/li&gt;&lt;li&gt;&lt;a href=|http://interlinearbible.org/psalms/15.htm| title=|Interlinear Bible| target=|_top|&gt;Interlin&lt;/a&gt;</v>
      </c>
      <c r="Y493" t="str">
        <f t="shared" ref="Y493" si="1969">CONCATENATE("&lt;/li&gt;&lt;li&gt;&lt;a href=|http://",Y1191,"/psalms/15.htm","| ","title=|",Y1190,"| target=|_top|&gt;",Y1192,"&lt;/a&gt;")</f>
        <v>&lt;/li&gt;&lt;li&gt;&lt;a href=|http://bibleoutline.org/psalms/15.htm| title=|Outline with People and Places List| target=|_top|&gt;Outline&lt;/a&gt;</v>
      </c>
      <c r="Z493" t="str">
        <f t="shared" si="1968"/>
        <v>&lt;/li&gt;&lt;li&gt;&lt;a href=|http://kjvs.scripturetext.com/psalms/15.htm| title=|King James Bible with Strong's Numbers| target=|_top|&gt;Strong's&lt;/a&gt;</v>
      </c>
      <c r="AA493" t="str">
        <f t="shared" si="1968"/>
        <v>&lt;/li&gt;&lt;li&gt;&lt;a href=|http://childrensbibleonline.com/psalms/15.htm| title=|The Children's Bible| target=|_top|&gt;Children's&lt;/a&gt;</v>
      </c>
      <c r="AB493" s="2" t="str">
        <f t="shared" si="1968"/>
        <v>&lt;/li&gt;&lt;li&gt;&lt;a href=|http://tsk.scripturetext.com/psalms/15.htm| title=|Treasury of Scripture Knowledge| target=|_top|&gt;TSK&lt;/a&gt;</v>
      </c>
      <c r="AC493" t="str">
        <f>CONCATENATE("&lt;a href=|http://",AC1191,"/psalms/15.htm","| ","title=|",AC1190,"| target=|_top|&gt;",AC1192,"&lt;/a&gt;")</f>
        <v>&lt;a href=|http://parallelbible.com/psalms/15.htm| title=|Parallel Chapters| target=|_top|&gt;PAR&lt;/a&gt;</v>
      </c>
      <c r="AD493" s="2" t="str">
        <f t="shared" ref="AD493:AK493" si="1970">CONCATENATE("&lt;/li&gt;&lt;li&gt;&lt;a href=|http://",AD1191,"/psalms/15.htm","| ","title=|",AD1190,"| target=|_top|&gt;",AD1192,"&lt;/a&gt;")</f>
        <v>&lt;/li&gt;&lt;li&gt;&lt;a href=|http://gsb.biblecommenter.com/psalms/15.htm| title=|Geneva Study Bible| target=|_top|&gt;GSB&lt;/a&gt;</v>
      </c>
      <c r="AE493" s="2" t="str">
        <f t="shared" si="1970"/>
        <v>&lt;/li&gt;&lt;li&gt;&lt;a href=|http://jfb.biblecommenter.com/psalms/15.htm| title=|Jamieson-Fausset-Brown Bible Commentary| target=|_top|&gt;JFB&lt;/a&gt;</v>
      </c>
      <c r="AF493" s="2" t="str">
        <f t="shared" si="1970"/>
        <v>&lt;/li&gt;&lt;li&gt;&lt;a href=|http://kjt.biblecommenter.com/psalms/15.htm| title=|King James Translators' Notes| target=|_top|&gt;KJT&lt;/a&gt;</v>
      </c>
      <c r="AG493" s="2" t="str">
        <f t="shared" si="1970"/>
        <v>&lt;/li&gt;&lt;li&gt;&lt;a href=|http://mhc.biblecommenter.com/psalms/15.htm| title=|Matthew Henry's Concise Commentary| target=|_top|&gt;MHC&lt;/a&gt;</v>
      </c>
      <c r="AH493" s="2" t="str">
        <f t="shared" si="1970"/>
        <v>&lt;/li&gt;&lt;li&gt;&lt;a href=|http://sco.biblecommenter.com/psalms/15.htm| title=|Scofield Reference Notes| target=|_top|&gt;SCO&lt;/a&gt;</v>
      </c>
      <c r="AI493" s="2" t="str">
        <f t="shared" si="1970"/>
        <v>&lt;/li&gt;&lt;li&gt;&lt;a href=|http://wes.biblecommenter.com/psalms/15.htm| title=|Wesley's Notes on the Bible| target=|_top|&gt;WES&lt;/a&gt;</v>
      </c>
      <c r="AJ493" t="str">
        <f t="shared" si="1970"/>
        <v>&lt;/li&gt;&lt;li&gt;&lt;a href=|http://worldebible.com/psalms/15.htm| title=|World English Bible| target=|_top|&gt;WEB&lt;/a&gt;</v>
      </c>
      <c r="AK493" t="str">
        <f t="shared" si="1970"/>
        <v>&lt;/li&gt;&lt;li&gt;&lt;a href=|http://yltbible.com/psalms/15.htm| title=|Young's Literal Translation| target=|_top|&gt;YLT&lt;/a&gt;</v>
      </c>
      <c r="AL493" t="str">
        <f>CONCATENATE("&lt;a href=|http://",AL1191,"/psalms/15.htm","| ","title=|",AL1190,"| target=|_top|&gt;",AL1192,"&lt;/a&gt;")</f>
        <v>&lt;a href=|http://kjv.us/psalms/15.htm| title=|American King James Version| target=|_top|&gt;AKJ&lt;/a&gt;</v>
      </c>
      <c r="AM493" t="str">
        <f t="shared" ref="AM493:AN493" si="1971">CONCATENATE("&lt;/li&gt;&lt;li&gt;&lt;a href=|http://",AM1191,"/psalms/15.htm","| ","title=|",AM1190,"| target=|_top|&gt;",AM1192,"&lt;/a&gt;")</f>
        <v>&lt;/li&gt;&lt;li&gt;&lt;a href=|http://basicenglishbible.com/psalms/15.htm| title=|Bible in Basic English| target=|_top|&gt;BBE&lt;/a&gt;</v>
      </c>
      <c r="AN493" t="str">
        <f t="shared" si="1971"/>
        <v>&lt;/li&gt;&lt;li&gt;&lt;a href=|http://darbybible.com/psalms/15.htm| title=|Darby Bible Translation| target=|_top|&gt;DBY&lt;/a&gt;</v>
      </c>
      <c r="AO49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9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9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93" t="str">
        <f>CONCATENATE("&lt;/li&gt;&lt;li&gt;&lt;a href=|http://",AR1191,"/psalms/15.htm","| ","title=|",AR1190,"| target=|_top|&gt;",AR1192,"&lt;/a&gt;")</f>
        <v>&lt;/li&gt;&lt;li&gt;&lt;a href=|http://websterbible.com/psalms/15.htm| title=|Webster's Bible Translation| target=|_top|&gt;WBS&lt;/a&gt;</v>
      </c>
      <c r="AS49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93" t="str">
        <f>CONCATENATE("&lt;/li&gt;&lt;li&gt;&lt;a href=|http://",AT1191,"/psalms/15-1.htm","| ","title=|",AT1190,"| target=|_top|&gt;",AT1192,"&lt;/a&gt;")</f>
        <v>&lt;/li&gt;&lt;li&gt;&lt;a href=|http://biblebrowser.com/psalms/15-1.htm| title=|Split View| target=|_top|&gt;Split&lt;/a&gt;</v>
      </c>
      <c r="AU493" s="2" t="s">
        <v>1276</v>
      </c>
      <c r="AV493" t="s">
        <v>64</v>
      </c>
    </row>
    <row r="494" spans="1:48">
      <c r="A494" t="s">
        <v>622</v>
      </c>
      <c r="B494" t="s">
        <v>732</v>
      </c>
      <c r="C494" t="s">
        <v>624</v>
      </c>
      <c r="D494" t="s">
        <v>1268</v>
      </c>
      <c r="E494" t="s">
        <v>1277</v>
      </c>
      <c r="F494" t="s">
        <v>1304</v>
      </c>
      <c r="G494" t="s">
        <v>1266</v>
      </c>
      <c r="H494" t="s">
        <v>1305</v>
      </c>
      <c r="I494" t="s">
        <v>1303</v>
      </c>
      <c r="J494" t="s">
        <v>1267</v>
      </c>
      <c r="K494" t="s">
        <v>1275</v>
      </c>
      <c r="L494" s="2" t="s">
        <v>1274</v>
      </c>
      <c r="M494" t="str">
        <f t="shared" ref="M494:AB494" si="1972">CONCATENATE("&lt;/li&gt;&lt;li&gt;&lt;a href=|http://",M1191,"/psalms/16.htm","| ","title=|",M1190,"| target=|_top|&gt;",M1192,"&lt;/a&gt;")</f>
        <v>&lt;/li&gt;&lt;li&gt;&lt;a href=|http://niv.scripturetext.com/psalms/16.htm| title=|New International Version| target=|_top|&gt;NIV&lt;/a&gt;</v>
      </c>
      <c r="N494" t="str">
        <f t="shared" si="1972"/>
        <v>&lt;/li&gt;&lt;li&gt;&lt;a href=|http://nlt.scripturetext.com/psalms/16.htm| title=|New Living Translation| target=|_top|&gt;NLT&lt;/a&gt;</v>
      </c>
      <c r="O494" t="str">
        <f t="shared" si="1972"/>
        <v>&lt;/li&gt;&lt;li&gt;&lt;a href=|http://nasb.scripturetext.com/psalms/16.htm| title=|New American Standard Bible| target=|_top|&gt;NAS&lt;/a&gt;</v>
      </c>
      <c r="P494" t="str">
        <f t="shared" si="1972"/>
        <v>&lt;/li&gt;&lt;li&gt;&lt;a href=|http://gwt.scripturetext.com/psalms/16.htm| title=|God's Word Translation| target=|_top|&gt;GWT&lt;/a&gt;</v>
      </c>
      <c r="Q494" t="str">
        <f t="shared" si="1972"/>
        <v>&lt;/li&gt;&lt;li&gt;&lt;a href=|http://kingjbible.com/psalms/16.htm| title=|King James Bible| target=|_top|&gt;KJV&lt;/a&gt;</v>
      </c>
      <c r="R494" t="str">
        <f t="shared" si="1972"/>
        <v>&lt;/li&gt;&lt;li&gt;&lt;a href=|http://asvbible.com/psalms/16.htm| title=|American Standard Version| target=|_top|&gt;ASV&lt;/a&gt;</v>
      </c>
      <c r="S494" t="str">
        <f t="shared" si="1972"/>
        <v>&lt;/li&gt;&lt;li&gt;&lt;a href=|http://drb.scripturetext.com/psalms/16.htm| title=|Douay-Rheims Bible| target=|_top|&gt;DRB&lt;/a&gt;</v>
      </c>
      <c r="T494" t="str">
        <f t="shared" si="1972"/>
        <v>&lt;/li&gt;&lt;li&gt;&lt;a href=|http://erv.scripturetext.com/psalms/16.htm| title=|English Revised Version| target=|_top|&gt;ERV&lt;/a&gt;</v>
      </c>
      <c r="V494" t="str">
        <f>CONCATENATE("&lt;/li&gt;&lt;li&gt;&lt;a href=|http://",V1191,"/psalms/16.htm","| ","title=|",V1190,"| target=|_top|&gt;",V1192,"&lt;/a&gt;")</f>
        <v>&lt;/li&gt;&lt;li&gt;&lt;a href=|http://study.interlinearbible.org/psalms/16.htm| title=|Hebrew Study Bible| target=|_top|&gt;Heb Study&lt;/a&gt;</v>
      </c>
      <c r="W494" t="str">
        <f t="shared" si="1972"/>
        <v>&lt;/li&gt;&lt;li&gt;&lt;a href=|http://apostolic.interlinearbible.org/psalms/16.htm| title=|Apostolic Bible Polyglot Interlinear| target=|_top|&gt;Polyglot&lt;/a&gt;</v>
      </c>
      <c r="X494" t="str">
        <f t="shared" si="1972"/>
        <v>&lt;/li&gt;&lt;li&gt;&lt;a href=|http://interlinearbible.org/psalms/16.htm| title=|Interlinear Bible| target=|_top|&gt;Interlin&lt;/a&gt;</v>
      </c>
      <c r="Y494" t="str">
        <f t="shared" ref="Y494" si="1973">CONCATENATE("&lt;/li&gt;&lt;li&gt;&lt;a href=|http://",Y1191,"/psalms/16.htm","| ","title=|",Y1190,"| target=|_top|&gt;",Y1192,"&lt;/a&gt;")</f>
        <v>&lt;/li&gt;&lt;li&gt;&lt;a href=|http://bibleoutline.org/psalms/16.htm| title=|Outline with People and Places List| target=|_top|&gt;Outline&lt;/a&gt;</v>
      </c>
      <c r="Z494" t="str">
        <f t="shared" si="1972"/>
        <v>&lt;/li&gt;&lt;li&gt;&lt;a href=|http://kjvs.scripturetext.com/psalms/16.htm| title=|King James Bible with Strong's Numbers| target=|_top|&gt;Strong's&lt;/a&gt;</v>
      </c>
      <c r="AA494" t="str">
        <f t="shared" si="1972"/>
        <v>&lt;/li&gt;&lt;li&gt;&lt;a href=|http://childrensbibleonline.com/psalms/16.htm| title=|The Children's Bible| target=|_top|&gt;Children's&lt;/a&gt;</v>
      </c>
      <c r="AB494" s="2" t="str">
        <f t="shared" si="1972"/>
        <v>&lt;/li&gt;&lt;li&gt;&lt;a href=|http://tsk.scripturetext.com/psalms/16.htm| title=|Treasury of Scripture Knowledge| target=|_top|&gt;TSK&lt;/a&gt;</v>
      </c>
      <c r="AC494" t="str">
        <f>CONCATENATE("&lt;a href=|http://",AC1191,"/psalms/16.htm","| ","title=|",AC1190,"| target=|_top|&gt;",AC1192,"&lt;/a&gt;")</f>
        <v>&lt;a href=|http://parallelbible.com/psalms/16.htm| title=|Parallel Chapters| target=|_top|&gt;PAR&lt;/a&gt;</v>
      </c>
      <c r="AD494" s="2" t="str">
        <f t="shared" ref="AD494:AK494" si="1974">CONCATENATE("&lt;/li&gt;&lt;li&gt;&lt;a href=|http://",AD1191,"/psalms/16.htm","| ","title=|",AD1190,"| target=|_top|&gt;",AD1192,"&lt;/a&gt;")</f>
        <v>&lt;/li&gt;&lt;li&gt;&lt;a href=|http://gsb.biblecommenter.com/psalms/16.htm| title=|Geneva Study Bible| target=|_top|&gt;GSB&lt;/a&gt;</v>
      </c>
      <c r="AE494" s="2" t="str">
        <f t="shared" si="1974"/>
        <v>&lt;/li&gt;&lt;li&gt;&lt;a href=|http://jfb.biblecommenter.com/psalms/16.htm| title=|Jamieson-Fausset-Brown Bible Commentary| target=|_top|&gt;JFB&lt;/a&gt;</v>
      </c>
      <c r="AF494" s="2" t="str">
        <f t="shared" si="1974"/>
        <v>&lt;/li&gt;&lt;li&gt;&lt;a href=|http://kjt.biblecommenter.com/psalms/16.htm| title=|King James Translators' Notes| target=|_top|&gt;KJT&lt;/a&gt;</v>
      </c>
      <c r="AG494" s="2" t="str">
        <f t="shared" si="1974"/>
        <v>&lt;/li&gt;&lt;li&gt;&lt;a href=|http://mhc.biblecommenter.com/psalms/16.htm| title=|Matthew Henry's Concise Commentary| target=|_top|&gt;MHC&lt;/a&gt;</v>
      </c>
      <c r="AH494" s="2" t="str">
        <f t="shared" si="1974"/>
        <v>&lt;/li&gt;&lt;li&gt;&lt;a href=|http://sco.biblecommenter.com/psalms/16.htm| title=|Scofield Reference Notes| target=|_top|&gt;SCO&lt;/a&gt;</v>
      </c>
      <c r="AI494" s="2" t="str">
        <f t="shared" si="1974"/>
        <v>&lt;/li&gt;&lt;li&gt;&lt;a href=|http://wes.biblecommenter.com/psalms/16.htm| title=|Wesley's Notes on the Bible| target=|_top|&gt;WES&lt;/a&gt;</v>
      </c>
      <c r="AJ494" t="str">
        <f t="shared" si="1974"/>
        <v>&lt;/li&gt;&lt;li&gt;&lt;a href=|http://worldebible.com/psalms/16.htm| title=|World English Bible| target=|_top|&gt;WEB&lt;/a&gt;</v>
      </c>
      <c r="AK494" t="str">
        <f t="shared" si="1974"/>
        <v>&lt;/li&gt;&lt;li&gt;&lt;a href=|http://yltbible.com/psalms/16.htm| title=|Young's Literal Translation| target=|_top|&gt;YLT&lt;/a&gt;</v>
      </c>
      <c r="AL494" t="str">
        <f>CONCATENATE("&lt;a href=|http://",AL1191,"/psalms/16.htm","| ","title=|",AL1190,"| target=|_top|&gt;",AL1192,"&lt;/a&gt;")</f>
        <v>&lt;a href=|http://kjv.us/psalms/16.htm| title=|American King James Version| target=|_top|&gt;AKJ&lt;/a&gt;</v>
      </c>
      <c r="AM494" t="str">
        <f t="shared" ref="AM494:AN494" si="1975">CONCATENATE("&lt;/li&gt;&lt;li&gt;&lt;a href=|http://",AM1191,"/psalms/16.htm","| ","title=|",AM1190,"| target=|_top|&gt;",AM1192,"&lt;/a&gt;")</f>
        <v>&lt;/li&gt;&lt;li&gt;&lt;a href=|http://basicenglishbible.com/psalms/16.htm| title=|Bible in Basic English| target=|_top|&gt;BBE&lt;/a&gt;</v>
      </c>
      <c r="AN494" t="str">
        <f t="shared" si="1975"/>
        <v>&lt;/li&gt;&lt;li&gt;&lt;a href=|http://darbybible.com/psalms/16.htm| title=|Darby Bible Translation| target=|_top|&gt;DBY&lt;/a&gt;</v>
      </c>
      <c r="AO49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9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9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94" t="str">
        <f>CONCATENATE("&lt;/li&gt;&lt;li&gt;&lt;a href=|http://",AR1191,"/psalms/16.htm","| ","title=|",AR1190,"| target=|_top|&gt;",AR1192,"&lt;/a&gt;")</f>
        <v>&lt;/li&gt;&lt;li&gt;&lt;a href=|http://websterbible.com/psalms/16.htm| title=|Webster's Bible Translation| target=|_top|&gt;WBS&lt;/a&gt;</v>
      </c>
      <c r="AS49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94" t="str">
        <f>CONCATENATE("&lt;/li&gt;&lt;li&gt;&lt;a href=|http://",AT1191,"/psalms/16-1.htm","| ","title=|",AT1190,"| target=|_top|&gt;",AT1192,"&lt;/a&gt;")</f>
        <v>&lt;/li&gt;&lt;li&gt;&lt;a href=|http://biblebrowser.com/psalms/16-1.htm| title=|Split View| target=|_top|&gt;Split&lt;/a&gt;</v>
      </c>
      <c r="AU494" s="2" t="s">
        <v>1276</v>
      </c>
      <c r="AV494" t="s">
        <v>64</v>
      </c>
    </row>
    <row r="495" spans="1:48">
      <c r="A495" t="s">
        <v>622</v>
      </c>
      <c r="B495" t="s">
        <v>733</v>
      </c>
      <c r="C495" t="s">
        <v>624</v>
      </c>
      <c r="D495" t="s">
        <v>1268</v>
      </c>
      <c r="E495" t="s">
        <v>1277</v>
      </c>
      <c r="F495" t="s">
        <v>1304</v>
      </c>
      <c r="G495" t="s">
        <v>1266</v>
      </c>
      <c r="H495" t="s">
        <v>1305</v>
      </c>
      <c r="I495" t="s">
        <v>1303</v>
      </c>
      <c r="J495" t="s">
        <v>1267</v>
      </c>
      <c r="K495" t="s">
        <v>1275</v>
      </c>
      <c r="L495" s="2" t="s">
        <v>1274</v>
      </c>
      <c r="M495" t="str">
        <f t="shared" ref="M495:AB495" si="1976">CONCATENATE("&lt;/li&gt;&lt;li&gt;&lt;a href=|http://",M1191,"/psalms/17.htm","| ","title=|",M1190,"| target=|_top|&gt;",M1192,"&lt;/a&gt;")</f>
        <v>&lt;/li&gt;&lt;li&gt;&lt;a href=|http://niv.scripturetext.com/psalms/17.htm| title=|New International Version| target=|_top|&gt;NIV&lt;/a&gt;</v>
      </c>
      <c r="N495" t="str">
        <f t="shared" si="1976"/>
        <v>&lt;/li&gt;&lt;li&gt;&lt;a href=|http://nlt.scripturetext.com/psalms/17.htm| title=|New Living Translation| target=|_top|&gt;NLT&lt;/a&gt;</v>
      </c>
      <c r="O495" t="str">
        <f t="shared" si="1976"/>
        <v>&lt;/li&gt;&lt;li&gt;&lt;a href=|http://nasb.scripturetext.com/psalms/17.htm| title=|New American Standard Bible| target=|_top|&gt;NAS&lt;/a&gt;</v>
      </c>
      <c r="P495" t="str">
        <f t="shared" si="1976"/>
        <v>&lt;/li&gt;&lt;li&gt;&lt;a href=|http://gwt.scripturetext.com/psalms/17.htm| title=|God's Word Translation| target=|_top|&gt;GWT&lt;/a&gt;</v>
      </c>
      <c r="Q495" t="str">
        <f t="shared" si="1976"/>
        <v>&lt;/li&gt;&lt;li&gt;&lt;a href=|http://kingjbible.com/psalms/17.htm| title=|King James Bible| target=|_top|&gt;KJV&lt;/a&gt;</v>
      </c>
      <c r="R495" t="str">
        <f t="shared" si="1976"/>
        <v>&lt;/li&gt;&lt;li&gt;&lt;a href=|http://asvbible.com/psalms/17.htm| title=|American Standard Version| target=|_top|&gt;ASV&lt;/a&gt;</v>
      </c>
      <c r="S495" t="str">
        <f t="shared" si="1976"/>
        <v>&lt;/li&gt;&lt;li&gt;&lt;a href=|http://drb.scripturetext.com/psalms/17.htm| title=|Douay-Rheims Bible| target=|_top|&gt;DRB&lt;/a&gt;</v>
      </c>
      <c r="T495" t="str">
        <f t="shared" si="1976"/>
        <v>&lt;/li&gt;&lt;li&gt;&lt;a href=|http://erv.scripturetext.com/psalms/17.htm| title=|English Revised Version| target=|_top|&gt;ERV&lt;/a&gt;</v>
      </c>
      <c r="V495" t="str">
        <f>CONCATENATE("&lt;/li&gt;&lt;li&gt;&lt;a href=|http://",V1191,"/psalms/17.htm","| ","title=|",V1190,"| target=|_top|&gt;",V1192,"&lt;/a&gt;")</f>
        <v>&lt;/li&gt;&lt;li&gt;&lt;a href=|http://study.interlinearbible.org/psalms/17.htm| title=|Hebrew Study Bible| target=|_top|&gt;Heb Study&lt;/a&gt;</v>
      </c>
      <c r="W495" t="str">
        <f t="shared" si="1976"/>
        <v>&lt;/li&gt;&lt;li&gt;&lt;a href=|http://apostolic.interlinearbible.org/psalms/17.htm| title=|Apostolic Bible Polyglot Interlinear| target=|_top|&gt;Polyglot&lt;/a&gt;</v>
      </c>
      <c r="X495" t="str">
        <f t="shared" si="1976"/>
        <v>&lt;/li&gt;&lt;li&gt;&lt;a href=|http://interlinearbible.org/psalms/17.htm| title=|Interlinear Bible| target=|_top|&gt;Interlin&lt;/a&gt;</v>
      </c>
      <c r="Y495" t="str">
        <f t="shared" ref="Y495" si="1977">CONCATENATE("&lt;/li&gt;&lt;li&gt;&lt;a href=|http://",Y1191,"/psalms/17.htm","| ","title=|",Y1190,"| target=|_top|&gt;",Y1192,"&lt;/a&gt;")</f>
        <v>&lt;/li&gt;&lt;li&gt;&lt;a href=|http://bibleoutline.org/psalms/17.htm| title=|Outline with People and Places List| target=|_top|&gt;Outline&lt;/a&gt;</v>
      </c>
      <c r="Z495" t="str">
        <f t="shared" si="1976"/>
        <v>&lt;/li&gt;&lt;li&gt;&lt;a href=|http://kjvs.scripturetext.com/psalms/17.htm| title=|King James Bible with Strong's Numbers| target=|_top|&gt;Strong's&lt;/a&gt;</v>
      </c>
      <c r="AA495" t="str">
        <f t="shared" si="1976"/>
        <v>&lt;/li&gt;&lt;li&gt;&lt;a href=|http://childrensbibleonline.com/psalms/17.htm| title=|The Children's Bible| target=|_top|&gt;Children's&lt;/a&gt;</v>
      </c>
      <c r="AB495" s="2" t="str">
        <f t="shared" si="1976"/>
        <v>&lt;/li&gt;&lt;li&gt;&lt;a href=|http://tsk.scripturetext.com/psalms/17.htm| title=|Treasury of Scripture Knowledge| target=|_top|&gt;TSK&lt;/a&gt;</v>
      </c>
      <c r="AC495" t="str">
        <f>CONCATENATE("&lt;a href=|http://",AC1191,"/psalms/17.htm","| ","title=|",AC1190,"| target=|_top|&gt;",AC1192,"&lt;/a&gt;")</f>
        <v>&lt;a href=|http://parallelbible.com/psalms/17.htm| title=|Parallel Chapters| target=|_top|&gt;PAR&lt;/a&gt;</v>
      </c>
      <c r="AD495" s="2" t="str">
        <f t="shared" ref="AD495:AK495" si="1978">CONCATENATE("&lt;/li&gt;&lt;li&gt;&lt;a href=|http://",AD1191,"/psalms/17.htm","| ","title=|",AD1190,"| target=|_top|&gt;",AD1192,"&lt;/a&gt;")</f>
        <v>&lt;/li&gt;&lt;li&gt;&lt;a href=|http://gsb.biblecommenter.com/psalms/17.htm| title=|Geneva Study Bible| target=|_top|&gt;GSB&lt;/a&gt;</v>
      </c>
      <c r="AE495" s="2" t="str">
        <f t="shared" si="1978"/>
        <v>&lt;/li&gt;&lt;li&gt;&lt;a href=|http://jfb.biblecommenter.com/psalms/17.htm| title=|Jamieson-Fausset-Brown Bible Commentary| target=|_top|&gt;JFB&lt;/a&gt;</v>
      </c>
      <c r="AF495" s="2" t="str">
        <f t="shared" si="1978"/>
        <v>&lt;/li&gt;&lt;li&gt;&lt;a href=|http://kjt.biblecommenter.com/psalms/17.htm| title=|King James Translators' Notes| target=|_top|&gt;KJT&lt;/a&gt;</v>
      </c>
      <c r="AG495" s="2" t="str">
        <f t="shared" si="1978"/>
        <v>&lt;/li&gt;&lt;li&gt;&lt;a href=|http://mhc.biblecommenter.com/psalms/17.htm| title=|Matthew Henry's Concise Commentary| target=|_top|&gt;MHC&lt;/a&gt;</v>
      </c>
      <c r="AH495" s="2" t="str">
        <f t="shared" si="1978"/>
        <v>&lt;/li&gt;&lt;li&gt;&lt;a href=|http://sco.biblecommenter.com/psalms/17.htm| title=|Scofield Reference Notes| target=|_top|&gt;SCO&lt;/a&gt;</v>
      </c>
      <c r="AI495" s="2" t="str">
        <f t="shared" si="1978"/>
        <v>&lt;/li&gt;&lt;li&gt;&lt;a href=|http://wes.biblecommenter.com/psalms/17.htm| title=|Wesley's Notes on the Bible| target=|_top|&gt;WES&lt;/a&gt;</v>
      </c>
      <c r="AJ495" t="str">
        <f t="shared" si="1978"/>
        <v>&lt;/li&gt;&lt;li&gt;&lt;a href=|http://worldebible.com/psalms/17.htm| title=|World English Bible| target=|_top|&gt;WEB&lt;/a&gt;</v>
      </c>
      <c r="AK495" t="str">
        <f t="shared" si="1978"/>
        <v>&lt;/li&gt;&lt;li&gt;&lt;a href=|http://yltbible.com/psalms/17.htm| title=|Young's Literal Translation| target=|_top|&gt;YLT&lt;/a&gt;</v>
      </c>
      <c r="AL495" t="str">
        <f>CONCATENATE("&lt;a href=|http://",AL1191,"/psalms/17.htm","| ","title=|",AL1190,"| target=|_top|&gt;",AL1192,"&lt;/a&gt;")</f>
        <v>&lt;a href=|http://kjv.us/psalms/17.htm| title=|American King James Version| target=|_top|&gt;AKJ&lt;/a&gt;</v>
      </c>
      <c r="AM495" t="str">
        <f t="shared" ref="AM495:AN495" si="1979">CONCATENATE("&lt;/li&gt;&lt;li&gt;&lt;a href=|http://",AM1191,"/psalms/17.htm","| ","title=|",AM1190,"| target=|_top|&gt;",AM1192,"&lt;/a&gt;")</f>
        <v>&lt;/li&gt;&lt;li&gt;&lt;a href=|http://basicenglishbible.com/psalms/17.htm| title=|Bible in Basic English| target=|_top|&gt;BBE&lt;/a&gt;</v>
      </c>
      <c r="AN495" t="str">
        <f t="shared" si="1979"/>
        <v>&lt;/li&gt;&lt;li&gt;&lt;a href=|http://darbybible.com/psalms/17.htm| title=|Darby Bible Translation| target=|_top|&gt;DBY&lt;/a&gt;</v>
      </c>
      <c r="AO49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9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9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95" t="str">
        <f>CONCATENATE("&lt;/li&gt;&lt;li&gt;&lt;a href=|http://",AR1191,"/psalms/17.htm","| ","title=|",AR1190,"| target=|_top|&gt;",AR1192,"&lt;/a&gt;")</f>
        <v>&lt;/li&gt;&lt;li&gt;&lt;a href=|http://websterbible.com/psalms/17.htm| title=|Webster's Bible Translation| target=|_top|&gt;WBS&lt;/a&gt;</v>
      </c>
      <c r="AS49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95" t="str">
        <f>CONCATENATE("&lt;/li&gt;&lt;li&gt;&lt;a href=|http://",AT1191,"/psalms/17-1.htm","| ","title=|",AT1190,"| target=|_top|&gt;",AT1192,"&lt;/a&gt;")</f>
        <v>&lt;/li&gt;&lt;li&gt;&lt;a href=|http://biblebrowser.com/psalms/17-1.htm| title=|Split View| target=|_top|&gt;Split&lt;/a&gt;</v>
      </c>
      <c r="AU495" s="2" t="s">
        <v>1276</v>
      </c>
      <c r="AV495" t="s">
        <v>64</v>
      </c>
    </row>
    <row r="496" spans="1:48">
      <c r="A496" t="s">
        <v>622</v>
      </c>
      <c r="B496" t="s">
        <v>734</v>
      </c>
      <c r="C496" t="s">
        <v>624</v>
      </c>
      <c r="D496" t="s">
        <v>1268</v>
      </c>
      <c r="E496" t="s">
        <v>1277</v>
      </c>
      <c r="F496" t="s">
        <v>1304</v>
      </c>
      <c r="G496" t="s">
        <v>1266</v>
      </c>
      <c r="H496" t="s">
        <v>1305</v>
      </c>
      <c r="I496" t="s">
        <v>1303</v>
      </c>
      <c r="J496" t="s">
        <v>1267</v>
      </c>
      <c r="K496" t="s">
        <v>1275</v>
      </c>
      <c r="L496" s="2" t="s">
        <v>1274</v>
      </c>
      <c r="M496" t="str">
        <f t="shared" ref="M496:AB496" si="1980">CONCATENATE("&lt;/li&gt;&lt;li&gt;&lt;a href=|http://",M1191,"/psalms/18.htm","| ","title=|",M1190,"| target=|_top|&gt;",M1192,"&lt;/a&gt;")</f>
        <v>&lt;/li&gt;&lt;li&gt;&lt;a href=|http://niv.scripturetext.com/psalms/18.htm| title=|New International Version| target=|_top|&gt;NIV&lt;/a&gt;</v>
      </c>
      <c r="N496" t="str">
        <f t="shared" si="1980"/>
        <v>&lt;/li&gt;&lt;li&gt;&lt;a href=|http://nlt.scripturetext.com/psalms/18.htm| title=|New Living Translation| target=|_top|&gt;NLT&lt;/a&gt;</v>
      </c>
      <c r="O496" t="str">
        <f t="shared" si="1980"/>
        <v>&lt;/li&gt;&lt;li&gt;&lt;a href=|http://nasb.scripturetext.com/psalms/18.htm| title=|New American Standard Bible| target=|_top|&gt;NAS&lt;/a&gt;</v>
      </c>
      <c r="P496" t="str">
        <f t="shared" si="1980"/>
        <v>&lt;/li&gt;&lt;li&gt;&lt;a href=|http://gwt.scripturetext.com/psalms/18.htm| title=|God's Word Translation| target=|_top|&gt;GWT&lt;/a&gt;</v>
      </c>
      <c r="Q496" t="str">
        <f t="shared" si="1980"/>
        <v>&lt;/li&gt;&lt;li&gt;&lt;a href=|http://kingjbible.com/psalms/18.htm| title=|King James Bible| target=|_top|&gt;KJV&lt;/a&gt;</v>
      </c>
      <c r="R496" t="str">
        <f t="shared" si="1980"/>
        <v>&lt;/li&gt;&lt;li&gt;&lt;a href=|http://asvbible.com/psalms/18.htm| title=|American Standard Version| target=|_top|&gt;ASV&lt;/a&gt;</v>
      </c>
      <c r="S496" t="str">
        <f t="shared" si="1980"/>
        <v>&lt;/li&gt;&lt;li&gt;&lt;a href=|http://drb.scripturetext.com/psalms/18.htm| title=|Douay-Rheims Bible| target=|_top|&gt;DRB&lt;/a&gt;</v>
      </c>
      <c r="T496" t="str">
        <f t="shared" si="1980"/>
        <v>&lt;/li&gt;&lt;li&gt;&lt;a href=|http://erv.scripturetext.com/psalms/18.htm| title=|English Revised Version| target=|_top|&gt;ERV&lt;/a&gt;</v>
      </c>
      <c r="V496" t="str">
        <f>CONCATENATE("&lt;/li&gt;&lt;li&gt;&lt;a href=|http://",V1191,"/psalms/18.htm","| ","title=|",V1190,"| target=|_top|&gt;",V1192,"&lt;/a&gt;")</f>
        <v>&lt;/li&gt;&lt;li&gt;&lt;a href=|http://study.interlinearbible.org/psalms/18.htm| title=|Hebrew Study Bible| target=|_top|&gt;Heb Study&lt;/a&gt;</v>
      </c>
      <c r="W496" t="str">
        <f t="shared" si="1980"/>
        <v>&lt;/li&gt;&lt;li&gt;&lt;a href=|http://apostolic.interlinearbible.org/psalms/18.htm| title=|Apostolic Bible Polyglot Interlinear| target=|_top|&gt;Polyglot&lt;/a&gt;</v>
      </c>
      <c r="X496" t="str">
        <f t="shared" si="1980"/>
        <v>&lt;/li&gt;&lt;li&gt;&lt;a href=|http://interlinearbible.org/psalms/18.htm| title=|Interlinear Bible| target=|_top|&gt;Interlin&lt;/a&gt;</v>
      </c>
      <c r="Y496" t="str">
        <f t="shared" ref="Y496" si="1981">CONCATENATE("&lt;/li&gt;&lt;li&gt;&lt;a href=|http://",Y1191,"/psalms/18.htm","| ","title=|",Y1190,"| target=|_top|&gt;",Y1192,"&lt;/a&gt;")</f>
        <v>&lt;/li&gt;&lt;li&gt;&lt;a href=|http://bibleoutline.org/psalms/18.htm| title=|Outline with People and Places List| target=|_top|&gt;Outline&lt;/a&gt;</v>
      </c>
      <c r="Z496" t="str">
        <f t="shared" si="1980"/>
        <v>&lt;/li&gt;&lt;li&gt;&lt;a href=|http://kjvs.scripturetext.com/psalms/18.htm| title=|King James Bible with Strong's Numbers| target=|_top|&gt;Strong's&lt;/a&gt;</v>
      </c>
      <c r="AA496" t="str">
        <f t="shared" si="1980"/>
        <v>&lt;/li&gt;&lt;li&gt;&lt;a href=|http://childrensbibleonline.com/psalms/18.htm| title=|The Children's Bible| target=|_top|&gt;Children's&lt;/a&gt;</v>
      </c>
      <c r="AB496" s="2" t="str">
        <f t="shared" si="1980"/>
        <v>&lt;/li&gt;&lt;li&gt;&lt;a href=|http://tsk.scripturetext.com/psalms/18.htm| title=|Treasury of Scripture Knowledge| target=|_top|&gt;TSK&lt;/a&gt;</v>
      </c>
      <c r="AC496" t="str">
        <f>CONCATENATE("&lt;a href=|http://",AC1191,"/psalms/18.htm","| ","title=|",AC1190,"| target=|_top|&gt;",AC1192,"&lt;/a&gt;")</f>
        <v>&lt;a href=|http://parallelbible.com/psalms/18.htm| title=|Parallel Chapters| target=|_top|&gt;PAR&lt;/a&gt;</v>
      </c>
      <c r="AD496" s="2" t="str">
        <f t="shared" ref="AD496:AK496" si="1982">CONCATENATE("&lt;/li&gt;&lt;li&gt;&lt;a href=|http://",AD1191,"/psalms/18.htm","| ","title=|",AD1190,"| target=|_top|&gt;",AD1192,"&lt;/a&gt;")</f>
        <v>&lt;/li&gt;&lt;li&gt;&lt;a href=|http://gsb.biblecommenter.com/psalms/18.htm| title=|Geneva Study Bible| target=|_top|&gt;GSB&lt;/a&gt;</v>
      </c>
      <c r="AE496" s="2" t="str">
        <f t="shared" si="1982"/>
        <v>&lt;/li&gt;&lt;li&gt;&lt;a href=|http://jfb.biblecommenter.com/psalms/18.htm| title=|Jamieson-Fausset-Brown Bible Commentary| target=|_top|&gt;JFB&lt;/a&gt;</v>
      </c>
      <c r="AF496" s="2" t="str">
        <f t="shared" si="1982"/>
        <v>&lt;/li&gt;&lt;li&gt;&lt;a href=|http://kjt.biblecommenter.com/psalms/18.htm| title=|King James Translators' Notes| target=|_top|&gt;KJT&lt;/a&gt;</v>
      </c>
      <c r="AG496" s="2" t="str">
        <f t="shared" si="1982"/>
        <v>&lt;/li&gt;&lt;li&gt;&lt;a href=|http://mhc.biblecommenter.com/psalms/18.htm| title=|Matthew Henry's Concise Commentary| target=|_top|&gt;MHC&lt;/a&gt;</v>
      </c>
      <c r="AH496" s="2" t="str">
        <f t="shared" si="1982"/>
        <v>&lt;/li&gt;&lt;li&gt;&lt;a href=|http://sco.biblecommenter.com/psalms/18.htm| title=|Scofield Reference Notes| target=|_top|&gt;SCO&lt;/a&gt;</v>
      </c>
      <c r="AI496" s="2" t="str">
        <f t="shared" si="1982"/>
        <v>&lt;/li&gt;&lt;li&gt;&lt;a href=|http://wes.biblecommenter.com/psalms/18.htm| title=|Wesley's Notes on the Bible| target=|_top|&gt;WES&lt;/a&gt;</v>
      </c>
      <c r="AJ496" t="str">
        <f t="shared" si="1982"/>
        <v>&lt;/li&gt;&lt;li&gt;&lt;a href=|http://worldebible.com/psalms/18.htm| title=|World English Bible| target=|_top|&gt;WEB&lt;/a&gt;</v>
      </c>
      <c r="AK496" t="str">
        <f t="shared" si="1982"/>
        <v>&lt;/li&gt;&lt;li&gt;&lt;a href=|http://yltbible.com/psalms/18.htm| title=|Young's Literal Translation| target=|_top|&gt;YLT&lt;/a&gt;</v>
      </c>
      <c r="AL496" t="str">
        <f>CONCATENATE("&lt;a href=|http://",AL1191,"/psalms/18.htm","| ","title=|",AL1190,"| target=|_top|&gt;",AL1192,"&lt;/a&gt;")</f>
        <v>&lt;a href=|http://kjv.us/psalms/18.htm| title=|American King James Version| target=|_top|&gt;AKJ&lt;/a&gt;</v>
      </c>
      <c r="AM496" t="str">
        <f t="shared" ref="AM496:AN496" si="1983">CONCATENATE("&lt;/li&gt;&lt;li&gt;&lt;a href=|http://",AM1191,"/psalms/18.htm","| ","title=|",AM1190,"| target=|_top|&gt;",AM1192,"&lt;/a&gt;")</f>
        <v>&lt;/li&gt;&lt;li&gt;&lt;a href=|http://basicenglishbible.com/psalms/18.htm| title=|Bible in Basic English| target=|_top|&gt;BBE&lt;/a&gt;</v>
      </c>
      <c r="AN496" t="str">
        <f t="shared" si="1983"/>
        <v>&lt;/li&gt;&lt;li&gt;&lt;a href=|http://darbybible.com/psalms/18.htm| title=|Darby Bible Translation| target=|_top|&gt;DBY&lt;/a&gt;</v>
      </c>
      <c r="AO49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9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9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96" t="str">
        <f>CONCATENATE("&lt;/li&gt;&lt;li&gt;&lt;a href=|http://",AR1191,"/psalms/18.htm","| ","title=|",AR1190,"| target=|_top|&gt;",AR1192,"&lt;/a&gt;")</f>
        <v>&lt;/li&gt;&lt;li&gt;&lt;a href=|http://websterbible.com/psalms/18.htm| title=|Webster's Bible Translation| target=|_top|&gt;WBS&lt;/a&gt;</v>
      </c>
      <c r="AS49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96" t="str">
        <f>CONCATENATE("&lt;/li&gt;&lt;li&gt;&lt;a href=|http://",AT1191,"/psalms/18-1.htm","| ","title=|",AT1190,"| target=|_top|&gt;",AT1192,"&lt;/a&gt;")</f>
        <v>&lt;/li&gt;&lt;li&gt;&lt;a href=|http://biblebrowser.com/psalms/18-1.htm| title=|Split View| target=|_top|&gt;Split&lt;/a&gt;</v>
      </c>
      <c r="AU496" s="2" t="s">
        <v>1276</v>
      </c>
      <c r="AV496" t="s">
        <v>64</v>
      </c>
    </row>
    <row r="497" spans="1:48">
      <c r="A497" t="s">
        <v>622</v>
      </c>
      <c r="B497" t="s">
        <v>735</v>
      </c>
      <c r="C497" t="s">
        <v>624</v>
      </c>
      <c r="D497" t="s">
        <v>1268</v>
      </c>
      <c r="E497" t="s">
        <v>1277</v>
      </c>
      <c r="F497" t="s">
        <v>1304</v>
      </c>
      <c r="G497" t="s">
        <v>1266</v>
      </c>
      <c r="H497" t="s">
        <v>1305</v>
      </c>
      <c r="I497" t="s">
        <v>1303</v>
      </c>
      <c r="J497" t="s">
        <v>1267</v>
      </c>
      <c r="K497" t="s">
        <v>1275</v>
      </c>
      <c r="L497" s="2" t="s">
        <v>1274</v>
      </c>
      <c r="M497" t="str">
        <f t="shared" ref="M497:AB497" si="1984">CONCATENATE("&lt;/li&gt;&lt;li&gt;&lt;a href=|http://",M1191,"/psalms/19.htm","| ","title=|",M1190,"| target=|_top|&gt;",M1192,"&lt;/a&gt;")</f>
        <v>&lt;/li&gt;&lt;li&gt;&lt;a href=|http://niv.scripturetext.com/psalms/19.htm| title=|New International Version| target=|_top|&gt;NIV&lt;/a&gt;</v>
      </c>
      <c r="N497" t="str">
        <f t="shared" si="1984"/>
        <v>&lt;/li&gt;&lt;li&gt;&lt;a href=|http://nlt.scripturetext.com/psalms/19.htm| title=|New Living Translation| target=|_top|&gt;NLT&lt;/a&gt;</v>
      </c>
      <c r="O497" t="str">
        <f t="shared" si="1984"/>
        <v>&lt;/li&gt;&lt;li&gt;&lt;a href=|http://nasb.scripturetext.com/psalms/19.htm| title=|New American Standard Bible| target=|_top|&gt;NAS&lt;/a&gt;</v>
      </c>
      <c r="P497" t="str">
        <f t="shared" si="1984"/>
        <v>&lt;/li&gt;&lt;li&gt;&lt;a href=|http://gwt.scripturetext.com/psalms/19.htm| title=|God's Word Translation| target=|_top|&gt;GWT&lt;/a&gt;</v>
      </c>
      <c r="Q497" t="str">
        <f t="shared" si="1984"/>
        <v>&lt;/li&gt;&lt;li&gt;&lt;a href=|http://kingjbible.com/psalms/19.htm| title=|King James Bible| target=|_top|&gt;KJV&lt;/a&gt;</v>
      </c>
      <c r="R497" t="str">
        <f t="shared" si="1984"/>
        <v>&lt;/li&gt;&lt;li&gt;&lt;a href=|http://asvbible.com/psalms/19.htm| title=|American Standard Version| target=|_top|&gt;ASV&lt;/a&gt;</v>
      </c>
      <c r="S497" t="str">
        <f t="shared" si="1984"/>
        <v>&lt;/li&gt;&lt;li&gt;&lt;a href=|http://drb.scripturetext.com/psalms/19.htm| title=|Douay-Rheims Bible| target=|_top|&gt;DRB&lt;/a&gt;</v>
      </c>
      <c r="T497" t="str">
        <f t="shared" si="1984"/>
        <v>&lt;/li&gt;&lt;li&gt;&lt;a href=|http://erv.scripturetext.com/psalms/19.htm| title=|English Revised Version| target=|_top|&gt;ERV&lt;/a&gt;</v>
      </c>
      <c r="V497" t="str">
        <f>CONCATENATE("&lt;/li&gt;&lt;li&gt;&lt;a href=|http://",V1191,"/psalms/19.htm","| ","title=|",V1190,"| target=|_top|&gt;",V1192,"&lt;/a&gt;")</f>
        <v>&lt;/li&gt;&lt;li&gt;&lt;a href=|http://study.interlinearbible.org/psalms/19.htm| title=|Hebrew Study Bible| target=|_top|&gt;Heb Study&lt;/a&gt;</v>
      </c>
      <c r="W497" t="str">
        <f t="shared" si="1984"/>
        <v>&lt;/li&gt;&lt;li&gt;&lt;a href=|http://apostolic.interlinearbible.org/psalms/19.htm| title=|Apostolic Bible Polyglot Interlinear| target=|_top|&gt;Polyglot&lt;/a&gt;</v>
      </c>
      <c r="X497" t="str">
        <f t="shared" si="1984"/>
        <v>&lt;/li&gt;&lt;li&gt;&lt;a href=|http://interlinearbible.org/psalms/19.htm| title=|Interlinear Bible| target=|_top|&gt;Interlin&lt;/a&gt;</v>
      </c>
      <c r="Y497" t="str">
        <f t="shared" ref="Y497" si="1985">CONCATENATE("&lt;/li&gt;&lt;li&gt;&lt;a href=|http://",Y1191,"/psalms/19.htm","| ","title=|",Y1190,"| target=|_top|&gt;",Y1192,"&lt;/a&gt;")</f>
        <v>&lt;/li&gt;&lt;li&gt;&lt;a href=|http://bibleoutline.org/psalms/19.htm| title=|Outline with People and Places List| target=|_top|&gt;Outline&lt;/a&gt;</v>
      </c>
      <c r="Z497" t="str">
        <f t="shared" si="1984"/>
        <v>&lt;/li&gt;&lt;li&gt;&lt;a href=|http://kjvs.scripturetext.com/psalms/19.htm| title=|King James Bible with Strong's Numbers| target=|_top|&gt;Strong's&lt;/a&gt;</v>
      </c>
      <c r="AA497" t="str">
        <f t="shared" si="1984"/>
        <v>&lt;/li&gt;&lt;li&gt;&lt;a href=|http://childrensbibleonline.com/psalms/19.htm| title=|The Children's Bible| target=|_top|&gt;Children's&lt;/a&gt;</v>
      </c>
      <c r="AB497" s="2" t="str">
        <f t="shared" si="1984"/>
        <v>&lt;/li&gt;&lt;li&gt;&lt;a href=|http://tsk.scripturetext.com/psalms/19.htm| title=|Treasury of Scripture Knowledge| target=|_top|&gt;TSK&lt;/a&gt;</v>
      </c>
      <c r="AC497" t="str">
        <f>CONCATENATE("&lt;a href=|http://",AC1191,"/psalms/19.htm","| ","title=|",AC1190,"| target=|_top|&gt;",AC1192,"&lt;/a&gt;")</f>
        <v>&lt;a href=|http://parallelbible.com/psalms/19.htm| title=|Parallel Chapters| target=|_top|&gt;PAR&lt;/a&gt;</v>
      </c>
      <c r="AD497" s="2" t="str">
        <f t="shared" ref="AD497:AK497" si="1986">CONCATENATE("&lt;/li&gt;&lt;li&gt;&lt;a href=|http://",AD1191,"/psalms/19.htm","| ","title=|",AD1190,"| target=|_top|&gt;",AD1192,"&lt;/a&gt;")</f>
        <v>&lt;/li&gt;&lt;li&gt;&lt;a href=|http://gsb.biblecommenter.com/psalms/19.htm| title=|Geneva Study Bible| target=|_top|&gt;GSB&lt;/a&gt;</v>
      </c>
      <c r="AE497" s="2" t="str">
        <f t="shared" si="1986"/>
        <v>&lt;/li&gt;&lt;li&gt;&lt;a href=|http://jfb.biblecommenter.com/psalms/19.htm| title=|Jamieson-Fausset-Brown Bible Commentary| target=|_top|&gt;JFB&lt;/a&gt;</v>
      </c>
      <c r="AF497" s="2" t="str">
        <f t="shared" si="1986"/>
        <v>&lt;/li&gt;&lt;li&gt;&lt;a href=|http://kjt.biblecommenter.com/psalms/19.htm| title=|King James Translators' Notes| target=|_top|&gt;KJT&lt;/a&gt;</v>
      </c>
      <c r="AG497" s="2" t="str">
        <f t="shared" si="1986"/>
        <v>&lt;/li&gt;&lt;li&gt;&lt;a href=|http://mhc.biblecommenter.com/psalms/19.htm| title=|Matthew Henry's Concise Commentary| target=|_top|&gt;MHC&lt;/a&gt;</v>
      </c>
      <c r="AH497" s="2" t="str">
        <f t="shared" si="1986"/>
        <v>&lt;/li&gt;&lt;li&gt;&lt;a href=|http://sco.biblecommenter.com/psalms/19.htm| title=|Scofield Reference Notes| target=|_top|&gt;SCO&lt;/a&gt;</v>
      </c>
      <c r="AI497" s="2" t="str">
        <f t="shared" si="1986"/>
        <v>&lt;/li&gt;&lt;li&gt;&lt;a href=|http://wes.biblecommenter.com/psalms/19.htm| title=|Wesley's Notes on the Bible| target=|_top|&gt;WES&lt;/a&gt;</v>
      </c>
      <c r="AJ497" t="str">
        <f t="shared" si="1986"/>
        <v>&lt;/li&gt;&lt;li&gt;&lt;a href=|http://worldebible.com/psalms/19.htm| title=|World English Bible| target=|_top|&gt;WEB&lt;/a&gt;</v>
      </c>
      <c r="AK497" t="str">
        <f t="shared" si="1986"/>
        <v>&lt;/li&gt;&lt;li&gt;&lt;a href=|http://yltbible.com/psalms/19.htm| title=|Young's Literal Translation| target=|_top|&gt;YLT&lt;/a&gt;</v>
      </c>
      <c r="AL497" t="str">
        <f>CONCATENATE("&lt;a href=|http://",AL1191,"/psalms/19.htm","| ","title=|",AL1190,"| target=|_top|&gt;",AL1192,"&lt;/a&gt;")</f>
        <v>&lt;a href=|http://kjv.us/psalms/19.htm| title=|American King James Version| target=|_top|&gt;AKJ&lt;/a&gt;</v>
      </c>
      <c r="AM497" t="str">
        <f t="shared" ref="AM497:AN497" si="1987">CONCATENATE("&lt;/li&gt;&lt;li&gt;&lt;a href=|http://",AM1191,"/psalms/19.htm","| ","title=|",AM1190,"| target=|_top|&gt;",AM1192,"&lt;/a&gt;")</f>
        <v>&lt;/li&gt;&lt;li&gt;&lt;a href=|http://basicenglishbible.com/psalms/19.htm| title=|Bible in Basic English| target=|_top|&gt;BBE&lt;/a&gt;</v>
      </c>
      <c r="AN497" t="str">
        <f t="shared" si="1987"/>
        <v>&lt;/li&gt;&lt;li&gt;&lt;a href=|http://darbybible.com/psalms/19.htm| title=|Darby Bible Translation| target=|_top|&gt;DBY&lt;/a&gt;</v>
      </c>
      <c r="AO49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9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9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97" t="str">
        <f>CONCATENATE("&lt;/li&gt;&lt;li&gt;&lt;a href=|http://",AR1191,"/psalms/19.htm","| ","title=|",AR1190,"| target=|_top|&gt;",AR1192,"&lt;/a&gt;")</f>
        <v>&lt;/li&gt;&lt;li&gt;&lt;a href=|http://websterbible.com/psalms/19.htm| title=|Webster's Bible Translation| target=|_top|&gt;WBS&lt;/a&gt;</v>
      </c>
      <c r="AS49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97" t="str">
        <f>CONCATENATE("&lt;/li&gt;&lt;li&gt;&lt;a href=|http://",AT1191,"/psalms/19-1.htm","| ","title=|",AT1190,"| target=|_top|&gt;",AT1192,"&lt;/a&gt;")</f>
        <v>&lt;/li&gt;&lt;li&gt;&lt;a href=|http://biblebrowser.com/psalms/19-1.htm| title=|Split View| target=|_top|&gt;Split&lt;/a&gt;</v>
      </c>
      <c r="AU497" s="2" t="s">
        <v>1276</v>
      </c>
      <c r="AV497" t="s">
        <v>64</v>
      </c>
    </row>
    <row r="498" spans="1:48">
      <c r="A498" t="s">
        <v>622</v>
      </c>
      <c r="B498" t="s">
        <v>736</v>
      </c>
      <c r="C498" t="s">
        <v>624</v>
      </c>
      <c r="D498" t="s">
        <v>1268</v>
      </c>
      <c r="E498" t="s">
        <v>1277</v>
      </c>
      <c r="F498" t="s">
        <v>1304</v>
      </c>
      <c r="G498" t="s">
        <v>1266</v>
      </c>
      <c r="H498" t="s">
        <v>1305</v>
      </c>
      <c r="I498" t="s">
        <v>1303</v>
      </c>
      <c r="J498" t="s">
        <v>1267</v>
      </c>
      <c r="K498" t="s">
        <v>1275</v>
      </c>
      <c r="L498" s="2" t="s">
        <v>1274</v>
      </c>
      <c r="M498" t="str">
        <f t="shared" ref="M498:AB498" si="1988">CONCATENATE("&lt;/li&gt;&lt;li&gt;&lt;a href=|http://",M1191,"/psalms/20.htm","| ","title=|",M1190,"| target=|_top|&gt;",M1192,"&lt;/a&gt;")</f>
        <v>&lt;/li&gt;&lt;li&gt;&lt;a href=|http://niv.scripturetext.com/psalms/20.htm| title=|New International Version| target=|_top|&gt;NIV&lt;/a&gt;</v>
      </c>
      <c r="N498" t="str">
        <f t="shared" si="1988"/>
        <v>&lt;/li&gt;&lt;li&gt;&lt;a href=|http://nlt.scripturetext.com/psalms/20.htm| title=|New Living Translation| target=|_top|&gt;NLT&lt;/a&gt;</v>
      </c>
      <c r="O498" t="str">
        <f t="shared" si="1988"/>
        <v>&lt;/li&gt;&lt;li&gt;&lt;a href=|http://nasb.scripturetext.com/psalms/20.htm| title=|New American Standard Bible| target=|_top|&gt;NAS&lt;/a&gt;</v>
      </c>
      <c r="P498" t="str">
        <f t="shared" si="1988"/>
        <v>&lt;/li&gt;&lt;li&gt;&lt;a href=|http://gwt.scripturetext.com/psalms/20.htm| title=|God's Word Translation| target=|_top|&gt;GWT&lt;/a&gt;</v>
      </c>
      <c r="Q498" t="str">
        <f t="shared" si="1988"/>
        <v>&lt;/li&gt;&lt;li&gt;&lt;a href=|http://kingjbible.com/psalms/20.htm| title=|King James Bible| target=|_top|&gt;KJV&lt;/a&gt;</v>
      </c>
      <c r="R498" t="str">
        <f t="shared" si="1988"/>
        <v>&lt;/li&gt;&lt;li&gt;&lt;a href=|http://asvbible.com/psalms/20.htm| title=|American Standard Version| target=|_top|&gt;ASV&lt;/a&gt;</v>
      </c>
      <c r="S498" t="str">
        <f t="shared" si="1988"/>
        <v>&lt;/li&gt;&lt;li&gt;&lt;a href=|http://drb.scripturetext.com/psalms/20.htm| title=|Douay-Rheims Bible| target=|_top|&gt;DRB&lt;/a&gt;</v>
      </c>
      <c r="T498" t="str">
        <f t="shared" si="1988"/>
        <v>&lt;/li&gt;&lt;li&gt;&lt;a href=|http://erv.scripturetext.com/psalms/20.htm| title=|English Revised Version| target=|_top|&gt;ERV&lt;/a&gt;</v>
      </c>
      <c r="V498" t="str">
        <f>CONCATENATE("&lt;/li&gt;&lt;li&gt;&lt;a href=|http://",V1191,"/psalms/20.htm","| ","title=|",V1190,"| target=|_top|&gt;",V1192,"&lt;/a&gt;")</f>
        <v>&lt;/li&gt;&lt;li&gt;&lt;a href=|http://study.interlinearbible.org/psalms/20.htm| title=|Hebrew Study Bible| target=|_top|&gt;Heb Study&lt;/a&gt;</v>
      </c>
      <c r="W498" t="str">
        <f t="shared" si="1988"/>
        <v>&lt;/li&gt;&lt;li&gt;&lt;a href=|http://apostolic.interlinearbible.org/psalms/20.htm| title=|Apostolic Bible Polyglot Interlinear| target=|_top|&gt;Polyglot&lt;/a&gt;</v>
      </c>
      <c r="X498" t="str">
        <f t="shared" si="1988"/>
        <v>&lt;/li&gt;&lt;li&gt;&lt;a href=|http://interlinearbible.org/psalms/20.htm| title=|Interlinear Bible| target=|_top|&gt;Interlin&lt;/a&gt;</v>
      </c>
      <c r="Y498" t="str">
        <f t="shared" ref="Y498" si="1989">CONCATENATE("&lt;/li&gt;&lt;li&gt;&lt;a href=|http://",Y1191,"/psalms/20.htm","| ","title=|",Y1190,"| target=|_top|&gt;",Y1192,"&lt;/a&gt;")</f>
        <v>&lt;/li&gt;&lt;li&gt;&lt;a href=|http://bibleoutline.org/psalms/20.htm| title=|Outline with People and Places List| target=|_top|&gt;Outline&lt;/a&gt;</v>
      </c>
      <c r="Z498" t="str">
        <f t="shared" si="1988"/>
        <v>&lt;/li&gt;&lt;li&gt;&lt;a href=|http://kjvs.scripturetext.com/psalms/20.htm| title=|King James Bible with Strong's Numbers| target=|_top|&gt;Strong's&lt;/a&gt;</v>
      </c>
      <c r="AA498" t="str">
        <f t="shared" si="1988"/>
        <v>&lt;/li&gt;&lt;li&gt;&lt;a href=|http://childrensbibleonline.com/psalms/20.htm| title=|The Children's Bible| target=|_top|&gt;Children's&lt;/a&gt;</v>
      </c>
      <c r="AB498" s="2" t="str">
        <f t="shared" si="1988"/>
        <v>&lt;/li&gt;&lt;li&gt;&lt;a href=|http://tsk.scripturetext.com/psalms/20.htm| title=|Treasury of Scripture Knowledge| target=|_top|&gt;TSK&lt;/a&gt;</v>
      </c>
      <c r="AC498" t="str">
        <f>CONCATENATE("&lt;a href=|http://",AC1191,"/psalms/20.htm","| ","title=|",AC1190,"| target=|_top|&gt;",AC1192,"&lt;/a&gt;")</f>
        <v>&lt;a href=|http://parallelbible.com/psalms/20.htm| title=|Parallel Chapters| target=|_top|&gt;PAR&lt;/a&gt;</v>
      </c>
      <c r="AD498" s="2" t="str">
        <f t="shared" ref="AD498:AK498" si="1990">CONCATENATE("&lt;/li&gt;&lt;li&gt;&lt;a href=|http://",AD1191,"/psalms/20.htm","| ","title=|",AD1190,"| target=|_top|&gt;",AD1192,"&lt;/a&gt;")</f>
        <v>&lt;/li&gt;&lt;li&gt;&lt;a href=|http://gsb.biblecommenter.com/psalms/20.htm| title=|Geneva Study Bible| target=|_top|&gt;GSB&lt;/a&gt;</v>
      </c>
      <c r="AE498" s="2" t="str">
        <f t="shared" si="1990"/>
        <v>&lt;/li&gt;&lt;li&gt;&lt;a href=|http://jfb.biblecommenter.com/psalms/20.htm| title=|Jamieson-Fausset-Brown Bible Commentary| target=|_top|&gt;JFB&lt;/a&gt;</v>
      </c>
      <c r="AF498" s="2" t="str">
        <f t="shared" si="1990"/>
        <v>&lt;/li&gt;&lt;li&gt;&lt;a href=|http://kjt.biblecommenter.com/psalms/20.htm| title=|King James Translators' Notes| target=|_top|&gt;KJT&lt;/a&gt;</v>
      </c>
      <c r="AG498" s="2" t="str">
        <f t="shared" si="1990"/>
        <v>&lt;/li&gt;&lt;li&gt;&lt;a href=|http://mhc.biblecommenter.com/psalms/20.htm| title=|Matthew Henry's Concise Commentary| target=|_top|&gt;MHC&lt;/a&gt;</v>
      </c>
      <c r="AH498" s="2" t="str">
        <f t="shared" si="1990"/>
        <v>&lt;/li&gt;&lt;li&gt;&lt;a href=|http://sco.biblecommenter.com/psalms/20.htm| title=|Scofield Reference Notes| target=|_top|&gt;SCO&lt;/a&gt;</v>
      </c>
      <c r="AI498" s="2" t="str">
        <f t="shared" si="1990"/>
        <v>&lt;/li&gt;&lt;li&gt;&lt;a href=|http://wes.biblecommenter.com/psalms/20.htm| title=|Wesley's Notes on the Bible| target=|_top|&gt;WES&lt;/a&gt;</v>
      </c>
      <c r="AJ498" t="str">
        <f t="shared" si="1990"/>
        <v>&lt;/li&gt;&lt;li&gt;&lt;a href=|http://worldebible.com/psalms/20.htm| title=|World English Bible| target=|_top|&gt;WEB&lt;/a&gt;</v>
      </c>
      <c r="AK498" t="str">
        <f t="shared" si="1990"/>
        <v>&lt;/li&gt;&lt;li&gt;&lt;a href=|http://yltbible.com/psalms/20.htm| title=|Young's Literal Translation| target=|_top|&gt;YLT&lt;/a&gt;</v>
      </c>
      <c r="AL498" t="str">
        <f>CONCATENATE("&lt;a href=|http://",AL1191,"/psalms/20.htm","| ","title=|",AL1190,"| target=|_top|&gt;",AL1192,"&lt;/a&gt;")</f>
        <v>&lt;a href=|http://kjv.us/psalms/20.htm| title=|American King James Version| target=|_top|&gt;AKJ&lt;/a&gt;</v>
      </c>
      <c r="AM498" t="str">
        <f t="shared" ref="AM498:AN498" si="1991">CONCATENATE("&lt;/li&gt;&lt;li&gt;&lt;a href=|http://",AM1191,"/psalms/20.htm","| ","title=|",AM1190,"| target=|_top|&gt;",AM1192,"&lt;/a&gt;")</f>
        <v>&lt;/li&gt;&lt;li&gt;&lt;a href=|http://basicenglishbible.com/psalms/20.htm| title=|Bible in Basic English| target=|_top|&gt;BBE&lt;/a&gt;</v>
      </c>
      <c r="AN498" t="str">
        <f t="shared" si="1991"/>
        <v>&lt;/li&gt;&lt;li&gt;&lt;a href=|http://darbybible.com/psalms/20.htm| title=|Darby Bible Translation| target=|_top|&gt;DBY&lt;/a&gt;</v>
      </c>
      <c r="AO49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9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9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98" t="str">
        <f>CONCATENATE("&lt;/li&gt;&lt;li&gt;&lt;a href=|http://",AR1191,"/psalms/20.htm","| ","title=|",AR1190,"| target=|_top|&gt;",AR1192,"&lt;/a&gt;")</f>
        <v>&lt;/li&gt;&lt;li&gt;&lt;a href=|http://websterbible.com/psalms/20.htm| title=|Webster's Bible Translation| target=|_top|&gt;WBS&lt;/a&gt;</v>
      </c>
      <c r="AS49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98" t="str">
        <f>CONCATENATE("&lt;/li&gt;&lt;li&gt;&lt;a href=|http://",AT1191,"/psalms/20-1.htm","| ","title=|",AT1190,"| target=|_top|&gt;",AT1192,"&lt;/a&gt;")</f>
        <v>&lt;/li&gt;&lt;li&gt;&lt;a href=|http://biblebrowser.com/psalms/20-1.htm| title=|Split View| target=|_top|&gt;Split&lt;/a&gt;</v>
      </c>
      <c r="AU498" s="2" t="s">
        <v>1276</v>
      </c>
      <c r="AV498" t="s">
        <v>64</v>
      </c>
    </row>
    <row r="499" spans="1:48">
      <c r="A499" t="s">
        <v>622</v>
      </c>
      <c r="B499" t="s">
        <v>737</v>
      </c>
      <c r="C499" t="s">
        <v>624</v>
      </c>
      <c r="D499" t="s">
        <v>1268</v>
      </c>
      <c r="E499" t="s">
        <v>1277</v>
      </c>
      <c r="F499" t="s">
        <v>1304</v>
      </c>
      <c r="G499" t="s">
        <v>1266</v>
      </c>
      <c r="H499" t="s">
        <v>1305</v>
      </c>
      <c r="I499" t="s">
        <v>1303</v>
      </c>
      <c r="J499" t="s">
        <v>1267</v>
      </c>
      <c r="K499" t="s">
        <v>1275</v>
      </c>
      <c r="L499" s="2" t="s">
        <v>1274</v>
      </c>
      <c r="M499" t="str">
        <f t="shared" ref="M499:AB499" si="1992">CONCATENATE("&lt;/li&gt;&lt;li&gt;&lt;a href=|http://",M1191,"/psalms/21.htm","| ","title=|",M1190,"| target=|_top|&gt;",M1192,"&lt;/a&gt;")</f>
        <v>&lt;/li&gt;&lt;li&gt;&lt;a href=|http://niv.scripturetext.com/psalms/21.htm| title=|New International Version| target=|_top|&gt;NIV&lt;/a&gt;</v>
      </c>
      <c r="N499" t="str">
        <f t="shared" si="1992"/>
        <v>&lt;/li&gt;&lt;li&gt;&lt;a href=|http://nlt.scripturetext.com/psalms/21.htm| title=|New Living Translation| target=|_top|&gt;NLT&lt;/a&gt;</v>
      </c>
      <c r="O499" t="str">
        <f t="shared" si="1992"/>
        <v>&lt;/li&gt;&lt;li&gt;&lt;a href=|http://nasb.scripturetext.com/psalms/21.htm| title=|New American Standard Bible| target=|_top|&gt;NAS&lt;/a&gt;</v>
      </c>
      <c r="P499" t="str">
        <f t="shared" si="1992"/>
        <v>&lt;/li&gt;&lt;li&gt;&lt;a href=|http://gwt.scripturetext.com/psalms/21.htm| title=|God's Word Translation| target=|_top|&gt;GWT&lt;/a&gt;</v>
      </c>
      <c r="Q499" t="str">
        <f t="shared" si="1992"/>
        <v>&lt;/li&gt;&lt;li&gt;&lt;a href=|http://kingjbible.com/psalms/21.htm| title=|King James Bible| target=|_top|&gt;KJV&lt;/a&gt;</v>
      </c>
      <c r="R499" t="str">
        <f t="shared" si="1992"/>
        <v>&lt;/li&gt;&lt;li&gt;&lt;a href=|http://asvbible.com/psalms/21.htm| title=|American Standard Version| target=|_top|&gt;ASV&lt;/a&gt;</v>
      </c>
      <c r="S499" t="str">
        <f t="shared" si="1992"/>
        <v>&lt;/li&gt;&lt;li&gt;&lt;a href=|http://drb.scripturetext.com/psalms/21.htm| title=|Douay-Rheims Bible| target=|_top|&gt;DRB&lt;/a&gt;</v>
      </c>
      <c r="T499" t="str">
        <f t="shared" si="1992"/>
        <v>&lt;/li&gt;&lt;li&gt;&lt;a href=|http://erv.scripturetext.com/psalms/21.htm| title=|English Revised Version| target=|_top|&gt;ERV&lt;/a&gt;</v>
      </c>
      <c r="V499" t="str">
        <f>CONCATENATE("&lt;/li&gt;&lt;li&gt;&lt;a href=|http://",V1191,"/psalms/21.htm","| ","title=|",V1190,"| target=|_top|&gt;",V1192,"&lt;/a&gt;")</f>
        <v>&lt;/li&gt;&lt;li&gt;&lt;a href=|http://study.interlinearbible.org/psalms/21.htm| title=|Hebrew Study Bible| target=|_top|&gt;Heb Study&lt;/a&gt;</v>
      </c>
      <c r="W499" t="str">
        <f t="shared" si="1992"/>
        <v>&lt;/li&gt;&lt;li&gt;&lt;a href=|http://apostolic.interlinearbible.org/psalms/21.htm| title=|Apostolic Bible Polyglot Interlinear| target=|_top|&gt;Polyglot&lt;/a&gt;</v>
      </c>
      <c r="X499" t="str">
        <f t="shared" si="1992"/>
        <v>&lt;/li&gt;&lt;li&gt;&lt;a href=|http://interlinearbible.org/psalms/21.htm| title=|Interlinear Bible| target=|_top|&gt;Interlin&lt;/a&gt;</v>
      </c>
      <c r="Y499" t="str">
        <f t="shared" ref="Y499" si="1993">CONCATENATE("&lt;/li&gt;&lt;li&gt;&lt;a href=|http://",Y1191,"/psalms/21.htm","| ","title=|",Y1190,"| target=|_top|&gt;",Y1192,"&lt;/a&gt;")</f>
        <v>&lt;/li&gt;&lt;li&gt;&lt;a href=|http://bibleoutline.org/psalms/21.htm| title=|Outline with People and Places List| target=|_top|&gt;Outline&lt;/a&gt;</v>
      </c>
      <c r="Z499" t="str">
        <f t="shared" si="1992"/>
        <v>&lt;/li&gt;&lt;li&gt;&lt;a href=|http://kjvs.scripturetext.com/psalms/21.htm| title=|King James Bible with Strong's Numbers| target=|_top|&gt;Strong's&lt;/a&gt;</v>
      </c>
      <c r="AA499" t="str">
        <f t="shared" si="1992"/>
        <v>&lt;/li&gt;&lt;li&gt;&lt;a href=|http://childrensbibleonline.com/psalms/21.htm| title=|The Children's Bible| target=|_top|&gt;Children's&lt;/a&gt;</v>
      </c>
      <c r="AB499" s="2" t="str">
        <f t="shared" si="1992"/>
        <v>&lt;/li&gt;&lt;li&gt;&lt;a href=|http://tsk.scripturetext.com/psalms/21.htm| title=|Treasury of Scripture Knowledge| target=|_top|&gt;TSK&lt;/a&gt;</v>
      </c>
      <c r="AC499" t="str">
        <f>CONCATENATE("&lt;a href=|http://",AC1191,"/psalms/21.htm","| ","title=|",AC1190,"| target=|_top|&gt;",AC1192,"&lt;/a&gt;")</f>
        <v>&lt;a href=|http://parallelbible.com/psalms/21.htm| title=|Parallel Chapters| target=|_top|&gt;PAR&lt;/a&gt;</v>
      </c>
      <c r="AD499" s="2" t="str">
        <f t="shared" ref="AD499:AK499" si="1994">CONCATENATE("&lt;/li&gt;&lt;li&gt;&lt;a href=|http://",AD1191,"/psalms/21.htm","| ","title=|",AD1190,"| target=|_top|&gt;",AD1192,"&lt;/a&gt;")</f>
        <v>&lt;/li&gt;&lt;li&gt;&lt;a href=|http://gsb.biblecommenter.com/psalms/21.htm| title=|Geneva Study Bible| target=|_top|&gt;GSB&lt;/a&gt;</v>
      </c>
      <c r="AE499" s="2" t="str">
        <f t="shared" si="1994"/>
        <v>&lt;/li&gt;&lt;li&gt;&lt;a href=|http://jfb.biblecommenter.com/psalms/21.htm| title=|Jamieson-Fausset-Brown Bible Commentary| target=|_top|&gt;JFB&lt;/a&gt;</v>
      </c>
      <c r="AF499" s="2" t="str">
        <f t="shared" si="1994"/>
        <v>&lt;/li&gt;&lt;li&gt;&lt;a href=|http://kjt.biblecommenter.com/psalms/21.htm| title=|King James Translators' Notes| target=|_top|&gt;KJT&lt;/a&gt;</v>
      </c>
      <c r="AG499" s="2" t="str">
        <f t="shared" si="1994"/>
        <v>&lt;/li&gt;&lt;li&gt;&lt;a href=|http://mhc.biblecommenter.com/psalms/21.htm| title=|Matthew Henry's Concise Commentary| target=|_top|&gt;MHC&lt;/a&gt;</v>
      </c>
      <c r="AH499" s="2" t="str">
        <f t="shared" si="1994"/>
        <v>&lt;/li&gt;&lt;li&gt;&lt;a href=|http://sco.biblecommenter.com/psalms/21.htm| title=|Scofield Reference Notes| target=|_top|&gt;SCO&lt;/a&gt;</v>
      </c>
      <c r="AI499" s="2" t="str">
        <f t="shared" si="1994"/>
        <v>&lt;/li&gt;&lt;li&gt;&lt;a href=|http://wes.biblecommenter.com/psalms/21.htm| title=|Wesley's Notes on the Bible| target=|_top|&gt;WES&lt;/a&gt;</v>
      </c>
      <c r="AJ499" t="str">
        <f t="shared" si="1994"/>
        <v>&lt;/li&gt;&lt;li&gt;&lt;a href=|http://worldebible.com/psalms/21.htm| title=|World English Bible| target=|_top|&gt;WEB&lt;/a&gt;</v>
      </c>
      <c r="AK499" t="str">
        <f t="shared" si="1994"/>
        <v>&lt;/li&gt;&lt;li&gt;&lt;a href=|http://yltbible.com/psalms/21.htm| title=|Young's Literal Translation| target=|_top|&gt;YLT&lt;/a&gt;</v>
      </c>
      <c r="AL499" t="str">
        <f>CONCATENATE("&lt;a href=|http://",AL1191,"/psalms/21.htm","| ","title=|",AL1190,"| target=|_top|&gt;",AL1192,"&lt;/a&gt;")</f>
        <v>&lt;a href=|http://kjv.us/psalms/21.htm| title=|American King James Version| target=|_top|&gt;AKJ&lt;/a&gt;</v>
      </c>
      <c r="AM499" t="str">
        <f t="shared" ref="AM499:AN499" si="1995">CONCATENATE("&lt;/li&gt;&lt;li&gt;&lt;a href=|http://",AM1191,"/psalms/21.htm","| ","title=|",AM1190,"| target=|_top|&gt;",AM1192,"&lt;/a&gt;")</f>
        <v>&lt;/li&gt;&lt;li&gt;&lt;a href=|http://basicenglishbible.com/psalms/21.htm| title=|Bible in Basic English| target=|_top|&gt;BBE&lt;/a&gt;</v>
      </c>
      <c r="AN499" t="str">
        <f t="shared" si="1995"/>
        <v>&lt;/li&gt;&lt;li&gt;&lt;a href=|http://darbybible.com/psalms/21.htm| title=|Darby Bible Translation| target=|_top|&gt;DBY&lt;/a&gt;</v>
      </c>
      <c r="AO49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49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49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499" t="str">
        <f>CONCATENATE("&lt;/li&gt;&lt;li&gt;&lt;a href=|http://",AR1191,"/psalms/21.htm","| ","title=|",AR1190,"| target=|_top|&gt;",AR1192,"&lt;/a&gt;")</f>
        <v>&lt;/li&gt;&lt;li&gt;&lt;a href=|http://websterbible.com/psalms/21.htm| title=|Webster's Bible Translation| target=|_top|&gt;WBS&lt;/a&gt;</v>
      </c>
      <c r="AS49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499" t="str">
        <f>CONCATENATE("&lt;/li&gt;&lt;li&gt;&lt;a href=|http://",AT1191,"/psalms/21-1.htm","| ","title=|",AT1190,"| target=|_top|&gt;",AT1192,"&lt;/a&gt;")</f>
        <v>&lt;/li&gt;&lt;li&gt;&lt;a href=|http://biblebrowser.com/psalms/21-1.htm| title=|Split View| target=|_top|&gt;Split&lt;/a&gt;</v>
      </c>
      <c r="AU499" s="2" t="s">
        <v>1276</v>
      </c>
      <c r="AV499" t="s">
        <v>64</v>
      </c>
    </row>
    <row r="500" spans="1:48">
      <c r="A500" t="s">
        <v>622</v>
      </c>
      <c r="B500" t="s">
        <v>738</v>
      </c>
      <c r="C500" t="s">
        <v>624</v>
      </c>
      <c r="D500" t="s">
        <v>1268</v>
      </c>
      <c r="E500" t="s">
        <v>1277</v>
      </c>
      <c r="F500" t="s">
        <v>1304</v>
      </c>
      <c r="G500" t="s">
        <v>1266</v>
      </c>
      <c r="H500" t="s">
        <v>1305</v>
      </c>
      <c r="I500" t="s">
        <v>1303</v>
      </c>
      <c r="J500" t="s">
        <v>1267</v>
      </c>
      <c r="K500" t="s">
        <v>1275</v>
      </c>
      <c r="L500" s="2" t="s">
        <v>1274</v>
      </c>
      <c r="M500" t="str">
        <f t="shared" ref="M500:AB500" si="1996">CONCATENATE("&lt;/li&gt;&lt;li&gt;&lt;a href=|http://",M1191,"/psalms/22.htm","| ","title=|",M1190,"| target=|_top|&gt;",M1192,"&lt;/a&gt;")</f>
        <v>&lt;/li&gt;&lt;li&gt;&lt;a href=|http://niv.scripturetext.com/psalms/22.htm| title=|New International Version| target=|_top|&gt;NIV&lt;/a&gt;</v>
      </c>
      <c r="N500" t="str">
        <f t="shared" si="1996"/>
        <v>&lt;/li&gt;&lt;li&gt;&lt;a href=|http://nlt.scripturetext.com/psalms/22.htm| title=|New Living Translation| target=|_top|&gt;NLT&lt;/a&gt;</v>
      </c>
      <c r="O500" t="str">
        <f t="shared" si="1996"/>
        <v>&lt;/li&gt;&lt;li&gt;&lt;a href=|http://nasb.scripturetext.com/psalms/22.htm| title=|New American Standard Bible| target=|_top|&gt;NAS&lt;/a&gt;</v>
      </c>
      <c r="P500" t="str">
        <f t="shared" si="1996"/>
        <v>&lt;/li&gt;&lt;li&gt;&lt;a href=|http://gwt.scripturetext.com/psalms/22.htm| title=|God's Word Translation| target=|_top|&gt;GWT&lt;/a&gt;</v>
      </c>
      <c r="Q500" t="str">
        <f t="shared" si="1996"/>
        <v>&lt;/li&gt;&lt;li&gt;&lt;a href=|http://kingjbible.com/psalms/22.htm| title=|King James Bible| target=|_top|&gt;KJV&lt;/a&gt;</v>
      </c>
      <c r="R500" t="str">
        <f t="shared" si="1996"/>
        <v>&lt;/li&gt;&lt;li&gt;&lt;a href=|http://asvbible.com/psalms/22.htm| title=|American Standard Version| target=|_top|&gt;ASV&lt;/a&gt;</v>
      </c>
      <c r="S500" t="str">
        <f t="shared" si="1996"/>
        <v>&lt;/li&gt;&lt;li&gt;&lt;a href=|http://drb.scripturetext.com/psalms/22.htm| title=|Douay-Rheims Bible| target=|_top|&gt;DRB&lt;/a&gt;</v>
      </c>
      <c r="T500" t="str">
        <f t="shared" si="1996"/>
        <v>&lt;/li&gt;&lt;li&gt;&lt;a href=|http://erv.scripturetext.com/psalms/22.htm| title=|English Revised Version| target=|_top|&gt;ERV&lt;/a&gt;</v>
      </c>
      <c r="V500" t="str">
        <f>CONCATENATE("&lt;/li&gt;&lt;li&gt;&lt;a href=|http://",V1191,"/psalms/22.htm","| ","title=|",V1190,"| target=|_top|&gt;",V1192,"&lt;/a&gt;")</f>
        <v>&lt;/li&gt;&lt;li&gt;&lt;a href=|http://study.interlinearbible.org/psalms/22.htm| title=|Hebrew Study Bible| target=|_top|&gt;Heb Study&lt;/a&gt;</v>
      </c>
      <c r="W500" t="str">
        <f t="shared" si="1996"/>
        <v>&lt;/li&gt;&lt;li&gt;&lt;a href=|http://apostolic.interlinearbible.org/psalms/22.htm| title=|Apostolic Bible Polyglot Interlinear| target=|_top|&gt;Polyglot&lt;/a&gt;</v>
      </c>
      <c r="X500" t="str">
        <f t="shared" si="1996"/>
        <v>&lt;/li&gt;&lt;li&gt;&lt;a href=|http://interlinearbible.org/psalms/22.htm| title=|Interlinear Bible| target=|_top|&gt;Interlin&lt;/a&gt;</v>
      </c>
      <c r="Y500" t="str">
        <f t="shared" ref="Y500" si="1997">CONCATENATE("&lt;/li&gt;&lt;li&gt;&lt;a href=|http://",Y1191,"/psalms/22.htm","| ","title=|",Y1190,"| target=|_top|&gt;",Y1192,"&lt;/a&gt;")</f>
        <v>&lt;/li&gt;&lt;li&gt;&lt;a href=|http://bibleoutline.org/psalms/22.htm| title=|Outline with People and Places List| target=|_top|&gt;Outline&lt;/a&gt;</v>
      </c>
      <c r="Z500" t="str">
        <f t="shared" si="1996"/>
        <v>&lt;/li&gt;&lt;li&gt;&lt;a href=|http://kjvs.scripturetext.com/psalms/22.htm| title=|King James Bible with Strong's Numbers| target=|_top|&gt;Strong's&lt;/a&gt;</v>
      </c>
      <c r="AA500" t="str">
        <f t="shared" si="1996"/>
        <v>&lt;/li&gt;&lt;li&gt;&lt;a href=|http://childrensbibleonline.com/psalms/22.htm| title=|The Children's Bible| target=|_top|&gt;Children's&lt;/a&gt;</v>
      </c>
      <c r="AB500" s="2" t="str">
        <f t="shared" si="1996"/>
        <v>&lt;/li&gt;&lt;li&gt;&lt;a href=|http://tsk.scripturetext.com/psalms/22.htm| title=|Treasury of Scripture Knowledge| target=|_top|&gt;TSK&lt;/a&gt;</v>
      </c>
      <c r="AC500" t="str">
        <f>CONCATENATE("&lt;a href=|http://",AC1191,"/psalms/22.htm","| ","title=|",AC1190,"| target=|_top|&gt;",AC1192,"&lt;/a&gt;")</f>
        <v>&lt;a href=|http://parallelbible.com/psalms/22.htm| title=|Parallel Chapters| target=|_top|&gt;PAR&lt;/a&gt;</v>
      </c>
      <c r="AD500" s="2" t="str">
        <f t="shared" ref="AD500:AK500" si="1998">CONCATENATE("&lt;/li&gt;&lt;li&gt;&lt;a href=|http://",AD1191,"/psalms/22.htm","| ","title=|",AD1190,"| target=|_top|&gt;",AD1192,"&lt;/a&gt;")</f>
        <v>&lt;/li&gt;&lt;li&gt;&lt;a href=|http://gsb.biblecommenter.com/psalms/22.htm| title=|Geneva Study Bible| target=|_top|&gt;GSB&lt;/a&gt;</v>
      </c>
      <c r="AE500" s="2" t="str">
        <f t="shared" si="1998"/>
        <v>&lt;/li&gt;&lt;li&gt;&lt;a href=|http://jfb.biblecommenter.com/psalms/22.htm| title=|Jamieson-Fausset-Brown Bible Commentary| target=|_top|&gt;JFB&lt;/a&gt;</v>
      </c>
      <c r="AF500" s="2" t="str">
        <f t="shared" si="1998"/>
        <v>&lt;/li&gt;&lt;li&gt;&lt;a href=|http://kjt.biblecommenter.com/psalms/22.htm| title=|King James Translators' Notes| target=|_top|&gt;KJT&lt;/a&gt;</v>
      </c>
      <c r="AG500" s="2" t="str">
        <f t="shared" si="1998"/>
        <v>&lt;/li&gt;&lt;li&gt;&lt;a href=|http://mhc.biblecommenter.com/psalms/22.htm| title=|Matthew Henry's Concise Commentary| target=|_top|&gt;MHC&lt;/a&gt;</v>
      </c>
      <c r="AH500" s="2" t="str">
        <f t="shared" si="1998"/>
        <v>&lt;/li&gt;&lt;li&gt;&lt;a href=|http://sco.biblecommenter.com/psalms/22.htm| title=|Scofield Reference Notes| target=|_top|&gt;SCO&lt;/a&gt;</v>
      </c>
      <c r="AI500" s="2" t="str">
        <f t="shared" si="1998"/>
        <v>&lt;/li&gt;&lt;li&gt;&lt;a href=|http://wes.biblecommenter.com/psalms/22.htm| title=|Wesley's Notes on the Bible| target=|_top|&gt;WES&lt;/a&gt;</v>
      </c>
      <c r="AJ500" t="str">
        <f t="shared" si="1998"/>
        <v>&lt;/li&gt;&lt;li&gt;&lt;a href=|http://worldebible.com/psalms/22.htm| title=|World English Bible| target=|_top|&gt;WEB&lt;/a&gt;</v>
      </c>
      <c r="AK500" t="str">
        <f t="shared" si="1998"/>
        <v>&lt;/li&gt;&lt;li&gt;&lt;a href=|http://yltbible.com/psalms/22.htm| title=|Young's Literal Translation| target=|_top|&gt;YLT&lt;/a&gt;</v>
      </c>
      <c r="AL500" t="str">
        <f>CONCATENATE("&lt;a href=|http://",AL1191,"/psalms/22.htm","| ","title=|",AL1190,"| target=|_top|&gt;",AL1192,"&lt;/a&gt;")</f>
        <v>&lt;a href=|http://kjv.us/psalms/22.htm| title=|American King James Version| target=|_top|&gt;AKJ&lt;/a&gt;</v>
      </c>
      <c r="AM500" t="str">
        <f t="shared" ref="AM500:AN500" si="1999">CONCATENATE("&lt;/li&gt;&lt;li&gt;&lt;a href=|http://",AM1191,"/psalms/22.htm","| ","title=|",AM1190,"| target=|_top|&gt;",AM1192,"&lt;/a&gt;")</f>
        <v>&lt;/li&gt;&lt;li&gt;&lt;a href=|http://basicenglishbible.com/psalms/22.htm| title=|Bible in Basic English| target=|_top|&gt;BBE&lt;/a&gt;</v>
      </c>
      <c r="AN500" t="str">
        <f t="shared" si="1999"/>
        <v>&lt;/li&gt;&lt;li&gt;&lt;a href=|http://darbybible.com/psalms/22.htm| title=|Darby Bible Translation| target=|_top|&gt;DBY&lt;/a&gt;</v>
      </c>
      <c r="AO50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0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0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00" t="str">
        <f>CONCATENATE("&lt;/li&gt;&lt;li&gt;&lt;a href=|http://",AR1191,"/psalms/22.htm","| ","title=|",AR1190,"| target=|_top|&gt;",AR1192,"&lt;/a&gt;")</f>
        <v>&lt;/li&gt;&lt;li&gt;&lt;a href=|http://websterbible.com/psalms/22.htm| title=|Webster's Bible Translation| target=|_top|&gt;WBS&lt;/a&gt;</v>
      </c>
      <c r="AS50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00" t="str">
        <f>CONCATENATE("&lt;/li&gt;&lt;li&gt;&lt;a href=|http://",AT1191,"/psalms/22-1.htm","| ","title=|",AT1190,"| target=|_top|&gt;",AT1192,"&lt;/a&gt;")</f>
        <v>&lt;/li&gt;&lt;li&gt;&lt;a href=|http://biblebrowser.com/psalms/22-1.htm| title=|Split View| target=|_top|&gt;Split&lt;/a&gt;</v>
      </c>
      <c r="AU500" s="2" t="s">
        <v>1276</v>
      </c>
      <c r="AV500" t="s">
        <v>64</v>
      </c>
    </row>
    <row r="501" spans="1:48">
      <c r="A501" t="s">
        <v>622</v>
      </c>
      <c r="B501" t="s">
        <v>739</v>
      </c>
      <c r="C501" t="s">
        <v>624</v>
      </c>
      <c r="D501" t="s">
        <v>1268</v>
      </c>
      <c r="E501" t="s">
        <v>1277</v>
      </c>
      <c r="F501" t="s">
        <v>1304</v>
      </c>
      <c r="G501" t="s">
        <v>1266</v>
      </c>
      <c r="H501" t="s">
        <v>1305</v>
      </c>
      <c r="I501" t="s">
        <v>1303</v>
      </c>
      <c r="J501" t="s">
        <v>1267</v>
      </c>
      <c r="K501" t="s">
        <v>1275</v>
      </c>
      <c r="L501" s="2" t="s">
        <v>1274</v>
      </c>
      <c r="M501" t="str">
        <f t="shared" ref="M501:AB501" si="2000">CONCATENATE("&lt;/li&gt;&lt;li&gt;&lt;a href=|http://",M1191,"/psalms/23.htm","| ","title=|",M1190,"| target=|_top|&gt;",M1192,"&lt;/a&gt;")</f>
        <v>&lt;/li&gt;&lt;li&gt;&lt;a href=|http://niv.scripturetext.com/psalms/23.htm| title=|New International Version| target=|_top|&gt;NIV&lt;/a&gt;</v>
      </c>
      <c r="N501" t="str">
        <f t="shared" si="2000"/>
        <v>&lt;/li&gt;&lt;li&gt;&lt;a href=|http://nlt.scripturetext.com/psalms/23.htm| title=|New Living Translation| target=|_top|&gt;NLT&lt;/a&gt;</v>
      </c>
      <c r="O501" t="str">
        <f t="shared" si="2000"/>
        <v>&lt;/li&gt;&lt;li&gt;&lt;a href=|http://nasb.scripturetext.com/psalms/23.htm| title=|New American Standard Bible| target=|_top|&gt;NAS&lt;/a&gt;</v>
      </c>
      <c r="P501" t="str">
        <f t="shared" si="2000"/>
        <v>&lt;/li&gt;&lt;li&gt;&lt;a href=|http://gwt.scripturetext.com/psalms/23.htm| title=|God's Word Translation| target=|_top|&gt;GWT&lt;/a&gt;</v>
      </c>
      <c r="Q501" t="str">
        <f t="shared" si="2000"/>
        <v>&lt;/li&gt;&lt;li&gt;&lt;a href=|http://kingjbible.com/psalms/23.htm| title=|King James Bible| target=|_top|&gt;KJV&lt;/a&gt;</v>
      </c>
      <c r="R501" t="str">
        <f t="shared" si="2000"/>
        <v>&lt;/li&gt;&lt;li&gt;&lt;a href=|http://asvbible.com/psalms/23.htm| title=|American Standard Version| target=|_top|&gt;ASV&lt;/a&gt;</v>
      </c>
      <c r="S501" t="str">
        <f t="shared" si="2000"/>
        <v>&lt;/li&gt;&lt;li&gt;&lt;a href=|http://drb.scripturetext.com/psalms/23.htm| title=|Douay-Rheims Bible| target=|_top|&gt;DRB&lt;/a&gt;</v>
      </c>
      <c r="T501" t="str">
        <f t="shared" si="2000"/>
        <v>&lt;/li&gt;&lt;li&gt;&lt;a href=|http://erv.scripturetext.com/psalms/23.htm| title=|English Revised Version| target=|_top|&gt;ERV&lt;/a&gt;</v>
      </c>
      <c r="V501" t="str">
        <f>CONCATENATE("&lt;/li&gt;&lt;li&gt;&lt;a href=|http://",V1191,"/psalms/23.htm","| ","title=|",V1190,"| target=|_top|&gt;",V1192,"&lt;/a&gt;")</f>
        <v>&lt;/li&gt;&lt;li&gt;&lt;a href=|http://study.interlinearbible.org/psalms/23.htm| title=|Hebrew Study Bible| target=|_top|&gt;Heb Study&lt;/a&gt;</v>
      </c>
      <c r="W501" t="str">
        <f t="shared" si="2000"/>
        <v>&lt;/li&gt;&lt;li&gt;&lt;a href=|http://apostolic.interlinearbible.org/psalms/23.htm| title=|Apostolic Bible Polyglot Interlinear| target=|_top|&gt;Polyglot&lt;/a&gt;</v>
      </c>
      <c r="X501" t="str">
        <f t="shared" si="2000"/>
        <v>&lt;/li&gt;&lt;li&gt;&lt;a href=|http://interlinearbible.org/psalms/23.htm| title=|Interlinear Bible| target=|_top|&gt;Interlin&lt;/a&gt;</v>
      </c>
      <c r="Y501" t="str">
        <f t="shared" ref="Y501" si="2001">CONCATENATE("&lt;/li&gt;&lt;li&gt;&lt;a href=|http://",Y1191,"/psalms/23.htm","| ","title=|",Y1190,"| target=|_top|&gt;",Y1192,"&lt;/a&gt;")</f>
        <v>&lt;/li&gt;&lt;li&gt;&lt;a href=|http://bibleoutline.org/psalms/23.htm| title=|Outline with People and Places List| target=|_top|&gt;Outline&lt;/a&gt;</v>
      </c>
      <c r="Z501" t="str">
        <f t="shared" si="2000"/>
        <v>&lt;/li&gt;&lt;li&gt;&lt;a href=|http://kjvs.scripturetext.com/psalms/23.htm| title=|King James Bible with Strong's Numbers| target=|_top|&gt;Strong's&lt;/a&gt;</v>
      </c>
      <c r="AA501" t="str">
        <f t="shared" si="2000"/>
        <v>&lt;/li&gt;&lt;li&gt;&lt;a href=|http://childrensbibleonline.com/psalms/23.htm| title=|The Children's Bible| target=|_top|&gt;Children's&lt;/a&gt;</v>
      </c>
      <c r="AB501" s="2" t="str">
        <f t="shared" si="2000"/>
        <v>&lt;/li&gt;&lt;li&gt;&lt;a href=|http://tsk.scripturetext.com/psalms/23.htm| title=|Treasury of Scripture Knowledge| target=|_top|&gt;TSK&lt;/a&gt;</v>
      </c>
      <c r="AC501" t="str">
        <f>CONCATENATE("&lt;a href=|http://",AC1191,"/psalms/23.htm","| ","title=|",AC1190,"| target=|_top|&gt;",AC1192,"&lt;/a&gt;")</f>
        <v>&lt;a href=|http://parallelbible.com/psalms/23.htm| title=|Parallel Chapters| target=|_top|&gt;PAR&lt;/a&gt;</v>
      </c>
      <c r="AD501" s="2" t="str">
        <f t="shared" ref="AD501:AK501" si="2002">CONCATENATE("&lt;/li&gt;&lt;li&gt;&lt;a href=|http://",AD1191,"/psalms/23.htm","| ","title=|",AD1190,"| target=|_top|&gt;",AD1192,"&lt;/a&gt;")</f>
        <v>&lt;/li&gt;&lt;li&gt;&lt;a href=|http://gsb.biblecommenter.com/psalms/23.htm| title=|Geneva Study Bible| target=|_top|&gt;GSB&lt;/a&gt;</v>
      </c>
      <c r="AE501" s="2" t="str">
        <f t="shared" si="2002"/>
        <v>&lt;/li&gt;&lt;li&gt;&lt;a href=|http://jfb.biblecommenter.com/psalms/23.htm| title=|Jamieson-Fausset-Brown Bible Commentary| target=|_top|&gt;JFB&lt;/a&gt;</v>
      </c>
      <c r="AF501" s="2" t="str">
        <f t="shared" si="2002"/>
        <v>&lt;/li&gt;&lt;li&gt;&lt;a href=|http://kjt.biblecommenter.com/psalms/23.htm| title=|King James Translators' Notes| target=|_top|&gt;KJT&lt;/a&gt;</v>
      </c>
      <c r="AG501" s="2" t="str">
        <f t="shared" si="2002"/>
        <v>&lt;/li&gt;&lt;li&gt;&lt;a href=|http://mhc.biblecommenter.com/psalms/23.htm| title=|Matthew Henry's Concise Commentary| target=|_top|&gt;MHC&lt;/a&gt;</v>
      </c>
      <c r="AH501" s="2" t="str">
        <f t="shared" si="2002"/>
        <v>&lt;/li&gt;&lt;li&gt;&lt;a href=|http://sco.biblecommenter.com/psalms/23.htm| title=|Scofield Reference Notes| target=|_top|&gt;SCO&lt;/a&gt;</v>
      </c>
      <c r="AI501" s="2" t="str">
        <f t="shared" si="2002"/>
        <v>&lt;/li&gt;&lt;li&gt;&lt;a href=|http://wes.biblecommenter.com/psalms/23.htm| title=|Wesley's Notes on the Bible| target=|_top|&gt;WES&lt;/a&gt;</v>
      </c>
      <c r="AJ501" t="str">
        <f t="shared" si="2002"/>
        <v>&lt;/li&gt;&lt;li&gt;&lt;a href=|http://worldebible.com/psalms/23.htm| title=|World English Bible| target=|_top|&gt;WEB&lt;/a&gt;</v>
      </c>
      <c r="AK501" t="str">
        <f t="shared" si="2002"/>
        <v>&lt;/li&gt;&lt;li&gt;&lt;a href=|http://yltbible.com/psalms/23.htm| title=|Young's Literal Translation| target=|_top|&gt;YLT&lt;/a&gt;</v>
      </c>
      <c r="AL501" t="str">
        <f>CONCATENATE("&lt;a href=|http://",AL1191,"/psalms/23.htm","| ","title=|",AL1190,"| target=|_top|&gt;",AL1192,"&lt;/a&gt;")</f>
        <v>&lt;a href=|http://kjv.us/psalms/23.htm| title=|American King James Version| target=|_top|&gt;AKJ&lt;/a&gt;</v>
      </c>
      <c r="AM501" t="str">
        <f t="shared" ref="AM501:AN501" si="2003">CONCATENATE("&lt;/li&gt;&lt;li&gt;&lt;a href=|http://",AM1191,"/psalms/23.htm","| ","title=|",AM1190,"| target=|_top|&gt;",AM1192,"&lt;/a&gt;")</f>
        <v>&lt;/li&gt;&lt;li&gt;&lt;a href=|http://basicenglishbible.com/psalms/23.htm| title=|Bible in Basic English| target=|_top|&gt;BBE&lt;/a&gt;</v>
      </c>
      <c r="AN501" t="str">
        <f t="shared" si="2003"/>
        <v>&lt;/li&gt;&lt;li&gt;&lt;a href=|http://darbybible.com/psalms/23.htm| title=|Darby Bible Translation| target=|_top|&gt;DBY&lt;/a&gt;</v>
      </c>
      <c r="AO50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0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0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01" t="str">
        <f>CONCATENATE("&lt;/li&gt;&lt;li&gt;&lt;a href=|http://",AR1191,"/psalms/23.htm","| ","title=|",AR1190,"| target=|_top|&gt;",AR1192,"&lt;/a&gt;")</f>
        <v>&lt;/li&gt;&lt;li&gt;&lt;a href=|http://websterbible.com/psalms/23.htm| title=|Webster's Bible Translation| target=|_top|&gt;WBS&lt;/a&gt;</v>
      </c>
      <c r="AS50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01" t="str">
        <f>CONCATENATE("&lt;/li&gt;&lt;li&gt;&lt;a href=|http://",AT1191,"/psalms/23-1.htm","| ","title=|",AT1190,"| target=|_top|&gt;",AT1192,"&lt;/a&gt;")</f>
        <v>&lt;/li&gt;&lt;li&gt;&lt;a href=|http://biblebrowser.com/psalms/23-1.htm| title=|Split View| target=|_top|&gt;Split&lt;/a&gt;</v>
      </c>
      <c r="AU501" s="2" t="s">
        <v>1276</v>
      </c>
      <c r="AV501" t="s">
        <v>64</v>
      </c>
    </row>
    <row r="502" spans="1:48">
      <c r="A502" t="s">
        <v>622</v>
      </c>
      <c r="B502" t="s">
        <v>740</v>
      </c>
      <c r="C502" t="s">
        <v>624</v>
      </c>
      <c r="D502" t="s">
        <v>1268</v>
      </c>
      <c r="E502" t="s">
        <v>1277</v>
      </c>
      <c r="F502" t="s">
        <v>1304</v>
      </c>
      <c r="G502" t="s">
        <v>1266</v>
      </c>
      <c r="H502" t="s">
        <v>1305</v>
      </c>
      <c r="I502" t="s">
        <v>1303</v>
      </c>
      <c r="J502" t="s">
        <v>1267</v>
      </c>
      <c r="K502" t="s">
        <v>1275</v>
      </c>
      <c r="L502" s="2" t="s">
        <v>1274</v>
      </c>
      <c r="M502" t="str">
        <f t="shared" ref="M502:AB502" si="2004">CONCATENATE("&lt;/li&gt;&lt;li&gt;&lt;a href=|http://",M1191,"/psalms/24.htm","| ","title=|",M1190,"| target=|_top|&gt;",M1192,"&lt;/a&gt;")</f>
        <v>&lt;/li&gt;&lt;li&gt;&lt;a href=|http://niv.scripturetext.com/psalms/24.htm| title=|New International Version| target=|_top|&gt;NIV&lt;/a&gt;</v>
      </c>
      <c r="N502" t="str">
        <f t="shared" si="2004"/>
        <v>&lt;/li&gt;&lt;li&gt;&lt;a href=|http://nlt.scripturetext.com/psalms/24.htm| title=|New Living Translation| target=|_top|&gt;NLT&lt;/a&gt;</v>
      </c>
      <c r="O502" t="str">
        <f t="shared" si="2004"/>
        <v>&lt;/li&gt;&lt;li&gt;&lt;a href=|http://nasb.scripturetext.com/psalms/24.htm| title=|New American Standard Bible| target=|_top|&gt;NAS&lt;/a&gt;</v>
      </c>
      <c r="P502" t="str">
        <f t="shared" si="2004"/>
        <v>&lt;/li&gt;&lt;li&gt;&lt;a href=|http://gwt.scripturetext.com/psalms/24.htm| title=|God's Word Translation| target=|_top|&gt;GWT&lt;/a&gt;</v>
      </c>
      <c r="Q502" t="str">
        <f t="shared" si="2004"/>
        <v>&lt;/li&gt;&lt;li&gt;&lt;a href=|http://kingjbible.com/psalms/24.htm| title=|King James Bible| target=|_top|&gt;KJV&lt;/a&gt;</v>
      </c>
      <c r="R502" t="str">
        <f t="shared" si="2004"/>
        <v>&lt;/li&gt;&lt;li&gt;&lt;a href=|http://asvbible.com/psalms/24.htm| title=|American Standard Version| target=|_top|&gt;ASV&lt;/a&gt;</v>
      </c>
      <c r="S502" t="str">
        <f t="shared" si="2004"/>
        <v>&lt;/li&gt;&lt;li&gt;&lt;a href=|http://drb.scripturetext.com/psalms/24.htm| title=|Douay-Rheims Bible| target=|_top|&gt;DRB&lt;/a&gt;</v>
      </c>
      <c r="T502" t="str">
        <f t="shared" si="2004"/>
        <v>&lt;/li&gt;&lt;li&gt;&lt;a href=|http://erv.scripturetext.com/psalms/24.htm| title=|English Revised Version| target=|_top|&gt;ERV&lt;/a&gt;</v>
      </c>
      <c r="V502" t="str">
        <f>CONCATENATE("&lt;/li&gt;&lt;li&gt;&lt;a href=|http://",V1191,"/psalms/24.htm","| ","title=|",V1190,"| target=|_top|&gt;",V1192,"&lt;/a&gt;")</f>
        <v>&lt;/li&gt;&lt;li&gt;&lt;a href=|http://study.interlinearbible.org/psalms/24.htm| title=|Hebrew Study Bible| target=|_top|&gt;Heb Study&lt;/a&gt;</v>
      </c>
      <c r="W502" t="str">
        <f t="shared" si="2004"/>
        <v>&lt;/li&gt;&lt;li&gt;&lt;a href=|http://apostolic.interlinearbible.org/psalms/24.htm| title=|Apostolic Bible Polyglot Interlinear| target=|_top|&gt;Polyglot&lt;/a&gt;</v>
      </c>
      <c r="X502" t="str">
        <f t="shared" si="2004"/>
        <v>&lt;/li&gt;&lt;li&gt;&lt;a href=|http://interlinearbible.org/psalms/24.htm| title=|Interlinear Bible| target=|_top|&gt;Interlin&lt;/a&gt;</v>
      </c>
      <c r="Y502" t="str">
        <f t="shared" ref="Y502" si="2005">CONCATENATE("&lt;/li&gt;&lt;li&gt;&lt;a href=|http://",Y1191,"/psalms/24.htm","| ","title=|",Y1190,"| target=|_top|&gt;",Y1192,"&lt;/a&gt;")</f>
        <v>&lt;/li&gt;&lt;li&gt;&lt;a href=|http://bibleoutline.org/psalms/24.htm| title=|Outline with People and Places List| target=|_top|&gt;Outline&lt;/a&gt;</v>
      </c>
      <c r="Z502" t="str">
        <f t="shared" si="2004"/>
        <v>&lt;/li&gt;&lt;li&gt;&lt;a href=|http://kjvs.scripturetext.com/psalms/24.htm| title=|King James Bible with Strong's Numbers| target=|_top|&gt;Strong's&lt;/a&gt;</v>
      </c>
      <c r="AA502" t="str">
        <f t="shared" si="2004"/>
        <v>&lt;/li&gt;&lt;li&gt;&lt;a href=|http://childrensbibleonline.com/psalms/24.htm| title=|The Children's Bible| target=|_top|&gt;Children's&lt;/a&gt;</v>
      </c>
      <c r="AB502" s="2" t="str">
        <f t="shared" si="2004"/>
        <v>&lt;/li&gt;&lt;li&gt;&lt;a href=|http://tsk.scripturetext.com/psalms/24.htm| title=|Treasury of Scripture Knowledge| target=|_top|&gt;TSK&lt;/a&gt;</v>
      </c>
      <c r="AC502" t="str">
        <f>CONCATENATE("&lt;a href=|http://",AC1191,"/psalms/24.htm","| ","title=|",AC1190,"| target=|_top|&gt;",AC1192,"&lt;/a&gt;")</f>
        <v>&lt;a href=|http://parallelbible.com/psalms/24.htm| title=|Parallel Chapters| target=|_top|&gt;PAR&lt;/a&gt;</v>
      </c>
      <c r="AD502" s="2" t="str">
        <f t="shared" ref="AD502:AK502" si="2006">CONCATENATE("&lt;/li&gt;&lt;li&gt;&lt;a href=|http://",AD1191,"/psalms/24.htm","| ","title=|",AD1190,"| target=|_top|&gt;",AD1192,"&lt;/a&gt;")</f>
        <v>&lt;/li&gt;&lt;li&gt;&lt;a href=|http://gsb.biblecommenter.com/psalms/24.htm| title=|Geneva Study Bible| target=|_top|&gt;GSB&lt;/a&gt;</v>
      </c>
      <c r="AE502" s="2" t="str">
        <f t="shared" si="2006"/>
        <v>&lt;/li&gt;&lt;li&gt;&lt;a href=|http://jfb.biblecommenter.com/psalms/24.htm| title=|Jamieson-Fausset-Brown Bible Commentary| target=|_top|&gt;JFB&lt;/a&gt;</v>
      </c>
      <c r="AF502" s="2" t="str">
        <f t="shared" si="2006"/>
        <v>&lt;/li&gt;&lt;li&gt;&lt;a href=|http://kjt.biblecommenter.com/psalms/24.htm| title=|King James Translators' Notes| target=|_top|&gt;KJT&lt;/a&gt;</v>
      </c>
      <c r="AG502" s="2" t="str">
        <f t="shared" si="2006"/>
        <v>&lt;/li&gt;&lt;li&gt;&lt;a href=|http://mhc.biblecommenter.com/psalms/24.htm| title=|Matthew Henry's Concise Commentary| target=|_top|&gt;MHC&lt;/a&gt;</v>
      </c>
      <c r="AH502" s="2" t="str">
        <f t="shared" si="2006"/>
        <v>&lt;/li&gt;&lt;li&gt;&lt;a href=|http://sco.biblecommenter.com/psalms/24.htm| title=|Scofield Reference Notes| target=|_top|&gt;SCO&lt;/a&gt;</v>
      </c>
      <c r="AI502" s="2" t="str">
        <f t="shared" si="2006"/>
        <v>&lt;/li&gt;&lt;li&gt;&lt;a href=|http://wes.biblecommenter.com/psalms/24.htm| title=|Wesley's Notes on the Bible| target=|_top|&gt;WES&lt;/a&gt;</v>
      </c>
      <c r="AJ502" t="str">
        <f t="shared" si="2006"/>
        <v>&lt;/li&gt;&lt;li&gt;&lt;a href=|http://worldebible.com/psalms/24.htm| title=|World English Bible| target=|_top|&gt;WEB&lt;/a&gt;</v>
      </c>
      <c r="AK502" t="str">
        <f t="shared" si="2006"/>
        <v>&lt;/li&gt;&lt;li&gt;&lt;a href=|http://yltbible.com/psalms/24.htm| title=|Young's Literal Translation| target=|_top|&gt;YLT&lt;/a&gt;</v>
      </c>
      <c r="AL502" t="str">
        <f>CONCATENATE("&lt;a href=|http://",AL1191,"/psalms/24.htm","| ","title=|",AL1190,"| target=|_top|&gt;",AL1192,"&lt;/a&gt;")</f>
        <v>&lt;a href=|http://kjv.us/psalms/24.htm| title=|American King James Version| target=|_top|&gt;AKJ&lt;/a&gt;</v>
      </c>
      <c r="AM502" t="str">
        <f t="shared" ref="AM502:AN502" si="2007">CONCATENATE("&lt;/li&gt;&lt;li&gt;&lt;a href=|http://",AM1191,"/psalms/24.htm","| ","title=|",AM1190,"| target=|_top|&gt;",AM1192,"&lt;/a&gt;")</f>
        <v>&lt;/li&gt;&lt;li&gt;&lt;a href=|http://basicenglishbible.com/psalms/24.htm| title=|Bible in Basic English| target=|_top|&gt;BBE&lt;/a&gt;</v>
      </c>
      <c r="AN502" t="str">
        <f t="shared" si="2007"/>
        <v>&lt;/li&gt;&lt;li&gt;&lt;a href=|http://darbybible.com/psalms/24.htm| title=|Darby Bible Translation| target=|_top|&gt;DBY&lt;/a&gt;</v>
      </c>
      <c r="AO50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0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0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02" t="str">
        <f>CONCATENATE("&lt;/li&gt;&lt;li&gt;&lt;a href=|http://",AR1191,"/psalms/24.htm","| ","title=|",AR1190,"| target=|_top|&gt;",AR1192,"&lt;/a&gt;")</f>
        <v>&lt;/li&gt;&lt;li&gt;&lt;a href=|http://websterbible.com/psalms/24.htm| title=|Webster's Bible Translation| target=|_top|&gt;WBS&lt;/a&gt;</v>
      </c>
      <c r="AS50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02" t="str">
        <f>CONCATENATE("&lt;/li&gt;&lt;li&gt;&lt;a href=|http://",AT1191,"/psalms/24-1.htm","| ","title=|",AT1190,"| target=|_top|&gt;",AT1192,"&lt;/a&gt;")</f>
        <v>&lt;/li&gt;&lt;li&gt;&lt;a href=|http://biblebrowser.com/psalms/24-1.htm| title=|Split View| target=|_top|&gt;Split&lt;/a&gt;</v>
      </c>
      <c r="AU502" s="2" t="s">
        <v>1276</v>
      </c>
      <c r="AV502" t="s">
        <v>64</v>
      </c>
    </row>
    <row r="503" spans="1:48">
      <c r="A503" t="s">
        <v>622</v>
      </c>
      <c r="B503" t="s">
        <v>741</v>
      </c>
      <c r="C503" t="s">
        <v>624</v>
      </c>
      <c r="D503" t="s">
        <v>1268</v>
      </c>
      <c r="E503" t="s">
        <v>1277</v>
      </c>
      <c r="F503" t="s">
        <v>1304</v>
      </c>
      <c r="G503" t="s">
        <v>1266</v>
      </c>
      <c r="H503" t="s">
        <v>1305</v>
      </c>
      <c r="I503" t="s">
        <v>1303</v>
      </c>
      <c r="J503" t="s">
        <v>1267</v>
      </c>
      <c r="K503" t="s">
        <v>1275</v>
      </c>
      <c r="L503" s="2" t="s">
        <v>1274</v>
      </c>
      <c r="M503" t="str">
        <f t="shared" ref="M503:AB503" si="2008">CONCATENATE("&lt;/li&gt;&lt;li&gt;&lt;a href=|http://",M1191,"/psalms/25.htm","| ","title=|",M1190,"| target=|_top|&gt;",M1192,"&lt;/a&gt;")</f>
        <v>&lt;/li&gt;&lt;li&gt;&lt;a href=|http://niv.scripturetext.com/psalms/25.htm| title=|New International Version| target=|_top|&gt;NIV&lt;/a&gt;</v>
      </c>
      <c r="N503" t="str">
        <f t="shared" si="2008"/>
        <v>&lt;/li&gt;&lt;li&gt;&lt;a href=|http://nlt.scripturetext.com/psalms/25.htm| title=|New Living Translation| target=|_top|&gt;NLT&lt;/a&gt;</v>
      </c>
      <c r="O503" t="str">
        <f t="shared" si="2008"/>
        <v>&lt;/li&gt;&lt;li&gt;&lt;a href=|http://nasb.scripturetext.com/psalms/25.htm| title=|New American Standard Bible| target=|_top|&gt;NAS&lt;/a&gt;</v>
      </c>
      <c r="P503" t="str">
        <f t="shared" si="2008"/>
        <v>&lt;/li&gt;&lt;li&gt;&lt;a href=|http://gwt.scripturetext.com/psalms/25.htm| title=|God's Word Translation| target=|_top|&gt;GWT&lt;/a&gt;</v>
      </c>
      <c r="Q503" t="str">
        <f t="shared" si="2008"/>
        <v>&lt;/li&gt;&lt;li&gt;&lt;a href=|http://kingjbible.com/psalms/25.htm| title=|King James Bible| target=|_top|&gt;KJV&lt;/a&gt;</v>
      </c>
      <c r="R503" t="str">
        <f t="shared" si="2008"/>
        <v>&lt;/li&gt;&lt;li&gt;&lt;a href=|http://asvbible.com/psalms/25.htm| title=|American Standard Version| target=|_top|&gt;ASV&lt;/a&gt;</v>
      </c>
      <c r="S503" t="str">
        <f t="shared" si="2008"/>
        <v>&lt;/li&gt;&lt;li&gt;&lt;a href=|http://drb.scripturetext.com/psalms/25.htm| title=|Douay-Rheims Bible| target=|_top|&gt;DRB&lt;/a&gt;</v>
      </c>
      <c r="T503" t="str">
        <f t="shared" si="2008"/>
        <v>&lt;/li&gt;&lt;li&gt;&lt;a href=|http://erv.scripturetext.com/psalms/25.htm| title=|English Revised Version| target=|_top|&gt;ERV&lt;/a&gt;</v>
      </c>
      <c r="V503" t="str">
        <f>CONCATENATE("&lt;/li&gt;&lt;li&gt;&lt;a href=|http://",V1191,"/psalms/25.htm","| ","title=|",V1190,"| target=|_top|&gt;",V1192,"&lt;/a&gt;")</f>
        <v>&lt;/li&gt;&lt;li&gt;&lt;a href=|http://study.interlinearbible.org/psalms/25.htm| title=|Hebrew Study Bible| target=|_top|&gt;Heb Study&lt;/a&gt;</v>
      </c>
      <c r="W503" t="str">
        <f t="shared" si="2008"/>
        <v>&lt;/li&gt;&lt;li&gt;&lt;a href=|http://apostolic.interlinearbible.org/psalms/25.htm| title=|Apostolic Bible Polyglot Interlinear| target=|_top|&gt;Polyglot&lt;/a&gt;</v>
      </c>
      <c r="X503" t="str">
        <f t="shared" si="2008"/>
        <v>&lt;/li&gt;&lt;li&gt;&lt;a href=|http://interlinearbible.org/psalms/25.htm| title=|Interlinear Bible| target=|_top|&gt;Interlin&lt;/a&gt;</v>
      </c>
      <c r="Y503" t="str">
        <f t="shared" ref="Y503" si="2009">CONCATENATE("&lt;/li&gt;&lt;li&gt;&lt;a href=|http://",Y1191,"/psalms/25.htm","| ","title=|",Y1190,"| target=|_top|&gt;",Y1192,"&lt;/a&gt;")</f>
        <v>&lt;/li&gt;&lt;li&gt;&lt;a href=|http://bibleoutline.org/psalms/25.htm| title=|Outline with People and Places List| target=|_top|&gt;Outline&lt;/a&gt;</v>
      </c>
      <c r="Z503" t="str">
        <f t="shared" si="2008"/>
        <v>&lt;/li&gt;&lt;li&gt;&lt;a href=|http://kjvs.scripturetext.com/psalms/25.htm| title=|King James Bible with Strong's Numbers| target=|_top|&gt;Strong's&lt;/a&gt;</v>
      </c>
      <c r="AA503" t="str">
        <f t="shared" si="2008"/>
        <v>&lt;/li&gt;&lt;li&gt;&lt;a href=|http://childrensbibleonline.com/psalms/25.htm| title=|The Children's Bible| target=|_top|&gt;Children's&lt;/a&gt;</v>
      </c>
      <c r="AB503" s="2" t="str">
        <f t="shared" si="2008"/>
        <v>&lt;/li&gt;&lt;li&gt;&lt;a href=|http://tsk.scripturetext.com/psalms/25.htm| title=|Treasury of Scripture Knowledge| target=|_top|&gt;TSK&lt;/a&gt;</v>
      </c>
      <c r="AC503" t="str">
        <f>CONCATENATE("&lt;a href=|http://",AC1191,"/psalms/25.htm","| ","title=|",AC1190,"| target=|_top|&gt;",AC1192,"&lt;/a&gt;")</f>
        <v>&lt;a href=|http://parallelbible.com/psalms/25.htm| title=|Parallel Chapters| target=|_top|&gt;PAR&lt;/a&gt;</v>
      </c>
      <c r="AD503" s="2" t="str">
        <f t="shared" ref="AD503:AK503" si="2010">CONCATENATE("&lt;/li&gt;&lt;li&gt;&lt;a href=|http://",AD1191,"/psalms/25.htm","| ","title=|",AD1190,"| target=|_top|&gt;",AD1192,"&lt;/a&gt;")</f>
        <v>&lt;/li&gt;&lt;li&gt;&lt;a href=|http://gsb.biblecommenter.com/psalms/25.htm| title=|Geneva Study Bible| target=|_top|&gt;GSB&lt;/a&gt;</v>
      </c>
      <c r="AE503" s="2" t="str">
        <f t="shared" si="2010"/>
        <v>&lt;/li&gt;&lt;li&gt;&lt;a href=|http://jfb.biblecommenter.com/psalms/25.htm| title=|Jamieson-Fausset-Brown Bible Commentary| target=|_top|&gt;JFB&lt;/a&gt;</v>
      </c>
      <c r="AF503" s="2" t="str">
        <f t="shared" si="2010"/>
        <v>&lt;/li&gt;&lt;li&gt;&lt;a href=|http://kjt.biblecommenter.com/psalms/25.htm| title=|King James Translators' Notes| target=|_top|&gt;KJT&lt;/a&gt;</v>
      </c>
      <c r="AG503" s="2" t="str">
        <f t="shared" si="2010"/>
        <v>&lt;/li&gt;&lt;li&gt;&lt;a href=|http://mhc.biblecommenter.com/psalms/25.htm| title=|Matthew Henry's Concise Commentary| target=|_top|&gt;MHC&lt;/a&gt;</v>
      </c>
      <c r="AH503" s="2" t="str">
        <f t="shared" si="2010"/>
        <v>&lt;/li&gt;&lt;li&gt;&lt;a href=|http://sco.biblecommenter.com/psalms/25.htm| title=|Scofield Reference Notes| target=|_top|&gt;SCO&lt;/a&gt;</v>
      </c>
      <c r="AI503" s="2" t="str">
        <f t="shared" si="2010"/>
        <v>&lt;/li&gt;&lt;li&gt;&lt;a href=|http://wes.biblecommenter.com/psalms/25.htm| title=|Wesley's Notes on the Bible| target=|_top|&gt;WES&lt;/a&gt;</v>
      </c>
      <c r="AJ503" t="str">
        <f t="shared" si="2010"/>
        <v>&lt;/li&gt;&lt;li&gt;&lt;a href=|http://worldebible.com/psalms/25.htm| title=|World English Bible| target=|_top|&gt;WEB&lt;/a&gt;</v>
      </c>
      <c r="AK503" t="str">
        <f t="shared" si="2010"/>
        <v>&lt;/li&gt;&lt;li&gt;&lt;a href=|http://yltbible.com/psalms/25.htm| title=|Young's Literal Translation| target=|_top|&gt;YLT&lt;/a&gt;</v>
      </c>
      <c r="AL503" t="str">
        <f>CONCATENATE("&lt;a href=|http://",AL1191,"/psalms/25.htm","| ","title=|",AL1190,"| target=|_top|&gt;",AL1192,"&lt;/a&gt;")</f>
        <v>&lt;a href=|http://kjv.us/psalms/25.htm| title=|American King James Version| target=|_top|&gt;AKJ&lt;/a&gt;</v>
      </c>
      <c r="AM503" t="str">
        <f t="shared" ref="AM503:AN503" si="2011">CONCATENATE("&lt;/li&gt;&lt;li&gt;&lt;a href=|http://",AM1191,"/psalms/25.htm","| ","title=|",AM1190,"| target=|_top|&gt;",AM1192,"&lt;/a&gt;")</f>
        <v>&lt;/li&gt;&lt;li&gt;&lt;a href=|http://basicenglishbible.com/psalms/25.htm| title=|Bible in Basic English| target=|_top|&gt;BBE&lt;/a&gt;</v>
      </c>
      <c r="AN503" t="str">
        <f t="shared" si="2011"/>
        <v>&lt;/li&gt;&lt;li&gt;&lt;a href=|http://darbybible.com/psalms/25.htm| title=|Darby Bible Translation| target=|_top|&gt;DBY&lt;/a&gt;</v>
      </c>
      <c r="AO50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0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0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03" t="str">
        <f>CONCATENATE("&lt;/li&gt;&lt;li&gt;&lt;a href=|http://",AR1191,"/psalms/25.htm","| ","title=|",AR1190,"| target=|_top|&gt;",AR1192,"&lt;/a&gt;")</f>
        <v>&lt;/li&gt;&lt;li&gt;&lt;a href=|http://websterbible.com/psalms/25.htm| title=|Webster's Bible Translation| target=|_top|&gt;WBS&lt;/a&gt;</v>
      </c>
      <c r="AS50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03" t="str">
        <f>CONCATENATE("&lt;/li&gt;&lt;li&gt;&lt;a href=|http://",AT1191,"/psalms/25-1.htm","| ","title=|",AT1190,"| target=|_top|&gt;",AT1192,"&lt;/a&gt;")</f>
        <v>&lt;/li&gt;&lt;li&gt;&lt;a href=|http://biblebrowser.com/psalms/25-1.htm| title=|Split View| target=|_top|&gt;Split&lt;/a&gt;</v>
      </c>
      <c r="AU503" s="2" t="s">
        <v>1276</v>
      </c>
      <c r="AV503" t="s">
        <v>64</v>
      </c>
    </row>
    <row r="504" spans="1:48">
      <c r="A504" t="s">
        <v>622</v>
      </c>
      <c r="B504" t="s">
        <v>742</v>
      </c>
      <c r="C504" t="s">
        <v>624</v>
      </c>
      <c r="D504" t="s">
        <v>1268</v>
      </c>
      <c r="E504" t="s">
        <v>1277</v>
      </c>
      <c r="F504" t="s">
        <v>1304</v>
      </c>
      <c r="G504" t="s">
        <v>1266</v>
      </c>
      <c r="H504" t="s">
        <v>1305</v>
      </c>
      <c r="I504" t="s">
        <v>1303</v>
      </c>
      <c r="J504" t="s">
        <v>1267</v>
      </c>
      <c r="K504" t="s">
        <v>1275</v>
      </c>
      <c r="L504" s="2" t="s">
        <v>1274</v>
      </c>
      <c r="M504" t="str">
        <f t="shared" ref="M504:AB504" si="2012">CONCATENATE("&lt;/li&gt;&lt;li&gt;&lt;a href=|http://",M1191,"/psalms/26.htm","| ","title=|",M1190,"| target=|_top|&gt;",M1192,"&lt;/a&gt;")</f>
        <v>&lt;/li&gt;&lt;li&gt;&lt;a href=|http://niv.scripturetext.com/psalms/26.htm| title=|New International Version| target=|_top|&gt;NIV&lt;/a&gt;</v>
      </c>
      <c r="N504" t="str">
        <f t="shared" si="2012"/>
        <v>&lt;/li&gt;&lt;li&gt;&lt;a href=|http://nlt.scripturetext.com/psalms/26.htm| title=|New Living Translation| target=|_top|&gt;NLT&lt;/a&gt;</v>
      </c>
      <c r="O504" t="str">
        <f t="shared" si="2012"/>
        <v>&lt;/li&gt;&lt;li&gt;&lt;a href=|http://nasb.scripturetext.com/psalms/26.htm| title=|New American Standard Bible| target=|_top|&gt;NAS&lt;/a&gt;</v>
      </c>
      <c r="P504" t="str">
        <f t="shared" si="2012"/>
        <v>&lt;/li&gt;&lt;li&gt;&lt;a href=|http://gwt.scripturetext.com/psalms/26.htm| title=|God's Word Translation| target=|_top|&gt;GWT&lt;/a&gt;</v>
      </c>
      <c r="Q504" t="str">
        <f t="shared" si="2012"/>
        <v>&lt;/li&gt;&lt;li&gt;&lt;a href=|http://kingjbible.com/psalms/26.htm| title=|King James Bible| target=|_top|&gt;KJV&lt;/a&gt;</v>
      </c>
      <c r="R504" t="str">
        <f t="shared" si="2012"/>
        <v>&lt;/li&gt;&lt;li&gt;&lt;a href=|http://asvbible.com/psalms/26.htm| title=|American Standard Version| target=|_top|&gt;ASV&lt;/a&gt;</v>
      </c>
      <c r="S504" t="str">
        <f t="shared" si="2012"/>
        <v>&lt;/li&gt;&lt;li&gt;&lt;a href=|http://drb.scripturetext.com/psalms/26.htm| title=|Douay-Rheims Bible| target=|_top|&gt;DRB&lt;/a&gt;</v>
      </c>
      <c r="T504" t="str">
        <f t="shared" si="2012"/>
        <v>&lt;/li&gt;&lt;li&gt;&lt;a href=|http://erv.scripturetext.com/psalms/26.htm| title=|English Revised Version| target=|_top|&gt;ERV&lt;/a&gt;</v>
      </c>
      <c r="V504" t="str">
        <f>CONCATENATE("&lt;/li&gt;&lt;li&gt;&lt;a href=|http://",V1191,"/psalms/26.htm","| ","title=|",V1190,"| target=|_top|&gt;",V1192,"&lt;/a&gt;")</f>
        <v>&lt;/li&gt;&lt;li&gt;&lt;a href=|http://study.interlinearbible.org/psalms/26.htm| title=|Hebrew Study Bible| target=|_top|&gt;Heb Study&lt;/a&gt;</v>
      </c>
      <c r="W504" t="str">
        <f t="shared" si="2012"/>
        <v>&lt;/li&gt;&lt;li&gt;&lt;a href=|http://apostolic.interlinearbible.org/psalms/26.htm| title=|Apostolic Bible Polyglot Interlinear| target=|_top|&gt;Polyglot&lt;/a&gt;</v>
      </c>
      <c r="X504" t="str">
        <f t="shared" si="2012"/>
        <v>&lt;/li&gt;&lt;li&gt;&lt;a href=|http://interlinearbible.org/psalms/26.htm| title=|Interlinear Bible| target=|_top|&gt;Interlin&lt;/a&gt;</v>
      </c>
      <c r="Y504" t="str">
        <f t="shared" ref="Y504" si="2013">CONCATENATE("&lt;/li&gt;&lt;li&gt;&lt;a href=|http://",Y1191,"/psalms/26.htm","| ","title=|",Y1190,"| target=|_top|&gt;",Y1192,"&lt;/a&gt;")</f>
        <v>&lt;/li&gt;&lt;li&gt;&lt;a href=|http://bibleoutline.org/psalms/26.htm| title=|Outline with People and Places List| target=|_top|&gt;Outline&lt;/a&gt;</v>
      </c>
      <c r="Z504" t="str">
        <f t="shared" si="2012"/>
        <v>&lt;/li&gt;&lt;li&gt;&lt;a href=|http://kjvs.scripturetext.com/psalms/26.htm| title=|King James Bible with Strong's Numbers| target=|_top|&gt;Strong's&lt;/a&gt;</v>
      </c>
      <c r="AA504" t="str">
        <f t="shared" si="2012"/>
        <v>&lt;/li&gt;&lt;li&gt;&lt;a href=|http://childrensbibleonline.com/psalms/26.htm| title=|The Children's Bible| target=|_top|&gt;Children's&lt;/a&gt;</v>
      </c>
      <c r="AB504" s="2" t="str">
        <f t="shared" si="2012"/>
        <v>&lt;/li&gt;&lt;li&gt;&lt;a href=|http://tsk.scripturetext.com/psalms/26.htm| title=|Treasury of Scripture Knowledge| target=|_top|&gt;TSK&lt;/a&gt;</v>
      </c>
      <c r="AC504" t="str">
        <f>CONCATENATE("&lt;a href=|http://",AC1191,"/psalms/26.htm","| ","title=|",AC1190,"| target=|_top|&gt;",AC1192,"&lt;/a&gt;")</f>
        <v>&lt;a href=|http://parallelbible.com/psalms/26.htm| title=|Parallel Chapters| target=|_top|&gt;PAR&lt;/a&gt;</v>
      </c>
      <c r="AD504" s="2" t="str">
        <f t="shared" ref="AD504:AK504" si="2014">CONCATENATE("&lt;/li&gt;&lt;li&gt;&lt;a href=|http://",AD1191,"/psalms/26.htm","| ","title=|",AD1190,"| target=|_top|&gt;",AD1192,"&lt;/a&gt;")</f>
        <v>&lt;/li&gt;&lt;li&gt;&lt;a href=|http://gsb.biblecommenter.com/psalms/26.htm| title=|Geneva Study Bible| target=|_top|&gt;GSB&lt;/a&gt;</v>
      </c>
      <c r="AE504" s="2" t="str">
        <f t="shared" si="2014"/>
        <v>&lt;/li&gt;&lt;li&gt;&lt;a href=|http://jfb.biblecommenter.com/psalms/26.htm| title=|Jamieson-Fausset-Brown Bible Commentary| target=|_top|&gt;JFB&lt;/a&gt;</v>
      </c>
      <c r="AF504" s="2" t="str">
        <f t="shared" si="2014"/>
        <v>&lt;/li&gt;&lt;li&gt;&lt;a href=|http://kjt.biblecommenter.com/psalms/26.htm| title=|King James Translators' Notes| target=|_top|&gt;KJT&lt;/a&gt;</v>
      </c>
      <c r="AG504" s="2" t="str">
        <f t="shared" si="2014"/>
        <v>&lt;/li&gt;&lt;li&gt;&lt;a href=|http://mhc.biblecommenter.com/psalms/26.htm| title=|Matthew Henry's Concise Commentary| target=|_top|&gt;MHC&lt;/a&gt;</v>
      </c>
      <c r="AH504" s="2" t="str">
        <f t="shared" si="2014"/>
        <v>&lt;/li&gt;&lt;li&gt;&lt;a href=|http://sco.biblecommenter.com/psalms/26.htm| title=|Scofield Reference Notes| target=|_top|&gt;SCO&lt;/a&gt;</v>
      </c>
      <c r="AI504" s="2" t="str">
        <f t="shared" si="2014"/>
        <v>&lt;/li&gt;&lt;li&gt;&lt;a href=|http://wes.biblecommenter.com/psalms/26.htm| title=|Wesley's Notes on the Bible| target=|_top|&gt;WES&lt;/a&gt;</v>
      </c>
      <c r="AJ504" t="str">
        <f t="shared" si="2014"/>
        <v>&lt;/li&gt;&lt;li&gt;&lt;a href=|http://worldebible.com/psalms/26.htm| title=|World English Bible| target=|_top|&gt;WEB&lt;/a&gt;</v>
      </c>
      <c r="AK504" t="str">
        <f t="shared" si="2014"/>
        <v>&lt;/li&gt;&lt;li&gt;&lt;a href=|http://yltbible.com/psalms/26.htm| title=|Young's Literal Translation| target=|_top|&gt;YLT&lt;/a&gt;</v>
      </c>
      <c r="AL504" t="str">
        <f>CONCATENATE("&lt;a href=|http://",AL1191,"/psalms/26.htm","| ","title=|",AL1190,"| target=|_top|&gt;",AL1192,"&lt;/a&gt;")</f>
        <v>&lt;a href=|http://kjv.us/psalms/26.htm| title=|American King James Version| target=|_top|&gt;AKJ&lt;/a&gt;</v>
      </c>
      <c r="AM504" t="str">
        <f t="shared" ref="AM504:AN504" si="2015">CONCATENATE("&lt;/li&gt;&lt;li&gt;&lt;a href=|http://",AM1191,"/psalms/26.htm","| ","title=|",AM1190,"| target=|_top|&gt;",AM1192,"&lt;/a&gt;")</f>
        <v>&lt;/li&gt;&lt;li&gt;&lt;a href=|http://basicenglishbible.com/psalms/26.htm| title=|Bible in Basic English| target=|_top|&gt;BBE&lt;/a&gt;</v>
      </c>
      <c r="AN504" t="str">
        <f t="shared" si="2015"/>
        <v>&lt;/li&gt;&lt;li&gt;&lt;a href=|http://darbybible.com/psalms/26.htm| title=|Darby Bible Translation| target=|_top|&gt;DBY&lt;/a&gt;</v>
      </c>
      <c r="AO50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0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0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04" t="str">
        <f>CONCATENATE("&lt;/li&gt;&lt;li&gt;&lt;a href=|http://",AR1191,"/psalms/26.htm","| ","title=|",AR1190,"| target=|_top|&gt;",AR1192,"&lt;/a&gt;")</f>
        <v>&lt;/li&gt;&lt;li&gt;&lt;a href=|http://websterbible.com/psalms/26.htm| title=|Webster's Bible Translation| target=|_top|&gt;WBS&lt;/a&gt;</v>
      </c>
      <c r="AS50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04" t="str">
        <f>CONCATENATE("&lt;/li&gt;&lt;li&gt;&lt;a href=|http://",AT1191,"/psalms/26-1.htm","| ","title=|",AT1190,"| target=|_top|&gt;",AT1192,"&lt;/a&gt;")</f>
        <v>&lt;/li&gt;&lt;li&gt;&lt;a href=|http://biblebrowser.com/psalms/26-1.htm| title=|Split View| target=|_top|&gt;Split&lt;/a&gt;</v>
      </c>
      <c r="AU504" s="2" t="s">
        <v>1276</v>
      </c>
      <c r="AV504" t="s">
        <v>64</v>
      </c>
    </row>
    <row r="505" spans="1:48">
      <c r="A505" t="s">
        <v>622</v>
      </c>
      <c r="B505" t="s">
        <v>743</v>
      </c>
      <c r="C505" t="s">
        <v>624</v>
      </c>
      <c r="D505" t="s">
        <v>1268</v>
      </c>
      <c r="E505" t="s">
        <v>1277</v>
      </c>
      <c r="F505" t="s">
        <v>1304</v>
      </c>
      <c r="G505" t="s">
        <v>1266</v>
      </c>
      <c r="H505" t="s">
        <v>1305</v>
      </c>
      <c r="I505" t="s">
        <v>1303</v>
      </c>
      <c r="J505" t="s">
        <v>1267</v>
      </c>
      <c r="K505" t="s">
        <v>1275</v>
      </c>
      <c r="L505" s="2" t="s">
        <v>1274</v>
      </c>
      <c r="M505" t="str">
        <f t="shared" ref="M505:AB505" si="2016">CONCATENATE("&lt;/li&gt;&lt;li&gt;&lt;a href=|http://",M1191,"/psalms/27.htm","| ","title=|",M1190,"| target=|_top|&gt;",M1192,"&lt;/a&gt;")</f>
        <v>&lt;/li&gt;&lt;li&gt;&lt;a href=|http://niv.scripturetext.com/psalms/27.htm| title=|New International Version| target=|_top|&gt;NIV&lt;/a&gt;</v>
      </c>
      <c r="N505" t="str">
        <f t="shared" si="2016"/>
        <v>&lt;/li&gt;&lt;li&gt;&lt;a href=|http://nlt.scripturetext.com/psalms/27.htm| title=|New Living Translation| target=|_top|&gt;NLT&lt;/a&gt;</v>
      </c>
      <c r="O505" t="str">
        <f t="shared" si="2016"/>
        <v>&lt;/li&gt;&lt;li&gt;&lt;a href=|http://nasb.scripturetext.com/psalms/27.htm| title=|New American Standard Bible| target=|_top|&gt;NAS&lt;/a&gt;</v>
      </c>
      <c r="P505" t="str">
        <f t="shared" si="2016"/>
        <v>&lt;/li&gt;&lt;li&gt;&lt;a href=|http://gwt.scripturetext.com/psalms/27.htm| title=|God's Word Translation| target=|_top|&gt;GWT&lt;/a&gt;</v>
      </c>
      <c r="Q505" t="str">
        <f t="shared" si="2016"/>
        <v>&lt;/li&gt;&lt;li&gt;&lt;a href=|http://kingjbible.com/psalms/27.htm| title=|King James Bible| target=|_top|&gt;KJV&lt;/a&gt;</v>
      </c>
      <c r="R505" t="str">
        <f t="shared" si="2016"/>
        <v>&lt;/li&gt;&lt;li&gt;&lt;a href=|http://asvbible.com/psalms/27.htm| title=|American Standard Version| target=|_top|&gt;ASV&lt;/a&gt;</v>
      </c>
      <c r="S505" t="str">
        <f t="shared" si="2016"/>
        <v>&lt;/li&gt;&lt;li&gt;&lt;a href=|http://drb.scripturetext.com/psalms/27.htm| title=|Douay-Rheims Bible| target=|_top|&gt;DRB&lt;/a&gt;</v>
      </c>
      <c r="T505" t="str">
        <f t="shared" si="2016"/>
        <v>&lt;/li&gt;&lt;li&gt;&lt;a href=|http://erv.scripturetext.com/psalms/27.htm| title=|English Revised Version| target=|_top|&gt;ERV&lt;/a&gt;</v>
      </c>
      <c r="V505" t="str">
        <f>CONCATENATE("&lt;/li&gt;&lt;li&gt;&lt;a href=|http://",V1191,"/psalms/27.htm","| ","title=|",V1190,"| target=|_top|&gt;",V1192,"&lt;/a&gt;")</f>
        <v>&lt;/li&gt;&lt;li&gt;&lt;a href=|http://study.interlinearbible.org/psalms/27.htm| title=|Hebrew Study Bible| target=|_top|&gt;Heb Study&lt;/a&gt;</v>
      </c>
      <c r="W505" t="str">
        <f t="shared" si="2016"/>
        <v>&lt;/li&gt;&lt;li&gt;&lt;a href=|http://apostolic.interlinearbible.org/psalms/27.htm| title=|Apostolic Bible Polyglot Interlinear| target=|_top|&gt;Polyglot&lt;/a&gt;</v>
      </c>
      <c r="X505" t="str">
        <f t="shared" si="2016"/>
        <v>&lt;/li&gt;&lt;li&gt;&lt;a href=|http://interlinearbible.org/psalms/27.htm| title=|Interlinear Bible| target=|_top|&gt;Interlin&lt;/a&gt;</v>
      </c>
      <c r="Y505" t="str">
        <f t="shared" ref="Y505" si="2017">CONCATENATE("&lt;/li&gt;&lt;li&gt;&lt;a href=|http://",Y1191,"/psalms/27.htm","| ","title=|",Y1190,"| target=|_top|&gt;",Y1192,"&lt;/a&gt;")</f>
        <v>&lt;/li&gt;&lt;li&gt;&lt;a href=|http://bibleoutline.org/psalms/27.htm| title=|Outline with People and Places List| target=|_top|&gt;Outline&lt;/a&gt;</v>
      </c>
      <c r="Z505" t="str">
        <f t="shared" si="2016"/>
        <v>&lt;/li&gt;&lt;li&gt;&lt;a href=|http://kjvs.scripturetext.com/psalms/27.htm| title=|King James Bible with Strong's Numbers| target=|_top|&gt;Strong's&lt;/a&gt;</v>
      </c>
      <c r="AA505" t="str">
        <f t="shared" si="2016"/>
        <v>&lt;/li&gt;&lt;li&gt;&lt;a href=|http://childrensbibleonline.com/psalms/27.htm| title=|The Children's Bible| target=|_top|&gt;Children's&lt;/a&gt;</v>
      </c>
      <c r="AB505" s="2" t="str">
        <f t="shared" si="2016"/>
        <v>&lt;/li&gt;&lt;li&gt;&lt;a href=|http://tsk.scripturetext.com/psalms/27.htm| title=|Treasury of Scripture Knowledge| target=|_top|&gt;TSK&lt;/a&gt;</v>
      </c>
      <c r="AC505" t="str">
        <f>CONCATENATE("&lt;a href=|http://",AC1191,"/psalms/27.htm","| ","title=|",AC1190,"| target=|_top|&gt;",AC1192,"&lt;/a&gt;")</f>
        <v>&lt;a href=|http://parallelbible.com/psalms/27.htm| title=|Parallel Chapters| target=|_top|&gt;PAR&lt;/a&gt;</v>
      </c>
      <c r="AD505" s="2" t="str">
        <f t="shared" ref="AD505:AK505" si="2018">CONCATENATE("&lt;/li&gt;&lt;li&gt;&lt;a href=|http://",AD1191,"/psalms/27.htm","| ","title=|",AD1190,"| target=|_top|&gt;",AD1192,"&lt;/a&gt;")</f>
        <v>&lt;/li&gt;&lt;li&gt;&lt;a href=|http://gsb.biblecommenter.com/psalms/27.htm| title=|Geneva Study Bible| target=|_top|&gt;GSB&lt;/a&gt;</v>
      </c>
      <c r="AE505" s="2" t="str">
        <f t="shared" si="2018"/>
        <v>&lt;/li&gt;&lt;li&gt;&lt;a href=|http://jfb.biblecommenter.com/psalms/27.htm| title=|Jamieson-Fausset-Brown Bible Commentary| target=|_top|&gt;JFB&lt;/a&gt;</v>
      </c>
      <c r="AF505" s="2" t="str">
        <f t="shared" si="2018"/>
        <v>&lt;/li&gt;&lt;li&gt;&lt;a href=|http://kjt.biblecommenter.com/psalms/27.htm| title=|King James Translators' Notes| target=|_top|&gt;KJT&lt;/a&gt;</v>
      </c>
      <c r="AG505" s="2" t="str">
        <f t="shared" si="2018"/>
        <v>&lt;/li&gt;&lt;li&gt;&lt;a href=|http://mhc.biblecommenter.com/psalms/27.htm| title=|Matthew Henry's Concise Commentary| target=|_top|&gt;MHC&lt;/a&gt;</v>
      </c>
      <c r="AH505" s="2" t="str">
        <f t="shared" si="2018"/>
        <v>&lt;/li&gt;&lt;li&gt;&lt;a href=|http://sco.biblecommenter.com/psalms/27.htm| title=|Scofield Reference Notes| target=|_top|&gt;SCO&lt;/a&gt;</v>
      </c>
      <c r="AI505" s="2" t="str">
        <f t="shared" si="2018"/>
        <v>&lt;/li&gt;&lt;li&gt;&lt;a href=|http://wes.biblecommenter.com/psalms/27.htm| title=|Wesley's Notes on the Bible| target=|_top|&gt;WES&lt;/a&gt;</v>
      </c>
      <c r="AJ505" t="str">
        <f t="shared" si="2018"/>
        <v>&lt;/li&gt;&lt;li&gt;&lt;a href=|http://worldebible.com/psalms/27.htm| title=|World English Bible| target=|_top|&gt;WEB&lt;/a&gt;</v>
      </c>
      <c r="AK505" t="str">
        <f t="shared" si="2018"/>
        <v>&lt;/li&gt;&lt;li&gt;&lt;a href=|http://yltbible.com/psalms/27.htm| title=|Young's Literal Translation| target=|_top|&gt;YLT&lt;/a&gt;</v>
      </c>
      <c r="AL505" t="str">
        <f>CONCATENATE("&lt;a href=|http://",AL1191,"/psalms/27.htm","| ","title=|",AL1190,"| target=|_top|&gt;",AL1192,"&lt;/a&gt;")</f>
        <v>&lt;a href=|http://kjv.us/psalms/27.htm| title=|American King James Version| target=|_top|&gt;AKJ&lt;/a&gt;</v>
      </c>
      <c r="AM505" t="str">
        <f t="shared" ref="AM505:AN505" si="2019">CONCATENATE("&lt;/li&gt;&lt;li&gt;&lt;a href=|http://",AM1191,"/psalms/27.htm","| ","title=|",AM1190,"| target=|_top|&gt;",AM1192,"&lt;/a&gt;")</f>
        <v>&lt;/li&gt;&lt;li&gt;&lt;a href=|http://basicenglishbible.com/psalms/27.htm| title=|Bible in Basic English| target=|_top|&gt;BBE&lt;/a&gt;</v>
      </c>
      <c r="AN505" t="str">
        <f t="shared" si="2019"/>
        <v>&lt;/li&gt;&lt;li&gt;&lt;a href=|http://darbybible.com/psalms/27.htm| title=|Darby Bible Translation| target=|_top|&gt;DBY&lt;/a&gt;</v>
      </c>
      <c r="AO50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0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0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05" t="str">
        <f>CONCATENATE("&lt;/li&gt;&lt;li&gt;&lt;a href=|http://",AR1191,"/psalms/27.htm","| ","title=|",AR1190,"| target=|_top|&gt;",AR1192,"&lt;/a&gt;")</f>
        <v>&lt;/li&gt;&lt;li&gt;&lt;a href=|http://websterbible.com/psalms/27.htm| title=|Webster's Bible Translation| target=|_top|&gt;WBS&lt;/a&gt;</v>
      </c>
      <c r="AS50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05" t="str">
        <f>CONCATENATE("&lt;/li&gt;&lt;li&gt;&lt;a href=|http://",AT1191,"/psalms/27-1.htm","| ","title=|",AT1190,"| target=|_top|&gt;",AT1192,"&lt;/a&gt;")</f>
        <v>&lt;/li&gt;&lt;li&gt;&lt;a href=|http://biblebrowser.com/psalms/27-1.htm| title=|Split View| target=|_top|&gt;Split&lt;/a&gt;</v>
      </c>
      <c r="AU505" s="2" t="s">
        <v>1276</v>
      </c>
      <c r="AV505" t="s">
        <v>64</v>
      </c>
    </row>
    <row r="506" spans="1:48">
      <c r="A506" t="s">
        <v>622</v>
      </c>
      <c r="B506" t="s">
        <v>744</v>
      </c>
      <c r="C506" t="s">
        <v>624</v>
      </c>
      <c r="D506" t="s">
        <v>1268</v>
      </c>
      <c r="E506" t="s">
        <v>1277</v>
      </c>
      <c r="F506" t="s">
        <v>1304</v>
      </c>
      <c r="G506" t="s">
        <v>1266</v>
      </c>
      <c r="H506" t="s">
        <v>1305</v>
      </c>
      <c r="I506" t="s">
        <v>1303</v>
      </c>
      <c r="J506" t="s">
        <v>1267</v>
      </c>
      <c r="K506" t="s">
        <v>1275</v>
      </c>
      <c r="L506" s="2" t="s">
        <v>1274</v>
      </c>
      <c r="M506" t="str">
        <f t="shared" ref="M506:AB506" si="2020">CONCATENATE("&lt;/li&gt;&lt;li&gt;&lt;a href=|http://",M1191,"/psalms/28.htm","| ","title=|",M1190,"| target=|_top|&gt;",M1192,"&lt;/a&gt;")</f>
        <v>&lt;/li&gt;&lt;li&gt;&lt;a href=|http://niv.scripturetext.com/psalms/28.htm| title=|New International Version| target=|_top|&gt;NIV&lt;/a&gt;</v>
      </c>
      <c r="N506" t="str">
        <f t="shared" si="2020"/>
        <v>&lt;/li&gt;&lt;li&gt;&lt;a href=|http://nlt.scripturetext.com/psalms/28.htm| title=|New Living Translation| target=|_top|&gt;NLT&lt;/a&gt;</v>
      </c>
      <c r="O506" t="str">
        <f t="shared" si="2020"/>
        <v>&lt;/li&gt;&lt;li&gt;&lt;a href=|http://nasb.scripturetext.com/psalms/28.htm| title=|New American Standard Bible| target=|_top|&gt;NAS&lt;/a&gt;</v>
      </c>
      <c r="P506" t="str">
        <f t="shared" si="2020"/>
        <v>&lt;/li&gt;&lt;li&gt;&lt;a href=|http://gwt.scripturetext.com/psalms/28.htm| title=|God's Word Translation| target=|_top|&gt;GWT&lt;/a&gt;</v>
      </c>
      <c r="Q506" t="str">
        <f t="shared" si="2020"/>
        <v>&lt;/li&gt;&lt;li&gt;&lt;a href=|http://kingjbible.com/psalms/28.htm| title=|King James Bible| target=|_top|&gt;KJV&lt;/a&gt;</v>
      </c>
      <c r="R506" t="str">
        <f t="shared" si="2020"/>
        <v>&lt;/li&gt;&lt;li&gt;&lt;a href=|http://asvbible.com/psalms/28.htm| title=|American Standard Version| target=|_top|&gt;ASV&lt;/a&gt;</v>
      </c>
      <c r="S506" t="str">
        <f t="shared" si="2020"/>
        <v>&lt;/li&gt;&lt;li&gt;&lt;a href=|http://drb.scripturetext.com/psalms/28.htm| title=|Douay-Rheims Bible| target=|_top|&gt;DRB&lt;/a&gt;</v>
      </c>
      <c r="T506" t="str">
        <f t="shared" si="2020"/>
        <v>&lt;/li&gt;&lt;li&gt;&lt;a href=|http://erv.scripturetext.com/psalms/28.htm| title=|English Revised Version| target=|_top|&gt;ERV&lt;/a&gt;</v>
      </c>
      <c r="V506" t="str">
        <f>CONCATENATE("&lt;/li&gt;&lt;li&gt;&lt;a href=|http://",V1191,"/psalms/28.htm","| ","title=|",V1190,"| target=|_top|&gt;",V1192,"&lt;/a&gt;")</f>
        <v>&lt;/li&gt;&lt;li&gt;&lt;a href=|http://study.interlinearbible.org/psalms/28.htm| title=|Hebrew Study Bible| target=|_top|&gt;Heb Study&lt;/a&gt;</v>
      </c>
      <c r="W506" t="str">
        <f t="shared" si="2020"/>
        <v>&lt;/li&gt;&lt;li&gt;&lt;a href=|http://apostolic.interlinearbible.org/psalms/28.htm| title=|Apostolic Bible Polyglot Interlinear| target=|_top|&gt;Polyglot&lt;/a&gt;</v>
      </c>
      <c r="X506" t="str">
        <f t="shared" si="2020"/>
        <v>&lt;/li&gt;&lt;li&gt;&lt;a href=|http://interlinearbible.org/psalms/28.htm| title=|Interlinear Bible| target=|_top|&gt;Interlin&lt;/a&gt;</v>
      </c>
      <c r="Y506" t="str">
        <f t="shared" ref="Y506" si="2021">CONCATENATE("&lt;/li&gt;&lt;li&gt;&lt;a href=|http://",Y1191,"/psalms/28.htm","| ","title=|",Y1190,"| target=|_top|&gt;",Y1192,"&lt;/a&gt;")</f>
        <v>&lt;/li&gt;&lt;li&gt;&lt;a href=|http://bibleoutline.org/psalms/28.htm| title=|Outline with People and Places List| target=|_top|&gt;Outline&lt;/a&gt;</v>
      </c>
      <c r="Z506" t="str">
        <f t="shared" si="2020"/>
        <v>&lt;/li&gt;&lt;li&gt;&lt;a href=|http://kjvs.scripturetext.com/psalms/28.htm| title=|King James Bible with Strong's Numbers| target=|_top|&gt;Strong's&lt;/a&gt;</v>
      </c>
      <c r="AA506" t="str">
        <f t="shared" si="2020"/>
        <v>&lt;/li&gt;&lt;li&gt;&lt;a href=|http://childrensbibleonline.com/psalms/28.htm| title=|The Children's Bible| target=|_top|&gt;Children's&lt;/a&gt;</v>
      </c>
      <c r="AB506" s="2" t="str">
        <f t="shared" si="2020"/>
        <v>&lt;/li&gt;&lt;li&gt;&lt;a href=|http://tsk.scripturetext.com/psalms/28.htm| title=|Treasury of Scripture Knowledge| target=|_top|&gt;TSK&lt;/a&gt;</v>
      </c>
      <c r="AC506" t="str">
        <f>CONCATENATE("&lt;a href=|http://",AC1191,"/psalms/28.htm","| ","title=|",AC1190,"| target=|_top|&gt;",AC1192,"&lt;/a&gt;")</f>
        <v>&lt;a href=|http://parallelbible.com/psalms/28.htm| title=|Parallel Chapters| target=|_top|&gt;PAR&lt;/a&gt;</v>
      </c>
      <c r="AD506" s="2" t="str">
        <f t="shared" ref="AD506:AK506" si="2022">CONCATENATE("&lt;/li&gt;&lt;li&gt;&lt;a href=|http://",AD1191,"/psalms/28.htm","| ","title=|",AD1190,"| target=|_top|&gt;",AD1192,"&lt;/a&gt;")</f>
        <v>&lt;/li&gt;&lt;li&gt;&lt;a href=|http://gsb.biblecommenter.com/psalms/28.htm| title=|Geneva Study Bible| target=|_top|&gt;GSB&lt;/a&gt;</v>
      </c>
      <c r="AE506" s="2" t="str">
        <f t="shared" si="2022"/>
        <v>&lt;/li&gt;&lt;li&gt;&lt;a href=|http://jfb.biblecommenter.com/psalms/28.htm| title=|Jamieson-Fausset-Brown Bible Commentary| target=|_top|&gt;JFB&lt;/a&gt;</v>
      </c>
      <c r="AF506" s="2" t="str">
        <f t="shared" si="2022"/>
        <v>&lt;/li&gt;&lt;li&gt;&lt;a href=|http://kjt.biblecommenter.com/psalms/28.htm| title=|King James Translators' Notes| target=|_top|&gt;KJT&lt;/a&gt;</v>
      </c>
      <c r="AG506" s="2" t="str">
        <f t="shared" si="2022"/>
        <v>&lt;/li&gt;&lt;li&gt;&lt;a href=|http://mhc.biblecommenter.com/psalms/28.htm| title=|Matthew Henry's Concise Commentary| target=|_top|&gt;MHC&lt;/a&gt;</v>
      </c>
      <c r="AH506" s="2" t="str">
        <f t="shared" si="2022"/>
        <v>&lt;/li&gt;&lt;li&gt;&lt;a href=|http://sco.biblecommenter.com/psalms/28.htm| title=|Scofield Reference Notes| target=|_top|&gt;SCO&lt;/a&gt;</v>
      </c>
      <c r="AI506" s="2" t="str">
        <f t="shared" si="2022"/>
        <v>&lt;/li&gt;&lt;li&gt;&lt;a href=|http://wes.biblecommenter.com/psalms/28.htm| title=|Wesley's Notes on the Bible| target=|_top|&gt;WES&lt;/a&gt;</v>
      </c>
      <c r="AJ506" t="str">
        <f t="shared" si="2022"/>
        <v>&lt;/li&gt;&lt;li&gt;&lt;a href=|http://worldebible.com/psalms/28.htm| title=|World English Bible| target=|_top|&gt;WEB&lt;/a&gt;</v>
      </c>
      <c r="AK506" t="str">
        <f t="shared" si="2022"/>
        <v>&lt;/li&gt;&lt;li&gt;&lt;a href=|http://yltbible.com/psalms/28.htm| title=|Young's Literal Translation| target=|_top|&gt;YLT&lt;/a&gt;</v>
      </c>
      <c r="AL506" t="str">
        <f>CONCATENATE("&lt;a href=|http://",AL1191,"/psalms/28.htm","| ","title=|",AL1190,"| target=|_top|&gt;",AL1192,"&lt;/a&gt;")</f>
        <v>&lt;a href=|http://kjv.us/psalms/28.htm| title=|American King James Version| target=|_top|&gt;AKJ&lt;/a&gt;</v>
      </c>
      <c r="AM506" t="str">
        <f t="shared" ref="AM506:AN506" si="2023">CONCATENATE("&lt;/li&gt;&lt;li&gt;&lt;a href=|http://",AM1191,"/psalms/28.htm","| ","title=|",AM1190,"| target=|_top|&gt;",AM1192,"&lt;/a&gt;")</f>
        <v>&lt;/li&gt;&lt;li&gt;&lt;a href=|http://basicenglishbible.com/psalms/28.htm| title=|Bible in Basic English| target=|_top|&gt;BBE&lt;/a&gt;</v>
      </c>
      <c r="AN506" t="str">
        <f t="shared" si="2023"/>
        <v>&lt;/li&gt;&lt;li&gt;&lt;a href=|http://darbybible.com/psalms/28.htm| title=|Darby Bible Translation| target=|_top|&gt;DBY&lt;/a&gt;</v>
      </c>
      <c r="AO50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0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0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06" t="str">
        <f>CONCATENATE("&lt;/li&gt;&lt;li&gt;&lt;a href=|http://",AR1191,"/psalms/28.htm","| ","title=|",AR1190,"| target=|_top|&gt;",AR1192,"&lt;/a&gt;")</f>
        <v>&lt;/li&gt;&lt;li&gt;&lt;a href=|http://websterbible.com/psalms/28.htm| title=|Webster's Bible Translation| target=|_top|&gt;WBS&lt;/a&gt;</v>
      </c>
      <c r="AS50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06" t="str">
        <f>CONCATENATE("&lt;/li&gt;&lt;li&gt;&lt;a href=|http://",AT1191,"/psalms/28-1.htm","| ","title=|",AT1190,"| target=|_top|&gt;",AT1192,"&lt;/a&gt;")</f>
        <v>&lt;/li&gt;&lt;li&gt;&lt;a href=|http://biblebrowser.com/psalms/28-1.htm| title=|Split View| target=|_top|&gt;Split&lt;/a&gt;</v>
      </c>
      <c r="AU506" s="2" t="s">
        <v>1276</v>
      </c>
      <c r="AV506" t="s">
        <v>64</v>
      </c>
    </row>
    <row r="507" spans="1:48">
      <c r="A507" t="s">
        <v>622</v>
      </c>
      <c r="B507" t="s">
        <v>745</v>
      </c>
      <c r="C507" t="s">
        <v>624</v>
      </c>
      <c r="D507" t="s">
        <v>1268</v>
      </c>
      <c r="E507" t="s">
        <v>1277</v>
      </c>
      <c r="F507" t="s">
        <v>1304</v>
      </c>
      <c r="G507" t="s">
        <v>1266</v>
      </c>
      <c r="H507" t="s">
        <v>1305</v>
      </c>
      <c r="I507" t="s">
        <v>1303</v>
      </c>
      <c r="J507" t="s">
        <v>1267</v>
      </c>
      <c r="K507" t="s">
        <v>1275</v>
      </c>
      <c r="L507" s="2" t="s">
        <v>1274</v>
      </c>
      <c r="M507" t="str">
        <f t="shared" ref="M507:AB507" si="2024">CONCATENATE("&lt;/li&gt;&lt;li&gt;&lt;a href=|http://",M1191,"/psalms/29.htm","| ","title=|",M1190,"| target=|_top|&gt;",M1192,"&lt;/a&gt;")</f>
        <v>&lt;/li&gt;&lt;li&gt;&lt;a href=|http://niv.scripturetext.com/psalms/29.htm| title=|New International Version| target=|_top|&gt;NIV&lt;/a&gt;</v>
      </c>
      <c r="N507" t="str">
        <f t="shared" si="2024"/>
        <v>&lt;/li&gt;&lt;li&gt;&lt;a href=|http://nlt.scripturetext.com/psalms/29.htm| title=|New Living Translation| target=|_top|&gt;NLT&lt;/a&gt;</v>
      </c>
      <c r="O507" t="str">
        <f t="shared" si="2024"/>
        <v>&lt;/li&gt;&lt;li&gt;&lt;a href=|http://nasb.scripturetext.com/psalms/29.htm| title=|New American Standard Bible| target=|_top|&gt;NAS&lt;/a&gt;</v>
      </c>
      <c r="P507" t="str">
        <f t="shared" si="2024"/>
        <v>&lt;/li&gt;&lt;li&gt;&lt;a href=|http://gwt.scripturetext.com/psalms/29.htm| title=|God's Word Translation| target=|_top|&gt;GWT&lt;/a&gt;</v>
      </c>
      <c r="Q507" t="str">
        <f t="shared" si="2024"/>
        <v>&lt;/li&gt;&lt;li&gt;&lt;a href=|http://kingjbible.com/psalms/29.htm| title=|King James Bible| target=|_top|&gt;KJV&lt;/a&gt;</v>
      </c>
      <c r="R507" t="str">
        <f t="shared" si="2024"/>
        <v>&lt;/li&gt;&lt;li&gt;&lt;a href=|http://asvbible.com/psalms/29.htm| title=|American Standard Version| target=|_top|&gt;ASV&lt;/a&gt;</v>
      </c>
      <c r="S507" t="str">
        <f t="shared" si="2024"/>
        <v>&lt;/li&gt;&lt;li&gt;&lt;a href=|http://drb.scripturetext.com/psalms/29.htm| title=|Douay-Rheims Bible| target=|_top|&gt;DRB&lt;/a&gt;</v>
      </c>
      <c r="T507" t="str">
        <f t="shared" si="2024"/>
        <v>&lt;/li&gt;&lt;li&gt;&lt;a href=|http://erv.scripturetext.com/psalms/29.htm| title=|English Revised Version| target=|_top|&gt;ERV&lt;/a&gt;</v>
      </c>
      <c r="V507" t="str">
        <f>CONCATENATE("&lt;/li&gt;&lt;li&gt;&lt;a href=|http://",V1191,"/psalms/29.htm","| ","title=|",V1190,"| target=|_top|&gt;",V1192,"&lt;/a&gt;")</f>
        <v>&lt;/li&gt;&lt;li&gt;&lt;a href=|http://study.interlinearbible.org/psalms/29.htm| title=|Hebrew Study Bible| target=|_top|&gt;Heb Study&lt;/a&gt;</v>
      </c>
      <c r="W507" t="str">
        <f t="shared" si="2024"/>
        <v>&lt;/li&gt;&lt;li&gt;&lt;a href=|http://apostolic.interlinearbible.org/psalms/29.htm| title=|Apostolic Bible Polyglot Interlinear| target=|_top|&gt;Polyglot&lt;/a&gt;</v>
      </c>
      <c r="X507" t="str">
        <f t="shared" si="2024"/>
        <v>&lt;/li&gt;&lt;li&gt;&lt;a href=|http://interlinearbible.org/psalms/29.htm| title=|Interlinear Bible| target=|_top|&gt;Interlin&lt;/a&gt;</v>
      </c>
      <c r="Y507" t="str">
        <f t="shared" ref="Y507" si="2025">CONCATENATE("&lt;/li&gt;&lt;li&gt;&lt;a href=|http://",Y1191,"/psalms/29.htm","| ","title=|",Y1190,"| target=|_top|&gt;",Y1192,"&lt;/a&gt;")</f>
        <v>&lt;/li&gt;&lt;li&gt;&lt;a href=|http://bibleoutline.org/psalms/29.htm| title=|Outline with People and Places List| target=|_top|&gt;Outline&lt;/a&gt;</v>
      </c>
      <c r="Z507" t="str">
        <f t="shared" si="2024"/>
        <v>&lt;/li&gt;&lt;li&gt;&lt;a href=|http://kjvs.scripturetext.com/psalms/29.htm| title=|King James Bible with Strong's Numbers| target=|_top|&gt;Strong's&lt;/a&gt;</v>
      </c>
      <c r="AA507" t="str">
        <f t="shared" si="2024"/>
        <v>&lt;/li&gt;&lt;li&gt;&lt;a href=|http://childrensbibleonline.com/psalms/29.htm| title=|The Children's Bible| target=|_top|&gt;Children's&lt;/a&gt;</v>
      </c>
      <c r="AB507" s="2" t="str">
        <f t="shared" si="2024"/>
        <v>&lt;/li&gt;&lt;li&gt;&lt;a href=|http://tsk.scripturetext.com/psalms/29.htm| title=|Treasury of Scripture Knowledge| target=|_top|&gt;TSK&lt;/a&gt;</v>
      </c>
      <c r="AC507" t="str">
        <f>CONCATENATE("&lt;a href=|http://",AC1191,"/psalms/29.htm","| ","title=|",AC1190,"| target=|_top|&gt;",AC1192,"&lt;/a&gt;")</f>
        <v>&lt;a href=|http://parallelbible.com/psalms/29.htm| title=|Parallel Chapters| target=|_top|&gt;PAR&lt;/a&gt;</v>
      </c>
      <c r="AD507" s="2" t="str">
        <f t="shared" ref="AD507:AK507" si="2026">CONCATENATE("&lt;/li&gt;&lt;li&gt;&lt;a href=|http://",AD1191,"/psalms/29.htm","| ","title=|",AD1190,"| target=|_top|&gt;",AD1192,"&lt;/a&gt;")</f>
        <v>&lt;/li&gt;&lt;li&gt;&lt;a href=|http://gsb.biblecommenter.com/psalms/29.htm| title=|Geneva Study Bible| target=|_top|&gt;GSB&lt;/a&gt;</v>
      </c>
      <c r="AE507" s="2" t="str">
        <f t="shared" si="2026"/>
        <v>&lt;/li&gt;&lt;li&gt;&lt;a href=|http://jfb.biblecommenter.com/psalms/29.htm| title=|Jamieson-Fausset-Brown Bible Commentary| target=|_top|&gt;JFB&lt;/a&gt;</v>
      </c>
      <c r="AF507" s="2" t="str">
        <f t="shared" si="2026"/>
        <v>&lt;/li&gt;&lt;li&gt;&lt;a href=|http://kjt.biblecommenter.com/psalms/29.htm| title=|King James Translators' Notes| target=|_top|&gt;KJT&lt;/a&gt;</v>
      </c>
      <c r="AG507" s="2" t="str">
        <f t="shared" si="2026"/>
        <v>&lt;/li&gt;&lt;li&gt;&lt;a href=|http://mhc.biblecommenter.com/psalms/29.htm| title=|Matthew Henry's Concise Commentary| target=|_top|&gt;MHC&lt;/a&gt;</v>
      </c>
      <c r="AH507" s="2" t="str">
        <f t="shared" si="2026"/>
        <v>&lt;/li&gt;&lt;li&gt;&lt;a href=|http://sco.biblecommenter.com/psalms/29.htm| title=|Scofield Reference Notes| target=|_top|&gt;SCO&lt;/a&gt;</v>
      </c>
      <c r="AI507" s="2" t="str">
        <f t="shared" si="2026"/>
        <v>&lt;/li&gt;&lt;li&gt;&lt;a href=|http://wes.biblecommenter.com/psalms/29.htm| title=|Wesley's Notes on the Bible| target=|_top|&gt;WES&lt;/a&gt;</v>
      </c>
      <c r="AJ507" t="str">
        <f t="shared" si="2026"/>
        <v>&lt;/li&gt;&lt;li&gt;&lt;a href=|http://worldebible.com/psalms/29.htm| title=|World English Bible| target=|_top|&gt;WEB&lt;/a&gt;</v>
      </c>
      <c r="AK507" t="str">
        <f t="shared" si="2026"/>
        <v>&lt;/li&gt;&lt;li&gt;&lt;a href=|http://yltbible.com/psalms/29.htm| title=|Young's Literal Translation| target=|_top|&gt;YLT&lt;/a&gt;</v>
      </c>
      <c r="AL507" t="str">
        <f>CONCATENATE("&lt;a href=|http://",AL1191,"/psalms/29.htm","| ","title=|",AL1190,"| target=|_top|&gt;",AL1192,"&lt;/a&gt;")</f>
        <v>&lt;a href=|http://kjv.us/psalms/29.htm| title=|American King James Version| target=|_top|&gt;AKJ&lt;/a&gt;</v>
      </c>
      <c r="AM507" t="str">
        <f t="shared" ref="AM507:AN507" si="2027">CONCATENATE("&lt;/li&gt;&lt;li&gt;&lt;a href=|http://",AM1191,"/psalms/29.htm","| ","title=|",AM1190,"| target=|_top|&gt;",AM1192,"&lt;/a&gt;")</f>
        <v>&lt;/li&gt;&lt;li&gt;&lt;a href=|http://basicenglishbible.com/psalms/29.htm| title=|Bible in Basic English| target=|_top|&gt;BBE&lt;/a&gt;</v>
      </c>
      <c r="AN507" t="str">
        <f t="shared" si="2027"/>
        <v>&lt;/li&gt;&lt;li&gt;&lt;a href=|http://darbybible.com/psalms/29.htm| title=|Darby Bible Translation| target=|_top|&gt;DBY&lt;/a&gt;</v>
      </c>
      <c r="AO50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0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0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07" t="str">
        <f>CONCATENATE("&lt;/li&gt;&lt;li&gt;&lt;a href=|http://",AR1191,"/psalms/29.htm","| ","title=|",AR1190,"| target=|_top|&gt;",AR1192,"&lt;/a&gt;")</f>
        <v>&lt;/li&gt;&lt;li&gt;&lt;a href=|http://websterbible.com/psalms/29.htm| title=|Webster's Bible Translation| target=|_top|&gt;WBS&lt;/a&gt;</v>
      </c>
      <c r="AS50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07" t="str">
        <f>CONCATENATE("&lt;/li&gt;&lt;li&gt;&lt;a href=|http://",AT1191,"/psalms/29-1.htm","| ","title=|",AT1190,"| target=|_top|&gt;",AT1192,"&lt;/a&gt;")</f>
        <v>&lt;/li&gt;&lt;li&gt;&lt;a href=|http://biblebrowser.com/psalms/29-1.htm| title=|Split View| target=|_top|&gt;Split&lt;/a&gt;</v>
      </c>
      <c r="AU507" s="2" t="s">
        <v>1276</v>
      </c>
      <c r="AV507" t="s">
        <v>64</v>
      </c>
    </row>
    <row r="508" spans="1:48">
      <c r="A508" t="s">
        <v>622</v>
      </c>
      <c r="B508" t="s">
        <v>746</v>
      </c>
      <c r="C508" t="s">
        <v>624</v>
      </c>
      <c r="D508" t="s">
        <v>1268</v>
      </c>
      <c r="E508" t="s">
        <v>1277</v>
      </c>
      <c r="F508" t="s">
        <v>1304</v>
      </c>
      <c r="G508" t="s">
        <v>1266</v>
      </c>
      <c r="H508" t="s">
        <v>1305</v>
      </c>
      <c r="I508" t="s">
        <v>1303</v>
      </c>
      <c r="J508" t="s">
        <v>1267</v>
      </c>
      <c r="K508" t="s">
        <v>1275</v>
      </c>
      <c r="L508" s="2" t="s">
        <v>1274</v>
      </c>
      <c r="M508" t="str">
        <f t="shared" ref="M508:AB508" si="2028">CONCATENATE("&lt;/li&gt;&lt;li&gt;&lt;a href=|http://",M1191,"/psalms/30.htm","| ","title=|",M1190,"| target=|_top|&gt;",M1192,"&lt;/a&gt;")</f>
        <v>&lt;/li&gt;&lt;li&gt;&lt;a href=|http://niv.scripturetext.com/psalms/30.htm| title=|New International Version| target=|_top|&gt;NIV&lt;/a&gt;</v>
      </c>
      <c r="N508" t="str">
        <f t="shared" si="2028"/>
        <v>&lt;/li&gt;&lt;li&gt;&lt;a href=|http://nlt.scripturetext.com/psalms/30.htm| title=|New Living Translation| target=|_top|&gt;NLT&lt;/a&gt;</v>
      </c>
      <c r="O508" t="str">
        <f t="shared" si="2028"/>
        <v>&lt;/li&gt;&lt;li&gt;&lt;a href=|http://nasb.scripturetext.com/psalms/30.htm| title=|New American Standard Bible| target=|_top|&gt;NAS&lt;/a&gt;</v>
      </c>
      <c r="P508" t="str">
        <f t="shared" si="2028"/>
        <v>&lt;/li&gt;&lt;li&gt;&lt;a href=|http://gwt.scripturetext.com/psalms/30.htm| title=|God's Word Translation| target=|_top|&gt;GWT&lt;/a&gt;</v>
      </c>
      <c r="Q508" t="str">
        <f t="shared" si="2028"/>
        <v>&lt;/li&gt;&lt;li&gt;&lt;a href=|http://kingjbible.com/psalms/30.htm| title=|King James Bible| target=|_top|&gt;KJV&lt;/a&gt;</v>
      </c>
      <c r="R508" t="str">
        <f t="shared" si="2028"/>
        <v>&lt;/li&gt;&lt;li&gt;&lt;a href=|http://asvbible.com/psalms/30.htm| title=|American Standard Version| target=|_top|&gt;ASV&lt;/a&gt;</v>
      </c>
      <c r="S508" t="str">
        <f t="shared" si="2028"/>
        <v>&lt;/li&gt;&lt;li&gt;&lt;a href=|http://drb.scripturetext.com/psalms/30.htm| title=|Douay-Rheims Bible| target=|_top|&gt;DRB&lt;/a&gt;</v>
      </c>
      <c r="T508" t="str">
        <f t="shared" si="2028"/>
        <v>&lt;/li&gt;&lt;li&gt;&lt;a href=|http://erv.scripturetext.com/psalms/30.htm| title=|English Revised Version| target=|_top|&gt;ERV&lt;/a&gt;</v>
      </c>
      <c r="V508" t="str">
        <f>CONCATENATE("&lt;/li&gt;&lt;li&gt;&lt;a href=|http://",V1191,"/psalms/30.htm","| ","title=|",V1190,"| target=|_top|&gt;",V1192,"&lt;/a&gt;")</f>
        <v>&lt;/li&gt;&lt;li&gt;&lt;a href=|http://study.interlinearbible.org/psalms/30.htm| title=|Hebrew Study Bible| target=|_top|&gt;Heb Study&lt;/a&gt;</v>
      </c>
      <c r="W508" t="str">
        <f t="shared" si="2028"/>
        <v>&lt;/li&gt;&lt;li&gt;&lt;a href=|http://apostolic.interlinearbible.org/psalms/30.htm| title=|Apostolic Bible Polyglot Interlinear| target=|_top|&gt;Polyglot&lt;/a&gt;</v>
      </c>
      <c r="X508" t="str">
        <f t="shared" si="2028"/>
        <v>&lt;/li&gt;&lt;li&gt;&lt;a href=|http://interlinearbible.org/psalms/30.htm| title=|Interlinear Bible| target=|_top|&gt;Interlin&lt;/a&gt;</v>
      </c>
      <c r="Y508" t="str">
        <f t="shared" ref="Y508" si="2029">CONCATENATE("&lt;/li&gt;&lt;li&gt;&lt;a href=|http://",Y1191,"/psalms/30.htm","| ","title=|",Y1190,"| target=|_top|&gt;",Y1192,"&lt;/a&gt;")</f>
        <v>&lt;/li&gt;&lt;li&gt;&lt;a href=|http://bibleoutline.org/psalms/30.htm| title=|Outline with People and Places List| target=|_top|&gt;Outline&lt;/a&gt;</v>
      </c>
      <c r="Z508" t="str">
        <f t="shared" si="2028"/>
        <v>&lt;/li&gt;&lt;li&gt;&lt;a href=|http://kjvs.scripturetext.com/psalms/30.htm| title=|King James Bible with Strong's Numbers| target=|_top|&gt;Strong's&lt;/a&gt;</v>
      </c>
      <c r="AA508" t="str">
        <f t="shared" si="2028"/>
        <v>&lt;/li&gt;&lt;li&gt;&lt;a href=|http://childrensbibleonline.com/psalms/30.htm| title=|The Children's Bible| target=|_top|&gt;Children's&lt;/a&gt;</v>
      </c>
      <c r="AB508" s="2" t="str">
        <f t="shared" si="2028"/>
        <v>&lt;/li&gt;&lt;li&gt;&lt;a href=|http://tsk.scripturetext.com/psalms/30.htm| title=|Treasury of Scripture Knowledge| target=|_top|&gt;TSK&lt;/a&gt;</v>
      </c>
      <c r="AC508" t="str">
        <f>CONCATENATE("&lt;a href=|http://",AC1191,"/psalms/30.htm","| ","title=|",AC1190,"| target=|_top|&gt;",AC1192,"&lt;/a&gt;")</f>
        <v>&lt;a href=|http://parallelbible.com/psalms/30.htm| title=|Parallel Chapters| target=|_top|&gt;PAR&lt;/a&gt;</v>
      </c>
      <c r="AD508" s="2" t="str">
        <f t="shared" ref="AD508:AK508" si="2030">CONCATENATE("&lt;/li&gt;&lt;li&gt;&lt;a href=|http://",AD1191,"/psalms/30.htm","| ","title=|",AD1190,"| target=|_top|&gt;",AD1192,"&lt;/a&gt;")</f>
        <v>&lt;/li&gt;&lt;li&gt;&lt;a href=|http://gsb.biblecommenter.com/psalms/30.htm| title=|Geneva Study Bible| target=|_top|&gt;GSB&lt;/a&gt;</v>
      </c>
      <c r="AE508" s="2" t="str">
        <f t="shared" si="2030"/>
        <v>&lt;/li&gt;&lt;li&gt;&lt;a href=|http://jfb.biblecommenter.com/psalms/30.htm| title=|Jamieson-Fausset-Brown Bible Commentary| target=|_top|&gt;JFB&lt;/a&gt;</v>
      </c>
      <c r="AF508" s="2" t="str">
        <f t="shared" si="2030"/>
        <v>&lt;/li&gt;&lt;li&gt;&lt;a href=|http://kjt.biblecommenter.com/psalms/30.htm| title=|King James Translators' Notes| target=|_top|&gt;KJT&lt;/a&gt;</v>
      </c>
      <c r="AG508" s="2" t="str">
        <f t="shared" si="2030"/>
        <v>&lt;/li&gt;&lt;li&gt;&lt;a href=|http://mhc.biblecommenter.com/psalms/30.htm| title=|Matthew Henry's Concise Commentary| target=|_top|&gt;MHC&lt;/a&gt;</v>
      </c>
      <c r="AH508" s="2" t="str">
        <f t="shared" si="2030"/>
        <v>&lt;/li&gt;&lt;li&gt;&lt;a href=|http://sco.biblecommenter.com/psalms/30.htm| title=|Scofield Reference Notes| target=|_top|&gt;SCO&lt;/a&gt;</v>
      </c>
      <c r="AI508" s="2" t="str">
        <f t="shared" si="2030"/>
        <v>&lt;/li&gt;&lt;li&gt;&lt;a href=|http://wes.biblecommenter.com/psalms/30.htm| title=|Wesley's Notes on the Bible| target=|_top|&gt;WES&lt;/a&gt;</v>
      </c>
      <c r="AJ508" t="str">
        <f t="shared" si="2030"/>
        <v>&lt;/li&gt;&lt;li&gt;&lt;a href=|http://worldebible.com/psalms/30.htm| title=|World English Bible| target=|_top|&gt;WEB&lt;/a&gt;</v>
      </c>
      <c r="AK508" t="str">
        <f t="shared" si="2030"/>
        <v>&lt;/li&gt;&lt;li&gt;&lt;a href=|http://yltbible.com/psalms/30.htm| title=|Young's Literal Translation| target=|_top|&gt;YLT&lt;/a&gt;</v>
      </c>
      <c r="AL508" t="str">
        <f>CONCATENATE("&lt;a href=|http://",AL1191,"/psalms/30.htm","| ","title=|",AL1190,"| target=|_top|&gt;",AL1192,"&lt;/a&gt;")</f>
        <v>&lt;a href=|http://kjv.us/psalms/30.htm| title=|American King James Version| target=|_top|&gt;AKJ&lt;/a&gt;</v>
      </c>
      <c r="AM508" t="str">
        <f t="shared" ref="AM508:AN508" si="2031">CONCATENATE("&lt;/li&gt;&lt;li&gt;&lt;a href=|http://",AM1191,"/psalms/30.htm","| ","title=|",AM1190,"| target=|_top|&gt;",AM1192,"&lt;/a&gt;")</f>
        <v>&lt;/li&gt;&lt;li&gt;&lt;a href=|http://basicenglishbible.com/psalms/30.htm| title=|Bible in Basic English| target=|_top|&gt;BBE&lt;/a&gt;</v>
      </c>
      <c r="AN508" t="str">
        <f t="shared" si="2031"/>
        <v>&lt;/li&gt;&lt;li&gt;&lt;a href=|http://darbybible.com/psalms/30.htm| title=|Darby Bible Translation| target=|_top|&gt;DBY&lt;/a&gt;</v>
      </c>
      <c r="AO50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0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0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08" t="str">
        <f>CONCATENATE("&lt;/li&gt;&lt;li&gt;&lt;a href=|http://",AR1191,"/psalms/30.htm","| ","title=|",AR1190,"| target=|_top|&gt;",AR1192,"&lt;/a&gt;")</f>
        <v>&lt;/li&gt;&lt;li&gt;&lt;a href=|http://websterbible.com/psalms/30.htm| title=|Webster's Bible Translation| target=|_top|&gt;WBS&lt;/a&gt;</v>
      </c>
      <c r="AS50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08" t="str">
        <f>CONCATENATE("&lt;/li&gt;&lt;li&gt;&lt;a href=|http://",AT1191,"/psalms/30-1.htm","| ","title=|",AT1190,"| target=|_top|&gt;",AT1192,"&lt;/a&gt;")</f>
        <v>&lt;/li&gt;&lt;li&gt;&lt;a href=|http://biblebrowser.com/psalms/30-1.htm| title=|Split View| target=|_top|&gt;Split&lt;/a&gt;</v>
      </c>
      <c r="AU508" s="2" t="s">
        <v>1276</v>
      </c>
      <c r="AV508" t="s">
        <v>64</v>
      </c>
    </row>
    <row r="509" spans="1:48">
      <c r="A509" t="s">
        <v>622</v>
      </c>
      <c r="B509" t="s">
        <v>747</v>
      </c>
      <c r="C509" t="s">
        <v>624</v>
      </c>
      <c r="D509" t="s">
        <v>1268</v>
      </c>
      <c r="E509" t="s">
        <v>1277</v>
      </c>
      <c r="F509" t="s">
        <v>1304</v>
      </c>
      <c r="G509" t="s">
        <v>1266</v>
      </c>
      <c r="H509" t="s">
        <v>1305</v>
      </c>
      <c r="I509" t="s">
        <v>1303</v>
      </c>
      <c r="J509" t="s">
        <v>1267</v>
      </c>
      <c r="K509" t="s">
        <v>1275</v>
      </c>
      <c r="L509" s="2" t="s">
        <v>1274</v>
      </c>
      <c r="M509" t="str">
        <f t="shared" ref="M509:AB509" si="2032">CONCATENATE("&lt;/li&gt;&lt;li&gt;&lt;a href=|http://",M1191,"/psalms/31.htm","| ","title=|",M1190,"| target=|_top|&gt;",M1192,"&lt;/a&gt;")</f>
        <v>&lt;/li&gt;&lt;li&gt;&lt;a href=|http://niv.scripturetext.com/psalms/31.htm| title=|New International Version| target=|_top|&gt;NIV&lt;/a&gt;</v>
      </c>
      <c r="N509" t="str">
        <f t="shared" si="2032"/>
        <v>&lt;/li&gt;&lt;li&gt;&lt;a href=|http://nlt.scripturetext.com/psalms/31.htm| title=|New Living Translation| target=|_top|&gt;NLT&lt;/a&gt;</v>
      </c>
      <c r="O509" t="str">
        <f t="shared" si="2032"/>
        <v>&lt;/li&gt;&lt;li&gt;&lt;a href=|http://nasb.scripturetext.com/psalms/31.htm| title=|New American Standard Bible| target=|_top|&gt;NAS&lt;/a&gt;</v>
      </c>
      <c r="P509" t="str">
        <f t="shared" si="2032"/>
        <v>&lt;/li&gt;&lt;li&gt;&lt;a href=|http://gwt.scripturetext.com/psalms/31.htm| title=|God's Word Translation| target=|_top|&gt;GWT&lt;/a&gt;</v>
      </c>
      <c r="Q509" t="str">
        <f t="shared" si="2032"/>
        <v>&lt;/li&gt;&lt;li&gt;&lt;a href=|http://kingjbible.com/psalms/31.htm| title=|King James Bible| target=|_top|&gt;KJV&lt;/a&gt;</v>
      </c>
      <c r="R509" t="str">
        <f t="shared" si="2032"/>
        <v>&lt;/li&gt;&lt;li&gt;&lt;a href=|http://asvbible.com/psalms/31.htm| title=|American Standard Version| target=|_top|&gt;ASV&lt;/a&gt;</v>
      </c>
      <c r="S509" t="str">
        <f t="shared" si="2032"/>
        <v>&lt;/li&gt;&lt;li&gt;&lt;a href=|http://drb.scripturetext.com/psalms/31.htm| title=|Douay-Rheims Bible| target=|_top|&gt;DRB&lt;/a&gt;</v>
      </c>
      <c r="T509" t="str">
        <f t="shared" si="2032"/>
        <v>&lt;/li&gt;&lt;li&gt;&lt;a href=|http://erv.scripturetext.com/psalms/31.htm| title=|English Revised Version| target=|_top|&gt;ERV&lt;/a&gt;</v>
      </c>
      <c r="V509" t="str">
        <f>CONCATENATE("&lt;/li&gt;&lt;li&gt;&lt;a href=|http://",V1191,"/psalms/31.htm","| ","title=|",V1190,"| target=|_top|&gt;",V1192,"&lt;/a&gt;")</f>
        <v>&lt;/li&gt;&lt;li&gt;&lt;a href=|http://study.interlinearbible.org/psalms/31.htm| title=|Hebrew Study Bible| target=|_top|&gt;Heb Study&lt;/a&gt;</v>
      </c>
      <c r="W509" t="str">
        <f t="shared" si="2032"/>
        <v>&lt;/li&gt;&lt;li&gt;&lt;a href=|http://apostolic.interlinearbible.org/psalms/31.htm| title=|Apostolic Bible Polyglot Interlinear| target=|_top|&gt;Polyglot&lt;/a&gt;</v>
      </c>
      <c r="X509" t="str">
        <f t="shared" si="2032"/>
        <v>&lt;/li&gt;&lt;li&gt;&lt;a href=|http://interlinearbible.org/psalms/31.htm| title=|Interlinear Bible| target=|_top|&gt;Interlin&lt;/a&gt;</v>
      </c>
      <c r="Y509" t="str">
        <f t="shared" ref="Y509" si="2033">CONCATENATE("&lt;/li&gt;&lt;li&gt;&lt;a href=|http://",Y1191,"/psalms/31.htm","| ","title=|",Y1190,"| target=|_top|&gt;",Y1192,"&lt;/a&gt;")</f>
        <v>&lt;/li&gt;&lt;li&gt;&lt;a href=|http://bibleoutline.org/psalms/31.htm| title=|Outline with People and Places List| target=|_top|&gt;Outline&lt;/a&gt;</v>
      </c>
      <c r="Z509" t="str">
        <f t="shared" si="2032"/>
        <v>&lt;/li&gt;&lt;li&gt;&lt;a href=|http://kjvs.scripturetext.com/psalms/31.htm| title=|King James Bible with Strong's Numbers| target=|_top|&gt;Strong's&lt;/a&gt;</v>
      </c>
      <c r="AA509" t="str">
        <f t="shared" si="2032"/>
        <v>&lt;/li&gt;&lt;li&gt;&lt;a href=|http://childrensbibleonline.com/psalms/31.htm| title=|The Children's Bible| target=|_top|&gt;Children's&lt;/a&gt;</v>
      </c>
      <c r="AB509" s="2" t="str">
        <f t="shared" si="2032"/>
        <v>&lt;/li&gt;&lt;li&gt;&lt;a href=|http://tsk.scripturetext.com/psalms/31.htm| title=|Treasury of Scripture Knowledge| target=|_top|&gt;TSK&lt;/a&gt;</v>
      </c>
      <c r="AC509" t="str">
        <f>CONCATENATE("&lt;a href=|http://",AC1191,"/psalms/31.htm","| ","title=|",AC1190,"| target=|_top|&gt;",AC1192,"&lt;/a&gt;")</f>
        <v>&lt;a href=|http://parallelbible.com/psalms/31.htm| title=|Parallel Chapters| target=|_top|&gt;PAR&lt;/a&gt;</v>
      </c>
      <c r="AD509" s="2" t="str">
        <f t="shared" ref="AD509:AK509" si="2034">CONCATENATE("&lt;/li&gt;&lt;li&gt;&lt;a href=|http://",AD1191,"/psalms/31.htm","| ","title=|",AD1190,"| target=|_top|&gt;",AD1192,"&lt;/a&gt;")</f>
        <v>&lt;/li&gt;&lt;li&gt;&lt;a href=|http://gsb.biblecommenter.com/psalms/31.htm| title=|Geneva Study Bible| target=|_top|&gt;GSB&lt;/a&gt;</v>
      </c>
      <c r="AE509" s="2" t="str">
        <f t="shared" si="2034"/>
        <v>&lt;/li&gt;&lt;li&gt;&lt;a href=|http://jfb.biblecommenter.com/psalms/31.htm| title=|Jamieson-Fausset-Brown Bible Commentary| target=|_top|&gt;JFB&lt;/a&gt;</v>
      </c>
      <c r="AF509" s="2" t="str">
        <f t="shared" si="2034"/>
        <v>&lt;/li&gt;&lt;li&gt;&lt;a href=|http://kjt.biblecommenter.com/psalms/31.htm| title=|King James Translators' Notes| target=|_top|&gt;KJT&lt;/a&gt;</v>
      </c>
      <c r="AG509" s="2" t="str">
        <f t="shared" si="2034"/>
        <v>&lt;/li&gt;&lt;li&gt;&lt;a href=|http://mhc.biblecommenter.com/psalms/31.htm| title=|Matthew Henry's Concise Commentary| target=|_top|&gt;MHC&lt;/a&gt;</v>
      </c>
      <c r="AH509" s="2" t="str">
        <f t="shared" si="2034"/>
        <v>&lt;/li&gt;&lt;li&gt;&lt;a href=|http://sco.biblecommenter.com/psalms/31.htm| title=|Scofield Reference Notes| target=|_top|&gt;SCO&lt;/a&gt;</v>
      </c>
      <c r="AI509" s="2" t="str">
        <f t="shared" si="2034"/>
        <v>&lt;/li&gt;&lt;li&gt;&lt;a href=|http://wes.biblecommenter.com/psalms/31.htm| title=|Wesley's Notes on the Bible| target=|_top|&gt;WES&lt;/a&gt;</v>
      </c>
      <c r="AJ509" t="str">
        <f t="shared" si="2034"/>
        <v>&lt;/li&gt;&lt;li&gt;&lt;a href=|http://worldebible.com/psalms/31.htm| title=|World English Bible| target=|_top|&gt;WEB&lt;/a&gt;</v>
      </c>
      <c r="AK509" t="str">
        <f t="shared" si="2034"/>
        <v>&lt;/li&gt;&lt;li&gt;&lt;a href=|http://yltbible.com/psalms/31.htm| title=|Young's Literal Translation| target=|_top|&gt;YLT&lt;/a&gt;</v>
      </c>
      <c r="AL509" t="str">
        <f>CONCATENATE("&lt;a href=|http://",AL1191,"/psalms/31.htm","| ","title=|",AL1190,"| target=|_top|&gt;",AL1192,"&lt;/a&gt;")</f>
        <v>&lt;a href=|http://kjv.us/psalms/31.htm| title=|American King James Version| target=|_top|&gt;AKJ&lt;/a&gt;</v>
      </c>
      <c r="AM509" t="str">
        <f t="shared" ref="AM509:AN509" si="2035">CONCATENATE("&lt;/li&gt;&lt;li&gt;&lt;a href=|http://",AM1191,"/psalms/31.htm","| ","title=|",AM1190,"| target=|_top|&gt;",AM1192,"&lt;/a&gt;")</f>
        <v>&lt;/li&gt;&lt;li&gt;&lt;a href=|http://basicenglishbible.com/psalms/31.htm| title=|Bible in Basic English| target=|_top|&gt;BBE&lt;/a&gt;</v>
      </c>
      <c r="AN509" t="str">
        <f t="shared" si="2035"/>
        <v>&lt;/li&gt;&lt;li&gt;&lt;a href=|http://darbybible.com/psalms/31.htm| title=|Darby Bible Translation| target=|_top|&gt;DBY&lt;/a&gt;</v>
      </c>
      <c r="AO50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0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0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09" t="str">
        <f>CONCATENATE("&lt;/li&gt;&lt;li&gt;&lt;a href=|http://",AR1191,"/psalms/31.htm","| ","title=|",AR1190,"| target=|_top|&gt;",AR1192,"&lt;/a&gt;")</f>
        <v>&lt;/li&gt;&lt;li&gt;&lt;a href=|http://websterbible.com/psalms/31.htm| title=|Webster's Bible Translation| target=|_top|&gt;WBS&lt;/a&gt;</v>
      </c>
      <c r="AS50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09" t="str">
        <f>CONCATENATE("&lt;/li&gt;&lt;li&gt;&lt;a href=|http://",AT1191,"/psalms/31-1.htm","| ","title=|",AT1190,"| target=|_top|&gt;",AT1192,"&lt;/a&gt;")</f>
        <v>&lt;/li&gt;&lt;li&gt;&lt;a href=|http://biblebrowser.com/psalms/31-1.htm| title=|Split View| target=|_top|&gt;Split&lt;/a&gt;</v>
      </c>
      <c r="AU509" s="2" t="s">
        <v>1276</v>
      </c>
      <c r="AV509" t="s">
        <v>64</v>
      </c>
    </row>
    <row r="510" spans="1:48">
      <c r="A510" t="s">
        <v>622</v>
      </c>
      <c r="B510" t="s">
        <v>748</v>
      </c>
      <c r="C510" t="s">
        <v>624</v>
      </c>
      <c r="D510" t="s">
        <v>1268</v>
      </c>
      <c r="E510" t="s">
        <v>1277</v>
      </c>
      <c r="F510" t="s">
        <v>1304</v>
      </c>
      <c r="G510" t="s">
        <v>1266</v>
      </c>
      <c r="H510" t="s">
        <v>1305</v>
      </c>
      <c r="I510" t="s">
        <v>1303</v>
      </c>
      <c r="J510" t="s">
        <v>1267</v>
      </c>
      <c r="K510" t="s">
        <v>1275</v>
      </c>
      <c r="L510" s="2" t="s">
        <v>1274</v>
      </c>
      <c r="M510" t="str">
        <f t="shared" ref="M510:AB510" si="2036">CONCATENATE("&lt;/li&gt;&lt;li&gt;&lt;a href=|http://",M1191,"/psalms/32.htm","| ","title=|",M1190,"| target=|_top|&gt;",M1192,"&lt;/a&gt;")</f>
        <v>&lt;/li&gt;&lt;li&gt;&lt;a href=|http://niv.scripturetext.com/psalms/32.htm| title=|New International Version| target=|_top|&gt;NIV&lt;/a&gt;</v>
      </c>
      <c r="N510" t="str">
        <f t="shared" si="2036"/>
        <v>&lt;/li&gt;&lt;li&gt;&lt;a href=|http://nlt.scripturetext.com/psalms/32.htm| title=|New Living Translation| target=|_top|&gt;NLT&lt;/a&gt;</v>
      </c>
      <c r="O510" t="str">
        <f t="shared" si="2036"/>
        <v>&lt;/li&gt;&lt;li&gt;&lt;a href=|http://nasb.scripturetext.com/psalms/32.htm| title=|New American Standard Bible| target=|_top|&gt;NAS&lt;/a&gt;</v>
      </c>
      <c r="P510" t="str">
        <f t="shared" si="2036"/>
        <v>&lt;/li&gt;&lt;li&gt;&lt;a href=|http://gwt.scripturetext.com/psalms/32.htm| title=|God's Word Translation| target=|_top|&gt;GWT&lt;/a&gt;</v>
      </c>
      <c r="Q510" t="str">
        <f t="shared" si="2036"/>
        <v>&lt;/li&gt;&lt;li&gt;&lt;a href=|http://kingjbible.com/psalms/32.htm| title=|King James Bible| target=|_top|&gt;KJV&lt;/a&gt;</v>
      </c>
      <c r="R510" t="str">
        <f t="shared" si="2036"/>
        <v>&lt;/li&gt;&lt;li&gt;&lt;a href=|http://asvbible.com/psalms/32.htm| title=|American Standard Version| target=|_top|&gt;ASV&lt;/a&gt;</v>
      </c>
      <c r="S510" t="str">
        <f t="shared" si="2036"/>
        <v>&lt;/li&gt;&lt;li&gt;&lt;a href=|http://drb.scripturetext.com/psalms/32.htm| title=|Douay-Rheims Bible| target=|_top|&gt;DRB&lt;/a&gt;</v>
      </c>
      <c r="T510" t="str">
        <f t="shared" si="2036"/>
        <v>&lt;/li&gt;&lt;li&gt;&lt;a href=|http://erv.scripturetext.com/psalms/32.htm| title=|English Revised Version| target=|_top|&gt;ERV&lt;/a&gt;</v>
      </c>
      <c r="V510" t="str">
        <f>CONCATENATE("&lt;/li&gt;&lt;li&gt;&lt;a href=|http://",V1191,"/psalms/32.htm","| ","title=|",V1190,"| target=|_top|&gt;",V1192,"&lt;/a&gt;")</f>
        <v>&lt;/li&gt;&lt;li&gt;&lt;a href=|http://study.interlinearbible.org/psalms/32.htm| title=|Hebrew Study Bible| target=|_top|&gt;Heb Study&lt;/a&gt;</v>
      </c>
      <c r="W510" t="str">
        <f t="shared" si="2036"/>
        <v>&lt;/li&gt;&lt;li&gt;&lt;a href=|http://apostolic.interlinearbible.org/psalms/32.htm| title=|Apostolic Bible Polyglot Interlinear| target=|_top|&gt;Polyglot&lt;/a&gt;</v>
      </c>
      <c r="X510" t="str">
        <f t="shared" si="2036"/>
        <v>&lt;/li&gt;&lt;li&gt;&lt;a href=|http://interlinearbible.org/psalms/32.htm| title=|Interlinear Bible| target=|_top|&gt;Interlin&lt;/a&gt;</v>
      </c>
      <c r="Y510" t="str">
        <f t="shared" ref="Y510" si="2037">CONCATENATE("&lt;/li&gt;&lt;li&gt;&lt;a href=|http://",Y1191,"/psalms/32.htm","| ","title=|",Y1190,"| target=|_top|&gt;",Y1192,"&lt;/a&gt;")</f>
        <v>&lt;/li&gt;&lt;li&gt;&lt;a href=|http://bibleoutline.org/psalms/32.htm| title=|Outline with People and Places List| target=|_top|&gt;Outline&lt;/a&gt;</v>
      </c>
      <c r="Z510" t="str">
        <f t="shared" si="2036"/>
        <v>&lt;/li&gt;&lt;li&gt;&lt;a href=|http://kjvs.scripturetext.com/psalms/32.htm| title=|King James Bible with Strong's Numbers| target=|_top|&gt;Strong's&lt;/a&gt;</v>
      </c>
      <c r="AA510" t="str">
        <f t="shared" si="2036"/>
        <v>&lt;/li&gt;&lt;li&gt;&lt;a href=|http://childrensbibleonline.com/psalms/32.htm| title=|The Children's Bible| target=|_top|&gt;Children's&lt;/a&gt;</v>
      </c>
      <c r="AB510" s="2" t="str">
        <f t="shared" si="2036"/>
        <v>&lt;/li&gt;&lt;li&gt;&lt;a href=|http://tsk.scripturetext.com/psalms/32.htm| title=|Treasury of Scripture Knowledge| target=|_top|&gt;TSK&lt;/a&gt;</v>
      </c>
      <c r="AC510" t="str">
        <f>CONCATENATE("&lt;a href=|http://",AC1191,"/psalms/32.htm","| ","title=|",AC1190,"| target=|_top|&gt;",AC1192,"&lt;/a&gt;")</f>
        <v>&lt;a href=|http://parallelbible.com/psalms/32.htm| title=|Parallel Chapters| target=|_top|&gt;PAR&lt;/a&gt;</v>
      </c>
      <c r="AD510" s="2" t="str">
        <f t="shared" ref="AD510:AK510" si="2038">CONCATENATE("&lt;/li&gt;&lt;li&gt;&lt;a href=|http://",AD1191,"/psalms/32.htm","| ","title=|",AD1190,"| target=|_top|&gt;",AD1192,"&lt;/a&gt;")</f>
        <v>&lt;/li&gt;&lt;li&gt;&lt;a href=|http://gsb.biblecommenter.com/psalms/32.htm| title=|Geneva Study Bible| target=|_top|&gt;GSB&lt;/a&gt;</v>
      </c>
      <c r="AE510" s="2" t="str">
        <f t="shared" si="2038"/>
        <v>&lt;/li&gt;&lt;li&gt;&lt;a href=|http://jfb.biblecommenter.com/psalms/32.htm| title=|Jamieson-Fausset-Brown Bible Commentary| target=|_top|&gt;JFB&lt;/a&gt;</v>
      </c>
      <c r="AF510" s="2" t="str">
        <f t="shared" si="2038"/>
        <v>&lt;/li&gt;&lt;li&gt;&lt;a href=|http://kjt.biblecommenter.com/psalms/32.htm| title=|King James Translators' Notes| target=|_top|&gt;KJT&lt;/a&gt;</v>
      </c>
      <c r="AG510" s="2" t="str">
        <f t="shared" si="2038"/>
        <v>&lt;/li&gt;&lt;li&gt;&lt;a href=|http://mhc.biblecommenter.com/psalms/32.htm| title=|Matthew Henry's Concise Commentary| target=|_top|&gt;MHC&lt;/a&gt;</v>
      </c>
      <c r="AH510" s="2" t="str">
        <f t="shared" si="2038"/>
        <v>&lt;/li&gt;&lt;li&gt;&lt;a href=|http://sco.biblecommenter.com/psalms/32.htm| title=|Scofield Reference Notes| target=|_top|&gt;SCO&lt;/a&gt;</v>
      </c>
      <c r="AI510" s="2" t="str">
        <f t="shared" si="2038"/>
        <v>&lt;/li&gt;&lt;li&gt;&lt;a href=|http://wes.biblecommenter.com/psalms/32.htm| title=|Wesley's Notes on the Bible| target=|_top|&gt;WES&lt;/a&gt;</v>
      </c>
      <c r="AJ510" t="str">
        <f t="shared" si="2038"/>
        <v>&lt;/li&gt;&lt;li&gt;&lt;a href=|http://worldebible.com/psalms/32.htm| title=|World English Bible| target=|_top|&gt;WEB&lt;/a&gt;</v>
      </c>
      <c r="AK510" t="str">
        <f t="shared" si="2038"/>
        <v>&lt;/li&gt;&lt;li&gt;&lt;a href=|http://yltbible.com/psalms/32.htm| title=|Young's Literal Translation| target=|_top|&gt;YLT&lt;/a&gt;</v>
      </c>
      <c r="AL510" t="str">
        <f>CONCATENATE("&lt;a href=|http://",AL1191,"/psalms/32.htm","| ","title=|",AL1190,"| target=|_top|&gt;",AL1192,"&lt;/a&gt;")</f>
        <v>&lt;a href=|http://kjv.us/psalms/32.htm| title=|American King James Version| target=|_top|&gt;AKJ&lt;/a&gt;</v>
      </c>
      <c r="AM510" t="str">
        <f t="shared" ref="AM510:AN510" si="2039">CONCATENATE("&lt;/li&gt;&lt;li&gt;&lt;a href=|http://",AM1191,"/psalms/32.htm","| ","title=|",AM1190,"| target=|_top|&gt;",AM1192,"&lt;/a&gt;")</f>
        <v>&lt;/li&gt;&lt;li&gt;&lt;a href=|http://basicenglishbible.com/psalms/32.htm| title=|Bible in Basic English| target=|_top|&gt;BBE&lt;/a&gt;</v>
      </c>
      <c r="AN510" t="str">
        <f t="shared" si="2039"/>
        <v>&lt;/li&gt;&lt;li&gt;&lt;a href=|http://darbybible.com/psalms/32.htm| title=|Darby Bible Translation| target=|_top|&gt;DBY&lt;/a&gt;</v>
      </c>
      <c r="AO51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1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1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10" t="str">
        <f>CONCATENATE("&lt;/li&gt;&lt;li&gt;&lt;a href=|http://",AR1191,"/psalms/32.htm","| ","title=|",AR1190,"| target=|_top|&gt;",AR1192,"&lt;/a&gt;")</f>
        <v>&lt;/li&gt;&lt;li&gt;&lt;a href=|http://websterbible.com/psalms/32.htm| title=|Webster's Bible Translation| target=|_top|&gt;WBS&lt;/a&gt;</v>
      </c>
      <c r="AS51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10" t="str">
        <f>CONCATENATE("&lt;/li&gt;&lt;li&gt;&lt;a href=|http://",AT1191,"/psalms/32-1.htm","| ","title=|",AT1190,"| target=|_top|&gt;",AT1192,"&lt;/a&gt;")</f>
        <v>&lt;/li&gt;&lt;li&gt;&lt;a href=|http://biblebrowser.com/psalms/32-1.htm| title=|Split View| target=|_top|&gt;Split&lt;/a&gt;</v>
      </c>
      <c r="AU510" s="2" t="s">
        <v>1276</v>
      </c>
      <c r="AV510" t="s">
        <v>64</v>
      </c>
    </row>
    <row r="511" spans="1:48">
      <c r="A511" t="s">
        <v>622</v>
      </c>
      <c r="B511" t="s">
        <v>749</v>
      </c>
      <c r="C511" t="s">
        <v>624</v>
      </c>
      <c r="D511" t="s">
        <v>1268</v>
      </c>
      <c r="E511" t="s">
        <v>1277</v>
      </c>
      <c r="F511" t="s">
        <v>1304</v>
      </c>
      <c r="G511" t="s">
        <v>1266</v>
      </c>
      <c r="H511" t="s">
        <v>1305</v>
      </c>
      <c r="I511" t="s">
        <v>1303</v>
      </c>
      <c r="J511" t="s">
        <v>1267</v>
      </c>
      <c r="K511" t="s">
        <v>1275</v>
      </c>
      <c r="L511" s="2" t="s">
        <v>1274</v>
      </c>
      <c r="M511" t="str">
        <f t="shared" ref="M511:AB511" si="2040">CONCATENATE("&lt;/li&gt;&lt;li&gt;&lt;a href=|http://",M1191,"/psalms/33.htm","| ","title=|",M1190,"| target=|_top|&gt;",M1192,"&lt;/a&gt;")</f>
        <v>&lt;/li&gt;&lt;li&gt;&lt;a href=|http://niv.scripturetext.com/psalms/33.htm| title=|New International Version| target=|_top|&gt;NIV&lt;/a&gt;</v>
      </c>
      <c r="N511" t="str">
        <f t="shared" si="2040"/>
        <v>&lt;/li&gt;&lt;li&gt;&lt;a href=|http://nlt.scripturetext.com/psalms/33.htm| title=|New Living Translation| target=|_top|&gt;NLT&lt;/a&gt;</v>
      </c>
      <c r="O511" t="str">
        <f t="shared" si="2040"/>
        <v>&lt;/li&gt;&lt;li&gt;&lt;a href=|http://nasb.scripturetext.com/psalms/33.htm| title=|New American Standard Bible| target=|_top|&gt;NAS&lt;/a&gt;</v>
      </c>
      <c r="P511" t="str">
        <f t="shared" si="2040"/>
        <v>&lt;/li&gt;&lt;li&gt;&lt;a href=|http://gwt.scripturetext.com/psalms/33.htm| title=|God's Word Translation| target=|_top|&gt;GWT&lt;/a&gt;</v>
      </c>
      <c r="Q511" t="str">
        <f t="shared" si="2040"/>
        <v>&lt;/li&gt;&lt;li&gt;&lt;a href=|http://kingjbible.com/psalms/33.htm| title=|King James Bible| target=|_top|&gt;KJV&lt;/a&gt;</v>
      </c>
      <c r="R511" t="str">
        <f t="shared" si="2040"/>
        <v>&lt;/li&gt;&lt;li&gt;&lt;a href=|http://asvbible.com/psalms/33.htm| title=|American Standard Version| target=|_top|&gt;ASV&lt;/a&gt;</v>
      </c>
      <c r="S511" t="str">
        <f t="shared" si="2040"/>
        <v>&lt;/li&gt;&lt;li&gt;&lt;a href=|http://drb.scripturetext.com/psalms/33.htm| title=|Douay-Rheims Bible| target=|_top|&gt;DRB&lt;/a&gt;</v>
      </c>
      <c r="T511" t="str">
        <f t="shared" si="2040"/>
        <v>&lt;/li&gt;&lt;li&gt;&lt;a href=|http://erv.scripturetext.com/psalms/33.htm| title=|English Revised Version| target=|_top|&gt;ERV&lt;/a&gt;</v>
      </c>
      <c r="V511" t="str">
        <f>CONCATENATE("&lt;/li&gt;&lt;li&gt;&lt;a href=|http://",V1191,"/psalms/33.htm","| ","title=|",V1190,"| target=|_top|&gt;",V1192,"&lt;/a&gt;")</f>
        <v>&lt;/li&gt;&lt;li&gt;&lt;a href=|http://study.interlinearbible.org/psalms/33.htm| title=|Hebrew Study Bible| target=|_top|&gt;Heb Study&lt;/a&gt;</v>
      </c>
      <c r="W511" t="str">
        <f t="shared" si="2040"/>
        <v>&lt;/li&gt;&lt;li&gt;&lt;a href=|http://apostolic.interlinearbible.org/psalms/33.htm| title=|Apostolic Bible Polyglot Interlinear| target=|_top|&gt;Polyglot&lt;/a&gt;</v>
      </c>
      <c r="X511" t="str">
        <f t="shared" si="2040"/>
        <v>&lt;/li&gt;&lt;li&gt;&lt;a href=|http://interlinearbible.org/psalms/33.htm| title=|Interlinear Bible| target=|_top|&gt;Interlin&lt;/a&gt;</v>
      </c>
      <c r="Y511" t="str">
        <f t="shared" ref="Y511" si="2041">CONCATENATE("&lt;/li&gt;&lt;li&gt;&lt;a href=|http://",Y1191,"/psalms/33.htm","| ","title=|",Y1190,"| target=|_top|&gt;",Y1192,"&lt;/a&gt;")</f>
        <v>&lt;/li&gt;&lt;li&gt;&lt;a href=|http://bibleoutline.org/psalms/33.htm| title=|Outline with People and Places List| target=|_top|&gt;Outline&lt;/a&gt;</v>
      </c>
      <c r="Z511" t="str">
        <f t="shared" si="2040"/>
        <v>&lt;/li&gt;&lt;li&gt;&lt;a href=|http://kjvs.scripturetext.com/psalms/33.htm| title=|King James Bible with Strong's Numbers| target=|_top|&gt;Strong's&lt;/a&gt;</v>
      </c>
      <c r="AA511" t="str">
        <f t="shared" si="2040"/>
        <v>&lt;/li&gt;&lt;li&gt;&lt;a href=|http://childrensbibleonline.com/psalms/33.htm| title=|The Children's Bible| target=|_top|&gt;Children's&lt;/a&gt;</v>
      </c>
      <c r="AB511" s="2" t="str">
        <f t="shared" si="2040"/>
        <v>&lt;/li&gt;&lt;li&gt;&lt;a href=|http://tsk.scripturetext.com/psalms/33.htm| title=|Treasury of Scripture Knowledge| target=|_top|&gt;TSK&lt;/a&gt;</v>
      </c>
      <c r="AC511" t="str">
        <f>CONCATENATE("&lt;a href=|http://",AC1191,"/psalms/33.htm","| ","title=|",AC1190,"| target=|_top|&gt;",AC1192,"&lt;/a&gt;")</f>
        <v>&lt;a href=|http://parallelbible.com/psalms/33.htm| title=|Parallel Chapters| target=|_top|&gt;PAR&lt;/a&gt;</v>
      </c>
      <c r="AD511" s="2" t="str">
        <f t="shared" ref="AD511:AK511" si="2042">CONCATENATE("&lt;/li&gt;&lt;li&gt;&lt;a href=|http://",AD1191,"/psalms/33.htm","| ","title=|",AD1190,"| target=|_top|&gt;",AD1192,"&lt;/a&gt;")</f>
        <v>&lt;/li&gt;&lt;li&gt;&lt;a href=|http://gsb.biblecommenter.com/psalms/33.htm| title=|Geneva Study Bible| target=|_top|&gt;GSB&lt;/a&gt;</v>
      </c>
      <c r="AE511" s="2" t="str">
        <f t="shared" si="2042"/>
        <v>&lt;/li&gt;&lt;li&gt;&lt;a href=|http://jfb.biblecommenter.com/psalms/33.htm| title=|Jamieson-Fausset-Brown Bible Commentary| target=|_top|&gt;JFB&lt;/a&gt;</v>
      </c>
      <c r="AF511" s="2" t="str">
        <f t="shared" si="2042"/>
        <v>&lt;/li&gt;&lt;li&gt;&lt;a href=|http://kjt.biblecommenter.com/psalms/33.htm| title=|King James Translators' Notes| target=|_top|&gt;KJT&lt;/a&gt;</v>
      </c>
      <c r="AG511" s="2" t="str">
        <f t="shared" si="2042"/>
        <v>&lt;/li&gt;&lt;li&gt;&lt;a href=|http://mhc.biblecommenter.com/psalms/33.htm| title=|Matthew Henry's Concise Commentary| target=|_top|&gt;MHC&lt;/a&gt;</v>
      </c>
      <c r="AH511" s="2" t="str">
        <f t="shared" si="2042"/>
        <v>&lt;/li&gt;&lt;li&gt;&lt;a href=|http://sco.biblecommenter.com/psalms/33.htm| title=|Scofield Reference Notes| target=|_top|&gt;SCO&lt;/a&gt;</v>
      </c>
      <c r="AI511" s="2" t="str">
        <f t="shared" si="2042"/>
        <v>&lt;/li&gt;&lt;li&gt;&lt;a href=|http://wes.biblecommenter.com/psalms/33.htm| title=|Wesley's Notes on the Bible| target=|_top|&gt;WES&lt;/a&gt;</v>
      </c>
      <c r="AJ511" t="str">
        <f t="shared" si="2042"/>
        <v>&lt;/li&gt;&lt;li&gt;&lt;a href=|http://worldebible.com/psalms/33.htm| title=|World English Bible| target=|_top|&gt;WEB&lt;/a&gt;</v>
      </c>
      <c r="AK511" t="str">
        <f t="shared" si="2042"/>
        <v>&lt;/li&gt;&lt;li&gt;&lt;a href=|http://yltbible.com/psalms/33.htm| title=|Young's Literal Translation| target=|_top|&gt;YLT&lt;/a&gt;</v>
      </c>
      <c r="AL511" t="str">
        <f>CONCATENATE("&lt;a href=|http://",AL1191,"/psalms/33.htm","| ","title=|",AL1190,"| target=|_top|&gt;",AL1192,"&lt;/a&gt;")</f>
        <v>&lt;a href=|http://kjv.us/psalms/33.htm| title=|American King James Version| target=|_top|&gt;AKJ&lt;/a&gt;</v>
      </c>
      <c r="AM511" t="str">
        <f t="shared" ref="AM511:AN511" si="2043">CONCATENATE("&lt;/li&gt;&lt;li&gt;&lt;a href=|http://",AM1191,"/psalms/33.htm","| ","title=|",AM1190,"| target=|_top|&gt;",AM1192,"&lt;/a&gt;")</f>
        <v>&lt;/li&gt;&lt;li&gt;&lt;a href=|http://basicenglishbible.com/psalms/33.htm| title=|Bible in Basic English| target=|_top|&gt;BBE&lt;/a&gt;</v>
      </c>
      <c r="AN511" t="str">
        <f t="shared" si="2043"/>
        <v>&lt;/li&gt;&lt;li&gt;&lt;a href=|http://darbybible.com/psalms/33.htm| title=|Darby Bible Translation| target=|_top|&gt;DBY&lt;/a&gt;</v>
      </c>
      <c r="AO51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1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1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11" t="str">
        <f>CONCATENATE("&lt;/li&gt;&lt;li&gt;&lt;a href=|http://",AR1191,"/psalms/33.htm","| ","title=|",AR1190,"| target=|_top|&gt;",AR1192,"&lt;/a&gt;")</f>
        <v>&lt;/li&gt;&lt;li&gt;&lt;a href=|http://websterbible.com/psalms/33.htm| title=|Webster's Bible Translation| target=|_top|&gt;WBS&lt;/a&gt;</v>
      </c>
      <c r="AS51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11" t="str">
        <f>CONCATENATE("&lt;/li&gt;&lt;li&gt;&lt;a href=|http://",AT1191,"/psalms/33-1.htm","| ","title=|",AT1190,"| target=|_top|&gt;",AT1192,"&lt;/a&gt;")</f>
        <v>&lt;/li&gt;&lt;li&gt;&lt;a href=|http://biblebrowser.com/psalms/33-1.htm| title=|Split View| target=|_top|&gt;Split&lt;/a&gt;</v>
      </c>
      <c r="AU511" s="2" t="s">
        <v>1276</v>
      </c>
      <c r="AV511" t="s">
        <v>64</v>
      </c>
    </row>
    <row r="512" spans="1:48">
      <c r="A512" t="s">
        <v>622</v>
      </c>
      <c r="B512" t="s">
        <v>750</v>
      </c>
      <c r="C512" t="s">
        <v>624</v>
      </c>
      <c r="D512" t="s">
        <v>1268</v>
      </c>
      <c r="E512" t="s">
        <v>1277</v>
      </c>
      <c r="F512" t="s">
        <v>1304</v>
      </c>
      <c r="G512" t="s">
        <v>1266</v>
      </c>
      <c r="H512" t="s">
        <v>1305</v>
      </c>
      <c r="I512" t="s">
        <v>1303</v>
      </c>
      <c r="J512" t="s">
        <v>1267</v>
      </c>
      <c r="K512" t="s">
        <v>1275</v>
      </c>
      <c r="L512" s="2" t="s">
        <v>1274</v>
      </c>
      <c r="M512" t="str">
        <f t="shared" ref="M512:AB512" si="2044">CONCATENATE("&lt;/li&gt;&lt;li&gt;&lt;a href=|http://",M1191,"/psalms/34.htm","| ","title=|",M1190,"| target=|_top|&gt;",M1192,"&lt;/a&gt;")</f>
        <v>&lt;/li&gt;&lt;li&gt;&lt;a href=|http://niv.scripturetext.com/psalms/34.htm| title=|New International Version| target=|_top|&gt;NIV&lt;/a&gt;</v>
      </c>
      <c r="N512" t="str">
        <f t="shared" si="2044"/>
        <v>&lt;/li&gt;&lt;li&gt;&lt;a href=|http://nlt.scripturetext.com/psalms/34.htm| title=|New Living Translation| target=|_top|&gt;NLT&lt;/a&gt;</v>
      </c>
      <c r="O512" t="str">
        <f t="shared" si="2044"/>
        <v>&lt;/li&gt;&lt;li&gt;&lt;a href=|http://nasb.scripturetext.com/psalms/34.htm| title=|New American Standard Bible| target=|_top|&gt;NAS&lt;/a&gt;</v>
      </c>
      <c r="P512" t="str">
        <f t="shared" si="2044"/>
        <v>&lt;/li&gt;&lt;li&gt;&lt;a href=|http://gwt.scripturetext.com/psalms/34.htm| title=|God's Word Translation| target=|_top|&gt;GWT&lt;/a&gt;</v>
      </c>
      <c r="Q512" t="str">
        <f t="shared" si="2044"/>
        <v>&lt;/li&gt;&lt;li&gt;&lt;a href=|http://kingjbible.com/psalms/34.htm| title=|King James Bible| target=|_top|&gt;KJV&lt;/a&gt;</v>
      </c>
      <c r="R512" t="str">
        <f t="shared" si="2044"/>
        <v>&lt;/li&gt;&lt;li&gt;&lt;a href=|http://asvbible.com/psalms/34.htm| title=|American Standard Version| target=|_top|&gt;ASV&lt;/a&gt;</v>
      </c>
      <c r="S512" t="str">
        <f t="shared" si="2044"/>
        <v>&lt;/li&gt;&lt;li&gt;&lt;a href=|http://drb.scripturetext.com/psalms/34.htm| title=|Douay-Rheims Bible| target=|_top|&gt;DRB&lt;/a&gt;</v>
      </c>
      <c r="T512" t="str">
        <f t="shared" si="2044"/>
        <v>&lt;/li&gt;&lt;li&gt;&lt;a href=|http://erv.scripturetext.com/psalms/34.htm| title=|English Revised Version| target=|_top|&gt;ERV&lt;/a&gt;</v>
      </c>
      <c r="V512" t="str">
        <f>CONCATENATE("&lt;/li&gt;&lt;li&gt;&lt;a href=|http://",V1191,"/psalms/34.htm","| ","title=|",V1190,"| target=|_top|&gt;",V1192,"&lt;/a&gt;")</f>
        <v>&lt;/li&gt;&lt;li&gt;&lt;a href=|http://study.interlinearbible.org/psalms/34.htm| title=|Hebrew Study Bible| target=|_top|&gt;Heb Study&lt;/a&gt;</v>
      </c>
      <c r="W512" t="str">
        <f t="shared" si="2044"/>
        <v>&lt;/li&gt;&lt;li&gt;&lt;a href=|http://apostolic.interlinearbible.org/psalms/34.htm| title=|Apostolic Bible Polyglot Interlinear| target=|_top|&gt;Polyglot&lt;/a&gt;</v>
      </c>
      <c r="X512" t="str">
        <f t="shared" si="2044"/>
        <v>&lt;/li&gt;&lt;li&gt;&lt;a href=|http://interlinearbible.org/psalms/34.htm| title=|Interlinear Bible| target=|_top|&gt;Interlin&lt;/a&gt;</v>
      </c>
      <c r="Y512" t="str">
        <f t="shared" ref="Y512" si="2045">CONCATENATE("&lt;/li&gt;&lt;li&gt;&lt;a href=|http://",Y1191,"/psalms/34.htm","| ","title=|",Y1190,"| target=|_top|&gt;",Y1192,"&lt;/a&gt;")</f>
        <v>&lt;/li&gt;&lt;li&gt;&lt;a href=|http://bibleoutline.org/psalms/34.htm| title=|Outline with People and Places List| target=|_top|&gt;Outline&lt;/a&gt;</v>
      </c>
      <c r="Z512" t="str">
        <f t="shared" si="2044"/>
        <v>&lt;/li&gt;&lt;li&gt;&lt;a href=|http://kjvs.scripturetext.com/psalms/34.htm| title=|King James Bible with Strong's Numbers| target=|_top|&gt;Strong's&lt;/a&gt;</v>
      </c>
      <c r="AA512" t="str">
        <f t="shared" si="2044"/>
        <v>&lt;/li&gt;&lt;li&gt;&lt;a href=|http://childrensbibleonline.com/psalms/34.htm| title=|The Children's Bible| target=|_top|&gt;Children's&lt;/a&gt;</v>
      </c>
      <c r="AB512" s="2" t="str">
        <f t="shared" si="2044"/>
        <v>&lt;/li&gt;&lt;li&gt;&lt;a href=|http://tsk.scripturetext.com/psalms/34.htm| title=|Treasury of Scripture Knowledge| target=|_top|&gt;TSK&lt;/a&gt;</v>
      </c>
      <c r="AC512" t="str">
        <f>CONCATENATE("&lt;a href=|http://",AC1191,"/psalms/34.htm","| ","title=|",AC1190,"| target=|_top|&gt;",AC1192,"&lt;/a&gt;")</f>
        <v>&lt;a href=|http://parallelbible.com/psalms/34.htm| title=|Parallel Chapters| target=|_top|&gt;PAR&lt;/a&gt;</v>
      </c>
      <c r="AD512" s="2" t="str">
        <f t="shared" ref="AD512:AK512" si="2046">CONCATENATE("&lt;/li&gt;&lt;li&gt;&lt;a href=|http://",AD1191,"/psalms/34.htm","| ","title=|",AD1190,"| target=|_top|&gt;",AD1192,"&lt;/a&gt;")</f>
        <v>&lt;/li&gt;&lt;li&gt;&lt;a href=|http://gsb.biblecommenter.com/psalms/34.htm| title=|Geneva Study Bible| target=|_top|&gt;GSB&lt;/a&gt;</v>
      </c>
      <c r="AE512" s="2" t="str">
        <f t="shared" si="2046"/>
        <v>&lt;/li&gt;&lt;li&gt;&lt;a href=|http://jfb.biblecommenter.com/psalms/34.htm| title=|Jamieson-Fausset-Brown Bible Commentary| target=|_top|&gt;JFB&lt;/a&gt;</v>
      </c>
      <c r="AF512" s="2" t="str">
        <f t="shared" si="2046"/>
        <v>&lt;/li&gt;&lt;li&gt;&lt;a href=|http://kjt.biblecommenter.com/psalms/34.htm| title=|King James Translators' Notes| target=|_top|&gt;KJT&lt;/a&gt;</v>
      </c>
      <c r="AG512" s="2" t="str">
        <f t="shared" si="2046"/>
        <v>&lt;/li&gt;&lt;li&gt;&lt;a href=|http://mhc.biblecommenter.com/psalms/34.htm| title=|Matthew Henry's Concise Commentary| target=|_top|&gt;MHC&lt;/a&gt;</v>
      </c>
      <c r="AH512" s="2" t="str">
        <f t="shared" si="2046"/>
        <v>&lt;/li&gt;&lt;li&gt;&lt;a href=|http://sco.biblecommenter.com/psalms/34.htm| title=|Scofield Reference Notes| target=|_top|&gt;SCO&lt;/a&gt;</v>
      </c>
      <c r="AI512" s="2" t="str">
        <f t="shared" si="2046"/>
        <v>&lt;/li&gt;&lt;li&gt;&lt;a href=|http://wes.biblecommenter.com/psalms/34.htm| title=|Wesley's Notes on the Bible| target=|_top|&gt;WES&lt;/a&gt;</v>
      </c>
      <c r="AJ512" t="str">
        <f t="shared" si="2046"/>
        <v>&lt;/li&gt;&lt;li&gt;&lt;a href=|http://worldebible.com/psalms/34.htm| title=|World English Bible| target=|_top|&gt;WEB&lt;/a&gt;</v>
      </c>
      <c r="AK512" t="str">
        <f t="shared" si="2046"/>
        <v>&lt;/li&gt;&lt;li&gt;&lt;a href=|http://yltbible.com/psalms/34.htm| title=|Young's Literal Translation| target=|_top|&gt;YLT&lt;/a&gt;</v>
      </c>
      <c r="AL512" t="str">
        <f>CONCATENATE("&lt;a href=|http://",AL1191,"/psalms/34.htm","| ","title=|",AL1190,"| target=|_top|&gt;",AL1192,"&lt;/a&gt;")</f>
        <v>&lt;a href=|http://kjv.us/psalms/34.htm| title=|American King James Version| target=|_top|&gt;AKJ&lt;/a&gt;</v>
      </c>
      <c r="AM512" t="str">
        <f t="shared" ref="AM512:AN512" si="2047">CONCATENATE("&lt;/li&gt;&lt;li&gt;&lt;a href=|http://",AM1191,"/psalms/34.htm","| ","title=|",AM1190,"| target=|_top|&gt;",AM1192,"&lt;/a&gt;")</f>
        <v>&lt;/li&gt;&lt;li&gt;&lt;a href=|http://basicenglishbible.com/psalms/34.htm| title=|Bible in Basic English| target=|_top|&gt;BBE&lt;/a&gt;</v>
      </c>
      <c r="AN512" t="str">
        <f t="shared" si="2047"/>
        <v>&lt;/li&gt;&lt;li&gt;&lt;a href=|http://darbybible.com/psalms/34.htm| title=|Darby Bible Translation| target=|_top|&gt;DBY&lt;/a&gt;</v>
      </c>
      <c r="AO51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1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1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12" t="str">
        <f>CONCATENATE("&lt;/li&gt;&lt;li&gt;&lt;a href=|http://",AR1191,"/psalms/34.htm","| ","title=|",AR1190,"| target=|_top|&gt;",AR1192,"&lt;/a&gt;")</f>
        <v>&lt;/li&gt;&lt;li&gt;&lt;a href=|http://websterbible.com/psalms/34.htm| title=|Webster's Bible Translation| target=|_top|&gt;WBS&lt;/a&gt;</v>
      </c>
      <c r="AS51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12" t="str">
        <f>CONCATENATE("&lt;/li&gt;&lt;li&gt;&lt;a href=|http://",AT1191,"/psalms/34-1.htm","| ","title=|",AT1190,"| target=|_top|&gt;",AT1192,"&lt;/a&gt;")</f>
        <v>&lt;/li&gt;&lt;li&gt;&lt;a href=|http://biblebrowser.com/psalms/34-1.htm| title=|Split View| target=|_top|&gt;Split&lt;/a&gt;</v>
      </c>
      <c r="AU512" s="2" t="s">
        <v>1276</v>
      </c>
      <c r="AV512" t="s">
        <v>64</v>
      </c>
    </row>
    <row r="513" spans="1:48">
      <c r="A513" t="s">
        <v>622</v>
      </c>
      <c r="B513" t="s">
        <v>751</v>
      </c>
      <c r="C513" t="s">
        <v>624</v>
      </c>
      <c r="D513" t="s">
        <v>1268</v>
      </c>
      <c r="E513" t="s">
        <v>1277</v>
      </c>
      <c r="F513" t="s">
        <v>1304</v>
      </c>
      <c r="G513" t="s">
        <v>1266</v>
      </c>
      <c r="H513" t="s">
        <v>1305</v>
      </c>
      <c r="I513" t="s">
        <v>1303</v>
      </c>
      <c r="J513" t="s">
        <v>1267</v>
      </c>
      <c r="K513" t="s">
        <v>1275</v>
      </c>
      <c r="L513" s="2" t="s">
        <v>1274</v>
      </c>
      <c r="M513" t="str">
        <f t="shared" ref="M513:AB513" si="2048">CONCATENATE("&lt;/li&gt;&lt;li&gt;&lt;a href=|http://",M1191,"/psalms/35.htm","| ","title=|",M1190,"| target=|_top|&gt;",M1192,"&lt;/a&gt;")</f>
        <v>&lt;/li&gt;&lt;li&gt;&lt;a href=|http://niv.scripturetext.com/psalms/35.htm| title=|New International Version| target=|_top|&gt;NIV&lt;/a&gt;</v>
      </c>
      <c r="N513" t="str">
        <f t="shared" si="2048"/>
        <v>&lt;/li&gt;&lt;li&gt;&lt;a href=|http://nlt.scripturetext.com/psalms/35.htm| title=|New Living Translation| target=|_top|&gt;NLT&lt;/a&gt;</v>
      </c>
      <c r="O513" t="str">
        <f t="shared" si="2048"/>
        <v>&lt;/li&gt;&lt;li&gt;&lt;a href=|http://nasb.scripturetext.com/psalms/35.htm| title=|New American Standard Bible| target=|_top|&gt;NAS&lt;/a&gt;</v>
      </c>
      <c r="P513" t="str">
        <f t="shared" si="2048"/>
        <v>&lt;/li&gt;&lt;li&gt;&lt;a href=|http://gwt.scripturetext.com/psalms/35.htm| title=|God's Word Translation| target=|_top|&gt;GWT&lt;/a&gt;</v>
      </c>
      <c r="Q513" t="str">
        <f t="shared" si="2048"/>
        <v>&lt;/li&gt;&lt;li&gt;&lt;a href=|http://kingjbible.com/psalms/35.htm| title=|King James Bible| target=|_top|&gt;KJV&lt;/a&gt;</v>
      </c>
      <c r="R513" t="str">
        <f t="shared" si="2048"/>
        <v>&lt;/li&gt;&lt;li&gt;&lt;a href=|http://asvbible.com/psalms/35.htm| title=|American Standard Version| target=|_top|&gt;ASV&lt;/a&gt;</v>
      </c>
      <c r="S513" t="str">
        <f t="shared" si="2048"/>
        <v>&lt;/li&gt;&lt;li&gt;&lt;a href=|http://drb.scripturetext.com/psalms/35.htm| title=|Douay-Rheims Bible| target=|_top|&gt;DRB&lt;/a&gt;</v>
      </c>
      <c r="T513" t="str">
        <f t="shared" si="2048"/>
        <v>&lt;/li&gt;&lt;li&gt;&lt;a href=|http://erv.scripturetext.com/psalms/35.htm| title=|English Revised Version| target=|_top|&gt;ERV&lt;/a&gt;</v>
      </c>
      <c r="V513" t="str">
        <f>CONCATENATE("&lt;/li&gt;&lt;li&gt;&lt;a href=|http://",V1191,"/psalms/35.htm","| ","title=|",V1190,"| target=|_top|&gt;",V1192,"&lt;/a&gt;")</f>
        <v>&lt;/li&gt;&lt;li&gt;&lt;a href=|http://study.interlinearbible.org/psalms/35.htm| title=|Hebrew Study Bible| target=|_top|&gt;Heb Study&lt;/a&gt;</v>
      </c>
      <c r="W513" t="str">
        <f t="shared" si="2048"/>
        <v>&lt;/li&gt;&lt;li&gt;&lt;a href=|http://apostolic.interlinearbible.org/psalms/35.htm| title=|Apostolic Bible Polyglot Interlinear| target=|_top|&gt;Polyglot&lt;/a&gt;</v>
      </c>
      <c r="X513" t="str">
        <f t="shared" si="2048"/>
        <v>&lt;/li&gt;&lt;li&gt;&lt;a href=|http://interlinearbible.org/psalms/35.htm| title=|Interlinear Bible| target=|_top|&gt;Interlin&lt;/a&gt;</v>
      </c>
      <c r="Y513" t="str">
        <f t="shared" ref="Y513" si="2049">CONCATENATE("&lt;/li&gt;&lt;li&gt;&lt;a href=|http://",Y1191,"/psalms/35.htm","| ","title=|",Y1190,"| target=|_top|&gt;",Y1192,"&lt;/a&gt;")</f>
        <v>&lt;/li&gt;&lt;li&gt;&lt;a href=|http://bibleoutline.org/psalms/35.htm| title=|Outline with People and Places List| target=|_top|&gt;Outline&lt;/a&gt;</v>
      </c>
      <c r="Z513" t="str">
        <f t="shared" si="2048"/>
        <v>&lt;/li&gt;&lt;li&gt;&lt;a href=|http://kjvs.scripturetext.com/psalms/35.htm| title=|King James Bible with Strong's Numbers| target=|_top|&gt;Strong's&lt;/a&gt;</v>
      </c>
      <c r="AA513" t="str">
        <f t="shared" si="2048"/>
        <v>&lt;/li&gt;&lt;li&gt;&lt;a href=|http://childrensbibleonline.com/psalms/35.htm| title=|The Children's Bible| target=|_top|&gt;Children's&lt;/a&gt;</v>
      </c>
      <c r="AB513" s="2" t="str">
        <f t="shared" si="2048"/>
        <v>&lt;/li&gt;&lt;li&gt;&lt;a href=|http://tsk.scripturetext.com/psalms/35.htm| title=|Treasury of Scripture Knowledge| target=|_top|&gt;TSK&lt;/a&gt;</v>
      </c>
      <c r="AC513" t="str">
        <f>CONCATENATE("&lt;a href=|http://",AC1191,"/psalms/35.htm","| ","title=|",AC1190,"| target=|_top|&gt;",AC1192,"&lt;/a&gt;")</f>
        <v>&lt;a href=|http://parallelbible.com/psalms/35.htm| title=|Parallel Chapters| target=|_top|&gt;PAR&lt;/a&gt;</v>
      </c>
      <c r="AD513" s="2" t="str">
        <f t="shared" ref="AD513:AK513" si="2050">CONCATENATE("&lt;/li&gt;&lt;li&gt;&lt;a href=|http://",AD1191,"/psalms/35.htm","| ","title=|",AD1190,"| target=|_top|&gt;",AD1192,"&lt;/a&gt;")</f>
        <v>&lt;/li&gt;&lt;li&gt;&lt;a href=|http://gsb.biblecommenter.com/psalms/35.htm| title=|Geneva Study Bible| target=|_top|&gt;GSB&lt;/a&gt;</v>
      </c>
      <c r="AE513" s="2" t="str">
        <f t="shared" si="2050"/>
        <v>&lt;/li&gt;&lt;li&gt;&lt;a href=|http://jfb.biblecommenter.com/psalms/35.htm| title=|Jamieson-Fausset-Brown Bible Commentary| target=|_top|&gt;JFB&lt;/a&gt;</v>
      </c>
      <c r="AF513" s="2" t="str">
        <f t="shared" si="2050"/>
        <v>&lt;/li&gt;&lt;li&gt;&lt;a href=|http://kjt.biblecommenter.com/psalms/35.htm| title=|King James Translators' Notes| target=|_top|&gt;KJT&lt;/a&gt;</v>
      </c>
      <c r="AG513" s="2" t="str">
        <f t="shared" si="2050"/>
        <v>&lt;/li&gt;&lt;li&gt;&lt;a href=|http://mhc.biblecommenter.com/psalms/35.htm| title=|Matthew Henry's Concise Commentary| target=|_top|&gt;MHC&lt;/a&gt;</v>
      </c>
      <c r="AH513" s="2" t="str">
        <f t="shared" si="2050"/>
        <v>&lt;/li&gt;&lt;li&gt;&lt;a href=|http://sco.biblecommenter.com/psalms/35.htm| title=|Scofield Reference Notes| target=|_top|&gt;SCO&lt;/a&gt;</v>
      </c>
      <c r="AI513" s="2" t="str">
        <f t="shared" si="2050"/>
        <v>&lt;/li&gt;&lt;li&gt;&lt;a href=|http://wes.biblecommenter.com/psalms/35.htm| title=|Wesley's Notes on the Bible| target=|_top|&gt;WES&lt;/a&gt;</v>
      </c>
      <c r="AJ513" t="str">
        <f t="shared" si="2050"/>
        <v>&lt;/li&gt;&lt;li&gt;&lt;a href=|http://worldebible.com/psalms/35.htm| title=|World English Bible| target=|_top|&gt;WEB&lt;/a&gt;</v>
      </c>
      <c r="AK513" t="str">
        <f t="shared" si="2050"/>
        <v>&lt;/li&gt;&lt;li&gt;&lt;a href=|http://yltbible.com/psalms/35.htm| title=|Young's Literal Translation| target=|_top|&gt;YLT&lt;/a&gt;</v>
      </c>
      <c r="AL513" t="str">
        <f>CONCATENATE("&lt;a href=|http://",AL1191,"/psalms/35.htm","| ","title=|",AL1190,"| target=|_top|&gt;",AL1192,"&lt;/a&gt;")</f>
        <v>&lt;a href=|http://kjv.us/psalms/35.htm| title=|American King James Version| target=|_top|&gt;AKJ&lt;/a&gt;</v>
      </c>
      <c r="AM513" t="str">
        <f t="shared" ref="AM513:AN513" si="2051">CONCATENATE("&lt;/li&gt;&lt;li&gt;&lt;a href=|http://",AM1191,"/psalms/35.htm","| ","title=|",AM1190,"| target=|_top|&gt;",AM1192,"&lt;/a&gt;")</f>
        <v>&lt;/li&gt;&lt;li&gt;&lt;a href=|http://basicenglishbible.com/psalms/35.htm| title=|Bible in Basic English| target=|_top|&gt;BBE&lt;/a&gt;</v>
      </c>
      <c r="AN513" t="str">
        <f t="shared" si="2051"/>
        <v>&lt;/li&gt;&lt;li&gt;&lt;a href=|http://darbybible.com/psalms/35.htm| title=|Darby Bible Translation| target=|_top|&gt;DBY&lt;/a&gt;</v>
      </c>
      <c r="AO51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1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1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13" t="str">
        <f>CONCATENATE("&lt;/li&gt;&lt;li&gt;&lt;a href=|http://",AR1191,"/psalms/35.htm","| ","title=|",AR1190,"| target=|_top|&gt;",AR1192,"&lt;/a&gt;")</f>
        <v>&lt;/li&gt;&lt;li&gt;&lt;a href=|http://websterbible.com/psalms/35.htm| title=|Webster's Bible Translation| target=|_top|&gt;WBS&lt;/a&gt;</v>
      </c>
      <c r="AS51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13" t="str">
        <f>CONCATENATE("&lt;/li&gt;&lt;li&gt;&lt;a href=|http://",AT1191,"/psalms/35-1.htm","| ","title=|",AT1190,"| target=|_top|&gt;",AT1192,"&lt;/a&gt;")</f>
        <v>&lt;/li&gt;&lt;li&gt;&lt;a href=|http://biblebrowser.com/psalms/35-1.htm| title=|Split View| target=|_top|&gt;Split&lt;/a&gt;</v>
      </c>
      <c r="AU513" s="2" t="s">
        <v>1276</v>
      </c>
      <c r="AV513" t="s">
        <v>64</v>
      </c>
    </row>
    <row r="514" spans="1:48">
      <c r="A514" t="s">
        <v>622</v>
      </c>
      <c r="B514" t="s">
        <v>752</v>
      </c>
      <c r="C514" t="s">
        <v>624</v>
      </c>
      <c r="D514" t="s">
        <v>1268</v>
      </c>
      <c r="E514" t="s">
        <v>1277</v>
      </c>
      <c r="F514" t="s">
        <v>1304</v>
      </c>
      <c r="G514" t="s">
        <v>1266</v>
      </c>
      <c r="H514" t="s">
        <v>1305</v>
      </c>
      <c r="I514" t="s">
        <v>1303</v>
      </c>
      <c r="J514" t="s">
        <v>1267</v>
      </c>
      <c r="K514" t="s">
        <v>1275</v>
      </c>
      <c r="L514" s="2" t="s">
        <v>1274</v>
      </c>
      <c r="M514" t="str">
        <f t="shared" ref="M514:AB514" si="2052">CONCATENATE("&lt;/li&gt;&lt;li&gt;&lt;a href=|http://",M1191,"/psalms/36.htm","| ","title=|",M1190,"| target=|_top|&gt;",M1192,"&lt;/a&gt;")</f>
        <v>&lt;/li&gt;&lt;li&gt;&lt;a href=|http://niv.scripturetext.com/psalms/36.htm| title=|New International Version| target=|_top|&gt;NIV&lt;/a&gt;</v>
      </c>
      <c r="N514" t="str">
        <f t="shared" si="2052"/>
        <v>&lt;/li&gt;&lt;li&gt;&lt;a href=|http://nlt.scripturetext.com/psalms/36.htm| title=|New Living Translation| target=|_top|&gt;NLT&lt;/a&gt;</v>
      </c>
      <c r="O514" t="str">
        <f t="shared" si="2052"/>
        <v>&lt;/li&gt;&lt;li&gt;&lt;a href=|http://nasb.scripturetext.com/psalms/36.htm| title=|New American Standard Bible| target=|_top|&gt;NAS&lt;/a&gt;</v>
      </c>
      <c r="P514" t="str">
        <f t="shared" si="2052"/>
        <v>&lt;/li&gt;&lt;li&gt;&lt;a href=|http://gwt.scripturetext.com/psalms/36.htm| title=|God's Word Translation| target=|_top|&gt;GWT&lt;/a&gt;</v>
      </c>
      <c r="Q514" t="str">
        <f t="shared" si="2052"/>
        <v>&lt;/li&gt;&lt;li&gt;&lt;a href=|http://kingjbible.com/psalms/36.htm| title=|King James Bible| target=|_top|&gt;KJV&lt;/a&gt;</v>
      </c>
      <c r="R514" t="str">
        <f t="shared" si="2052"/>
        <v>&lt;/li&gt;&lt;li&gt;&lt;a href=|http://asvbible.com/psalms/36.htm| title=|American Standard Version| target=|_top|&gt;ASV&lt;/a&gt;</v>
      </c>
      <c r="S514" t="str">
        <f t="shared" si="2052"/>
        <v>&lt;/li&gt;&lt;li&gt;&lt;a href=|http://drb.scripturetext.com/psalms/36.htm| title=|Douay-Rheims Bible| target=|_top|&gt;DRB&lt;/a&gt;</v>
      </c>
      <c r="T514" t="str">
        <f t="shared" si="2052"/>
        <v>&lt;/li&gt;&lt;li&gt;&lt;a href=|http://erv.scripturetext.com/psalms/36.htm| title=|English Revised Version| target=|_top|&gt;ERV&lt;/a&gt;</v>
      </c>
      <c r="V514" t="str">
        <f>CONCATENATE("&lt;/li&gt;&lt;li&gt;&lt;a href=|http://",V1191,"/psalms/36.htm","| ","title=|",V1190,"| target=|_top|&gt;",V1192,"&lt;/a&gt;")</f>
        <v>&lt;/li&gt;&lt;li&gt;&lt;a href=|http://study.interlinearbible.org/psalms/36.htm| title=|Hebrew Study Bible| target=|_top|&gt;Heb Study&lt;/a&gt;</v>
      </c>
      <c r="W514" t="str">
        <f t="shared" si="2052"/>
        <v>&lt;/li&gt;&lt;li&gt;&lt;a href=|http://apostolic.interlinearbible.org/psalms/36.htm| title=|Apostolic Bible Polyglot Interlinear| target=|_top|&gt;Polyglot&lt;/a&gt;</v>
      </c>
      <c r="X514" t="str">
        <f t="shared" si="2052"/>
        <v>&lt;/li&gt;&lt;li&gt;&lt;a href=|http://interlinearbible.org/psalms/36.htm| title=|Interlinear Bible| target=|_top|&gt;Interlin&lt;/a&gt;</v>
      </c>
      <c r="Y514" t="str">
        <f t="shared" ref="Y514" si="2053">CONCATENATE("&lt;/li&gt;&lt;li&gt;&lt;a href=|http://",Y1191,"/psalms/36.htm","| ","title=|",Y1190,"| target=|_top|&gt;",Y1192,"&lt;/a&gt;")</f>
        <v>&lt;/li&gt;&lt;li&gt;&lt;a href=|http://bibleoutline.org/psalms/36.htm| title=|Outline with People and Places List| target=|_top|&gt;Outline&lt;/a&gt;</v>
      </c>
      <c r="Z514" t="str">
        <f t="shared" si="2052"/>
        <v>&lt;/li&gt;&lt;li&gt;&lt;a href=|http://kjvs.scripturetext.com/psalms/36.htm| title=|King James Bible with Strong's Numbers| target=|_top|&gt;Strong's&lt;/a&gt;</v>
      </c>
      <c r="AA514" t="str">
        <f t="shared" si="2052"/>
        <v>&lt;/li&gt;&lt;li&gt;&lt;a href=|http://childrensbibleonline.com/psalms/36.htm| title=|The Children's Bible| target=|_top|&gt;Children's&lt;/a&gt;</v>
      </c>
      <c r="AB514" s="2" t="str">
        <f t="shared" si="2052"/>
        <v>&lt;/li&gt;&lt;li&gt;&lt;a href=|http://tsk.scripturetext.com/psalms/36.htm| title=|Treasury of Scripture Knowledge| target=|_top|&gt;TSK&lt;/a&gt;</v>
      </c>
      <c r="AC514" t="str">
        <f>CONCATENATE("&lt;a href=|http://",AC1191,"/psalms/36.htm","| ","title=|",AC1190,"| target=|_top|&gt;",AC1192,"&lt;/a&gt;")</f>
        <v>&lt;a href=|http://parallelbible.com/psalms/36.htm| title=|Parallel Chapters| target=|_top|&gt;PAR&lt;/a&gt;</v>
      </c>
      <c r="AD514" s="2" t="str">
        <f t="shared" ref="AD514:AK514" si="2054">CONCATENATE("&lt;/li&gt;&lt;li&gt;&lt;a href=|http://",AD1191,"/psalms/36.htm","| ","title=|",AD1190,"| target=|_top|&gt;",AD1192,"&lt;/a&gt;")</f>
        <v>&lt;/li&gt;&lt;li&gt;&lt;a href=|http://gsb.biblecommenter.com/psalms/36.htm| title=|Geneva Study Bible| target=|_top|&gt;GSB&lt;/a&gt;</v>
      </c>
      <c r="AE514" s="2" t="str">
        <f t="shared" si="2054"/>
        <v>&lt;/li&gt;&lt;li&gt;&lt;a href=|http://jfb.biblecommenter.com/psalms/36.htm| title=|Jamieson-Fausset-Brown Bible Commentary| target=|_top|&gt;JFB&lt;/a&gt;</v>
      </c>
      <c r="AF514" s="2" t="str">
        <f t="shared" si="2054"/>
        <v>&lt;/li&gt;&lt;li&gt;&lt;a href=|http://kjt.biblecommenter.com/psalms/36.htm| title=|King James Translators' Notes| target=|_top|&gt;KJT&lt;/a&gt;</v>
      </c>
      <c r="AG514" s="2" t="str">
        <f t="shared" si="2054"/>
        <v>&lt;/li&gt;&lt;li&gt;&lt;a href=|http://mhc.biblecommenter.com/psalms/36.htm| title=|Matthew Henry's Concise Commentary| target=|_top|&gt;MHC&lt;/a&gt;</v>
      </c>
      <c r="AH514" s="2" t="str">
        <f t="shared" si="2054"/>
        <v>&lt;/li&gt;&lt;li&gt;&lt;a href=|http://sco.biblecommenter.com/psalms/36.htm| title=|Scofield Reference Notes| target=|_top|&gt;SCO&lt;/a&gt;</v>
      </c>
      <c r="AI514" s="2" t="str">
        <f t="shared" si="2054"/>
        <v>&lt;/li&gt;&lt;li&gt;&lt;a href=|http://wes.biblecommenter.com/psalms/36.htm| title=|Wesley's Notes on the Bible| target=|_top|&gt;WES&lt;/a&gt;</v>
      </c>
      <c r="AJ514" t="str">
        <f t="shared" si="2054"/>
        <v>&lt;/li&gt;&lt;li&gt;&lt;a href=|http://worldebible.com/psalms/36.htm| title=|World English Bible| target=|_top|&gt;WEB&lt;/a&gt;</v>
      </c>
      <c r="AK514" t="str">
        <f t="shared" si="2054"/>
        <v>&lt;/li&gt;&lt;li&gt;&lt;a href=|http://yltbible.com/psalms/36.htm| title=|Young's Literal Translation| target=|_top|&gt;YLT&lt;/a&gt;</v>
      </c>
      <c r="AL514" t="str">
        <f>CONCATENATE("&lt;a href=|http://",AL1191,"/psalms/36.htm","| ","title=|",AL1190,"| target=|_top|&gt;",AL1192,"&lt;/a&gt;")</f>
        <v>&lt;a href=|http://kjv.us/psalms/36.htm| title=|American King James Version| target=|_top|&gt;AKJ&lt;/a&gt;</v>
      </c>
      <c r="AM514" t="str">
        <f t="shared" ref="AM514:AN514" si="2055">CONCATENATE("&lt;/li&gt;&lt;li&gt;&lt;a href=|http://",AM1191,"/psalms/36.htm","| ","title=|",AM1190,"| target=|_top|&gt;",AM1192,"&lt;/a&gt;")</f>
        <v>&lt;/li&gt;&lt;li&gt;&lt;a href=|http://basicenglishbible.com/psalms/36.htm| title=|Bible in Basic English| target=|_top|&gt;BBE&lt;/a&gt;</v>
      </c>
      <c r="AN514" t="str">
        <f t="shared" si="2055"/>
        <v>&lt;/li&gt;&lt;li&gt;&lt;a href=|http://darbybible.com/psalms/36.htm| title=|Darby Bible Translation| target=|_top|&gt;DBY&lt;/a&gt;</v>
      </c>
      <c r="AO51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1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1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14" t="str">
        <f>CONCATENATE("&lt;/li&gt;&lt;li&gt;&lt;a href=|http://",AR1191,"/psalms/36.htm","| ","title=|",AR1190,"| target=|_top|&gt;",AR1192,"&lt;/a&gt;")</f>
        <v>&lt;/li&gt;&lt;li&gt;&lt;a href=|http://websterbible.com/psalms/36.htm| title=|Webster's Bible Translation| target=|_top|&gt;WBS&lt;/a&gt;</v>
      </c>
      <c r="AS51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14" t="str">
        <f>CONCATENATE("&lt;/li&gt;&lt;li&gt;&lt;a href=|http://",AT1191,"/psalms/36-1.htm","| ","title=|",AT1190,"| target=|_top|&gt;",AT1192,"&lt;/a&gt;")</f>
        <v>&lt;/li&gt;&lt;li&gt;&lt;a href=|http://biblebrowser.com/psalms/36-1.htm| title=|Split View| target=|_top|&gt;Split&lt;/a&gt;</v>
      </c>
      <c r="AU514" s="2" t="s">
        <v>1276</v>
      </c>
      <c r="AV514" t="s">
        <v>64</v>
      </c>
    </row>
    <row r="515" spans="1:48">
      <c r="A515" t="s">
        <v>622</v>
      </c>
      <c r="B515" t="s">
        <v>753</v>
      </c>
      <c r="C515" t="s">
        <v>624</v>
      </c>
      <c r="D515" t="s">
        <v>1268</v>
      </c>
      <c r="E515" t="s">
        <v>1277</v>
      </c>
      <c r="F515" t="s">
        <v>1304</v>
      </c>
      <c r="G515" t="s">
        <v>1266</v>
      </c>
      <c r="H515" t="s">
        <v>1305</v>
      </c>
      <c r="I515" t="s">
        <v>1303</v>
      </c>
      <c r="J515" t="s">
        <v>1267</v>
      </c>
      <c r="K515" t="s">
        <v>1275</v>
      </c>
      <c r="L515" s="2" t="s">
        <v>1274</v>
      </c>
      <c r="M515" t="str">
        <f t="shared" ref="M515:AB515" si="2056">CONCATENATE("&lt;/li&gt;&lt;li&gt;&lt;a href=|http://",M1191,"/psalms/37.htm","| ","title=|",M1190,"| target=|_top|&gt;",M1192,"&lt;/a&gt;")</f>
        <v>&lt;/li&gt;&lt;li&gt;&lt;a href=|http://niv.scripturetext.com/psalms/37.htm| title=|New International Version| target=|_top|&gt;NIV&lt;/a&gt;</v>
      </c>
      <c r="N515" t="str">
        <f t="shared" si="2056"/>
        <v>&lt;/li&gt;&lt;li&gt;&lt;a href=|http://nlt.scripturetext.com/psalms/37.htm| title=|New Living Translation| target=|_top|&gt;NLT&lt;/a&gt;</v>
      </c>
      <c r="O515" t="str">
        <f t="shared" si="2056"/>
        <v>&lt;/li&gt;&lt;li&gt;&lt;a href=|http://nasb.scripturetext.com/psalms/37.htm| title=|New American Standard Bible| target=|_top|&gt;NAS&lt;/a&gt;</v>
      </c>
      <c r="P515" t="str">
        <f t="shared" si="2056"/>
        <v>&lt;/li&gt;&lt;li&gt;&lt;a href=|http://gwt.scripturetext.com/psalms/37.htm| title=|God's Word Translation| target=|_top|&gt;GWT&lt;/a&gt;</v>
      </c>
      <c r="Q515" t="str">
        <f t="shared" si="2056"/>
        <v>&lt;/li&gt;&lt;li&gt;&lt;a href=|http://kingjbible.com/psalms/37.htm| title=|King James Bible| target=|_top|&gt;KJV&lt;/a&gt;</v>
      </c>
      <c r="R515" t="str">
        <f t="shared" si="2056"/>
        <v>&lt;/li&gt;&lt;li&gt;&lt;a href=|http://asvbible.com/psalms/37.htm| title=|American Standard Version| target=|_top|&gt;ASV&lt;/a&gt;</v>
      </c>
      <c r="S515" t="str">
        <f t="shared" si="2056"/>
        <v>&lt;/li&gt;&lt;li&gt;&lt;a href=|http://drb.scripturetext.com/psalms/37.htm| title=|Douay-Rheims Bible| target=|_top|&gt;DRB&lt;/a&gt;</v>
      </c>
      <c r="T515" t="str">
        <f t="shared" si="2056"/>
        <v>&lt;/li&gt;&lt;li&gt;&lt;a href=|http://erv.scripturetext.com/psalms/37.htm| title=|English Revised Version| target=|_top|&gt;ERV&lt;/a&gt;</v>
      </c>
      <c r="V515" t="str">
        <f>CONCATENATE("&lt;/li&gt;&lt;li&gt;&lt;a href=|http://",V1191,"/psalms/37.htm","| ","title=|",V1190,"| target=|_top|&gt;",V1192,"&lt;/a&gt;")</f>
        <v>&lt;/li&gt;&lt;li&gt;&lt;a href=|http://study.interlinearbible.org/psalms/37.htm| title=|Hebrew Study Bible| target=|_top|&gt;Heb Study&lt;/a&gt;</v>
      </c>
      <c r="W515" t="str">
        <f t="shared" si="2056"/>
        <v>&lt;/li&gt;&lt;li&gt;&lt;a href=|http://apostolic.interlinearbible.org/psalms/37.htm| title=|Apostolic Bible Polyglot Interlinear| target=|_top|&gt;Polyglot&lt;/a&gt;</v>
      </c>
      <c r="X515" t="str">
        <f t="shared" si="2056"/>
        <v>&lt;/li&gt;&lt;li&gt;&lt;a href=|http://interlinearbible.org/psalms/37.htm| title=|Interlinear Bible| target=|_top|&gt;Interlin&lt;/a&gt;</v>
      </c>
      <c r="Y515" t="str">
        <f t="shared" ref="Y515" si="2057">CONCATENATE("&lt;/li&gt;&lt;li&gt;&lt;a href=|http://",Y1191,"/psalms/37.htm","| ","title=|",Y1190,"| target=|_top|&gt;",Y1192,"&lt;/a&gt;")</f>
        <v>&lt;/li&gt;&lt;li&gt;&lt;a href=|http://bibleoutline.org/psalms/37.htm| title=|Outline with People and Places List| target=|_top|&gt;Outline&lt;/a&gt;</v>
      </c>
      <c r="Z515" t="str">
        <f t="shared" si="2056"/>
        <v>&lt;/li&gt;&lt;li&gt;&lt;a href=|http://kjvs.scripturetext.com/psalms/37.htm| title=|King James Bible with Strong's Numbers| target=|_top|&gt;Strong's&lt;/a&gt;</v>
      </c>
      <c r="AA515" t="str">
        <f t="shared" si="2056"/>
        <v>&lt;/li&gt;&lt;li&gt;&lt;a href=|http://childrensbibleonline.com/psalms/37.htm| title=|The Children's Bible| target=|_top|&gt;Children's&lt;/a&gt;</v>
      </c>
      <c r="AB515" s="2" t="str">
        <f t="shared" si="2056"/>
        <v>&lt;/li&gt;&lt;li&gt;&lt;a href=|http://tsk.scripturetext.com/psalms/37.htm| title=|Treasury of Scripture Knowledge| target=|_top|&gt;TSK&lt;/a&gt;</v>
      </c>
      <c r="AC515" t="str">
        <f>CONCATENATE("&lt;a href=|http://",AC1191,"/psalms/37.htm","| ","title=|",AC1190,"| target=|_top|&gt;",AC1192,"&lt;/a&gt;")</f>
        <v>&lt;a href=|http://parallelbible.com/psalms/37.htm| title=|Parallel Chapters| target=|_top|&gt;PAR&lt;/a&gt;</v>
      </c>
      <c r="AD515" s="2" t="str">
        <f t="shared" ref="AD515:AK515" si="2058">CONCATENATE("&lt;/li&gt;&lt;li&gt;&lt;a href=|http://",AD1191,"/psalms/37.htm","| ","title=|",AD1190,"| target=|_top|&gt;",AD1192,"&lt;/a&gt;")</f>
        <v>&lt;/li&gt;&lt;li&gt;&lt;a href=|http://gsb.biblecommenter.com/psalms/37.htm| title=|Geneva Study Bible| target=|_top|&gt;GSB&lt;/a&gt;</v>
      </c>
      <c r="AE515" s="2" t="str">
        <f t="shared" si="2058"/>
        <v>&lt;/li&gt;&lt;li&gt;&lt;a href=|http://jfb.biblecommenter.com/psalms/37.htm| title=|Jamieson-Fausset-Brown Bible Commentary| target=|_top|&gt;JFB&lt;/a&gt;</v>
      </c>
      <c r="AF515" s="2" t="str">
        <f t="shared" si="2058"/>
        <v>&lt;/li&gt;&lt;li&gt;&lt;a href=|http://kjt.biblecommenter.com/psalms/37.htm| title=|King James Translators' Notes| target=|_top|&gt;KJT&lt;/a&gt;</v>
      </c>
      <c r="AG515" s="2" t="str">
        <f t="shared" si="2058"/>
        <v>&lt;/li&gt;&lt;li&gt;&lt;a href=|http://mhc.biblecommenter.com/psalms/37.htm| title=|Matthew Henry's Concise Commentary| target=|_top|&gt;MHC&lt;/a&gt;</v>
      </c>
      <c r="AH515" s="2" t="str">
        <f t="shared" si="2058"/>
        <v>&lt;/li&gt;&lt;li&gt;&lt;a href=|http://sco.biblecommenter.com/psalms/37.htm| title=|Scofield Reference Notes| target=|_top|&gt;SCO&lt;/a&gt;</v>
      </c>
      <c r="AI515" s="2" t="str">
        <f t="shared" si="2058"/>
        <v>&lt;/li&gt;&lt;li&gt;&lt;a href=|http://wes.biblecommenter.com/psalms/37.htm| title=|Wesley's Notes on the Bible| target=|_top|&gt;WES&lt;/a&gt;</v>
      </c>
      <c r="AJ515" t="str">
        <f t="shared" si="2058"/>
        <v>&lt;/li&gt;&lt;li&gt;&lt;a href=|http://worldebible.com/psalms/37.htm| title=|World English Bible| target=|_top|&gt;WEB&lt;/a&gt;</v>
      </c>
      <c r="AK515" t="str">
        <f t="shared" si="2058"/>
        <v>&lt;/li&gt;&lt;li&gt;&lt;a href=|http://yltbible.com/psalms/37.htm| title=|Young's Literal Translation| target=|_top|&gt;YLT&lt;/a&gt;</v>
      </c>
      <c r="AL515" t="str">
        <f>CONCATENATE("&lt;a href=|http://",AL1191,"/psalms/37.htm","| ","title=|",AL1190,"| target=|_top|&gt;",AL1192,"&lt;/a&gt;")</f>
        <v>&lt;a href=|http://kjv.us/psalms/37.htm| title=|American King James Version| target=|_top|&gt;AKJ&lt;/a&gt;</v>
      </c>
      <c r="AM515" t="str">
        <f t="shared" ref="AM515:AN515" si="2059">CONCATENATE("&lt;/li&gt;&lt;li&gt;&lt;a href=|http://",AM1191,"/psalms/37.htm","| ","title=|",AM1190,"| target=|_top|&gt;",AM1192,"&lt;/a&gt;")</f>
        <v>&lt;/li&gt;&lt;li&gt;&lt;a href=|http://basicenglishbible.com/psalms/37.htm| title=|Bible in Basic English| target=|_top|&gt;BBE&lt;/a&gt;</v>
      </c>
      <c r="AN515" t="str">
        <f t="shared" si="2059"/>
        <v>&lt;/li&gt;&lt;li&gt;&lt;a href=|http://darbybible.com/psalms/37.htm| title=|Darby Bible Translation| target=|_top|&gt;DBY&lt;/a&gt;</v>
      </c>
      <c r="AO51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1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1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15" t="str">
        <f>CONCATENATE("&lt;/li&gt;&lt;li&gt;&lt;a href=|http://",AR1191,"/psalms/37.htm","| ","title=|",AR1190,"| target=|_top|&gt;",AR1192,"&lt;/a&gt;")</f>
        <v>&lt;/li&gt;&lt;li&gt;&lt;a href=|http://websterbible.com/psalms/37.htm| title=|Webster's Bible Translation| target=|_top|&gt;WBS&lt;/a&gt;</v>
      </c>
      <c r="AS51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15" t="str">
        <f>CONCATENATE("&lt;/li&gt;&lt;li&gt;&lt;a href=|http://",AT1191,"/psalms/37-1.htm","| ","title=|",AT1190,"| target=|_top|&gt;",AT1192,"&lt;/a&gt;")</f>
        <v>&lt;/li&gt;&lt;li&gt;&lt;a href=|http://biblebrowser.com/psalms/37-1.htm| title=|Split View| target=|_top|&gt;Split&lt;/a&gt;</v>
      </c>
      <c r="AU515" s="2" t="s">
        <v>1276</v>
      </c>
      <c r="AV515" t="s">
        <v>64</v>
      </c>
    </row>
    <row r="516" spans="1:48">
      <c r="A516" t="s">
        <v>622</v>
      </c>
      <c r="B516" t="s">
        <v>754</v>
      </c>
      <c r="C516" t="s">
        <v>624</v>
      </c>
      <c r="D516" t="s">
        <v>1268</v>
      </c>
      <c r="E516" t="s">
        <v>1277</v>
      </c>
      <c r="F516" t="s">
        <v>1304</v>
      </c>
      <c r="G516" t="s">
        <v>1266</v>
      </c>
      <c r="H516" t="s">
        <v>1305</v>
      </c>
      <c r="I516" t="s">
        <v>1303</v>
      </c>
      <c r="J516" t="s">
        <v>1267</v>
      </c>
      <c r="K516" t="s">
        <v>1275</v>
      </c>
      <c r="L516" s="2" t="s">
        <v>1274</v>
      </c>
      <c r="M516" t="str">
        <f t="shared" ref="M516:AB516" si="2060">CONCATENATE("&lt;/li&gt;&lt;li&gt;&lt;a href=|http://",M1191,"/psalms/38.htm","| ","title=|",M1190,"| target=|_top|&gt;",M1192,"&lt;/a&gt;")</f>
        <v>&lt;/li&gt;&lt;li&gt;&lt;a href=|http://niv.scripturetext.com/psalms/38.htm| title=|New International Version| target=|_top|&gt;NIV&lt;/a&gt;</v>
      </c>
      <c r="N516" t="str">
        <f t="shared" si="2060"/>
        <v>&lt;/li&gt;&lt;li&gt;&lt;a href=|http://nlt.scripturetext.com/psalms/38.htm| title=|New Living Translation| target=|_top|&gt;NLT&lt;/a&gt;</v>
      </c>
      <c r="O516" t="str">
        <f t="shared" si="2060"/>
        <v>&lt;/li&gt;&lt;li&gt;&lt;a href=|http://nasb.scripturetext.com/psalms/38.htm| title=|New American Standard Bible| target=|_top|&gt;NAS&lt;/a&gt;</v>
      </c>
      <c r="P516" t="str">
        <f t="shared" si="2060"/>
        <v>&lt;/li&gt;&lt;li&gt;&lt;a href=|http://gwt.scripturetext.com/psalms/38.htm| title=|God's Word Translation| target=|_top|&gt;GWT&lt;/a&gt;</v>
      </c>
      <c r="Q516" t="str">
        <f t="shared" si="2060"/>
        <v>&lt;/li&gt;&lt;li&gt;&lt;a href=|http://kingjbible.com/psalms/38.htm| title=|King James Bible| target=|_top|&gt;KJV&lt;/a&gt;</v>
      </c>
      <c r="R516" t="str">
        <f t="shared" si="2060"/>
        <v>&lt;/li&gt;&lt;li&gt;&lt;a href=|http://asvbible.com/psalms/38.htm| title=|American Standard Version| target=|_top|&gt;ASV&lt;/a&gt;</v>
      </c>
      <c r="S516" t="str">
        <f t="shared" si="2060"/>
        <v>&lt;/li&gt;&lt;li&gt;&lt;a href=|http://drb.scripturetext.com/psalms/38.htm| title=|Douay-Rheims Bible| target=|_top|&gt;DRB&lt;/a&gt;</v>
      </c>
      <c r="T516" t="str">
        <f t="shared" si="2060"/>
        <v>&lt;/li&gt;&lt;li&gt;&lt;a href=|http://erv.scripturetext.com/psalms/38.htm| title=|English Revised Version| target=|_top|&gt;ERV&lt;/a&gt;</v>
      </c>
      <c r="V516" t="str">
        <f>CONCATENATE("&lt;/li&gt;&lt;li&gt;&lt;a href=|http://",V1191,"/psalms/38.htm","| ","title=|",V1190,"| target=|_top|&gt;",V1192,"&lt;/a&gt;")</f>
        <v>&lt;/li&gt;&lt;li&gt;&lt;a href=|http://study.interlinearbible.org/psalms/38.htm| title=|Hebrew Study Bible| target=|_top|&gt;Heb Study&lt;/a&gt;</v>
      </c>
      <c r="W516" t="str">
        <f t="shared" si="2060"/>
        <v>&lt;/li&gt;&lt;li&gt;&lt;a href=|http://apostolic.interlinearbible.org/psalms/38.htm| title=|Apostolic Bible Polyglot Interlinear| target=|_top|&gt;Polyglot&lt;/a&gt;</v>
      </c>
      <c r="X516" t="str">
        <f t="shared" si="2060"/>
        <v>&lt;/li&gt;&lt;li&gt;&lt;a href=|http://interlinearbible.org/psalms/38.htm| title=|Interlinear Bible| target=|_top|&gt;Interlin&lt;/a&gt;</v>
      </c>
      <c r="Y516" t="str">
        <f t="shared" ref="Y516" si="2061">CONCATENATE("&lt;/li&gt;&lt;li&gt;&lt;a href=|http://",Y1191,"/psalms/38.htm","| ","title=|",Y1190,"| target=|_top|&gt;",Y1192,"&lt;/a&gt;")</f>
        <v>&lt;/li&gt;&lt;li&gt;&lt;a href=|http://bibleoutline.org/psalms/38.htm| title=|Outline with People and Places List| target=|_top|&gt;Outline&lt;/a&gt;</v>
      </c>
      <c r="Z516" t="str">
        <f t="shared" si="2060"/>
        <v>&lt;/li&gt;&lt;li&gt;&lt;a href=|http://kjvs.scripturetext.com/psalms/38.htm| title=|King James Bible with Strong's Numbers| target=|_top|&gt;Strong's&lt;/a&gt;</v>
      </c>
      <c r="AA516" t="str">
        <f t="shared" si="2060"/>
        <v>&lt;/li&gt;&lt;li&gt;&lt;a href=|http://childrensbibleonline.com/psalms/38.htm| title=|The Children's Bible| target=|_top|&gt;Children's&lt;/a&gt;</v>
      </c>
      <c r="AB516" s="2" t="str">
        <f t="shared" si="2060"/>
        <v>&lt;/li&gt;&lt;li&gt;&lt;a href=|http://tsk.scripturetext.com/psalms/38.htm| title=|Treasury of Scripture Knowledge| target=|_top|&gt;TSK&lt;/a&gt;</v>
      </c>
      <c r="AC516" t="str">
        <f>CONCATENATE("&lt;a href=|http://",AC1191,"/psalms/38.htm","| ","title=|",AC1190,"| target=|_top|&gt;",AC1192,"&lt;/a&gt;")</f>
        <v>&lt;a href=|http://parallelbible.com/psalms/38.htm| title=|Parallel Chapters| target=|_top|&gt;PAR&lt;/a&gt;</v>
      </c>
      <c r="AD516" s="2" t="str">
        <f t="shared" ref="AD516:AK516" si="2062">CONCATENATE("&lt;/li&gt;&lt;li&gt;&lt;a href=|http://",AD1191,"/psalms/38.htm","| ","title=|",AD1190,"| target=|_top|&gt;",AD1192,"&lt;/a&gt;")</f>
        <v>&lt;/li&gt;&lt;li&gt;&lt;a href=|http://gsb.biblecommenter.com/psalms/38.htm| title=|Geneva Study Bible| target=|_top|&gt;GSB&lt;/a&gt;</v>
      </c>
      <c r="AE516" s="2" t="str">
        <f t="shared" si="2062"/>
        <v>&lt;/li&gt;&lt;li&gt;&lt;a href=|http://jfb.biblecommenter.com/psalms/38.htm| title=|Jamieson-Fausset-Brown Bible Commentary| target=|_top|&gt;JFB&lt;/a&gt;</v>
      </c>
      <c r="AF516" s="2" t="str">
        <f t="shared" si="2062"/>
        <v>&lt;/li&gt;&lt;li&gt;&lt;a href=|http://kjt.biblecommenter.com/psalms/38.htm| title=|King James Translators' Notes| target=|_top|&gt;KJT&lt;/a&gt;</v>
      </c>
      <c r="AG516" s="2" t="str">
        <f t="shared" si="2062"/>
        <v>&lt;/li&gt;&lt;li&gt;&lt;a href=|http://mhc.biblecommenter.com/psalms/38.htm| title=|Matthew Henry's Concise Commentary| target=|_top|&gt;MHC&lt;/a&gt;</v>
      </c>
      <c r="AH516" s="2" t="str">
        <f t="shared" si="2062"/>
        <v>&lt;/li&gt;&lt;li&gt;&lt;a href=|http://sco.biblecommenter.com/psalms/38.htm| title=|Scofield Reference Notes| target=|_top|&gt;SCO&lt;/a&gt;</v>
      </c>
      <c r="AI516" s="2" t="str">
        <f t="shared" si="2062"/>
        <v>&lt;/li&gt;&lt;li&gt;&lt;a href=|http://wes.biblecommenter.com/psalms/38.htm| title=|Wesley's Notes on the Bible| target=|_top|&gt;WES&lt;/a&gt;</v>
      </c>
      <c r="AJ516" t="str">
        <f t="shared" si="2062"/>
        <v>&lt;/li&gt;&lt;li&gt;&lt;a href=|http://worldebible.com/psalms/38.htm| title=|World English Bible| target=|_top|&gt;WEB&lt;/a&gt;</v>
      </c>
      <c r="AK516" t="str">
        <f t="shared" si="2062"/>
        <v>&lt;/li&gt;&lt;li&gt;&lt;a href=|http://yltbible.com/psalms/38.htm| title=|Young's Literal Translation| target=|_top|&gt;YLT&lt;/a&gt;</v>
      </c>
      <c r="AL516" t="str">
        <f>CONCATENATE("&lt;a href=|http://",AL1191,"/psalms/38.htm","| ","title=|",AL1190,"| target=|_top|&gt;",AL1192,"&lt;/a&gt;")</f>
        <v>&lt;a href=|http://kjv.us/psalms/38.htm| title=|American King James Version| target=|_top|&gt;AKJ&lt;/a&gt;</v>
      </c>
      <c r="AM516" t="str">
        <f t="shared" ref="AM516:AN516" si="2063">CONCATENATE("&lt;/li&gt;&lt;li&gt;&lt;a href=|http://",AM1191,"/psalms/38.htm","| ","title=|",AM1190,"| target=|_top|&gt;",AM1192,"&lt;/a&gt;")</f>
        <v>&lt;/li&gt;&lt;li&gt;&lt;a href=|http://basicenglishbible.com/psalms/38.htm| title=|Bible in Basic English| target=|_top|&gt;BBE&lt;/a&gt;</v>
      </c>
      <c r="AN516" t="str">
        <f t="shared" si="2063"/>
        <v>&lt;/li&gt;&lt;li&gt;&lt;a href=|http://darbybible.com/psalms/38.htm| title=|Darby Bible Translation| target=|_top|&gt;DBY&lt;/a&gt;</v>
      </c>
      <c r="AO51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1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1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16" t="str">
        <f>CONCATENATE("&lt;/li&gt;&lt;li&gt;&lt;a href=|http://",AR1191,"/psalms/38.htm","| ","title=|",AR1190,"| target=|_top|&gt;",AR1192,"&lt;/a&gt;")</f>
        <v>&lt;/li&gt;&lt;li&gt;&lt;a href=|http://websterbible.com/psalms/38.htm| title=|Webster's Bible Translation| target=|_top|&gt;WBS&lt;/a&gt;</v>
      </c>
      <c r="AS51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16" t="str">
        <f>CONCATENATE("&lt;/li&gt;&lt;li&gt;&lt;a href=|http://",AT1191,"/psalms/38-1.htm","| ","title=|",AT1190,"| target=|_top|&gt;",AT1192,"&lt;/a&gt;")</f>
        <v>&lt;/li&gt;&lt;li&gt;&lt;a href=|http://biblebrowser.com/psalms/38-1.htm| title=|Split View| target=|_top|&gt;Split&lt;/a&gt;</v>
      </c>
      <c r="AU516" s="2" t="s">
        <v>1276</v>
      </c>
      <c r="AV516" t="s">
        <v>64</v>
      </c>
    </row>
    <row r="517" spans="1:48">
      <c r="A517" t="s">
        <v>622</v>
      </c>
      <c r="B517" t="s">
        <v>755</v>
      </c>
      <c r="C517" t="s">
        <v>624</v>
      </c>
      <c r="D517" t="s">
        <v>1268</v>
      </c>
      <c r="E517" t="s">
        <v>1277</v>
      </c>
      <c r="F517" t="s">
        <v>1304</v>
      </c>
      <c r="G517" t="s">
        <v>1266</v>
      </c>
      <c r="H517" t="s">
        <v>1305</v>
      </c>
      <c r="I517" t="s">
        <v>1303</v>
      </c>
      <c r="J517" t="s">
        <v>1267</v>
      </c>
      <c r="K517" t="s">
        <v>1275</v>
      </c>
      <c r="L517" s="2" t="s">
        <v>1274</v>
      </c>
      <c r="M517" t="str">
        <f t="shared" ref="M517:AB517" si="2064">CONCATENATE("&lt;/li&gt;&lt;li&gt;&lt;a href=|http://",M1191,"/psalms/39.htm","| ","title=|",M1190,"| target=|_top|&gt;",M1192,"&lt;/a&gt;")</f>
        <v>&lt;/li&gt;&lt;li&gt;&lt;a href=|http://niv.scripturetext.com/psalms/39.htm| title=|New International Version| target=|_top|&gt;NIV&lt;/a&gt;</v>
      </c>
      <c r="N517" t="str">
        <f t="shared" si="2064"/>
        <v>&lt;/li&gt;&lt;li&gt;&lt;a href=|http://nlt.scripturetext.com/psalms/39.htm| title=|New Living Translation| target=|_top|&gt;NLT&lt;/a&gt;</v>
      </c>
      <c r="O517" t="str">
        <f t="shared" si="2064"/>
        <v>&lt;/li&gt;&lt;li&gt;&lt;a href=|http://nasb.scripturetext.com/psalms/39.htm| title=|New American Standard Bible| target=|_top|&gt;NAS&lt;/a&gt;</v>
      </c>
      <c r="P517" t="str">
        <f t="shared" si="2064"/>
        <v>&lt;/li&gt;&lt;li&gt;&lt;a href=|http://gwt.scripturetext.com/psalms/39.htm| title=|God's Word Translation| target=|_top|&gt;GWT&lt;/a&gt;</v>
      </c>
      <c r="Q517" t="str">
        <f t="shared" si="2064"/>
        <v>&lt;/li&gt;&lt;li&gt;&lt;a href=|http://kingjbible.com/psalms/39.htm| title=|King James Bible| target=|_top|&gt;KJV&lt;/a&gt;</v>
      </c>
      <c r="R517" t="str">
        <f t="shared" si="2064"/>
        <v>&lt;/li&gt;&lt;li&gt;&lt;a href=|http://asvbible.com/psalms/39.htm| title=|American Standard Version| target=|_top|&gt;ASV&lt;/a&gt;</v>
      </c>
      <c r="S517" t="str">
        <f t="shared" si="2064"/>
        <v>&lt;/li&gt;&lt;li&gt;&lt;a href=|http://drb.scripturetext.com/psalms/39.htm| title=|Douay-Rheims Bible| target=|_top|&gt;DRB&lt;/a&gt;</v>
      </c>
      <c r="T517" t="str">
        <f t="shared" si="2064"/>
        <v>&lt;/li&gt;&lt;li&gt;&lt;a href=|http://erv.scripturetext.com/psalms/39.htm| title=|English Revised Version| target=|_top|&gt;ERV&lt;/a&gt;</v>
      </c>
      <c r="V517" t="str">
        <f>CONCATENATE("&lt;/li&gt;&lt;li&gt;&lt;a href=|http://",V1191,"/psalms/39.htm","| ","title=|",V1190,"| target=|_top|&gt;",V1192,"&lt;/a&gt;")</f>
        <v>&lt;/li&gt;&lt;li&gt;&lt;a href=|http://study.interlinearbible.org/psalms/39.htm| title=|Hebrew Study Bible| target=|_top|&gt;Heb Study&lt;/a&gt;</v>
      </c>
      <c r="W517" t="str">
        <f t="shared" si="2064"/>
        <v>&lt;/li&gt;&lt;li&gt;&lt;a href=|http://apostolic.interlinearbible.org/psalms/39.htm| title=|Apostolic Bible Polyglot Interlinear| target=|_top|&gt;Polyglot&lt;/a&gt;</v>
      </c>
      <c r="X517" t="str">
        <f t="shared" si="2064"/>
        <v>&lt;/li&gt;&lt;li&gt;&lt;a href=|http://interlinearbible.org/psalms/39.htm| title=|Interlinear Bible| target=|_top|&gt;Interlin&lt;/a&gt;</v>
      </c>
      <c r="Y517" t="str">
        <f t="shared" ref="Y517" si="2065">CONCATENATE("&lt;/li&gt;&lt;li&gt;&lt;a href=|http://",Y1191,"/psalms/39.htm","| ","title=|",Y1190,"| target=|_top|&gt;",Y1192,"&lt;/a&gt;")</f>
        <v>&lt;/li&gt;&lt;li&gt;&lt;a href=|http://bibleoutline.org/psalms/39.htm| title=|Outline with People and Places List| target=|_top|&gt;Outline&lt;/a&gt;</v>
      </c>
      <c r="Z517" t="str">
        <f t="shared" si="2064"/>
        <v>&lt;/li&gt;&lt;li&gt;&lt;a href=|http://kjvs.scripturetext.com/psalms/39.htm| title=|King James Bible with Strong's Numbers| target=|_top|&gt;Strong's&lt;/a&gt;</v>
      </c>
      <c r="AA517" t="str">
        <f t="shared" si="2064"/>
        <v>&lt;/li&gt;&lt;li&gt;&lt;a href=|http://childrensbibleonline.com/psalms/39.htm| title=|The Children's Bible| target=|_top|&gt;Children's&lt;/a&gt;</v>
      </c>
      <c r="AB517" s="2" t="str">
        <f t="shared" si="2064"/>
        <v>&lt;/li&gt;&lt;li&gt;&lt;a href=|http://tsk.scripturetext.com/psalms/39.htm| title=|Treasury of Scripture Knowledge| target=|_top|&gt;TSK&lt;/a&gt;</v>
      </c>
      <c r="AC517" t="str">
        <f>CONCATENATE("&lt;a href=|http://",AC1191,"/psalms/39.htm","| ","title=|",AC1190,"| target=|_top|&gt;",AC1192,"&lt;/a&gt;")</f>
        <v>&lt;a href=|http://parallelbible.com/psalms/39.htm| title=|Parallel Chapters| target=|_top|&gt;PAR&lt;/a&gt;</v>
      </c>
      <c r="AD517" s="2" t="str">
        <f t="shared" ref="AD517:AK517" si="2066">CONCATENATE("&lt;/li&gt;&lt;li&gt;&lt;a href=|http://",AD1191,"/psalms/39.htm","| ","title=|",AD1190,"| target=|_top|&gt;",AD1192,"&lt;/a&gt;")</f>
        <v>&lt;/li&gt;&lt;li&gt;&lt;a href=|http://gsb.biblecommenter.com/psalms/39.htm| title=|Geneva Study Bible| target=|_top|&gt;GSB&lt;/a&gt;</v>
      </c>
      <c r="AE517" s="2" t="str">
        <f t="shared" si="2066"/>
        <v>&lt;/li&gt;&lt;li&gt;&lt;a href=|http://jfb.biblecommenter.com/psalms/39.htm| title=|Jamieson-Fausset-Brown Bible Commentary| target=|_top|&gt;JFB&lt;/a&gt;</v>
      </c>
      <c r="AF517" s="2" t="str">
        <f t="shared" si="2066"/>
        <v>&lt;/li&gt;&lt;li&gt;&lt;a href=|http://kjt.biblecommenter.com/psalms/39.htm| title=|King James Translators' Notes| target=|_top|&gt;KJT&lt;/a&gt;</v>
      </c>
      <c r="AG517" s="2" t="str">
        <f t="shared" si="2066"/>
        <v>&lt;/li&gt;&lt;li&gt;&lt;a href=|http://mhc.biblecommenter.com/psalms/39.htm| title=|Matthew Henry's Concise Commentary| target=|_top|&gt;MHC&lt;/a&gt;</v>
      </c>
      <c r="AH517" s="2" t="str">
        <f t="shared" si="2066"/>
        <v>&lt;/li&gt;&lt;li&gt;&lt;a href=|http://sco.biblecommenter.com/psalms/39.htm| title=|Scofield Reference Notes| target=|_top|&gt;SCO&lt;/a&gt;</v>
      </c>
      <c r="AI517" s="2" t="str">
        <f t="shared" si="2066"/>
        <v>&lt;/li&gt;&lt;li&gt;&lt;a href=|http://wes.biblecommenter.com/psalms/39.htm| title=|Wesley's Notes on the Bible| target=|_top|&gt;WES&lt;/a&gt;</v>
      </c>
      <c r="AJ517" t="str">
        <f t="shared" si="2066"/>
        <v>&lt;/li&gt;&lt;li&gt;&lt;a href=|http://worldebible.com/psalms/39.htm| title=|World English Bible| target=|_top|&gt;WEB&lt;/a&gt;</v>
      </c>
      <c r="AK517" t="str">
        <f t="shared" si="2066"/>
        <v>&lt;/li&gt;&lt;li&gt;&lt;a href=|http://yltbible.com/psalms/39.htm| title=|Young's Literal Translation| target=|_top|&gt;YLT&lt;/a&gt;</v>
      </c>
      <c r="AL517" t="str">
        <f>CONCATENATE("&lt;a href=|http://",AL1191,"/psalms/39.htm","| ","title=|",AL1190,"| target=|_top|&gt;",AL1192,"&lt;/a&gt;")</f>
        <v>&lt;a href=|http://kjv.us/psalms/39.htm| title=|American King James Version| target=|_top|&gt;AKJ&lt;/a&gt;</v>
      </c>
      <c r="AM517" t="str">
        <f t="shared" ref="AM517:AN517" si="2067">CONCATENATE("&lt;/li&gt;&lt;li&gt;&lt;a href=|http://",AM1191,"/psalms/39.htm","| ","title=|",AM1190,"| target=|_top|&gt;",AM1192,"&lt;/a&gt;")</f>
        <v>&lt;/li&gt;&lt;li&gt;&lt;a href=|http://basicenglishbible.com/psalms/39.htm| title=|Bible in Basic English| target=|_top|&gt;BBE&lt;/a&gt;</v>
      </c>
      <c r="AN517" t="str">
        <f t="shared" si="2067"/>
        <v>&lt;/li&gt;&lt;li&gt;&lt;a href=|http://darbybible.com/psalms/39.htm| title=|Darby Bible Translation| target=|_top|&gt;DBY&lt;/a&gt;</v>
      </c>
      <c r="AO51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1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1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17" t="str">
        <f>CONCATENATE("&lt;/li&gt;&lt;li&gt;&lt;a href=|http://",AR1191,"/psalms/39.htm","| ","title=|",AR1190,"| target=|_top|&gt;",AR1192,"&lt;/a&gt;")</f>
        <v>&lt;/li&gt;&lt;li&gt;&lt;a href=|http://websterbible.com/psalms/39.htm| title=|Webster's Bible Translation| target=|_top|&gt;WBS&lt;/a&gt;</v>
      </c>
      <c r="AS51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17" t="str">
        <f>CONCATENATE("&lt;/li&gt;&lt;li&gt;&lt;a href=|http://",AT1191,"/psalms/39-1.htm","| ","title=|",AT1190,"| target=|_top|&gt;",AT1192,"&lt;/a&gt;")</f>
        <v>&lt;/li&gt;&lt;li&gt;&lt;a href=|http://biblebrowser.com/psalms/39-1.htm| title=|Split View| target=|_top|&gt;Split&lt;/a&gt;</v>
      </c>
      <c r="AU517" s="2" t="s">
        <v>1276</v>
      </c>
      <c r="AV517" t="s">
        <v>64</v>
      </c>
    </row>
    <row r="518" spans="1:48">
      <c r="A518" t="s">
        <v>622</v>
      </c>
      <c r="B518" t="s">
        <v>756</v>
      </c>
      <c r="C518" t="s">
        <v>624</v>
      </c>
      <c r="D518" t="s">
        <v>1268</v>
      </c>
      <c r="E518" t="s">
        <v>1277</v>
      </c>
      <c r="F518" t="s">
        <v>1304</v>
      </c>
      <c r="G518" t="s">
        <v>1266</v>
      </c>
      <c r="H518" t="s">
        <v>1305</v>
      </c>
      <c r="I518" t="s">
        <v>1303</v>
      </c>
      <c r="J518" t="s">
        <v>1267</v>
      </c>
      <c r="K518" t="s">
        <v>1275</v>
      </c>
      <c r="L518" s="2" t="s">
        <v>1274</v>
      </c>
      <c r="M518" t="str">
        <f t="shared" ref="M518:AB518" si="2068">CONCATENATE("&lt;/li&gt;&lt;li&gt;&lt;a href=|http://",M1191,"/psalms/40.htm","| ","title=|",M1190,"| target=|_top|&gt;",M1192,"&lt;/a&gt;")</f>
        <v>&lt;/li&gt;&lt;li&gt;&lt;a href=|http://niv.scripturetext.com/psalms/40.htm| title=|New International Version| target=|_top|&gt;NIV&lt;/a&gt;</v>
      </c>
      <c r="N518" t="str">
        <f t="shared" si="2068"/>
        <v>&lt;/li&gt;&lt;li&gt;&lt;a href=|http://nlt.scripturetext.com/psalms/40.htm| title=|New Living Translation| target=|_top|&gt;NLT&lt;/a&gt;</v>
      </c>
      <c r="O518" t="str">
        <f t="shared" si="2068"/>
        <v>&lt;/li&gt;&lt;li&gt;&lt;a href=|http://nasb.scripturetext.com/psalms/40.htm| title=|New American Standard Bible| target=|_top|&gt;NAS&lt;/a&gt;</v>
      </c>
      <c r="P518" t="str">
        <f t="shared" si="2068"/>
        <v>&lt;/li&gt;&lt;li&gt;&lt;a href=|http://gwt.scripturetext.com/psalms/40.htm| title=|God's Word Translation| target=|_top|&gt;GWT&lt;/a&gt;</v>
      </c>
      <c r="Q518" t="str">
        <f t="shared" si="2068"/>
        <v>&lt;/li&gt;&lt;li&gt;&lt;a href=|http://kingjbible.com/psalms/40.htm| title=|King James Bible| target=|_top|&gt;KJV&lt;/a&gt;</v>
      </c>
      <c r="R518" t="str">
        <f t="shared" si="2068"/>
        <v>&lt;/li&gt;&lt;li&gt;&lt;a href=|http://asvbible.com/psalms/40.htm| title=|American Standard Version| target=|_top|&gt;ASV&lt;/a&gt;</v>
      </c>
      <c r="S518" t="str">
        <f t="shared" si="2068"/>
        <v>&lt;/li&gt;&lt;li&gt;&lt;a href=|http://drb.scripturetext.com/psalms/40.htm| title=|Douay-Rheims Bible| target=|_top|&gt;DRB&lt;/a&gt;</v>
      </c>
      <c r="T518" t="str">
        <f t="shared" si="2068"/>
        <v>&lt;/li&gt;&lt;li&gt;&lt;a href=|http://erv.scripturetext.com/psalms/40.htm| title=|English Revised Version| target=|_top|&gt;ERV&lt;/a&gt;</v>
      </c>
      <c r="V518" t="str">
        <f>CONCATENATE("&lt;/li&gt;&lt;li&gt;&lt;a href=|http://",V1191,"/psalms/40.htm","| ","title=|",V1190,"| target=|_top|&gt;",V1192,"&lt;/a&gt;")</f>
        <v>&lt;/li&gt;&lt;li&gt;&lt;a href=|http://study.interlinearbible.org/psalms/40.htm| title=|Hebrew Study Bible| target=|_top|&gt;Heb Study&lt;/a&gt;</v>
      </c>
      <c r="W518" t="str">
        <f t="shared" si="2068"/>
        <v>&lt;/li&gt;&lt;li&gt;&lt;a href=|http://apostolic.interlinearbible.org/psalms/40.htm| title=|Apostolic Bible Polyglot Interlinear| target=|_top|&gt;Polyglot&lt;/a&gt;</v>
      </c>
      <c r="X518" t="str">
        <f t="shared" si="2068"/>
        <v>&lt;/li&gt;&lt;li&gt;&lt;a href=|http://interlinearbible.org/psalms/40.htm| title=|Interlinear Bible| target=|_top|&gt;Interlin&lt;/a&gt;</v>
      </c>
      <c r="Y518" t="str">
        <f t="shared" ref="Y518" si="2069">CONCATENATE("&lt;/li&gt;&lt;li&gt;&lt;a href=|http://",Y1191,"/psalms/40.htm","| ","title=|",Y1190,"| target=|_top|&gt;",Y1192,"&lt;/a&gt;")</f>
        <v>&lt;/li&gt;&lt;li&gt;&lt;a href=|http://bibleoutline.org/psalms/40.htm| title=|Outline with People and Places List| target=|_top|&gt;Outline&lt;/a&gt;</v>
      </c>
      <c r="Z518" t="str">
        <f t="shared" si="2068"/>
        <v>&lt;/li&gt;&lt;li&gt;&lt;a href=|http://kjvs.scripturetext.com/psalms/40.htm| title=|King James Bible with Strong's Numbers| target=|_top|&gt;Strong's&lt;/a&gt;</v>
      </c>
      <c r="AA518" t="str">
        <f t="shared" si="2068"/>
        <v>&lt;/li&gt;&lt;li&gt;&lt;a href=|http://childrensbibleonline.com/psalms/40.htm| title=|The Children's Bible| target=|_top|&gt;Children's&lt;/a&gt;</v>
      </c>
      <c r="AB518" s="2" t="str">
        <f t="shared" si="2068"/>
        <v>&lt;/li&gt;&lt;li&gt;&lt;a href=|http://tsk.scripturetext.com/psalms/40.htm| title=|Treasury of Scripture Knowledge| target=|_top|&gt;TSK&lt;/a&gt;</v>
      </c>
      <c r="AC518" t="str">
        <f>CONCATENATE("&lt;a href=|http://",AC1191,"/psalms/40.htm","| ","title=|",AC1190,"| target=|_top|&gt;",AC1192,"&lt;/a&gt;")</f>
        <v>&lt;a href=|http://parallelbible.com/psalms/40.htm| title=|Parallel Chapters| target=|_top|&gt;PAR&lt;/a&gt;</v>
      </c>
      <c r="AD518" s="2" t="str">
        <f t="shared" ref="AD518:AK518" si="2070">CONCATENATE("&lt;/li&gt;&lt;li&gt;&lt;a href=|http://",AD1191,"/psalms/40.htm","| ","title=|",AD1190,"| target=|_top|&gt;",AD1192,"&lt;/a&gt;")</f>
        <v>&lt;/li&gt;&lt;li&gt;&lt;a href=|http://gsb.biblecommenter.com/psalms/40.htm| title=|Geneva Study Bible| target=|_top|&gt;GSB&lt;/a&gt;</v>
      </c>
      <c r="AE518" s="2" t="str">
        <f t="shared" si="2070"/>
        <v>&lt;/li&gt;&lt;li&gt;&lt;a href=|http://jfb.biblecommenter.com/psalms/40.htm| title=|Jamieson-Fausset-Brown Bible Commentary| target=|_top|&gt;JFB&lt;/a&gt;</v>
      </c>
      <c r="AF518" s="2" t="str">
        <f t="shared" si="2070"/>
        <v>&lt;/li&gt;&lt;li&gt;&lt;a href=|http://kjt.biblecommenter.com/psalms/40.htm| title=|King James Translators' Notes| target=|_top|&gt;KJT&lt;/a&gt;</v>
      </c>
      <c r="AG518" s="2" t="str">
        <f t="shared" si="2070"/>
        <v>&lt;/li&gt;&lt;li&gt;&lt;a href=|http://mhc.biblecommenter.com/psalms/40.htm| title=|Matthew Henry's Concise Commentary| target=|_top|&gt;MHC&lt;/a&gt;</v>
      </c>
      <c r="AH518" s="2" t="str">
        <f t="shared" si="2070"/>
        <v>&lt;/li&gt;&lt;li&gt;&lt;a href=|http://sco.biblecommenter.com/psalms/40.htm| title=|Scofield Reference Notes| target=|_top|&gt;SCO&lt;/a&gt;</v>
      </c>
      <c r="AI518" s="2" t="str">
        <f t="shared" si="2070"/>
        <v>&lt;/li&gt;&lt;li&gt;&lt;a href=|http://wes.biblecommenter.com/psalms/40.htm| title=|Wesley's Notes on the Bible| target=|_top|&gt;WES&lt;/a&gt;</v>
      </c>
      <c r="AJ518" t="str">
        <f t="shared" si="2070"/>
        <v>&lt;/li&gt;&lt;li&gt;&lt;a href=|http://worldebible.com/psalms/40.htm| title=|World English Bible| target=|_top|&gt;WEB&lt;/a&gt;</v>
      </c>
      <c r="AK518" t="str">
        <f t="shared" si="2070"/>
        <v>&lt;/li&gt;&lt;li&gt;&lt;a href=|http://yltbible.com/psalms/40.htm| title=|Young's Literal Translation| target=|_top|&gt;YLT&lt;/a&gt;</v>
      </c>
      <c r="AL518" t="str">
        <f>CONCATENATE("&lt;a href=|http://",AL1191,"/psalms/40.htm","| ","title=|",AL1190,"| target=|_top|&gt;",AL1192,"&lt;/a&gt;")</f>
        <v>&lt;a href=|http://kjv.us/psalms/40.htm| title=|American King James Version| target=|_top|&gt;AKJ&lt;/a&gt;</v>
      </c>
      <c r="AM518" t="str">
        <f t="shared" ref="AM518:AN518" si="2071">CONCATENATE("&lt;/li&gt;&lt;li&gt;&lt;a href=|http://",AM1191,"/psalms/40.htm","| ","title=|",AM1190,"| target=|_top|&gt;",AM1192,"&lt;/a&gt;")</f>
        <v>&lt;/li&gt;&lt;li&gt;&lt;a href=|http://basicenglishbible.com/psalms/40.htm| title=|Bible in Basic English| target=|_top|&gt;BBE&lt;/a&gt;</v>
      </c>
      <c r="AN518" t="str">
        <f t="shared" si="2071"/>
        <v>&lt;/li&gt;&lt;li&gt;&lt;a href=|http://darbybible.com/psalms/40.htm| title=|Darby Bible Translation| target=|_top|&gt;DBY&lt;/a&gt;</v>
      </c>
      <c r="AO51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1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1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18" t="str">
        <f>CONCATENATE("&lt;/li&gt;&lt;li&gt;&lt;a href=|http://",AR1191,"/psalms/40.htm","| ","title=|",AR1190,"| target=|_top|&gt;",AR1192,"&lt;/a&gt;")</f>
        <v>&lt;/li&gt;&lt;li&gt;&lt;a href=|http://websterbible.com/psalms/40.htm| title=|Webster's Bible Translation| target=|_top|&gt;WBS&lt;/a&gt;</v>
      </c>
      <c r="AS51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18" t="str">
        <f>CONCATENATE("&lt;/li&gt;&lt;li&gt;&lt;a href=|http://",AT1191,"/psalms/40-1.htm","| ","title=|",AT1190,"| target=|_top|&gt;",AT1192,"&lt;/a&gt;")</f>
        <v>&lt;/li&gt;&lt;li&gt;&lt;a href=|http://biblebrowser.com/psalms/40-1.htm| title=|Split View| target=|_top|&gt;Split&lt;/a&gt;</v>
      </c>
      <c r="AU518" s="2" t="s">
        <v>1276</v>
      </c>
      <c r="AV518" t="s">
        <v>64</v>
      </c>
    </row>
    <row r="519" spans="1:48">
      <c r="A519" t="s">
        <v>622</v>
      </c>
      <c r="B519" t="s">
        <v>757</v>
      </c>
      <c r="C519" t="s">
        <v>624</v>
      </c>
      <c r="D519" t="s">
        <v>1268</v>
      </c>
      <c r="E519" t="s">
        <v>1277</v>
      </c>
      <c r="F519" t="s">
        <v>1304</v>
      </c>
      <c r="G519" t="s">
        <v>1266</v>
      </c>
      <c r="H519" t="s">
        <v>1305</v>
      </c>
      <c r="I519" t="s">
        <v>1303</v>
      </c>
      <c r="J519" t="s">
        <v>1267</v>
      </c>
      <c r="K519" t="s">
        <v>1275</v>
      </c>
      <c r="L519" s="2" t="s">
        <v>1274</v>
      </c>
      <c r="M519" t="str">
        <f t="shared" ref="M519:AB519" si="2072">CONCATENATE("&lt;/li&gt;&lt;li&gt;&lt;a href=|http://",M1191,"/psalms/41.htm","| ","title=|",M1190,"| target=|_top|&gt;",M1192,"&lt;/a&gt;")</f>
        <v>&lt;/li&gt;&lt;li&gt;&lt;a href=|http://niv.scripturetext.com/psalms/41.htm| title=|New International Version| target=|_top|&gt;NIV&lt;/a&gt;</v>
      </c>
      <c r="N519" t="str">
        <f t="shared" si="2072"/>
        <v>&lt;/li&gt;&lt;li&gt;&lt;a href=|http://nlt.scripturetext.com/psalms/41.htm| title=|New Living Translation| target=|_top|&gt;NLT&lt;/a&gt;</v>
      </c>
      <c r="O519" t="str">
        <f t="shared" si="2072"/>
        <v>&lt;/li&gt;&lt;li&gt;&lt;a href=|http://nasb.scripturetext.com/psalms/41.htm| title=|New American Standard Bible| target=|_top|&gt;NAS&lt;/a&gt;</v>
      </c>
      <c r="P519" t="str">
        <f t="shared" si="2072"/>
        <v>&lt;/li&gt;&lt;li&gt;&lt;a href=|http://gwt.scripturetext.com/psalms/41.htm| title=|God's Word Translation| target=|_top|&gt;GWT&lt;/a&gt;</v>
      </c>
      <c r="Q519" t="str">
        <f t="shared" si="2072"/>
        <v>&lt;/li&gt;&lt;li&gt;&lt;a href=|http://kingjbible.com/psalms/41.htm| title=|King James Bible| target=|_top|&gt;KJV&lt;/a&gt;</v>
      </c>
      <c r="R519" t="str">
        <f t="shared" si="2072"/>
        <v>&lt;/li&gt;&lt;li&gt;&lt;a href=|http://asvbible.com/psalms/41.htm| title=|American Standard Version| target=|_top|&gt;ASV&lt;/a&gt;</v>
      </c>
      <c r="S519" t="str">
        <f t="shared" si="2072"/>
        <v>&lt;/li&gt;&lt;li&gt;&lt;a href=|http://drb.scripturetext.com/psalms/41.htm| title=|Douay-Rheims Bible| target=|_top|&gt;DRB&lt;/a&gt;</v>
      </c>
      <c r="T519" t="str">
        <f t="shared" si="2072"/>
        <v>&lt;/li&gt;&lt;li&gt;&lt;a href=|http://erv.scripturetext.com/psalms/41.htm| title=|English Revised Version| target=|_top|&gt;ERV&lt;/a&gt;</v>
      </c>
      <c r="V519" t="str">
        <f>CONCATENATE("&lt;/li&gt;&lt;li&gt;&lt;a href=|http://",V1191,"/psalms/41.htm","| ","title=|",V1190,"| target=|_top|&gt;",V1192,"&lt;/a&gt;")</f>
        <v>&lt;/li&gt;&lt;li&gt;&lt;a href=|http://study.interlinearbible.org/psalms/41.htm| title=|Hebrew Study Bible| target=|_top|&gt;Heb Study&lt;/a&gt;</v>
      </c>
      <c r="W519" t="str">
        <f t="shared" si="2072"/>
        <v>&lt;/li&gt;&lt;li&gt;&lt;a href=|http://apostolic.interlinearbible.org/psalms/41.htm| title=|Apostolic Bible Polyglot Interlinear| target=|_top|&gt;Polyglot&lt;/a&gt;</v>
      </c>
      <c r="X519" t="str">
        <f t="shared" si="2072"/>
        <v>&lt;/li&gt;&lt;li&gt;&lt;a href=|http://interlinearbible.org/psalms/41.htm| title=|Interlinear Bible| target=|_top|&gt;Interlin&lt;/a&gt;</v>
      </c>
      <c r="Y519" t="str">
        <f t="shared" ref="Y519" si="2073">CONCATENATE("&lt;/li&gt;&lt;li&gt;&lt;a href=|http://",Y1191,"/psalms/41.htm","| ","title=|",Y1190,"| target=|_top|&gt;",Y1192,"&lt;/a&gt;")</f>
        <v>&lt;/li&gt;&lt;li&gt;&lt;a href=|http://bibleoutline.org/psalms/41.htm| title=|Outline with People and Places List| target=|_top|&gt;Outline&lt;/a&gt;</v>
      </c>
      <c r="Z519" t="str">
        <f t="shared" si="2072"/>
        <v>&lt;/li&gt;&lt;li&gt;&lt;a href=|http://kjvs.scripturetext.com/psalms/41.htm| title=|King James Bible with Strong's Numbers| target=|_top|&gt;Strong's&lt;/a&gt;</v>
      </c>
      <c r="AA519" t="str">
        <f t="shared" si="2072"/>
        <v>&lt;/li&gt;&lt;li&gt;&lt;a href=|http://childrensbibleonline.com/psalms/41.htm| title=|The Children's Bible| target=|_top|&gt;Children's&lt;/a&gt;</v>
      </c>
      <c r="AB519" s="2" t="str">
        <f t="shared" si="2072"/>
        <v>&lt;/li&gt;&lt;li&gt;&lt;a href=|http://tsk.scripturetext.com/psalms/41.htm| title=|Treasury of Scripture Knowledge| target=|_top|&gt;TSK&lt;/a&gt;</v>
      </c>
      <c r="AC519" t="str">
        <f>CONCATENATE("&lt;a href=|http://",AC1191,"/psalms/41.htm","| ","title=|",AC1190,"| target=|_top|&gt;",AC1192,"&lt;/a&gt;")</f>
        <v>&lt;a href=|http://parallelbible.com/psalms/41.htm| title=|Parallel Chapters| target=|_top|&gt;PAR&lt;/a&gt;</v>
      </c>
      <c r="AD519" s="2" t="str">
        <f t="shared" ref="AD519:AK519" si="2074">CONCATENATE("&lt;/li&gt;&lt;li&gt;&lt;a href=|http://",AD1191,"/psalms/41.htm","| ","title=|",AD1190,"| target=|_top|&gt;",AD1192,"&lt;/a&gt;")</f>
        <v>&lt;/li&gt;&lt;li&gt;&lt;a href=|http://gsb.biblecommenter.com/psalms/41.htm| title=|Geneva Study Bible| target=|_top|&gt;GSB&lt;/a&gt;</v>
      </c>
      <c r="AE519" s="2" t="str">
        <f t="shared" si="2074"/>
        <v>&lt;/li&gt;&lt;li&gt;&lt;a href=|http://jfb.biblecommenter.com/psalms/41.htm| title=|Jamieson-Fausset-Brown Bible Commentary| target=|_top|&gt;JFB&lt;/a&gt;</v>
      </c>
      <c r="AF519" s="2" t="str">
        <f t="shared" si="2074"/>
        <v>&lt;/li&gt;&lt;li&gt;&lt;a href=|http://kjt.biblecommenter.com/psalms/41.htm| title=|King James Translators' Notes| target=|_top|&gt;KJT&lt;/a&gt;</v>
      </c>
      <c r="AG519" s="2" t="str">
        <f t="shared" si="2074"/>
        <v>&lt;/li&gt;&lt;li&gt;&lt;a href=|http://mhc.biblecommenter.com/psalms/41.htm| title=|Matthew Henry's Concise Commentary| target=|_top|&gt;MHC&lt;/a&gt;</v>
      </c>
      <c r="AH519" s="2" t="str">
        <f t="shared" si="2074"/>
        <v>&lt;/li&gt;&lt;li&gt;&lt;a href=|http://sco.biblecommenter.com/psalms/41.htm| title=|Scofield Reference Notes| target=|_top|&gt;SCO&lt;/a&gt;</v>
      </c>
      <c r="AI519" s="2" t="str">
        <f t="shared" si="2074"/>
        <v>&lt;/li&gt;&lt;li&gt;&lt;a href=|http://wes.biblecommenter.com/psalms/41.htm| title=|Wesley's Notes on the Bible| target=|_top|&gt;WES&lt;/a&gt;</v>
      </c>
      <c r="AJ519" t="str">
        <f t="shared" si="2074"/>
        <v>&lt;/li&gt;&lt;li&gt;&lt;a href=|http://worldebible.com/psalms/41.htm| title=|World English Bible| target=|_top|&gt;WEB&lt;/a&gt;</v>
      </c>
      <c r="AK519" t="str">
        <f t="shared" si="2074"/>
        <v>&lt;/li&gt;&lt;li&gt;&lt;a href=|http://yltbible.com/psalms/41.htm| title=|Young's Literal Translation| target=|_top|&gt;YLT&lt;/a&gt;</v>
      </c>
      <c r="AL519" t="str">
        <f>CONCATENATE("&lt;a href=|http://",AL1191,"/psalms/41.htm","| ","title=|",AL1190,"| target=|_top|&gt;",AL1192,"&lt;/a&gt;")</f>
        <v>&lt;a href=|http://kjv.us/psalms/41.htm| title=|American King James Version| target=|_top|&gt;AKJ&lt;/a&gt;</v>
      </c>
      <c r="AM519" t="str">
        <f t="shared" ref="AM519:AN519" si="2075">CONCATENATE("&lt;/li&gt;&lt;li&gt;&lt;a href=|http://",AM1191,"/psalms/41.htm","| ","title=|",AM1190,"| target=|_top|&gt;",AM1192,"&lt;/a&gt;")</f>
        <v>&lt;/li&gt;&lt;li&gt;&lt;a href=|http://basicenglishbible.com/psalms/41.htm| title=|Bible in Basic English| target=|_top|&gt;BBE&lt;/a&gt;</v>
      </c>
      <c r="AN519" t="str">
        <f t="shared" si="2075"/>
        <v>&lt;/li&gt;&lt;li&gt;&lt;a href=|http://darbybible.com/psalms/41.htm| title=|Darby Bible Translation| target=|_top|&gt;DBY&lt;/a&gt;</v>
      </c>
      <c r="AO51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1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1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19" t="str">
        <f>CONCATENATE("&lt;/li&gt;&lt;li&gt;&lt;a href=|http://",AR1191,"/psalms/41.htm","| ","title=|",AR1190,"| target=|_top|&gt;",AR1192,"&lt;/a&gt;")</f>
        <v>&lt;/li&gt;&lt;li&gt;&lt;a href=|http://websterbible.com/psalms/41.htm| title=|Webster's Bible Translation| target=|_top|&gt;WBS&lt;/a&gt;</v>
      </c>
      <c r="AS51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19" t="str">
        <f>CONCATENATE("&lt;/li&gt;&lt;li&gt;&lt;a href=|http://",AT1191,"/psalms/41-1.htm","| ","title=|",AT1190,"| target=|_top|&gt;",AT1192,"&lt;/a&gt;")</f>
        <v>&lt;/li&gt;&lt;li&gt;&lt;a href=|http://biblebrowser.com/psalms/41-1.htm| title=|Split View| target=|_top|&gt;Split&lt;/a&gt;</v>
      </c>
      <c r="AU519" s="2" t="s">
        <v>1276</v>
      </c>
      <c r="AV519" t="s">
        <v>64</v>
      </c>
    </row>
    <row r="520" spans="1:48">
      <c r="A520" t="s">
        <v>622</v>
      </c>
      <c r="B520" t="s">
        <v>758</v>
      </c>
      <c r="C520" t="s">
        <v>624</v>
      </c>
      <c r="D520" t="s">
        <v>1268</v>
      </c>
      <c r="E520" t="s">
        <v>1277</v>
      </c>
      <c r="F520" t="s">
        <v>1304</v>
      </c>
      <c r="G520" t="s">
        <v>1266</v>
      </c>
      <c r="H520" t="s">
        <v>1305</v>
      </c>
      <c r="I520" t="s">
        <v>1303</v>
      </c>
      <c r="J520" t="s">
        <v>1267</v>
      </c>
      <c r="K520" t="s">
        <v>1275</v>
      </c>
      <c r="L520" s="2" t="s">
        <v>1274</v>
      </c>
      <c r="M520" t="str">
        <f t="shared" ref="M520:AB520" si="2076">CONCATENATE("&lt;/li&gt;&lt;li&gt;&lt;a href=|http://",M1191,"/psalms/42.htm","| ","title=|",M1190,"| target=|_top|&gt;",M1192,"&lt;/a&gt;")</f>
        <v>&lt;/li&gt;&lt;li&gt;&lt;a href=|http://niv.scripturetext.com/psalms/42.htm| title=|New International Version| target=|_top|&gt;NIV&lt;/a&gt;</v>
      </c>
      <c r="N520" t="str">
        <f t="shared" si="2076"/>
        <v>&lt;/li&gt;&lt;li&gt;&lt;a href=|http://nlt.scripturetext.com/psalms/42.htm| title=|New Living Translation| target=|_top|&gt;NLT&lt;/a&gt;</v>
      </c>
      <c r="O520" t="str">
        <f t="shared" si="2076"/>
        <v>&lt;/li&gt;&lt;li&gt;&lt;a href=|http://nasb.scripturetext.com/psalms/42.htm| title=|New American Standard Bible| target=|_top|&gt;NAS&lt;/a&gt;</v>
      </c>
      <c r="P520" t="str">
        <f t="shared" si="2076"/>
        <v>&lt;/li&gt;&lt;li&gt;&lt;a href=|http://gwt.scripturetext.com/psalms/42.htm| title=|God's Word Translation| target=|_top|&gt;GWT&lt;/a&gt;</v>
      </c>
      <c r="Q520" t="str">
        <f t="shared" si="2076"/>
        <v>&lt;/li&gt;&lt;li&gt;&lt;a href=|http://kingjbible.com/psalms/42.htm| title=|King James Bible| target=|_top|&gt;KJV&lt;/a&gt;</v>
      </c>
      <c r="R520" t="str">
        <f t="shared" si="2076"/>
        <v>&lt;/li&gt;&lt;li&gt;&lt;a href=|http://asvbible.com/psalms/42.htm| title=|American Standard Version| target=|_top|&gt;ASV&lt;/a&gt;</v>
      </c>
      <c r="S520" t="str">
        <f t="shared" si="2076"/>
        <v>&lt;/li&gt;&lt;li&gt;&lt;a href=|http://drb.scripturetext.com/psalms/42.htm| title=|Douay-Rheims Bible| target=|_top|&gt;DRB&lt;/a&gt;</v>
      </c>
      <c r="T520" t="str">
        <f t="shared" si="2076"/>
        <v>&lt;/li&gt;&lt;li&gt;&lt;a href=|http://erv.scripturetext.com/psalms/42.htm| title=|English Revised Version| target=|_top|&gt;ERV&lt;/a&gt;</v>
      </c>
      <c r="V520" t="str">
        <f>CONCATENATE("&lt;/li&gt;&lt;li&gt;&lt;a href=|http://",V1191,"/psalms/42.htm","| ","title=|",V1190,"| target=|_top|&gt;",V1192,"&lt;/a&gt;")</f>
        <v>&lt;/li&gt;&lt;li&gt;&lt;a href=|http://study.interlinearbible.org/psalms/42.htm| title=|Hebrew Study Bible| target=|_top|&gt;Heb Study&lt;/a&gt;</v>
      </c>
      <c r="W520" t="str">
        <f t="shared" si="2076"/>
        <v>&lt;/li&gt;&lt;li&gt;&lt;a href=|http://apostolic.interlinearbible.org/psalms/42.htm| title=|Apostolic Bible Polyglot Interlinear| target=|_top|&gt;Polyglot&lt;/a&gt;</v>
      </c>
      <c r="X520" t="str">
        <f t="shared" si="2076"/>
        <v>&lt;/li&gt;&lt;li&gt;&lt;a href=|http://interlinearbible.org/psalms/42.htm| title=|Interlinear Bible| target=|_top|&gt;Interlin&lt;/a&gt;</v>
      </c>
      <c r="Y520" t="str">
        <f t="shared" ref="Y520" si="2077">CONCATENATE("&lt;/li&gt;&lt;li&gt;&lt;a href=|http://",Y1191,"/psalms/42.htm","| ","title=|",Y1190,"| target=|_top|&gt;",Y1192,"&lt;/a&gt;")</f>
        <v>&lt;/li&gt;&lt;li&gt;&lt;a href=|http://bibleoutline.org/psalms/42.htm| title=|Outline with People and Places List| target=|_top|&gt;Outline&lt;/a&gt;</v>
      </c>
      <c r="Z520" t="str">
        <f t="shared" si="2076"/>
        <v>&lt;/li&gt;&lt;li&gt;&lt;a href=|http://kjvs.scripturetext.com/psalms/42.htm| title=|King James Bible with Strong's Numbers| target=|_top|&gt;Strong's&lt;/a&gt;</v>
      </c>
      <c r="AA520" t="str">
        <f t="shared" si="2076"/>
        <v>&lt;/li&gt;&lt;li&gt;&lt;a href=|http://childrensbibleonline.com/psalms/42.htm| title=|The Children's Bible| target=|_top|&gt;Children's&lt;/a&gt;</v>
      </c>
      <c r="AB520" s="2" t="str">
        <f t="shared" si="2076"/>
        <v>&lt;/li&gt;&lt;li&gt;&lt;a href=|http://tsk.scripturetext.com/psalms/42.htm| title=|Treasury of Scripture Knowledge| target=|_top|&gt;TSK&lt;/a&gt;</v>
      </c>
      <c r="AC520" t="str">
        <f>CONCATENATE("&lt;a href=|http://",AC1191,"/psalms/42.htm","| ","title=|",AC1190,"| target=|_top|&gt;",AC1192,"&lt;/a&gt;")</f>
        <v>&lt;a href=|http://parallelbible.com/psalms/42.htm| title=|Parallel Chapters| target=|_top|&gt;PAR&lt;/a&gt;</v>
      </c>
      <c r="AD520" s="2" t="str">
        <f t="shared" ref="AD520:AK520" si="2078">CONCATENATE("&lt;/li&gt;&lt;li&gt;&lt;a href=|http://",AD1191,"/psalms/42.htm","| ","title=|",AD1190,"| target=|_top|&gt;",AD1192,"&lt;/a&gt;")</f>
        <v>&lt;/li&gt;&lt;li&gt;&lt;a href=|http://gsb.biblecommenter.com/psalms/42.htm| title=|Geneva Study Bible| target=|_top|&gt;GSB&lt;/a&gt;</v>
      </c>
      <c r="AE520" s="2" t="str">
        <f t="shared" si="2078"/>
        <v>&lt;/li&gt;&lt;li&gt;&lt;a href=|http://jfb.biblecommenter.com/psalms/42.htm| title=|Jamieson-Fausset-Brown Bible Commentary| target=|_top|&gt;JFB&lt;/a&gt;</v>
      </c>
      <c r="AF520" s="2" t="str">
        <f t="shared" si="2078"/>
        <v>&lt;/li&gt;&lt;li&gt;&lt;a href=|http://kjt.biblecommenter.com/psalms/42.htm| title=|King James Translators' Notes| target=|_top|&gt;KJT&lt;/a&gt;</v>
      </c>
      <c r="AG520" s="2" t="str">
        <f t="shared" si="2078"/>
        <v>&lt;/li&gt;&lt;li&gt;&lt;a href=|http://mhc.biblecommenter.com/psalms/42.htm| title=|Matthew Henry's Concise Commentary| target=|_top|&gt;MHC&lt;/a&gt;</v>
      </c>
      <c r="AH520" s="2" t="str">
        <f t="shared" si="2078"/>
        <v>&lt;/li&gt;&lt;li&gt;&lt;a href=|http://sco.biblecommenter.com/psalms/42.htm| title=|Scofield Reference Notes| target=|_top|&gt;SCO&lt;/a&gt;</v>
      </c>
      <c r="AI520" s="2" t="str">
        <f t="shared" si="2078"/>
        <v>&lt;/li&gt;&lt;li&gt;&lt;a href=|http://wes.biblecommenter.com/psalms/42.htm| title=|Wesley's Notes on the Bible| target=|_top|&gt;WES&lt;/a&gt;</v>
      </c>
      <c r="AJ520" t="str">
        <f t="shared" si="2078"/>
        <v>&lt;/li&gt;&lt;li&gt;&lt;a href=|http://worldebible.com/psalms/42.htm| title=|World English Bible| target=|_top|&gt;WEB&lt;/a&gt;</v>
      </c>
      <c r="AK520" t="str">
        <f t="shared" si="2078"/>
        <v>&lt;/li&gt;&lt;li&gt;&lt;a href=|http://yltbible.com/psalms/42.htm| title=|Young's Literal Translation| target=|_top|&gt;YLT&lt;/a&gt;</v>
      </c>
      <c r="AL520" t="str">
        <f>CONCATENATE("&lt;a href=|http://",AL1191,"/psalms/42.htm","| ","title=|",AL1190,"| target=|_top|&gt;",AL1192,"&lt;/a&gt;")</f>
        <v>&lt;a href=|http://kjv.us/psalms/42.htm| title=|American King James Version| target=|_top|&gt;AKJ&lt;/a&gt;</v>
      </c>
      <c r="AM520" t="str">
        <f t="shared" ref="AM520:AN520" si="2079">CONCATENATE("&lt;/li&gt;&lt;li&gt;&lt;a href=|http://",AM1191,"/psalms/42.htm","| ","title=|",AM1190,"| target=|_top|&gt;",AM1192,"&lt;/a&gt;")</f>
        <v>&lt;/li&gt;&lt;li&gt;&lt;a href=|http://basicenglishbible.com/psalms/42.htm| title=|Bible in Basic English| target=|_top|&gt;BBE&lt;/a&gt;</v>
      </c>
      <c r="AN520" t="str">
        <f t="shared" si="2079"/>
        <v>&lt;/li&gt;&lt;li&gt;&lt;a href=|http://darbybible.com/psalms/42.htm| title=|Darby Bible Translation| target=|_top|&gt;DBY&lt;/a&gt;</v>
      </c>
      <c r="AO52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2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2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20" t="str">
        <f>CONCATENATE("&lt;/li&gt;&lt;li&gt;&lt;a href=|http://",AR1191,"/psalms/42.htm","| ","title=|",AR1190,"| target=|_top|&gt;",AR1192,"&lt;/a&gt;")</f>
        <v>&lt;/li&gt;&lt;li&gt;&lt;a href=|http://websterbible.com/psalms/42.htm| title=|Webster's Bible Translation| target=|_top|&gt;WBS&lt;/a&gt;</v>
      </c>
      <c r="AS52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20" t="str">
        <f>CONCATENATE("&lt;/li&gt;&lt;li&gt;&lt;a href=|http://",AT1191,"/psalms/42-1.htm","| ","title=|",AT1190,"| target=|_top|&gt;",AT1192,"&lt;/a&gt;")</f>
        <v>&lt;/li&gt;&lt;li&gt;&lt;a href=|http://biblebrowser.com/psalms/42-1.htm| title=|Split View| target=|_top|&gt;Split&lt;/a&gt;</v>
      </c>
      <c r="AU520" s="2" t="s">
        <v>1276</v>
      </c>
      <c r="AV520" t="s">
        <v>64</v>
      </c>
    </row>
    <row r="521" spans="1:48">
      <c r="A521" t="s">
        <v>622</v>
      </c>
      <c r="B521" t="s">
        <v>759</v>
      </c>
      <c r="C521" t="s">
        <v>624</v>
      </c>
      <c r="D521" t="s">
        <v>1268</v>
      </c>
      <c r="E521" t="s">
        <v>1277</v>
      </c>
      <c r="F521" t="s">
        <v>1304</v>
      </c>
      <c r="G521" t="s">
        <v>1266</v>
      </c>
      <c r="H521" t="s">
        <v>1305</v>
      </c>
      <c r="I521" t="s">
        <v>1303</v>
      </c>
      <c r="J521" t="s">
        <v>1267</v>
      </c>
      <c r="K521" t="s">
        <v>1275</v>
      </c>
      <c r="L521" s="2" t="s">
        <v>1274</v>
      </c>
      <c r="M521" t="str">
        <f t="shared" ref="M521:AB521" si="2080">CONCATENATE("&lt;/li&gt;&lt;li&gt;&lt;a href=|http://",M1191,"/psalms/43.htm","| ","title=|",M1190,"| target=|_top|&gt;",M1192,"&lt;/a&gt;")</f>
        <v>&lt;/li&gt;&lt;li&gt;&lt;a href=|http://niv.scripturetext.com/psalms/43.htm| title=|New International Version| target=|_top|&gt;NIV&lt;/a&gt;</v>
      </c>
      <c r="N521" t="str">
        <f t="shared" si="2080"/>
        <v>&lt;/li&gt;&lt;li&gt;&lt;a href=|http://nlt.scripturetext.com/psalms/43.htm| title=|New Living Translation| target=|_top|&gt;NLT&lt;/a&gt;</v>
      </c>
      <c r="O521" t="str">
        <f t="shared" si="2080"/>
        <v>&lt;/li&gt;&lt;li&gt;&lt;a href=|http://nasb.scripturetext.com/psalms/43.htm| title=|New American Standard Bible| target=|_top|&gt;NAS&lt;/a&gt;</v>
      </c>
      <c r="P521" t="str">
        <f t="shared" si="2080"/>
        <v>&lt;/li&gt;&lt;li&gt;&lt;a href=|http://gwt.scripturetext.com/psalms/43.htm| title=|God's Word Translation| target=|_top|&gt;GWT&lt;/a&gt;</v>
      </c>
      <c r="Q521" t="str">
        <f t="shared" si="2080"/>
        <v>&lt;/li&gt;&lt;li&gt;&lt;a href=|http://kingjbible.com/psalms/43.htm| title=|King James Bible| target=|_top|&gt;KJV&lt;/a&gt;</v>
      </c>
      <c r="R521" t="str">
        <f t="shared" si="2080"/>
        <v>&lt;/li&gt;&lt;li&gt;&lt;a href=|http://asvbible.com/psalms/43.htm| title=|American Standard Version| target=|_top|&gt;ASV&lt;/a&gt;</v>
      </c>
      <c r="S521" t="str">
        <f t="shared" si="2080"/>
        <v>&lt;/li&gt;&lt;li&gt;&lt;a href=|http://drb.scripturetext.com/psalms/43.htm| title=|Douay-Rheims Bible| target=|_top|&gt;DRB&lt;/a&gt;</v>
      </c>
      <c r="T521" t="str">
        <f t="shared" si="2080"/>
        <v>&lt;/li&gt;&lt;li&gt;&lt;a href=|http://erv.scripturetext.com/psalms/43.htm| title=|English Revised Version| target=|_top|&gt;ERV&lt;/a&gt;</v>
      </c>
      <c r="V521" t="str">
        <f>CONCATENATE("&lt;/li&gt;&lt;li&gt;&lt;a href=|http://",V1191,"/psalms/43.htm","| ","title=|",V1190,"| target=|_top|&gt;",V1192,"&lt;/a&gt;")</f>
        <v>&lt;/li&gt;&lt;li&gt;&lt;a href=|http://study.interlinearbible.org/psalms/43.htm| title=|Hebrew Study Bible| target=|_top|&gt;Heb Study&lt;/a&gt;</v>
      </c>
      <c r="W521" t="str">
        <f t="shared" si="2080"/>
        <v>&lt;/li&gt;&lt;li&gt;&lt;a href=|http://apostolic.interlinearbible.org/psalms/43.htm| title=|Apostolic Bible Polyglot Interlinear| target=|_top|&gt;Polyglot&lt;/a&gt;</v>
      </c>
      <c r="X521" t="str">
        <f t="shared" si="2080"/>
        <v>&lt;/li&gt;&lt;li&gt;&lt;a href=|http://interlinearbible.org/psalms/43.htm| title=|Interlinear Bible| target=|_top|&gt;Interlin&lt;/a&gt;</v>
      </c>
      <c r="Y521" t="str">
        <f t="shared" ref="Y521" si="2081">CONCATENATE("&lt;/li&gt;&lt;li&gt;&lt;a href=|http://",Y1191,"/psalms/43.htm","| ","title=|",Y1190,"| target=|_top|&gt;",Y1192,"&lt;/a&gt;")</f>
        <v>&lt;/li&gt;&lt;li&gt;&lt;a href=|http://bibleoutline.org/psalms/43.htm| title=|Outline with People and Places List| target=|_top|&gt;Outline&lt;/a&gt;</v>
      </c>
      <c r="Z521" t="str">
        <f t="shared" si="2080"/>
        <v>&lt;/li&gt;&lt;li&gt;&lt;a href=|http://kjvs.scripturetext.com/psalms/43.htm| title=|King James Bible with Strong's Numbers| target=|_top|&gt;Strong's&lt;/a&gt;</v>
      </c>
      <c r="AA521" t="str">
        <f t="shared" si="2080"/>
        <v>&lt;/li&gt;&lt;li&gt;&lt;a href=|http://childrensbibleonline.com/psalms/43.htm| title=|The Children's Bible| target=|_top|&gt;Children's&lt;/a&gt;</v>
      </c>
      <c r="AB521" s="2" t="str">
        <f t="shared" si="2080"/>
        <v>&lt;/li&gt;&lt;li&gt;&lt;a href=|http://tsk.scripturetext.com/psalms/43.htm| title=|Treasury of Scripture Knowledge| target=|_top|&gt;TSK&lt;/a&gt;</v>
      </c>
      <c r="AC521" t="str">
        <f>CONCATENATE("&lt;a href=|http://",AC1191,"/psalms/43.htm","| ","title=|",AC1190,"| target=|_top|&gt;",AC1192,"&lt;/a&gt;")</f>
        <v>&lt;a href=|http://parallelbible.com/psalms/43.htm| title=|Parallel Chapters| target=|_top|&gt;PAR&lt;/a&gt;</v>
      </c>
      <c r="AD521" s="2" t="str">
        <f t="shared" ref="AD521:AK521" si="2082">CONCATENATE("&lt;/li&gt;&lt;li&gt;&lt;a href=|http://",AD1191,"/psalms/43.htm","| ","title=|",AD1190,"| target=|_top|&gt;",AD1192,"&lt;/a&gt;")</f>
        <v>&lt;/li&gt;&lt;li&gt;&lt;a href=|http://gsb.biblecommenter.com/psalms/43.htm| title=|Geneva Study Bible| target=|_top|&gt;GSB&lt;/a&gt;</v>
      </c>
      <c r="AE521" s="2" t="str">
        <f t="shared" si="2082"/>
        <v>&lt;/li&gt;&lt;li&gt;&lt;a href=|http://jfb.biblecommenter.com/psalms/43.htm| title=|Jamieson-Fausset-Brown Bible Commentary| target=|_top|&gt;JFB&lt;/a&gt;</v>
      </c>
      <c r="AF521" s="2" t="str">
        <f t="shared" si="2082"/>
        <v>&lt;/li&gt;&lt;li&gt;&lt;a href=|http://kjt.biblecommenter.com/psalms/43.htm| title=|King James Translators' Notes| target=|_top|&gt;KJT&lt;/a&gt;</v>
      </c>
      <c r="AG521" s="2" t="str">
        <f t="shared" si="2082"/>
        <v>&lt;/li&gt;&lt;li&gt;&lt;a href=|http://mhc.biblecommenter.com/psalms/43.htm| title=|Matthew Henry's Concise Commentary| target=|_top|&gt;MHC&lt;/a&gt;</v>
      </c>
      <c r="AH521" s="2" t="str">
        <f t="shared" si="2082"/>
        <v>&lt;/li&gt;&lt;li&gt;&lt;a href=|http://sco.biblecommenter.com/psalms/43.htm| title=|Scofield Reference Notes| target=|_top|&gt;SCO&lt;/a&gt;</v>
      </c>
      <c r="AI521" s="2" t="str">
        <f t="shared" si="2082"/>
        <v>&lt;/li&gt;&lt;li&gt;&lt;a href=|http://wes.biblecommenter.com/psalms/43.htm| title=|Wesley's Notes on the Bible| target=|_top|&gt;WES&lt;/a&gt;</v>
      </c>
      <c r="AJ521" t="str">
        <f t="shared" si="2082"/>
        <v>&lt;/li&gt;&lt;li&gt;&lt;a href=|http://worldebible.com/psalms/43.htm| title=|World English Bible| target=|_top|&gt;WEB&lt;/a&gt;</v>
      </c>
      <c r="AK521" t="str">
        <f t="shared" si="2082"/>
        <v>&lt;/li&gt;&lt;li&gt;&lt;a href=|http://yltbible.com/psalms/43.htm| title=|Young's Literal Translation| target=|_top|&gt;YLT&lt;/a&gt;</v>
      </c>
      <c r="AL521" t="str">
        <f>CONCATENATE("&lt;a href=|http://",AL1191,"/psalms/43.htm","| ","title=|",AL1190,"| target=|_top|&gt;",AL1192,"&lt;/a&gt;")</f>
        <v>&lt;a href=|http://kjv.us/psalms/43.htm| title=|American King James Version| target=|_top|&gt;AKJ&lt;/a&gt;</v>
      </c>
      <c r="AM521" t="str">
        <f t="shared" ref="AM521:AN521" si="2083">CONCATENATE("&lt;/li&gt;&lt;li&gt;&lt;a href=|http://",AM1191,"/psalms/43.htm","| ","title=|",AM1190,"| target=|_top|&gt;",AM1192,"&lt;/a&gt;")</f>
        <v>&lt;/li&gt;&lt;li&gt;&lt;a href=|http://basicenglishbible.com/psalms/43.htm| title=|Bible in Basic English| target=|_top|&gt;BBE&lt;/a&gt;</v>
      </c>
      <c r="AN521" t="str">
        <f t="shared" si="2083"/>
        <v>&lt;/li&gt;&lt;li&gt;&lt;a href=|http://darbybible.com/psalms/43.htm| title=|Darby Bible Translation| target=|_top|&gt;DBY&lt;/a&gt;</v>
      </c>
      <c r="AO52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2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2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21" t="str">
        <f>CONCATENATE("&lt;/li&gt;&lt;li&gt;&lt;a href=|http://",AR1191,"/psalms/43.htm","| ","title=|",AR1190,"| target=|_top|&gt;",AR1192,"&lt;/a&gt;")</f>
        <v>&lt;/li&gt;&lt;li&gt;&lt;a href=|http://websterbible.com/psalms/43.htm| title=|Webster's Bible Translation| target=|_top|&gt;WBS&lt;/a&gt;</v>
      </c>
      <c r="AS52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21" t="str">
        <f>CONCATENATE("&lt;/li&gt;&lt;li&gt;&lt;a href=|http://",AT1191,"/psalms/43-1.htm","| ","title=|",AT1190,"| target=|_top|&gt;",AT1192,"&lt;/a&gt;")</f>
        <v>&lt;/li&gt;&lt;li&gt;&lt;a href=|http://biblebrowser.com/psalms/43-1.htm| title=|Split View| target=|_top|&gt;Split&lt;/a&gt;</v>
      </c>
      <c r="AU521" s="2" t="s">
        <v>1276</v>
      </c>
      <c r="AV521" t="s">
        <v>64</v>
      </c>
    </row>
    <row r="522" spans="1:48">
      <c r="A522" t="s">
        <v>622</v>
      </c>
      <c r="B522" t="s">
        <v>760</v>
      </c>
      <c r="C522" t="s">
        <v>624</v>
      </c>
      <c r="D522" t="s">
        <v>1268</v>
      </c>
      <c r="E522" t="s">
        <v>1277</v>
      </c>
      <c r="F522" t="s">
        <v>1304</v>
      </c>
      <c r="G522" t="s">
        <v>1266</v>
      </c>
      <c r="H522" t="s">
        <v>1305</v>
      </c>
      <c r="I522" t="s">
        <v>1303</v>
      </c>
      <c r="J522" t="s">
        <v>1267</v>
      </c>
      <c r="K522" t="s">
        <v>1275</v>
      </c>
      <c r="L522" s="2" t="s">
        <v>1274</v>
      </c>
      <c r="M522" t="str">
        <f t="shared" ref="M522:AB522" si="2084">CONCATENATE("&lt;/li&gt;&lt;li&gt;&lt;a href=|http://",M1191,"/psalms/44.htm","| ","title=|",M1190,"| target=|_top|&gt;",M1192,"&lt;/a&gt;")</f>
        <v>&lt;/li&gt;&lt;li&gt;&lt;a href=|http://niv.scripturetext.com/psalms/44.htm| title=|New International Version| target=|_top|&gt;NIV&lt;/a&gt;</v>
      </c>
      <c r="N522" t="str">
        <f t="shared" si="2084"/>
        <v>&lt;/li&gt;&lt;li&gt;&lt;a href=|http://nlt.scripturetext.com/psalms/44.htm| title=|New Living Translation| target=|_top|&gt;NLT&lt;/a&gt;</v>
      </c>
      <c r="O522" t="str">
        <f t="shared" si="2084"/>
        <v>&lt;/li&gt;&lt;li&gt;&lt;a href=|http://nasb.scripturetext.com/psalms/44.htm| title=|New American Standard Bible| target=|_top|&gt;NAS&lt;/a&gt;</v>
      </c>
      <c r="P522" t="str">
        <f t="shared" si="2084"/>
        <v>&lt;/li&gt;&lt;li&gt;&lt;a href=|http://gwt.scripturetext.com/psalms/44.htm| title=|God's Word Translation| target=|_top|&gt;GWT&lt;/a&gt;</v>
      </c>
      <c r="Q522" t="str">
        <f t="shared" si="2084"/>
        <v>&lt;/li&gt;&lt;li&gt;&lt;a href=|http://kingjbible.com/psalms/44.htm| title=|King James Bible| target=|_top|&gt;KJV&lt;/a&gt;</v>
      </c>
      <c r="R522" t="str">
        <f t="shared" si="2084"/>
        <v>&lt;/li&gt;&lt;li&gt;&lt;a href=|http://asvbible.com/psalms/44.htm| title=|American Standard Version| target=|_top|&gt;ASV&lt;/a&gt;</v>
      </c>
      <c r="S522" t="str">
        <f t="shared" si="2084"/>
        <v>&lt;/li&gt;&lt;li&gt;&lt;a href=|http://drb.scripturetext.com/psalms/44.htm| title=|Douay-Rheims Bible| target=|_top|&gt;DRB&lt;/a&gt;</v>
      </c>
      <c r="T522" t="str">
        <f t="shared" si="2084"/>
        <v>&lt;/li&gt;&lt;li&gt;&lt;a href=|http://erv.scripturetext.com/psalms/44.htm| title=|English Revised Version| target=|_top|&gt;ERV&lt;/a&gt;</v>
      </c>
      <c r="V522" t="str">
        <f>CONCATENATE("&lt;/li&gt;&lt;li&gt;&lt;a href=|http://",V1191,"/psalms/44.htm","| ","title=|",V1190,"| target=|_top|&gt;",V1192,"&lt;/a&gt;")</f>
        <v>&lt;/li&gt;&lt;li&gt;&lt;a href=|http://study.interlinearbible.org/psalms/44.htm| title=|Hebrew Study Bible| target=|_top|&gt;Heb Study&lt;/a&gt;</v>
      </c>
      <c r="W522" t="str">
        <f t="shared" si="2084"/>
        <v>&lt;/li&gt;&lt;li&gt;&lt;a href=|http://apostolic.interlinearbible.org/psalms/44.htm| title=|Apostolic Bible Polyglot Interlinear| target=|_top|&gt;Polyglot&lt;/a&gt;</v>
      </c>
      <c r="X522" t="str">
        <f t="shared" si="2084"/>
        <v>&lt;/li&gt;&lt;li&gt;&lt;a href=|http://interlinearbible.org/psalms/44.htm| title=|Interlinear Bible| target=|_top|&gt;Interlin&lt;/a&gt;</v>
      </c>
      <c r="Y522" t="str">
        <f t="shared" ref="Y522" si="2085">CONCATENATE("&lt;/li&gt;&lt;li&gt;&lt;a href=|http://",Y1191,"/psalms/44.htm","| ","title=|",Y1190,"| target=|_top|&gt;",Y1192,"&lt;/a&gt;")</f>
        <v>&lt;/li&gt;&lt;li&gt;&lt;a href=|http://bibleoutline.org/psalms/44.htm| title=|Outline with People and Places List| target=|_top|&gt;Outline&lt;/a&gt;</v>
      </c>
      <c r="Z522" t="str">
        <f t="shared" si="2084"/>
        <v>&lt;/li&gt;&lt;li&gt;&lt;a href=|http://kjvs.scripturetext.com/psalms/44.htm| title=|King James Bible with Strong's Numbers| target=|_top|&gt;Strong's&lt;/a&gt;</v>
      </c>
      <c r="AA522" t="str">
        <f t="shared" si="2084"/>
        <v>&lt;/li&gt;&lt;li&gt;&lt;a href=|http://childrensbibleonline.com/psalms/44.htm| title=|The Children's Bible| target=|_top|&gt;Children's&lt;/a&gt;</v>
      </c>
      <c r="AB522" s="2" t="str">
        <f t="shared" si="2084"/>
        <v>&lt;/li&gt;&lt;li&gt;&lt;a href=|http://tsk.scripturetext.com/psalms/44.htm| title=|Treasury of Scripture Knowledge| target=|_top|&gt;TSK&lt;/a&gt;</v>
      </c>
      <c r="AC522" t="str">
        <f>CONCATENATE("&lt;a href=|http://",AC1191,"/psalms/44.htm","| ","title=|",AC1190,"| target=|_top|&gt;",AC1192,"&lt;/a&gt;")</f>
        <v>&lt;a href=|http://parallelbible.com/psalms/44.htm| title=|Parallel Chapters| target=|_top|&gt;PAR&lt;/a&gt;</v>
      </c>
      <c r="AD522" s="2" t="str">
        <f t="shared" ref="AD522:AK522" si="2086">CONCATENATE("&lt;/li&gt;&lt;li&gt;&lt;a href=|http://",AD1191,"/psalms/44.htm","| ","title=|",AD1190,"| target=|_top|&gt;",AD1192,"&lt;/a&gt;")</f>
        <v>&lt;/li&gt;&lt;li&gt;&lt;a href=|http://gsb.biblecommenter.com/psalms/44.htm| title=|Geneva Study Bible| target=|_top|&gt;GSB&lt;/a&gt;</v>
      </c>
      <c r="AE522" s="2" t="str">
        <f t="shared" si="2086"/>
        <v>&lt;/li&gt;&lt;li&gt;&lt;a href=|http://jfb.biblecommenter.com/psalms/44.htm| title=|Jamieson-Fausset-Brown Bible Commentary| target=|_top|&gt;JFB&lt;/a&gt;</v>
      </c>
      <c r="AF522" s="2" t="str">
        <f t="shared" si="2086"/>
        <v>&lt;/li&gt;&lt;li&gt;&lt;a href=|http://kjt.biblecommenter.com/psalms/44.htm| title=|King James Translators' Notes| target=|_top|&gt;KJT&lt;/a&gt;</v>
      </c>
      <c r="AG522" s="2" t="str">
        <f t="shared" si="2086"/>
        <v>&lt;/li&gt;&lt;li&gt;&lt;a href=|http://mhc.biblecommenter.com/psalms/44.htm| title=|Matthew Henry's Concise Commentary| target=|_top|&gt;MHC&lt;/a&gt;</v>
      </c>
      <c r="AH522" s="2" t="str">
        <f t="shared" si="2086"/>
        <v>&lt;/li&gt;&lt;li&gt;&lt;a href=|http://sco.biblecommenter.com/psalms/44.htm| title=|Scofield Reference Notes| target=|_top|&gt;SCO&lt;/a&gt;</v>
      </c>
      <c r="AI522" s="2" t="str">
        <f t="shared" si="2086"/>
        <v>&lt;/li&gt;&lt;li&gt;&lt;a href=|http://wes.biblecommenter.com/psalms/44.htm| title=|Wesley's Notes on the Bible| target=|_top|&gt;WES&lt;/a&gt;</v>
      </c>
      <c r="AJ522" t="str">
        <f t="shared" si="2086"/>
        <v>&lt;/li&gt;&lt;li&gt;&lt;a href=|http://worldebible.com/psalms/44.htm| title=|World English Bible| target=|_top|&gt;WEB&lt;/a&gt;</v>
      </c>
      <c r="AK522" t="str">
        <f t="shared" si="2086"/>
        <v>&lt;/li&gt;&lt;li&gt;&lt;a href=|http://yltbible.com/psalms/44.htm| title=|Young's Literal Translation| target=|_top|&gt;YLT&lt;/a&gt;</v>
      </c>
      <c r="AL522" t="str">
        <f>CONCATENATE("&lt;a href=|http://",AL1191,"/psalms/44.htm","| ","title=|",AL1190,"| target=|_top|&gt;",AL1192,"&lt;/a&gt;")</f>
        <v>&lt;a href=|http://kjv.us/psalms/44.htm| title=|American King James Version| target=|_top|&gt;AKJ&lt;/a&gt;</v>
      </c>
      <c r="AM522" t="str">
        <f t="shared" ref="AM522:AN522" si="2087">CONCATENATE("&lt;/li&gt;&lt;li&gt;&lt;a href=|http://",AM1191,"/psalms/44.htm","| ","title=|",AM1190,"| target=|_top|&gt;",AM1192,"&lt;/a&gt;")</f>
        <v>&lt;/li&gt;&lt;li&gt;&lt;a href=|http://basicenglishbible.com/psalms/44.htm| title=|Bible in Basic English| target=|_top|&gt;BBE&lt;/a&gt;</v>
      </c>
      <c r="AN522" t="str">
        <f t="shared" si="2087"/>
        <v>&lt;/li&gt;&lt;li&gt;&lt;a href=|http://darbybible.com/psalms/44.htm| title=|Darby Bible Translation| target=|_top|&gt;DBY&lt;/a&gt;</v>
      </c>
      <c r="AO52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2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2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22" t="str">
        <f>CONCATENATE("&lt;/li&gt;&lt;li&gt;&lt;a href=|http://",AR1191,"/psalms/44.htm","| ","title=|",AR1190,"| target=|_top|&gt;",AR1192,"&lt;/a&gt;")</f>
        <v>&lt;/li&gt;&lt;li&gt;&lt;a href=|http://websterbible.com/psalms/44.htm| title=|Webster's Bible Translation| target=|_top|&gt;WBS&lt;/a&gt;</v>
      </c>
      <c r="AS52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22" t="str">
        <f>CONCATENATE("&lt;/li&gt;&lt;li&gt;&lt;a href=|http://",AT1191,"/psalms/44-1.htm","| ","title=|",AT1190,"| target=|_top|&gt;",AT1192,"&lt;/a&gt;")</f>
        <v>&lt;/li&gt;&lt;li&gt;&lt;a href=|http://biblebrowser.com/psalms/44-1.htm| title=|Split View| target=|_top|&gt;Split&lt;/a&gt;</v>
      </c>
      <c r="AU522" s="2" t="s">
        <v>1276</v>
      </c>
      <c r="AV522" t="s">
        <v>64</v>
      </c>
    </row>
    <row r="523" spans="1:48">
      <c r="A523" t="s">
        <v>622</v>
      </c>
      <c r="B523" t="s">
        <v>761</v>
      </c>
      <c r="C523" t="s">
        <v>624</v>
      </c>
      <c r="D523" t="s">
        <v>1268</v>
      </c>
      <c r="E523" t="s">
        <v>1277</v>
      </c>
      <c r="F523" t="s">
        <v>1304</v>
      </c>
      <c r="G523" t="s">
        <v>1266</v>
      </c>
      <c r="H523" t="s">
        <v>1305</v>
      </c>
      <c r="I523" t="s">
        <v>1303</v>
      </c>
      <c r="J523" t="s">
        <v>1267</v>
      </c>
      <c r="K523" t="s">
        <v>1275</v>
      </c>
      <c r="L523" s="2" t="s">
        <v>1274</v>
      </c>
      <c r="M523" t="str">
        <f t="shared" ref="M523:AB523" si="2088">CONCATENATE("&lt;/li&gt;&lt;li&gt;&lt;a href=|http://",M1191,"/psalms/45.htm","| ","title=|",M1190,"| target=|_top|&gt;",M1192,"&lt;/a&gt;")</f>
        <v>&lt;/li&gt;&lt;li&gt;&lt;a href=|http://niv.scripturetext.com/psalms/45.htm| title=|New International Version| target=|_top|&gt;NIV&lt;/a&gt;</v>
      </c>
      <c r="N523" t="str">
        <f t="shared" si="2088"/>
        <v>&lt;/li&gt;&lt;li&gt;&lt;a href=|http://nlt.scripturetext.com/psalms/45.htm| title=|New Living Translation| target=|_top|&gt;NLT&lt;/a&gt;</v>
      </c>
      <c r="O523" t="str">
        <f t="shared" si="2088"/>
        <v>&lt;/li&gt;&lt;li&gt;&lt;a href=|http://nasb.scripturetext.com/psalms/45.htm| title=|New American Standard Bible| target=|_top|&gt;NAS&lt;/a&gt;</v>
      </c>
      <c r="P523" t="str">
        <f t="shared" si="2088"/>
        <v>&lt;/li&gt;&lt;li&gt;&lt;a href=|http://gwt.scripturetext.com/psalms/45.htm| title=|God's Word Translation| target=|_top|&gt;GWT&lt;/a&gt;</v>
      </c>
      <c r="Q523" t="str">
        <f t="shared" si="2088"/>
        <v>&lt;/li&gt;&lt;li&gt;&lt;a href=|http://kingjbible.com/psalms/45.htm| title=|King James Bible| target=|_top|&gt;KJV&lt;/a&gt;</v>
      </c>
      <c r="R523" t="str">
        <f t="shared" si="2088"/>
        <v>&lt;/li&gt;&lt;li&gt;&lt;a href=|http://asvbible.com/psalms/45.htm| title=|American Standard Version| target=|_top|&gt;ASV&lt;/a&gt;</v>
      </c>
      <c r="S523" t="str">
        <f t="shared" si="2088"/>
        <v>&lt;/li&gt;&lt;li&gt;&lt;a href=|http://drb.scripturetext.com/psalms/45.htm| title=|Douay-Rheims Bible| target=|_top|&gt;DRB&lt;/a&gt;</v>
      </c>
      <c r="T523" t="str">
        <f t="shared" si="2088"/>
        <v>&lt;/li&gt;&lt;li&gt;&lt;a href=|http://erv.scripturetext.com/psalms/45.htm| title=|English Revised Version| target=|_top|&gt;ERV&lt;/a&gt;</v>
      </c>
      <c r="V523" t="str">
        <f>CONCATENATE("&lt;/li&gt;&lt;li&gt;&lt;a href=|http://",V1191,"/psalms/45.htm","| ","title=|",V1190,"| target=|_top|&gt;",V1192,"&lt;/a&gt;")</f>
        <v>&lt;/li&gt;&lt;li&gt;&lt;a href=|http://study.interlinearbible.org/psalms/45.htm| title=|Hebrew Study Bible| target=|_top|&gt;Heb Study&lt;/a&gt;</v>
      </c>
      <c r="W523" t="str">
        <f t="shared" si="2088"/>
        <v>&lt;/li&gt;&lt;li&gt;&lt;a href=|http://apostolic.interlinearbible.org/psalms/45.htm| title=|Apostolic Bible Polyglot Interlinear| target=|_top|&gt;Polyglot&lt;/a&gt;</v>
      </c>
      <c r="X523" t="str">
        <f t="shared" si="2088"/>
        <v>&lt;/li&gt;&lt;li&gt;&lt;a href=|http://interlinearbible.org/psalms/45.htm| title=|Interlinear Bible| target=|_top|&gt;Interlin&lt;/a&gt;</v>
      </c>
      <c r="Y523" t="str">
        <f t="shared" ref="Y523" si="2089">CONCATENATE("&lt;/li&gt;&lt;li&gt;&lt;a href=|http://",Y1191,"/psalms/45.htm","| ","title=|",Y1190,"| target=|_top|&gt;",Y1192,"&lt;/a&gt;")</f>
        <v>&lt;/li&gt;&lt;li&gt;&lt;a href=|http://bibleoutline.org/psalms/45.htm| title=|Outline with People and Places List| target=|_top|&gt;Outline&lt;/a&gt;</v>
      </c>
      <c r="Z523" t="str">
        <f t="shared" si="2088"/>
        <v>&lt;/li&gt;&lt;li&gt;&lt;a href=|http://kjvs.scripturetext.com/psalms/45.htm| title=|King James Bible with Strong's Numbers| target=|_top|&gt;Strong's&lt;/a&gt;</v>
      </c>
      <c r="AA523" t="str">
        <f t="shared" si="2088"/>
        <v>&lt;/li&gt;&lt;li&gt;&lt;a href=|http://childrensbibleonline.com/psalms/45.htm| title=|The Children's Bible| target=|_top|&gt;Children's&lt;/a&gt;</v>
      </c>
      <c r="AB523" s="2" t="str">
        <f t="shared" si="2088"/>
        <v>&lt;/li&gt;&lt;li&gt;&lt;a href=|http://tsk.scripturetext.com/psalms/45.htm| title=|Treasury of Scripture Knowledge| target=|_top|&gt;TSK&lt;/a&gt;</v>
      </c>
      <c r="AC523" t="str">
        <f>CONCATENATE("&lt;a href=|http://",AC1191,"/psalms/45.htm","| ","title=|",AC1190,"| target=|_top|&gt;",AC1192,"&lt;/a&gt;")</f>
        <v>&lt;a href=|http://parallelbible.com/psalms/45.htm| title=|Parallel Chapters| target=|_top|&gt;PAR&lt;/a&gt;</v>
      </c>
      <c r="AD523" s="2" t="str">
        <f t="shared" ref="AD523:AK523" si="2090">CONCATENATE("&lt;/li&gt;&lt;li&gt;&lt;a href=|http://",AD1191,"/psalms/45.htm","| ","title=|",AD1190,"| target=|_top|&gt;",AD1192,"&lt;/a&gt;")</f>
        <v>&lt;/li&gt;&lt;li&gt;&lt;a href=|http://gsb.biblecommenter.com/psalms/45.htm| title=|Geneva Study Bible| target=|_top|&gt;GSB&lt;/a&gt;</v>
      </c>
      <c r="AE523" s="2" t="str">
        <f t="shared" si="2090"/>
        <v>&lt;/li&gt;&lt;li&gt;&lt;a href=|http://jfb.biblecommenter.com/psalms/45.htm| title=|Jamieson-Fausset-Brown Bible Commentary| target=|_top|&gt;JFB&lt;/a&gt;</v>
      </c>
      <c r="AF523" s="2" t="str">
        <f t="shared" si="2090"/>
        <v>&lt;/li&gt;&lt;li&gt;&lt;a href=|http://kjt.biblecommenter.com/psalms/45.htm| title=|King James Translators' Notes| target=|_top|&gt;KJT&lt;/a&gt;</v>
      </c>
      <c r="AG523" s="2" t="str">
        <f t="shared" si="2090"/>
        <v>&lt;/li&gt;&lt;li&gt;&lt;a href=|http://mhc.biblecommenter.com/psalms/45.htm| title=|Matthew Henry's Concise Commentary| target=|_top|&gt;MHC&lt;/a&gt;</v>
      </c>
      <c r="AH523" s="2" t="str">
        <f t="shared" si="2090"/>
        <v>&lt;/li&gt;&lt;li&gt;&lt;a href=|http://sco.biblecommenter.com/psalms/45.htm| title=|Scofield Reference Notes| target=|_top|&gt;SCO&lt;/a&gt;</v>
      </c>
      <c r="AI523" s="2" t="str">
        <f t="shared" si="2090"/>
        <v>&lt;/li&gt;&lt;li&gt;&lt;a href=|http://wes.biblecommenter.com/psalms/45.htm| title=|Wesley's Notes on the Bible| target=|_top|&gt;WES&lt;/a&gt;</v>
      </c>
      <c r="AJ523" t="str">
        <f t="shared" si="2090"/>
        <v>&lt;/li&gt;&lt;li&gt;&lt;a href=|http://worldebible.com/psalms/45.htm| title=|World English Bible| target=|_top|&gt;WEB&lt;/a&gt;</v>
      </c>
      <c r="AK523" t="str">
        <f t="shared" si="2090"/>
        <v>&lt;/li&gt;&lt;li&gt;&lt;a href=|http://yltbible.com/psalms/45.htm| title=|Young's Literal Translation| target=|_top|&gt;YLT&lt;/a&gt;</v>
      </c>
      <c r="AL523" t="str">
        <f>CONCATENATE("&lt;a href=|http://",AL1191,"/psalms/45.htm","| ","title=|",AL1190,"| target=|_top|&gt;",AL1192,"&lt;/a&gt;")</f>
        <v>&lt;a href=|http://kjv.us/psalms/45.htm| title=|American King James Version| target=|_top|&gt;AKJ&lt;/a&gt;</v>
      </c>
      <c r="AM523" t="str">
        <f t="shared" ref="AM523:AN523" si="2091">CONCATENATE("&lt;/li&gt;&lt;li&gt;&lt;a href=|http://",AM1191,"/psalms/45.htm","| ","title=|",AM1190,"| target=|_top|&gt;",AM1192,"&lt;/a&gt;")</f>
        <v>&lt;/li&gt;&lt;li&gt;&lt;a href=|http://basicenglishbible.com/psalms/45.htm| title=|Bible in Basic English| target=|_top|&gt;BBE&lt;/a&gt;</v>
      </c>
      <c r="AN523" t="str">
        <f t="shared" si="2091"/>
        <v>&lt;/li&gt;&lt;li&gt;&lt;a href=|http://darbybible.com/psalms/45.htm| title=|Darby Bible Translation| target=|_top|&gt;DBY&lt;/a&gt;</v>
      </c>
      <c r="AO52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2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2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23" t="str">
        <f>CONCATENATE("&lt;/li&gt;&lt;li&gt;&lt;a href=|http://",AR1191,"/psalms/45.htm","| ","title=|",AR1190,"| target=|_top|&gt;",AR1192,"&lt;/a&gt;")</f>
        <v>&lt;/li&gt;&lt;li&gt;&lt;a href=|http://websterbible.com/psalms/45.htm| title=|Webster's Bible Translation| target=|_top|&gt;WBS&lt;/a&gt;</v>
      </c>
      <c r="AS52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23" t="str">
        <f>CONCATENATE("&lt;/li&gt;&lt;li&gt;&lt;a href=|http://",AT1191,"/psalms/45-1.htm","| ","title=|",AT1190,"| target=|_top|&gt;",AT1192,"&lt;/a&gt;")</f>
        <v>&lt;/li&gt;&lt;li&gt;&lt;a href=|http://biblebrowser.com/psalms/45-1.htm| title=|Split View| target=|_top|&gt;Split&lt;/a&gt;</v>
      </c>
      <c r="AU523" s="2" t="s">
        <v>1276</v>
      </c>
      <c r="AV523" t="s">
        <v>64</v>
      </c>
    </row>
    <row r="524" spans="1:48">
      <c r="A524" t="s">
        <v>622</v>
      </c>
      <c r="B524" t="s">
        <v>762</v>
      </c>
      <c r="C524" t="s">
        <v>624</v>
      </c>
      <c r="D524" t="s">
        <v>1268</v>
      </c>
      <c r="E524" t="s">
        <v>1277</v>
      </c>
      <c r="F524" t="s">
        <v>1304</v>
      </c>
      <c r="G524" t="s">
        <v>1266</v>
      </c>
      <c r="H524" t="s">
        <v>1305</v>
      </c>
      <c r="I524" t="s">
        <v>1303</v>
      </c>
      <c r="J524" t="s">
        <v>1267</v>
      </c>
      <c r="K524" t="s">
        <v>1275</v>
      </c>
      <c r="L524" s="2" t="s">
        <v>1274</v>
      </c>
      <c r="M524" t="str">
        <f t="shared" ref="M524:AB524" si="2092">CONCATENATE("&lt;/li&gt;&lt;li&gt;&lt;a href=|http://",M1191,"/psalms/46.htm","| ","title=|",M1190,"| target=|_top|&gt;",M1192,"&lt;/a&gt;")</f>
        <v>&lt;/li&gt;&lt;li&gt;&lt;a href=|http://niv.scripturetext.com/psalms/46.htm| title=|New International Version| target=|_top|&gt;NIV&lt;/a&gt;</v>
      </c>
      <c r="N524" t="str">
        <f t="shared" si="2092"/>
        <v>&lt;/li&gt;&lt;li&gt;&lt;a href=|http://nlt.scripturetext.com/psalms/46.htm| title=|New Living Translation| target=|_top|&gt;NLT&lt;/a&gt;</v>
      </c>
      <c r="O524" t="str">
        <f t="shared" si="2092"/>
        <v>&lt;/li&gt;&lt;li&gt;&lt;a href=|http://nasb.scripturetext.com/psalms/46.htm| title=|New American Standard Bible| target=|_top|&gt;NAS&lt;/a&gt;</v>
      </c>
      <c r="P524" t="str">
        <f t="shared" si="2092"/>
        <v>&lt;/li&gt;&lt;li&gt;&lt;a href=|http://gwt.scripturetext.com/psalms/46.htm| title=|God's Word Translation| target=|_top|&gt;GWT&lt;/a&gt;</v>
      </c>
      <c r="Q524" t="str">
        <f t="shared" si="2092"/>
        <v>&lt;/li&gt;&lt;li&gt;&lt;a href=|http://kingjbible.com/psalms/46.htm| title=|King James Bible| target=|_top|&gt;KJV&lt;/a&gt;</v>
      </c>
      <c r="R524" t="str">
        <f t="shared" si="2092"/>
        <v>&lt;/li&gt;&lt;li&gt;&lt;a href=|http://asvbible.com/psalms/46.htm| title=|American Standard Version| target=|_top|&gt;ASV&lt;/a&gt;</v>
      </c>
      <c r="S524" t="str">
        <f t="shared" si="2092"/>
        <v>&lt;/li&gt;&lt;li&gt;&lt;a href=|http://drb.scripturetext.com/psalms/46.htm| title=|Douay-Rheims Bible| target=|_top|&gt;DRB&lt;/a&gt;</v>
      </c>
      <c r="T524" t="str">
        <f t="shared" si="2092"/>
        <v>&lt;/li&gt;&lt;li&gt;&lt;a href=|http://erv.scripturetext.com/psalms/46.htm| title=|English Revised Version| target=|_top|&gt;ERV&lt;/a&gt;</v>
      </c>
      <c r="V524" t="str">
        <f>CONCATENATE("&lt;/li&gt;&lt;li&gt;&lt;a href=|http://",V1191,"/psalms/46.htm","| ","title=|",V1190,"| target=|_top|&gt;",V1192,"&lt;/a&gt;")</f>
        <v>&lt;/li&gt;&lt;li&gt;&lt;a href=|http://study.interlinearbible.org/psalms/46.htm| title=|Hebrew Study Bible| target=|_top|&gt;Heb Study&lt;/a&gt;</v>
      </c>
      <c r="W524" t="str">
        <f t="shared" si="2092"/>
        <v>&lt;/li&gt;&lt;li&gt;&lt;a href=|http://apostolic.interlinearbible.org/psalms/46.htm| title=|Apostolic Bible Polyglot Interlinear| target=|_top|&gt;Polyglot&lt;/a&gt;</v>
      </c>
      <c r="X524" t="str">
        <f t="shared" si="2092"/>
        <v>&lt;/li&gt;&lt;li&gt;&lt;a href=|http://interlinearbible.org/psalms/46.htm| title=|Interlinear Bible| target=|_top|&gt;Interlin&lt;/a&gt;</v>
      </c>
      <c r="Y524" t="str">
        <f t="shared" ref="Y524" si="2093">CONCATENATE("&lt;/li&gt;&lt;li&gt;&lt;a href=|http://",Y1191,"/psalms/46.htm","| ","title=|",Y1190,"| target=|_top|&gt;",Y1192,"&lt;/a&gt;")</f>
        <v>&lt;/li&gt;&lt;li&gt;&lt;a href=|http://bibleoutline.org/psalms/46.htm| title=|Outline with People and Places List| target=|_top|&gt;Outline&lt;/a&gt;</v>
      </c>
      <c r="Z524" t="str">
        <f t="shared" si="2092"/>
        <v>&lt;/li&gt;&lt;li&gt;&lt;a href=|http://kjvs.scripturetext.com/psalms/46.htm| title=|King James Bible with Strong's Numbers| target=|_top|&gt;Strong's&lt;/a&gt;</v>
      </c>
      <c r="AA524" t="str">
        <f t="shared" si="2092"/>
        <v>&lt;/li&gt;&lt;li&gt;&lt;a href=|http://childrensbibleonline.com/psalms/46.htm| title=|The Children's Bible| target=|_top|&gt;Children's&lt;/a&gt;</v>
      </c>
      <c r="AB524" s="2" t="str">
        <f t="shared" si="2092"/>
        <v>&lt;/li&gt;&lt;li&gt;&lt;a href=|http://tsk.scripturetext.com/psalms/46.htm| title=|Treasury of Scripture Knowledge| target=|_top|&gt;TSK&lt;/a&gt;</v>
      </c>
      <c r="AC524" t="str">
        <f>CONCATENATE("&lt;a href=|http://",AC1191,"/psalms/46.htm","| ","title=|",AC1190,"| target=|_top|&gt;",AC1192,"&lt;/a&gt;")</f>
        <v>&lt;a href=|http://parallelbible.com/psalms/46.htm| title=|Parallel Chapters| target=|_top|&gt;PAR&lt;/a&gt;</v>
      </c>
      <c r="AD524" s="2" t="str">
        <f t="shared" ref="AD524:AK524" si="2094">CONCATENATE("&lt;/li&gt;&lt;li&gt;&lt;a href=|http://",AD1191,"/psalms/46.htm","| ","title=|",AD1190,"| target=|_top|&gt;",AD1192,"&lt;/a&gt;")</f>
        <v>&lt;/li&gt;&lt;li&gt;&lt;a href=|http://gsb.biblecommenter.com/psalms/46.htm| title=|Geneva Study Bible| target=|_top|&gt;GSB&lt;/a&gt;</v>
      </c>
      <c r="AE524" s="2" t="str">
        <f t="shared" si="2094"/>
        <v>&lt;/li&gt;&lt;li&gt;&lt;a href=|http://jfb.biblecommenter.com/psalms/46.htm| title=|Jamieson-Fausset-Brown Bible Commentary| target=|_top|&gt;JFB&lt;/a&gt;</v>
      </c>
      <c r="AF524" s="2" t="str">
        <f t="shared" si="2094"/>
        <v>&lt;/li&gt;&lt;li&gt;&lt;a href=|http://kjt.biblecommenter.com/psalms/46.htm| title=|King James Translators' Notes| target=|_top|&gt;KJT&lt;/a&gt;</v>
      </c>
      <c r="AG524" s="2" t="str">
        <f t="shared" si="2094"/>
        <v>&lt;/li&gt;&lt;li&gt;&lt;a href=|http://mhc.biblecommenter.com/psalms/46.htm| title=|Matthew Henry's Concise Commentary| target=|_top|&gt;MHC&lt;/a&gt;</v>
      </c>
      <c r="AH524" s="2" t="str">
        <f t="shared" si="2094"/>
        <v>&lt;/li&gt;&lt;li&gt;&lt;a href=|http://sco.biblecommenter.com/psalms/46.htm| title=|Scofield Reference Notes| target=|_top|&gt;SCO&lt;/a&gt;</v>
      </c>
      <c r="AI524" s="2" t="str">
        <f t="shared" si="2094"/>
        <v>&lt;/li&gt;&lt;li&gt;&lt;a href=|http://wes.biblecommenter.com/psalms/46.htm| title=|Wesley's Notes on the Bible| target=|_top|&gt;WES&lt;/a&gt;</v>
      </c>
      <c r="AJ524" t="str">
        <f t="shared" si="2094"/>
        <v>&lt;/li&gt;&lt;li&gt;&lt;a href=|http://worldebible.com/psalms/46.htm| title=|World English Bible| target=|_top|&gt;WEB&lt;/a&gt;</v>
      </c>
      <c r="AK524" t="str">
        <f t="shared" si="2094"/>
        <v>&lt;/li&gt;&lt;li&gt;&lt;a href=|http://yltbible.com/psalms/46.htm| title=|Young's Literal Translation| target=|_top|&gt;YLT&lt;/a&gt;</v>
      </c>
      <c r="AL524" t="str">
        <f>CONCATENATE("&lt;a href=|http://",AL1191,"/psalms/46.htm","| ","title=|",AL1190,"| target=|_top|&gt;",AL1192,"&lt;/a&gt;")</f>
        <v>&lt;a href=|http://kjv.us/psalms/46.htm| title=|American King James Version| target=|_top|&gt;AKJ&lt;/a&gt;</v>
      </c>
      <c r="AM524" t="str">
        <f t="shared" ref="AM524:AN524" si="2095">CONCATENATE("&lt;/li&gt;&lt;li&gt;&lt;a href=|http://",AM1191,"/psalms/46.htm","| ","title=|",AM1190,"| target=|_top|&gt;",AM1192,"&lt;/a&gt;")</f>
        <v>&lt;/li&gt;&lt;li&gt;&lt;a href=|http://basicenglishbible.com/psalms/46.htm| title=|Bible in Basic English| target=|_top|&gt;BBE&lt;/a&gt;</v>
      </c>
      <c r="AN524" t="str">
        <f t="shared" si="2095"/>
        <v>&lt;/li&gt;&lt;li&gt;&lt;a href=|http://darbybible.com/psalms/46.htm| title=|Darby Bible Translation| target=|_top|&gt;DBY&lt;/a&gt;</v>
      </c>
      <c r="AO52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2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2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24" t="str">
        <f>CONCATENATE("&lt;/li&gt;&lt;li&gt;&lt;a href=|http://",AR1191,"/psalms/46.htm","| ","title=|",AR1190,"| target=|_top|&gt;",AR1192,"&lt;/a&gt;")</f>
        <v>&lt;/li&gt;&lt;li&gt;&lt;a href=|http://websterbible.com/psalms/46.htm| title=|Webster's Bible Translation| target=|_top|&gt;WBS&lt;/a&gt;</v>
      </c>
      <c r="AS52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24" t="str">
        <f>CONCATENATE("&lt;/li&gt;&lt;li&gt;&lt;a href=|http://",AT1191,"/psalms/46-1.htm","| ","title=|",AT1190,"| target=|_top|&gt;",AT1192,"&lt;/a&gt;")</f>
        <v>&lt;/li&gt;&lt;li&gt;&lt;a href=|http://biblebrowser.com/psalms/46-1.htm| title=|Split View| target=|_top|&gt;Split&lt;/a&gt;</v>
      </c>
      <c r="AU524" s="2" t="s">
        <v>1276</v>
      </c>
      <c r="AV524" t="s">
        <v>64</v>
      </c>
    </row>
    <row r="525" spans="1:48">
      <c r="A525" t="s">
        <v>622</v>
      </c>
      <c r="B525" t="s">
        <v>763</v>
      </c>
      <c r="C525" t="s">
        <v>624</v>
      </c>
      <c r="D525" t="s">
        <v>1268</v>
      </c>
      <c r="E525" t="s">
        <v>1277</v>
      </c>
      <c r="F525" t="s">
        <v>1304</v>
      </c>
      <c r="G525" t="s">
        <v>1266</v>
      </c>
      <c r="H525" t="s">
        <v>1305</v>
      </c>
      <c r="I525" t="s">
        <v>1303</v>
      </c>
      <c r="J525" t="s">
        <v>1267</v>
      </c>
      <c r="K525" t="s">
        <v>1275</v>
      </c>
      <c r="L525" s="2" t="s">
        <v>1274</v>
      </c>
      <c r="M525" t="str">
        <f t="shared" ref="M525:AB525" si="2096">CONCATENATE("&lt;/li&gt;&lt;li&gt;&lt;a href=|http://",M1191,"/psalms/47.htm","| ","title=|",M1190,"| target=|_top|&gt;",M1192,"&lt;/a&gt;")</f>
        <v>&lt;/li&gt;&lt;li&gt;&lt;a href=|http://niv.scripturetext.com/psalms/47.htm| title=|New International Version| target=|_top|&gt;NIV&lt;/a&gt;</v>
      </c>
      <c r="N525" t="str">
        <f t="shared" si="2096"/>
        <v>&lt;/li&gt;&lt;li&gt;&lt;a href=|http://nlt.scripturetext.com/psalms/47.htm| title=|New Living Translation| target=|_top|&gt;NLT&lt;/a&gt;</v>
      </c>
      <c r="O525" t="str">
        <f t="shared" si="2096"/>
        <v>&lt;/li&gt;&lt;li&gt;&lt;a href=|http://nasb.scripturetext.com/psalms/47.htm| title=|New American Standard Bible| target=|_top|&gt;NAS&lt;/a&gt;</v>
      </c>
      <c r="P525" t="str">
        <f t="shared" si="2096"/>
        <v>&lt;/li&gt;&lt;li&gt;&lt;a href=|http://gwt.scripturetext.com/psalms/47.htm| title=|God's Word Translation| target=|_top|&gt;GWT&lt;/a&gt;</v>
      </c>
      <c r="Q525" t="str">
        <f t="shared" si="2096"/>
        <v>&lt;/li&gt;&lt;li&gt;&lt;a href=|http://kingjbible.com/psalms/47.htm| title=|King James Bible| target=|_top|&gt;KJV&lt;/a&gt;</v>
      </c>
      <c r="R525" t="str">
        <f t="shared" si="2096"/>
        <v>&lt;/li&gt;&lt;li&gt;&lt;a href=|http://asvbible.com/psalms/47.htm| title=|American Standard Version| target=|_top|&gt;ASV&lt;/a&gt;</v>
      </c>
      <c r="S525" t="str">
        <f t="shared" si="2096"/>
        <v>&lt;/li&gt;&lt;li&gt;&lt;a href=|http://drb.scripturetext.com/psalms/47.htm| title=|Douay-Rheims Bible| target=|_top|&gt;DRB&lt;/a&gt;</v>
      </c>
      <c r="T525" t="str">
        <f t="shared" si="2096"/>
        <v>&lt;/li&gt;&lt;li&gt;&lt;a href=|http://erv.scripturetext.com/psalms/47.htm| title=|English Revised Version| target=|_top|&gt;ERV&lt;/a&gt;</v>
      </c>
      <c r="V525" t="str">
        <f>CONCATENATE("&lt;/li&gt;&lt;li&gt;&lt;a href=|http://",V1191,"/psalms/47.htm","| ","title=|",V1190,"| target=|_top|&gt;",V1192,"&lt;/a&gt;")</f>
        <v>&lt;/li&gt;&lt;li&gt;&lt;a href=|http://study.interlinearbible.org/psalms/47.htm| title=|Hebrew Study Bible| target=|_top|&gt;Heb Study&lt;/a&gt;</v>
      </c>
      <c r="W525" t="str">
        <f t="shared" si="2096"/>
        <v>&lt;/li&gt;&lt;li&gt;&lt;a href=|http://apostolic.interlinearbible.org/psalms/47.htm| title=|Apostolic Bible Polyglot Interlinear| target=|_top|&gt;Polyglot&lt;/a&gt;</v>
      </c>
      <c r="X525" t="str">
        <f t="shared" si="2096"/>
        <v>&lt;/li&gt;&lt;li&gt;&lt;a href=|http://interlinearbible.org/psalms/47.htm| title=|Interlinear Bible| target=|_top|&gt;Interlin&lt;/a&gt;</v>
      </c>
      <c r="Y525" t="str">
        <f t="shared" ref="Y525" si="2097">CONCATENATE("&lt;/li&gt;&lt;li&gt;&lt;a href=|http://",Y1191,"/psalms/47.htm","| ","title=|",Y1190,"| target=|_top|&gt;",Y1192,"&lt;/a&gt;")</f>
        <v>&lt;/li&gt;&lt;li&gt;&lt;a href=|http://bibleoutline.org/psalms/47.htm| title=|Outline with People and Places List| target=|_top|&gt;Outline&lt;/a&gt;</v>
      </c>
      <c r="Z525" t="str">
        <f t="shared" si="2096"/>
        <v>&lt;/li&gt;&lt;li&gt;&lt;a href=|http://kjvs.scripturetext.com/psalms/47.htm| title=|King James Bible with Strong's Numbers| target=|_top|&gt;Strong's&lt;/a&gt;</v>
      </c>
      <c r="AA525" t="str">
        <f t="shared" si="2096"/>
        <v>&lt;/li&gt;&lt;li&gt;&lt;a href=|http://childrensbibleonline.com/psalms/47.htm| title=|The Children's Bible| target=|_top|&gt;Children's&lt;/a&gt;</v>
      </c>
      <c r="AB525" s="2" t="str">
        <f t="shared" si="2096"/>
        <v>&lt;/li&gt;&lt;li&gt;&lt;a href=|http://tsk.scripturetext.com/psalms/47.htm| title=|Treasury of Scripture Knowledge| target=|_top|&gt;TSK&lt;/a&gt;</v>
      </c>
      <c r="AC525" t="str">
        <f>CONCATENATE("&lt;a href=|http://",AC1191,"/psalms/47.htm","| ","title=|",AC1190,"| target=|_top|&gt;",AC1192,"&lt;/a&gt;")</f>
        <v>&lt;a href=|http://parallelbible.com/psalms/47.htm| title=|Parallel Chapters| target=|_top|&gt;PAR&lt;/a&gt;</v>
      </c>
      <c r="AD525" s="2" t="str">
        <f t="shared" ref="AD525:AK525" si="2098">CONCATENATE("&lt;/li&gt;&lt;li&gt;&lt;a href=|http://",AD1191,"/psalms/47.htm","| ","title=|",AD1190,"| target=|_top|&gt;",AD1192,"&lt;/a&gt;")</f>
        <v>&lt;/li&gt;&lt;li&gt;&lt;a href=|http://gsb.biblecommenter.com/psalms/47.htm| title=|Geneva Study Bible| target=|_top|&gt;GSB&lt;/a&gt;</v>
      </c>
      <c r="AE525" s="2" t="str">
        <f t="shared" si="2098"/>
        <v>&lt;/li&gt;&lt;li&gt;&lt;a href=|http://jfb.biblecommenter.com/psalms/47.htm| title=|Jamieson-Fausset-Brown Bible Commentary| target=|_top|&gt;JFB&lt;/a&gt;</v>
      </c>
      <c r="AF525" s="2" t="str">
        <f t="shared" si="2098"/>
        <v>&lt;/li&gt;&lt;li&gt;&lt;a href=|http://kjt.biblecommenter.com/psalms/47.htm| title=|King James Translators' Notes| target=|_top|&gt;KJT&lt;/a&gt;</v>
      </c>
      <c r="AG525" s="2" t="str">
        <f t="shared" si="2098"/>
        <v>&lt;/li&gt;&lt;li&gt;&lt;a href=|http://mhc.biblecommenter.com/psalms/47.htm| title=|Matthew Henry's Concise Commentary| target=|_top|&gt;MHC&lt;/a&gt;</v>
      </c>
      <c r="AH525" s="2" t="str">
        <f t="shared" si="2098"/>
        <v>&lt;/li&gt;&lt;li&gt;&lt;a href=|http://sco.biblecommenter.com/psalms/47.htm| title=|Scofield Reference Notes| target=|_top|&gt;SCO&lt;/a&gt;</v>
      </c>
      <c r="AI525" s="2" t="str">
        <f t="shared" si="2098"/>
        <v>&lt;/li&gt;&lt;li&gt;&lt;a href=|http://wes.biblecommenter.com/psalms/47.htm| title=|Wesley's Notes on the Bible| target=|_top|&gt;WES&lt;/a&gt;</v>
      </c>
      <c r="AJ525" t="str">
        <f t="shared" si="2098"/>
        <v>&lt;/li&gt;&lt;li&gt;&lt;a href=|http://worldebible.com/psalms/47.htm| title=|World English Bible| target=|_top|&gt;WEB&lt;/a&gt;</v>
      </c>
      <c r="AK525" t="str">
        <f t="shared" si="2098"/>
        <v>&lt;/li&gt;&lt;li&gt;&lt;a href=|http://yltbible.com/psalms/47.htm| title=|Young's Literal Translation| target=|_top|&gt;YLT&lt;/a&gt;</v>
      </c>
      <c r="AL525" t="str">
        <f>CONCATENATE("&lt;a href=|http://",AL1191,"/psalms/47.htm","| ","title=|",AL1190,"| target=|_top|&gt;",AL1192,"&lt;/a&gt;")</f>
        <v>&lt;a href=|http://kjv.us/psalms/47.htm| title=|American King James Version| target=|_top|&gt;AKJ&lt;/a&gt;</v>
      </c>
      <c r="AM525" t="str">
        <f t="shared" ref="AM525:AN525" si="2099">CONCATENATE("&lt;/li&gt;&lt;li&gt;&lt;a href=|http://",AM1191,"/psalms/47.htm","| ","title=|",AM1190,"| target=|_top|&gt;",AM1192,"&lt;/a&gt;")</f>
        <v>&lt;/li&gt;&lt;li&gt;&lt;a href=|http://basicenglishbible.com/psalms/47.htm| title=|Bible in Basic English| target=|_top|&gt;BBE&lt;/a&gt;</v>
      </c>
      <c r="AN525" t="str">
        <f t="shared" si="2099"/>
        <v>&lt;/li&gt;&lt;li&gt;&lt;a href=|http://darbybible.com/psalms/47.htm| title=|Darby Bible Translation| target=|_top|&gt;DBY&lt;/a&gt;</v>
      </c>
      <c r="AO52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2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2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25" t="str">
        <f>CONCATENATE("&lt;/li&gt;&lt;li&gt;&lt;a href=|http://",AR1191,"/psalms/47.htm","| ","title=|",AR1190,"| target=|_top|&gt;",AR1192,"&lt;/a&gt;")</f>
        <v>&lt;/li&gt;&lt;li&gt;&lt;a href=|http://websterbible.com/psalms/47.htm| title=|Webster's Bible Translation| target=|_top|&gt;WBS&lt;/a&gt;</v>
      </c>
      <c r="AS52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25" t="str">
        <f>CONCATENATE("&lt;/li&gt;&lt;li&gt;&lt;a href=|http://",AT1191,"/psalms/47-1.htm","| ","title=|",AT1190,"| target=|_top|&gt;",AT1192,"&lt;/a&gt;")</f>
        <v>&lt;/li&gt;&lt;li&gt;&lt;a href=|http://biblebrowser.com/psalms/47-1.htm| title=|Split View| target=|_top|&gt;Split&lt;/a&gt;</v>
      </c>
      <c r="AU525" s="2" t="s">
        <v>1276</v>
      </c>
      <c r="AV525" t="s">
        <v>64</v>
      </c>
    </row>
    <row r="526" spans="1:48">
      <c r="A526" t="s">
        <v>622</v>
      </c>
      <c r="B526" t="s">
        <v>764</v>
      </c>
      <c r="C526" t="s">
        <v>624</v>
      </c>
      <c r="D526" t="s">
        <v>1268</v>
      </c>
      <c r="E526" t="s">
        <v>1277</v>
      </c>
      <c r="F526" t="s">
        <v>1304</v>
      </c>
      <c r="G526" t="s">
        <v>1266</v>
      </c>
      <c r="H526" t="s">
        <v>1305</v>
      </c>
      <c r="I526" t="s">
        <v>1303</v>
      </c>
      <c r="J526" t="s">
        <v>1267</v>
      </c>
      <c r="K526" t="s">
        <v>1275</v>
      </c>
      <c r="L526" s="2" t="s">
        <v>1274</v>
      </c>
      <c r="M526" t="str">
        <f t="shared" ref="M526:AB526" si="2100">CONCATENATE("&lt;/li&gt;&lt;li&gt;&lt;a href=|http://",M1191,"/psalms/48.htm","| ","title=|",M1190,"| target=|_top|&gt;",M1192,"&lt;/a&gt;")</f>
        <v>&lt;/li&gt;&lt;li&gt;&lt;a href=|http://niv.scripturetext.com/psalms/48.htm| title=|New International Version| target=|_top|&gt;NIV&lt;/a&gt;</v>
      </c>
      <c r="N526" t="str">
        <f t="shared" si="2100"/>
        <v>&lt;/li&gt;&lt;li&gt;&lt;a href=|http://nlt.scripturetext.com/psalms/48.htm| title=|New Living Translation| target=|_top|&gt;NLT&lt;/a&gt;</v>
      </c>
      <c r="O526" t="str">
        <f t="shared" si="2100"/>
        <v>&lt;/li&gt;&lt;li&gt;&lt;a href=|http://nasb.scripturetext.com/psalms/48.htm| title=|New American Standard Bible| target=|_top|&gt;NAS&lt;/a&gt;</v>
      </c>
      <c r="P526" t="str">
        <f t="shared" si="2100"/>
        <v>&lt;/li&gt;&lt;li&gt;&lt;a href=|http://gwt.scripturetext.com/psalms/48.htm| title=|God's Word Translation| target=|_top|&gt;GWT&lt;/a&gt;</v>
      </c>
      <c r="Q526" t="str">
        <f t="shared" si="2100"/>
        <v>&lt;/li&gt;&lt;li&gt;&lt;a href=|http://kingjbible.com/psalms/48.htm| title=|King James Bible| target=|_top|&gt;KJV&lt;/a&gt;</v>
      </c>
      <c r="R526" t="str">
        <f t="shared" si="2100"/>
        <v>&lt;/li&gt;&lt;li&gt;&lt;a href=|http://asvbible.com/psalms/48.htm| title=|American Standard Version| target=|_top|&gt;ASV&lt;/a&gt;</v>
      </c>
      <c r="S526" t="str">
        <f t="shared" si="2100"/>
        <v>&lt;/li&gt;&lt;li&gt;&lt;a href=|http://drb.scripturetext.com/psalms/48.htm| title=|Douay-Rheims Bible| target=|_top|&gt;DRB&lt;/a&gt;</v>
      </c>
      <c r="T526" t="str">
        <f t="shared" si="2100"/>
        <v>&lt;/li&gt;&lt;li&gt;&lt;a href=|http://erv.scripturetext.com/psalms/48.htm| title=|English Revised Version| target=|_top|&gt;ERV&lt;/a&gt;</v>
      </c>
      <c r="V526" t="str">
        <f>CONCATENATE("&lt;/li&gt;&lt;li&gt;&lt;a href=|http://",V1191,"/psalms/48.htm","| ","title=|",V1190,"| target=|_top|&gt;",V1192,"&lt;/a&gt;")</f>
        <v>&lt;/li&gt;&lt;li&gt;&lt;a href=|http://study.interlinearbible.org/psalms/48.htm| title=|Hebrew Study Bible| target=|_top|&gt;Heb Study&lt;/a&gt;</v>
      </c>
      <c r="W526" t="str">
        <f t="shared" si="2100"/>
        <v>&lt;/li&gt;&lt;li&gt;&lt;a href=|http://apostolic.interlinearbible.org/psalms/48.htm| title=|Apostolic Bible Polyglot Interlinear| target=|_top|&gt;Polyglot&lt;/a&gt;</v>
      </c>
      <c r="X526" t="str">
        <f t="shared" si="2100"/>
        <v>&lt;/li&gt;&lt;li&gt;&lt;a href=|http://interlinearbible.org/psalms/48.htm| title=|Interlinear Bible| target=|_top|&gt;Interlin&lt;/a&gt;</v>
      </c>
      <c r="Y526" t="str">
        <f t="shared" ref="Y526" si="2101">CONCATENATE("&lt;/li&gt;&lt;li&gt;&lt;a href=|http://",Y1191,"/psalms/48.htm","| ","title=|",Y1190,"| target=|_top|&gt;",Y1192,"&lt;/a&gt;")</f>
        <v>&lt;/li&gt;&lt;li&gt;&lt;a href=|http://bibleoutline.org/psalms/48.htm| title=|Outline with People and Places List| target=|_top|&gt;Outline&lt;/a&gt;</v>
      </c>
      <c r="Z526" t="str">
        <f t="shared" si="2100"/>
        <v>&lt;/li&gt;&lt;li&gt;&lt;a href=|http://kjvs.scripturetext.com/psalms/48.htm| title=|King James Bible with Strong's Numbers| target=|_top|&gt;Strong's&lt;/a&gt;</v>
      </c>
      <c r="AA526" t="str">
        <f t="shared" si="2100"/>
        <v>&lt;/li&gt;&lt;li&gt;&lt;a href=|http://childrensbibleonline.com/psalms/48.htm| title=|The Children's Bible| target=|_top|&gt;Children's&lt;/a&gt;</v>
      </c>
      <c r="AB526" s="2" t="str">
        <f t="shared" si="2100"/>
        <v>&lt;/li&gt;&lt;li&gt;&lt;a href=|http://tsk.scripturetext.com/psalms/48.htm| title=|Treasury of Scripture Knowledge| target=|_top|&gt;TSK&lt;/a&gt;</v>
      </c>
      <c r="AC526" t="str">
        <f>CONCATENATE("&lt;a href=|http://",AC1191,"/psalms/48.htm","| ","title=|",AC1190,"| target=|_top|&gt;",AC1192,"&lt;/a&gt;")</f>
        <v>&lt;a href=|http://parallelbible.com/psalms/48.htm| title=|Parallel Chapters| target=|_top|&gt;PAR&lt;/a&gt;</v>
      </c>
      <c r="AD526" s="2" t="str">
        <f t="shared" ref="AD526:AK526" si="2102">CONCATENATE("&lt;/li&gt;&lt;li&gt;&lt;a href=|http://",AD1191,"/psalms/48.htm","| ","title=|",AD1190,"| target=|_top|&gt;",AD1192,"&lt;/a&gt;")</f>
        <v>&lt;/li&gt;&lt;li&gt;&lt;a href=|http://gsb.biblecommenter.com/psalms/48.htm| title=|Geneva Study Bible| target=|_top|&gt;GSB&lt;/a&gt;</v>
      </c>
      <c r="AE526" s="2" t="str">
        <f t="shared" si="2102"/>
        <v>&lt;/li&gt;&lt;li&gt;&lt;a href=|http://jfb.biblecommenter.com/psalms/48.htm| title=|Jamieson-Fausset-Brown Bible Commentary| target=|_top|&gt;JFB&lt;/a&gt;</v>
      </c>
      <c r="AF526" s="2" t="str">
        <f t="shared" si="2102"/>
        <v>&lt;/li&gt;&lt;li&gt;&lt;a href=|http://kjt.biblecommenter.com/psalms/48.htm| title=|King James Translators' Notes| target=|_top|&gt;KJT&lt;/a&gt;</v>
      </c>
      <c r="AG526" s="2" t="str">
        <f t="shared" si="2102"/>
        <v>&lt;/li&gt;&lt;li&gt;&lt;a href=|http://mhc.biblecommenter.com/psalms/48.htm| title=|Matthew Henry's Concise Commentary| target=|_top|&gt;MHC&lt;/a&gt;</v>
      </c>
      <c r="AH526" s="2" t="str">
        <f t="shared" si="2102"/>
        <v>&lt;/li&gt;&lt;li&gt;&lt;a href=|http://sco.biblecommenter.com/psalms/48.htm| title=|Scofield Reference Notes| target=|_top|&gt;SCO&lt;/a&gt;</v>
      </c>
      <c r="AI526" s="2" t="str">
        <f t="shared" si="2102"/>
        <v>&lt;/li&gt;&lt;li&gt;&lt;a href=|http://wes.biblecommenter.com/psalms/48.htm| title=|Wesley's Notes on the Bible| target=|_top|&gt;WES&lt;/a&gt;</v>
      </c>
      <c r="AJ526" t="str">
        <f t="shared" si="2102"/>
        <v>&lt;/li&gt;&lt;li&gt;&lt;a href=|http://worldebible.com/psalms/48.htm| title=|World English Bible| target=|_top|&gt;WEB&lt;/a&gt;</v>
      </c>
      <c r="AK526" t="str">
        <f t="shared" si="2102"/>
        <v>&lt;/li&gt;&lt;li&gt;&lt;a href=|http://yltbible.com/psalms/48.htm| title=|Young's Literal Translation| target=|_top|&gt;YLT&lt;/a&gt;</v>
      </c>
      <c r="AL526" t="str">
        <f>CONCATENATE("&lt;a href=|http://",AL1191,"/psalms/48.htm","| ","title=|",AL1190,"| target=|_top|&gt;",AL1192,"&lt;/a&gt;")</f>
        <v>&lt;a href=|http://kjv.us/psalms/48.htm| title=|American King James Version| target=|_top|&gt;AKJ&lt;/a&gt;</v>
      </c>
      <c r="AM526" t="str">
        <f t="shared" ref="AM526:AN526" si="2103">CONCATENATE("&lt;/li&gt;&lt;li&gt;&lt;a href=|http://",AM1191,"/psalms/48.htm","| ","title=|",AM1190,"| target=|_top|&gt;",AM1192,"&lt;/a&gt;")</f>
        <v>&lt;/li&gt;&lt;li&gt;&lt;a href=|http://basicenglishbible.com/psalms/48.htm| title=|Bible in Basic English| target=|_top|&gt;BBE&lt;/a&gt;</v>
      </c>
      <c r="AN526" t="str">
        <f t="shared" si="2103"/>
        <v>&lt;/li&gt;&lt;li&gt;&lt;a href=|http://darbybible.com/psalms/48.htm| title=|Darby Bible Translation| target=|_top|&gt;DBY&lt;/a&gt;</v>
      </c>
      <c r="AO52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2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2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26" t="str">
        <f>CONCATENATE("&lt;/li&gt;&lt;li&gt;&lt;a href=|http://",AR1191,"/psalms/48.htm","| ","title=|",AR1190,"| target=|_top|&gt;",AR1192,"&lt;/a&gt;")</f>
        <v>&lt;/li&gt;&lt;li&gt;&lt;a href=|http://websterbible.com/psalms/48.htm| title=|Webster's Bible Translation| target=|_top|&gt;WBS&lt;/a&gt;</v>
      </c>
      <c r="AS52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26" t="str">
        <f>CONCATENATE("&lt;/li&gt;&lt;li&gt;&lt;a href=|http://",AT1191,"/psalms/48-1.htm","| ","title=|",AT1190,"| target=|_top|&gt;",AT1192,"&lt;/a&gt;")</f>
        <v>&lt;/li&gt;&lt;li&gt;&lt;a href=|http://biblebrowser.com/psalms/48-1.htm| title=|Split View| target=|_top|&gt;Split&lt;/a&gt;</v>
      </c>
      <c r="AU526" s="2" t="s">
        <v>1276</v>
      </c>
      <c r="AV526" t="s">
        <v>64</v>
      </c>
    </row>
    <row r="527" spans="1:48">
      <c r="A527" t="s">
        <v>622</v>
      </c>
      <c r="B527" t="s">
        <v>765</v>
      </c>
      <c r="C527" t="s">
        <v>624</v>
      </c>
      <c r="D527" t="s">
        <v>1268</v>
      </c>
      <c r="E527" t="s">
        <v>1277</v>
      </c>
      <c r="F527" t="s">
        <v>1304</v>
      </c>
      <c r="G527" t="s">
        <v>1266</v>
      </c>
      <c r="H527" t="s">
        <v>1305</v>
      </c>
      <c r="I527" t="s">
        <v>1303</v>
      </c>
      <c r="J527" t="s">
        <v>1267</v>
      </c>
      <c r="K527" t="s">
        <v>1275</v>
      </c>
      <c r="L527" s="2" t="s">
        <v>1274</v>
      </c>
      <c r="M527" t="str">
        <f t="shared" ref="M527:AB527" si="2104">CONCATENATE("&lt;/li&gt;&lt;li&gt;&lt;a href=|http://",M1191,"/psalms/49.htm","| ","title=|",M1190,"| target=|_top|&gt;",M1192,"&lt;/a&gt;")</f>
        <v>&lt;/li&gt;&lt;li&gt;&lt;a href=|http://niv.scripturetext.com/psalms/49.htm| title=|New International Version| target=|_top|&gt;NIV&lt;/a&gt;</v>
      </c>
      <c r="N527" t="str">
        <f t="shared" si="2104"/>
        <v>&lt;/li&gt;&lt;li&gt;&lt;a href=|http://nlt.scripturetext.com/psalms/49.htm| title=|New Living Translation| target=|_top|&gt;NLT&lt;/a&gt;</v>
      </c>
      <c r="O527" t="str">
        <f t="shared" si="2104"/>
        <v>&lt;/li&gt;&lt;li&gt;&lt;a href=|http://nasb.scripturetext.com/psalms/49.htm| title=|New American Standard Bible| target=|_top|&gt;NAS&lt;/a&gt;</v>
      </c>
      <c r="P527" t="str">
        <f t="shared" si="2104"/>
        <v>&lt;/li&gt;&lt;li&gt;&lt;a href=|http://gwt.scripturetext.com/psalms/49.htm| title=|God's Word Translation| target=|_top|&gt;GWT&lt;/a&gt;</v>
      </c>
      <c r="Q527" t="str">
        <f t="shared" si="2104"/>
        <v>&lt;/li&gt;&lt;li&gt;&lt;a href=|http://kingjbible.com/psalms/49.htm| title=|King James Bible| target=|_top|&gt;KJV&lt;/a&gt;</v>
      </c>
      <c r="R527" t="str">
        <f t="shared" si="2104"/>
        <v>&lt;/li&gt;&lt;li&gt;&lt;a href=|http://asvbible.com/psalms/49.htm| title=|American Standard Version| target=|_top|&gt;ASV&lt;/a&gt;</v>
      </c>
      <c r="S527" t="str">
        <f t="shared" si="2104"/>
        <v>&lt;/li&gt;&lt;li&gt;&lt;a href=|http://drb.scripturetext.com/psalms/49.htm| title=|Douay-Rheims Bible| target=|_top|&gt;DRB&lt;/a&gt;</v>
      </c>
      <c r="T527" t="str">
        <f t="shared" si="2104"/>
        <v>&lt;/li&gt;&lt;li&gt;&lt;a href=|http://erv.scripturetext.com/psalms/49.htm| title=|English Revised Version| target=|_top|&gt;ERV&lt;/a&gt;</v>
      </c>
      <c r="V527" t="str">
        <f>CONCATENATE("&lt;/li&gt;&lt;li&gt;&lt;a href=|http://",V1191,"/psalms/49.htm","| ","title=|",V1190,"| target=|_top|&gt;",V1192,"&lt;/a&gt;")</f>
        <v>&lt;/li&gt;&lt;li&gt;&lt;a href=|http://study.interlinearbible.org/psalms/49.htm| title=|Hebrew Study Bible| target=|_top|&gt;Heb Study&lt;/a&gt;</v>
      </c>
      <c r="W527" t="str">
        <f t="shared" si="2104"/>
        <v>&lt;/li&gt;&lt;li&gt;&lt;a href=|http://apostolic.interlinearbible.org/psalms/49.htm| title=|Apostolic Bible Polyglot Interlinear| target=|_top|&gt;Polyglot&lt;/a&gt;</v>
      </c>
      <c r="X527" t="str">
        <f t="shared" si="2104"/>
        <v>&lt;/li&gt;&lt;li&gt;&lt;a href=|http://interlinearbible.org/psalms/49.htm| title=|Interlinear Bible| target=|_top|&gt;Interlin&lt;/a&gt;</v>
      </c>
      <c r="Y527" t="str">
        <f t="shared" ref="Y527" si="2105">CONCATENATE("&lt;/li&gt;&lt;li&gt;&lt;a href=|http://",Y1191,"/psalms/49.htm","| ","title=|",Y1190,"| target=|_top|&gt;",Y1192,"&lt;/a&gt;")</f>
        <v>&lt;/li&gt;&lt;li&gt;&lt;a href=|http://bibleoutline.org/psalms/49.htm| title=|Outline with People and Places List| target=|_top|&gt;Outline&lt;/a&gt;</v>
      </c>
      <c r="Z527" t="str">
        <f t="shared" si="2104"/>
        <v>&lt;/li&gt;&lt;li&gt;&lt;a href=|http://kjvs.scripturetext.com/psalms/49.htm| title=|King James Bible with Strong's Numbers| target=|_top|&gt;Strong's&lt;/a&gt;</v>
      </c>
      <c r="AA527" t="str">
        <f t="shared" si="2104"/>
        <v>&lt;/li&gt;&lt;li&gt;&lt;a href=|http://childrensbibleonline.com/psalms/49.htm| title=|The Children's Bible| target=|_top|&gt;Children's&lt;/a&gt;</v>
      </c>
      <c r="AB527" s="2" t="str">
        <f t="shared" si="2104"/>
        <v>&lt;/li&gt;&lt;li&gt;&lt;a href=|http://tsk.scripturetext.com/psalms/49.htm| title=|Treasury of Scripture Knowledge| target=|_top|&gt;TSK&lt;/a&gt;</v>
      </c>
      <c r="AC527" t="str">
        <f>CONCATENATE("&lt;a href=|http://",AC1191,"/psalms/49.htm","| ","title=|",AC1190,"| target=|_top|&gt;",AC1192,"&lt;/a&gt;")</f>
        <v>&lt;a href=|http://parallelbible.com/psalms/49.htm| title=|Parallel Chapters| target=|_top|&gt;PAR&lt;/a&gt;</v>
      </c>
      <c r="AD527" s="2" t="str">
        <f t="shared" ref="AD527:AK527" si="2106">CONCATENATE("&lt;/li&gt;&lt;li&gt;&lt;a href=|http://",AD1191,"/psalms/49.htm","| ","title=|",AD1190,"| target=|_top|&gt;",AD1192,"&lt;/a&gt;")</f>
        <v>&lt;/li&gt;&lt;li&gt;&lt;a href=|http://gsb.biblecommenter.com/psalms/49.htm| title=|Geneva Study Bible| target=|_top|&gt;GSB&lt;/a&gt;</v>
      </c>
      <c r="AE527" s="2" t="str">
        <f t="shared" si="2106"/>
        <v>&lt;/li&gt;&lt;li&gt;&lt;a href=|http://jfb.biblecommenter.com/psalms/49.htm| title=|Jamieson-Fausset-Brown Bible Commentary| target=|_top|&gt;JFB&lt;/a&gt;</v>
      </c>
      <c r="AF527" s="2" t="str">
        <f t="shared" si="2106"/>
        <v>&lt;/li&gt;&lt;li&gt;&lt;a href=|http://kjt.biblecommenter.com/psalms/49.htm| title=|King James Translators' Notes| target=|_top|&gt;KJT&lt;/a&gt;</v>
      </c>
      <c r="AG527" s="2" t="str">
        <f t="shared" si="2106"/>
        <v>&lt;/li&gt;&lt;li&gt;&lt;a href=|http://mhc.biblecommenter.com/psalms/49.htm| title=|Matthew Henry's Concise Commentary| target=|_top|&gt;MHC&lt;/a&gt;</v>
      </c>
      <c r="AH527" s="2" t="str">
        <f t="shared" si="2106"/>
        <v>&lt;/li&gt;&lt;li&gt;&lt;a href=|http://sco.biblecommenter.com/psalms/49.htm| title=|Scofield Reference Notes| target=|_top|&gt;SCO&lt;/a&gt;</v>
      </c>
      <c r="AI527" s="2" t="str">
        <f t="shared" si="2106"/>
        <v>&lt;/li&gt;&lt;li&gt;&lt;a href=|http://wes.biblecommenter.com/psalms/49.htm| title=|Wesley's Notes on the Bible| target=|_top|&gt;WES&lt;/a&gt;</v>
      </c>
      <c r="AJ527" t="str">
        <f t="shared" si="2106"/>
        <v>&lt;/li&gt;&lt;li&gt;&lt;a href=|http://worldebible.com/psalms/49.htm| title=|World English Bible| target=|_top|&gt;WEB&lt;/a&gt;</v>
      </c>
      <c r="AK527" t="str">
        <f t="shared" si="2106"/>
        <v>&lt;/li&gt;&lt;li&gt;&lt;a href=|http://yltbible.com/psalms/49.htm| title=|Young's Literal Translation| target=|_top|&gt;YLT&lt;/a&gt;</v>
      </c>
      <c r="AL527" t="str">
        <f>CONCATENATE("&lt;a href=|http://",AL1191,"/psalms/49.htm","| ","title=|",AL1190,"| target=|_top|&gt;",AL1192,"&lt;/a&gt;")</f>
        <v>&lt;a href=|http://kjv.us/psalms/49.htm| title=|American King James Version| target=|_top|&gt;AKJ&lt;/a&gt;</v>
      </c>
      <c r="AM527" t="str">
        <f t="shared" ref="AM527:AN527" si="2107">CONCATENATE("&lt;/li&gt;&lt;li&gt;&lt;a href=|http://",AM1191,"/psalms/49.htm","| ","title=|",AM1190,"| target=|_top|&gt;",AM1192,"&lt;/a&gt;")</f>
        <v>&lt;/li&gt;&lt;li&gt;&lt;a href=|http://basicenglishbible.com/psalms/49.htm| title=|Bible in Basic English| target=|_top|&gt;BBE&lt;/a&gt;</v>
      </c>
      <c r="AN527" t="str">
        <f t="shared" si="2107"/>
        <v>&lt;/li&gt;&lt;li&gt;&lt;a href=|http://darbybible.com/psalms/49.htm| title=|Darby Bible Translation| target=|_top|&gt;DBY&lt;/a&gt;</v>
      </c>
      <c r="AO52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2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2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27" t="str">
        <f>CONCATENATE("&lt;/li&gt;&lt;li&gt;&lt;a href=|http://",AR1191,"/psalms/49.htm","| ","title=|",AR1190,"| target=|_top|&gt;",AR1192,"&lt;/a&gt;")</f>
        <v>&lt;/li&gt;&lt;li&gt;&lt;a href=|http://websterbible.com/psalms/49.htm| title=|Webster's Bible Translation| target=|_top|&gt;WBS&lt;/a&gt;</v>
      </c>
      <c r="AS52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27" t="str">
        <f>CONCATENATE("&lt;/li&gt;&lt;li&gt;&lt;a href=|http://",AT1191,"/psalms/49-1.htm","| ","title=|",AT1190,"| target=|_top|&gt;",AT1192,"&lt;/a&gt;")</f>
        <v>&lt;/li&gt;&lt;li&gt;&lt;a href=|http://biblebrowser.com/psalms/49-1.htm| title=|Split View| target=|_top|&gt;Split&lt;/a&gt;</v>
      </c>
      <c r="AU527" s="2" t="s">
        <v>1276</v>
      </c>
      <c r="AV527" t="s">
        <v>64</v>
      </c>
    </row>
    <row r="528" spans="1:48">
      <c r="A528" t="s">
        <v>622</v>
      </c>
      <c r="B528" t="s">
        <v>766</v>
      </c>
      <c r="C528" t="s">
        <v>624</v>
      </c>
      <c r="D528" t="s">
        <v>1268</v>
      </c>
      <c r="E528" t="s">
        <v>1277</v>
      </c>
      <c r="F528" t="s">
        <v>1304</v>
      </c>
      <c r="G528" t="s">
        <v>1266</v>
      </c>
      <c r="H528" t="s">
        <v>1305</v>
      </c>
      <c r="I528" t="s">
        <v>1303</v>
      </c>
      <c r="J528" t="s">
        <v>1267</v>
      </c>
      <c r="K528" t="s">
        <v>1275</v>
      </c>
      <c r="L528" s="2" t="s">
        <v>1274</v>
      </c>
      <c r="M528" t="str">
        <f t="shared" ref="M528:AB528" si="2108">CONCATENATE("&lt;/li&gt;&lt;li&gt;&lt;a href=|http://",M1191,"/psalms/50.htm","| ","title=|",M1190,"| target=|_top|&gt;",M1192,"&lt;/a&gt;")</f>
        <v>&lt;/li&gt;&lt;li&gt;&lt;a href=|http://niv.scripturetext.com/psalms/50.htm| title=|New International Version| target=|_top|&gt;NIV&lt;/a&gt;</v>
      </c>
      <c r="N528" t="str">
        <f t="shared" si="2108"/>
        <v>&lt;/li&gt;&lt;li&gt;&lt;a href=|http://nlt.scripturetext.com/psalms/50.htm| title=|New Living Translation| target=|_top|&gt;NLT&lt;/a&gt;</v>
      </c>
      <c r="O528" t="str">
        <f t="shared" si="2108"/>
        <v>&lt;/li&gt;&lt;li&gt;&lt;a href=|http://nasb.scripturetext.com/psalms/50.htm| title=|New American Standard Bible| target=|_top|&gt;NAS&lt;/a&gt;</v>
      </c>
      <c r="P528" t="str">
        <f t="shared" si="2108"/>
        <v>&lt;/li&gt;&lt;li&gt;&lt;a href=|http://gwt.scripturetext.com/psalms/50.htm| title=|God's Word Translation| target=|_top|&gt;GWT&lt;/a&gt;</v>
      </c>
      <c r="Q528" t="str">
        <f t="shared" si="2108"/>
        <v>&lt;/li&gt;&lt;li&gt;&lt;a href=|http://kingjbible.com/psalms/50.htm| title=|King James Bible| target=|_top|&gt;KJV&lt;/a&gt;</v>
      </c>
      <c r="R528" t="str">
        <f t="shared" si="2108"/>
        <v>&lt;/li&gt;&lt;li&gt;&lt;a href=|http://asvbible.com/psalms/50.htm| title=|American Standard Version| target=|_top|&gt;ASV&lt;/a&gt;</v>
      </c>
      <c r="S528" t="str">
        <f t="shared" si="2108"/>
        <v>&lt;/li&gt;&lt;li&gt;&lt;a href=|http://drb.scripturetext.com/psalms/50.htm| title=|Douay-Rheims Bible| target=|_top|&gt;DRB&lt;/a&gt;</v>
      </c>
      <c r="T528" t="str">
        <f t="shared" si="2108"/>
        <v>&lt;/li&gt;&lt;li&gt;&lt;a href=|http://erv.scripturetext.com/psalms/50.htm| title=|English Revised Version| target=|_top|&gt;ERV&lt;/a&gt;</v>
      </c>
      <c r="V528" t="str">
        <f>CONCATENATE("&lt;/li&gt;&lt;li&gt;&lt;a href=|http://",V1191,"/psalms/50.htm","| ","title=|",V1190,"| target=|_top|&gt;",V1192,"&lt;/a&gt;")</f>
        <v>&lt;/li&gt;&lt;li&gt;&lt;a href=|http://study.interlinearbible.org/psalms/50.htm| title=|Hebrew Study Bible| target=|_top|&gt;Heb Study&lt;/a&gt;</v>
      </c>
      <c r="W528" t="str">
        <f t="shared" si="2108"/>
        <v>&lt;/li&gt;&lt;li&gt;&lt;a href=|http://apostolic.interlinearbible.org/psalms/50.htm| title=|Apostolic Bible Polyglot Interlinear| target=|_top|&gt;Polyglot&lt;/a&gt;</v>
      </c>
      <c r="X528" t="str">
        <f t="shared" si="2108"/>
        <v>&lt;/li&gt;&lt;li&gt;&lt;a href=|http://interlinearbible.org/psalms/50.htm| title=|Interlinear Bible| target=|_top|&gt;Interlin&lt;/a&gt;</v>
      </c>
      <c r="Y528" t="str">
        <f t="shared" ref="Y528" si="2109">CONCATENATE("&lt;/li&gt;&lt;li&gt;&lt;a href=|http://",Y1191,"/psalms/50.htm","| ","title=|",Y1190,"| target=|_top|&gt;",Y1192,"&lt;/a&gt;")</f>
        <v>&lt;/li&gt;&lt;li&gt;&lt;a href=|http://bibleoutline.org/psalms/50.htm| title=|Outline with People and Places List| target=|_top|&gt;Outline&lt;/a&gt;</v>
      </c>
      <c r="Z528" t="str">
        <f t="shared" si="2108"/>
        <v>&lt;/li&gt;&lt;li&gt;&lt;a href=|http://kjvs.scripturetext.com/psalms/50.htm| title=|King James Bible with Strong's Numbers| target=|_top|&gt;Strong's&lt;/a&gt;</v>
      </c>
      <c r="AA528" t="str">
        <f t="shared" si="2108"/>
        <v>&lt;/li&gt;&lt;li&gt;&lt;a href=|http://childrensbibleonline.com/psalms/50.htm| title=|The Children's Bible| target=|_top|&gt;Children's&lt;/a&gt;</v>
      </c>
      <c r="AB528" s="2" t="str">
        <f t="shared" si="2108"/>
        <v>&lt;/li&gt;&lt;li&gt;&lt;a href=|http://tsk.scripturetext.com/psalms/50.htm| title=|Treasury of Scripture Knowledge| target=|_top|&gt;TSK&lt;/a&gt;</v>
      </c>
      <c r="AC528" t="str">
        <f>CONCATENATE("&lt;a href=|http://",AC1191,"/psalms/50.htm","| ","title=|",AC1190,"| target=|_top|&gt;",AC1192,"&lt;/a&gt;")</f>
        <v>&lt;a href=|http://parallelbible.com/psalms/50.htm| title=|Parallel Chapters| target=|_top|&gt;PAR&lt;/a&gt;</v>
      </c>
      <c r="AD528" s="2" t="str">
        <f t="shared" ref="AD528:AK528" si="2110">CONCATENATE("&lt;/li&gt;&lt;li&gt;&lt;a href=|http://",AD1191,"/psalms/50.htm","| ","title=|",AD1190,"| target=|_top|&gt;",AD1192,"&lt;/a&gt;")</f>
        <v>&lt;/li&gt;&lt;li&gt;&lt;a href=|http://gsb.biblecommenter.com/psalms/50.htm| title=|Geneva Study Bible| target=|_top|&gt;GSB&lt;/a&gt;</v>
      </c>
      <c r="AE528" s="2" t="str">
        <f t="shared" si="2110"/>
        <v>&lt;/li&gt;&lt;li&gt;&lt;a href=|http://jfb.biblecommenter.com/psalms/50.htm| title=|Jamieson-Fausset-Brown Bible Commentary| target=|_top|&gt;JFB&lt;/a&gt;</v>
      </c>
      <c r="AF528" s="2" t="str">
        <f t="shared" si="2110"/>
        <v>&lt;/li&gt;&lt;li&gt;&lt;a href=|http://kjt.biblecommenter.com/psalms/50.htm| title=|King James Translators' Notes| target=|_top|&gt;KJT&lt;/a&gt;</v>
      </c>
      <c r="AG528" s="2" t="str">
        <f t="shared" si="2110"/>
        <v>&lt;/li&gt;&lt;li&gt;&lt;a href=|http://mhc.biblecommenter.com/psalms/50.htm| title=|Matthew Henry's Concise Commentary| target=|_top|&gt;MHC&lt;/a&gt;</v>
      </c>
      <c r="AH528" s="2" t="str">
        <f t="shared" si="2110"/>
        <v>&lt;/li&gt;&lt;li&gt;&lt;a href=|http://sco.biblecommenter.com/psalms/50.htm| title=|Scofield Reference Notes| target=|_top|&gt;SCO&lt;/a&gt;</v>
      </c>
      <c r="AI528" s="2" t="str">
        <f t="shared" si="2110"/>
        <v>&lt;/li&gt;&lt;li&gt;&lt;a href=|http://wes.biblecommenter.com/psalms/50.htm| title=|Wesley's Notes on the Bible| target=|_top|&gt;WES&lt;/a&gt;</v>
      </c>
      <c r="AJ528" t="str">
        <f t="shared" si="2110"/>
        <v>&lt;/li&gt;&lt;li&gt;&lt;a href=|http://worldebible.com/psalms/50.htm| title=|World English Bible| target=|_top|&gt;WEB&lt;/a&gt;</v>
      </c>
      <c r="AK528" t="str">
        <f t="shared" si="2110"/>
        <v>&lt;/li&gt;&lt;li&gt;&lt;a href=|http://yltbible.com/psalms/50.htm| title=|Young's Literal Translation| target=|_top|&gt;YLT&lt;/a&gt;</v>
      </c>
      <c r="AL528" t="str">
        <f>CONCATENATE("&lt;a href=|http://",AL1191,"/psalms/50.htm","| ","title=|",AL1190,"| target=|_top|&gt;",AL1192,"&lt;/a&gt;")</f>
        <v>&lt;a href=|http://kjv.us/psalms/50.htm| title=|American King James Version| target=|_top|&gt;AKJ&lt;/a&gt;</v>
      </c>
      <c r="AM528" t="str">
        <f t="shared" ref="AM528:AN528" si="2111">CONCATENATE("&lt;/li&gt;&lt;li&gt;&lt;a href=|http://",AM1191,"/psalms/50.htm","| ","title=|",AM1190,"| target=|_top|&gt;",AM1192,"&lt;/a&gt;")</f>
        <v>&lt;/li&gt;&lt;li&gt;&lt;a href=|http://basicenglishbible.com/psalms/50.htm| title=|Bible in Basic English| target=|_top|&gt;BBE&lt;/a&gt;</v>
      </c>
      <c r="AN528" t="str">
        <f t="shared" si="2111"/>
        <v>&lt;/li&gt;&lt;li&gt;&lt;a href=|http://darbybible.com/psalms/50.htm| title=|Darby Bible Translation| target=|_top|&gt;DBY&lt;/a&gt;</v>
      </c>
      <c r="AO52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2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2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28" t="str">
        <f>CONCATENATE("&lt;/li&gt;&lt;li&gt;&lt;a href=|http://",AR1191,"/psalms/50.htm","| ","title=|",AR1190,"| target=|_top|&gt;",AR1192,"&lt;/a&gt;")</f>
        <v>&lt;/li&gt;&lt;li&gt;&lt;a href=|http://websterbible.com/psalms/50.htm| title=|Webster's Bible Translation| target=|_top|&gt;WBS&lt;/a&gt;</v>
      </c>
      <c r="AS52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28" t="str">
        <f>CONCATENATE("&lt;/li&gt;&lt;li&gt;&lt;a href=|http://",AT1191,"/psalms/50-1.htm","| ","title=|",AT1190,"| target=|_top|&gt;",AT1192,"&lt;/a&gt;")</f>
        <v>&lt;/li&gt;&lt;li&gt;&lt;a href=|http://biblebrowser.com/psalms/50-1.htm| title=|Split View| target=|_top|&gt;Split&lt;/a&gt;</v>
      </c>
      <c r="AU528" s="2" t="s">
        <v>1276</v>
      </c>
      <c r="AV528" t="s">
        <v>64</v>
      </c>
    </row>
    <row r="529" spans="1:48">
      <c r="A529" t="s">
        <v>622</v>
      </c>
      <c r="B529" t="s">
        <v>767</v>
      </c>
      <c r="C529" t="s">
        <v>624</v>
      </c>
      <c r="D529" t="s">
        <v>1268</v>
      </c>
      <c r="E529" t="s">
        <v>1277</v>
      </c>
      <c r="F529" t="s">
        <v>1304</v>
      </c>
      <c r="G529" t="s">
        <v>1266</v>
      </c>
      <c r="H529" t="s">
        <v>1305</v>
      </c>
      <c r="I529" t="s">
        <v>1303</v>
      </c>
      <c r="J529" t="s">
        <v>1267</v>
      </c>
      <c r="K529" t="s">
        <v>1275</v>
      </c>
      <c r="L529" s="2" t="s">
        <v>1274</v>
      </c>
      <c r="M529" t="str">
        <f t="shared" ref="M529:AB529" si="2112">CONCATENATE("&lt;/li&gt;&lt;li&gt;&lt;a href=|http://",M1191,"/psalms/51.htm","| ","title=|",M1190,"| target=|_top|&gt;",M1192,"&lt;/a&gt;")</f>
        <v>&lt;/li&gt;&lt;li&gt;&lt;a href=|http://niv.scripturetext.com/psalms/51.htm| title=|New International Version| target=|_top|&gt;NIV&lt;/a&gt;</v>
      </c>
      <c r="N529" t="str">
        <f t="shared" si="2112"/>
        <v>&lt;/li&gt;&lt;li&gt;&lt;a href=|http://nlt.scripturetext.com/psalms/51.htm| title=|New Living Translation| target=|_top|&gt;NLT&lt;/a&gt;</v>
      </c>
      <c r="O529" t="str">
        <f t="shared" si="2112"/>
        <v>&lt;/li&gt;&lt;li&gt;&lt;a href=|http://nasb.scripturetext.com/psalms/51.htm| title=|New American Standard Bible| target=|_top|&gt;NAS&lt;/a&gt;</v>
      </c>
      <c r="P529" t="str">
        <f t="shared" si="2112"/>
        <v>&lt;/li&gt;&lt;li&gt;&lt;a href=|http://gwt.scripturetext.com/psalms/51.htm| title=|God's Word Translation| target=|_top|&gt;GWT&lt;/a&gt;</v>
      </c>
      <c r="Q529" t="str">
        <f t="shared" si="2112"/>
        <v>&lt;/li&gt;&lt;li&gt;&lt;a href=|http://kingjbible.com/psalms/51.htm| title=|King James Bible| target=|_top|&gt;KJV&lt;/a&gt;</v>
      </c>
      <c r="R529" t="str">
        <f t="shared" si="2112"/>
        <v>&lt;/li&gt;&lt;li&gt;&lt;a href=|http://asvbible.com/psalms/51.htm| title=|American Standard Version| target=|_top|&gt;ASV&lt;/a&gt;</v>
      </c>
      <c r="S529" t="str">
        <f t="shared" si="2112"/>
        <v>&lt;/li&gt;&lt;li&gt;&lt;a href=|http://drb.scripturetext.com/psalms/51.htm| title=|Douay-Rheims Bible| target=|_top|&gt;DRB&lt;/a&gt;</v>
      </c>
      <c r="T529" t="str">
        <f t="shared" si="2112"/>
        <v>&lt;/li&gt;&lt;li&gt;&lt;a href=|http://erv.scripturetext.com/psalms/51.htm| title=|English Revised Version| target=|_top|&gt;ERV&lt;/a&gt;</v>
      </c>
      <c r="V529" t="str">
        <f>CONCATENATE("&lt;/li&gt;&lt;li&gt;&lt;a href=|http://",V1191,"/psalms/51.htm","| ","title=|",V1190,"| target=|_top|&gt;",V1192,"&lt;/a&gt;")</f>
        <v>&lt;/li&gt;&lt;li&gt;&lt;a href=|http://study.interlinearbible.org/psalms/51.htm| title=|Hebrew Study Bible| target=|_top|&gt;Heb Study&lt;/a&gt;</v>
      </c>
      <c r="W529" t="str">
        <f t="shared" si="2112"/>
        <v>&lt;/li&gt;&lt;li&gt;&lt;a href=|http://apostolic.interlinearbible.org/psalms/51.htm| title=|Apostolic Bible Polyglot Interlinear| target=|_top|&gt;Polyglot&lt;/a&gt;</v>
      </c>
      <c r="X529" t="str">
        <f t="shared" si="2112"/>
        <v>&lt;/li&gt;&lt;li&gt;&lt;a href=|http://interlinearbible.org/psalms/51.htm| title=|Interlinear Bible| target=|_top|&gt;Interlin&lt;/a&gt;</v>
      </c>
      <c r="Y529" t="str">
        <f t="shared" ref="Y529" si="2113">CONCATENATE("&lt;/li&gt;&lt;li&gt;&lt;a href=|http://",Y1191,"/psalms/51.htm","| ","title=|",Y1190,"| target=|_top|&gt;",Y1192,"&lt;/a&gt;")</f>
        <v>&lt;/li&gt;&lt;li&gt;&lt;a href=|http://bibleoutline.org/psalms/51.htm| title=|Outline with People and Places List| target=|_top|&gt;Outline&lt;/a&gt;</v>
      </c>
      <c r="Z529" t="str">
        <f t="shared" si="2112"/>
        <v>&lt;/li&gt;&lt;li&gt;&lt;a href=|http://kjvs.scripturetext.com/psalms/51.htm| title=|King James Bible with Strong's Numbers| target=|_top|&gt;Strong's&lt;/a&gt;</v>
      </c>
      <c r="AA529" t="str">
        <f t="shared" si="2112"/>
        <v>&lt;/li&gt;&lt;li&gt;&lt;a href=|http://childrensbibleonline.com/psalms/51.htm| title=|The Children's Bible| target=|_top|&gt;Children's&lt;/a&gt;</v>
      </c>
      <c r="AB529" s="2" t="str">
        <f t="shared" si="2112"/>
        <v>&lt;/li&gt;&lt;li&gt;&lt;a href=|http://tsk.scripturetext.com/psalms/51.htm| title=|Treasury of Scripture Knowledge| target=|_top|&gt;TSK&lt;/a&gt;</v>
      </c>
      <c r="AC529" t="str">
        <f>CONCATENATE("&lt;a href=|http://",AC1191,"/psalms/51.htm","| ","title=|",AC1190,"| target=|_top|&gt;",AC1192,"&lt;/a&gt;")</f>
        <v>&lt;a href=|http://parallelbible.com/psalms/51.htm| title=|Parallel Chapters| target=|_top|&gt;PAR&lt;/a&gt;</v>
      </c>
      <c r="AD529" s="2" t="str">
        <f t="shared" ref="AD529:AK529" si="2114">CONCATENATE("&lt;/li&gt;&lt;li&gt;&lt;a href=|http://",AD1191,"/psalms/51.htm","| ","title=|",AD1190,"| target=|_top|&gt;",AD1192,"&lt;/a&gt;")</f>
        <v>&lt;/li&gt;&lt;li&gt;&lt;a href=|http://gsb.biblecommenter.com/psalms/51.htm| title=|Geneva Study Bible| target=|_top|&gt;GSB&lt;/a&gt;</v>
      </c>
      <c r="AE529" s="2" t="str">
        <f t="shared" si="2114"/>
        <v>&lt;/li&gt;&lt;li&gt;&lt;a href=|http://jfb.biblecommenter.com/psalms/51.htm| title=|Jamieson-Fausset-Brown Bible Commentary| target=|_top|&gt;JFB&lt;/a&gt;</v>
      </c>
      <c r="AF529" s="2" t="str">
        <f t="shared" si="2114"/>
        <v>&lt;/li&gt;&lt;li&gt;&lt;a href=|http://kjt.biblecommenter.com/psalms/51.htm| title=|King James Translators' Notes| target=|_top|&gt;KJT&lt;/a&gt;</v>
      </c>
      <c r="AG529" s="2" t="str">
        <f t="shared" si="2114"/>
        <v>&lt;/li&gt;&lt;li&gt;&lt;a href=|http://mhc.biblecommenter.com/psalms/51.htm| title=|Matthew Henry's Concise Commentary| target=|_top|&gt;MHC&lt;/a&gt;</v>
      </c>
      <c r="AH529" s="2" t="str">
        <f t="shared" si="2114"/>
        <v>&lt;/li&gt;&lt;li&gt;&lt;a href=|http://sco.biblecommenter.com/psalms/51.htm| title=|Scofield Reference Notes| target=|_top|&gt;SCO&lt;/a&gt;</v>
      </c>
      <c r="AI529" s="2" t="str">
        <f t="shared" si="2114"/>
        <v>&lt;/li&gt;&lt;li&gt;&lt;a href=|http://wes.biblecommenter.com/psalms/51.htm| title=|Wesley's Notes on the Bible| target=|_top|&gt;WES&lt;/a&gt;</v>
      </c>
      <c r="AJ529" t="str">
        <f t="shared" si="2114"/>
        <v>&lt;/li&gt;&lt;li&gt;&lt;a href=|http://worldebible.com/psalms/51.htm| title=|World English Bible| target=|_top|&gt;WEB&lt;/a&gt;</v>
      </c>
      <c r="AK529" t="str">
        <f t="shared" si="2114"/>
        <v>&lt;/li&gt;&lt;li&gt;&lt;a href=|http://yltbible.com/psalms/51.htm| title=|Young's Literal Translation| target=|_top|&gt;YLT&lt;/a&gt;</v>
      </c>
      <c r="AL529" t="str">
        <f>CONCATENATE("&lt;a href=|http://",AL1191,"/psalms/51.htm","| ","title=|",AL1190,"| target=|_top|&gt;",AL1192,"&lt;/a&gt;")</f>
        <v>&lt;a href=|http://kjv.us/psalms/51.htm| title=|American King James Version| target=|_top|&gt;AKJ&lt;/a&gt;</v>
      </c>
      <c r="AM529" t="str">
        <f t="shared" ref="AM529:AN529" si="2115">CONCATENATE("&lt;/li&gt;&lt;li&gt;&lt;a href=|http://",AM1191,"/psalms/51.htm","| ","title=|",AM1190,"| target=|_top|&gt;",AM1192,"&lt;/a&gt;")</f>
        <v>&lt;/li&gt;&lt;li&gt;&lt;a href=|http://basicenglishbible.com/psalms/51.htm| title=|Bible in Basic English| target=|_top|&gt;BBE&lt;/a&gt;</v>
      </c>
      <c r="AN529" t="str">
        <f t="shared" si="2115"/>
        <v>&lt;/li&gt;&lt;li&gt;&lt;a href=|http://darbybible.com/psalms/51.htm| title=|Darby Bible Translation| target=|_top|&gt;DBY&lt;/a&gt;</v>
      </c>
      <c r="AO52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2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2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29" t="str">
        <f>CONCATENATE("&lt;/li&gt;&lt;li&gt;&lt;a href=|http://",AR1191,"/psalms/51.htm","| ","title=|",AR1190,"| target=|_top|&gt;",AR1192,"&lt;/a&gt;")</f>
        <v>&lt;/li&gt;&lt;li&gt;&lt;a href=|http://websterbible.com/psalms/51.htm| title=|Webster's Bible Translation| target=|_top|&gt;WBS&lt;/a&gt;</v>
      </c>
      <c r="AS52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29" t="str">
        <f>CONCATENATE("&lt;/li&gt;&lt;li&gt;&lt;a href=|http://",AT1191,"/psalms/51-1.htm","| ","title=|",AT1190,"| target=|_top|&gt;",AT1192,"&lt;/a&gt;")</f>
        <v>&lt;/li&gt;&lt;li&gt;&lt;a href=|http://biblebrowser.com/psalms/51-1.htm| title=|Split View| target=|_top|&gt;Split&lt;/a&gt;</v>
      </c>
      <c r="AU529" s="2" t="s">
        <v>1276</v>
      </c>
      <c r="AV529" t="s">
        <v>64</v>
      </c>
    </row>
    <row r="530" spans="1:48">
      <c r="A530" t="s">
        <v>622</v>
      </c>
      <c r="B530" t="s">
        <v>768</v>
      </c>
      <c r="C530" t="s">
        <v>624</v>
      </c>
      <c r="D530" t="s">
        <v>1268</v>
      </c>
      <c r="E530" t="s">
        <v>1277</v>
      </c>
      <c r="F530" t="s">
        <v>1304</v>
      </c>
      <c r="G530" t="s">
        <v>1266</v>
      </c>
      <c r="H530" t="s">
        <v>1305</v>
      </c>
      <c r="I530" t="s">
        <v>1303</v>
      </c>
      <c r="J530" t="s">
        <v>1267</v>
      </c>
      <c r="K530" t="s">
        <v>1275</v>
      </c>
      <c r="L530" s="2" t="s">
        <v>1274</v>
      </c>
      <c r="M530" t="str">
        <f t="shared" ref="M530:AB530" si="2116">CONCATENATE("&lt;/li&gt;&lt;li&gt;&lt;a href=|http://",M1191,"/psalms/52.htm","| ","title=|",M1190,"| target=|_top|&gt;",M1192,"&lt;/a&gt;")</f>
        <v>&lt;/li&gt;&lt;li&gt;&lt;a href=|http://niv.scripturetext.com/psalms/52.htm| title=|New International Version| target=|_top|&gt;NIV&lt;/a&gt;</v>
      </c>
      <c r="N530" t="str">
        <f t="shared" si="2116"/>
        <v>&lt;/li&gt;&lt;li&gt;&lt;a href=|http://nlt.scripturetext.com/psalms/52.htm| title=|New Living Translation| target=|_top|&gt;NLT&lt;/a&gt;</v>
      </c>
      <c r="O530" t="str">
        <f t="shared" si="2116"/>
        <v>&lt;/li&gt;&lt;li&gt;&lt;a href=|http://nasb.scripturetext.com/psalms/52.htm| title=|New American Standard Bible| target=|_top|&gt;NAS&lt;/a&gt;</v>
      </c>
      <c r="P530" t="str">
        <f t="shared" si="2116"/>
        <v>&lt;/li&gt;&lt;li&gt;&lt;a href=|http://gwt.scripturetext.com/psalms/52.htm| title=|God's Word Translation| target=|_top|&gt;GWT&lt;/a&gt;</v>
      </c>
      <c r="Q530" t="str">
        <f t="shared" si="2116"/>
        <v>&lt;/li&gt;&lt;li&gt;&lt;a href=|http://kingjbible.com/psalms/52.htm| title=|King James Bible| target=|_top|&gt;KJV&lt;/a&gt;</v>
      </c>
      <c r="R530" t="str">
        <f t="shared" si="2116"/>
        <v>&lt;/li&gt;&lt;li&gt;&lt;a href=|http://asvbible.com/psalms/52.htm| title=|American Standard Version| target=|_top|&gt;ASV&lt;/a&gt;</v>
      </c>
      <c r="S530" t="str">
        <f t="shared" si="2116"/>
        <v>&lt;/li&gt;&lt;li&gt;&lt;a href=|http://drb.scripturetext.com/psalms/52.htm| title=|Douay-Rheims Bible| target=|_top|&gt;DRB&lt;/a&gt;</v>
      </c>
      <c r="T530" t="str">
        <f t="shared" si="2116"/>
        <v>&lt;/li&gt;&lt;li&gt;&lt;a href=|http://erv.scripturetext.com/psalms/52.htm| title=|English Revised Version| target=|_top|&gt;ERV&lt;/a&gt;</v>
      </c>
      <c r="V530" t="str">
        <f>CONCATENATE("&lt;/li&gt;&lt;li&gt;&lt;a href=|http://",V1191,"/psalms/52.htm","| ","title=|",V1190,"| target=|_top|&gt;",V1192,"&lt;/a&gt;")</f>
        <v>&lt;/li&gt;&lt;li&gt;&lt;a href=|http://study.interlinearbible.org/psalms/52.htm| title=|Hebrew Study Bible| target=|_top|&gt;Heb Study&lt;/a&gt;</v>
      </c>
      <c r="W530" t="str">
        <f t="shared" si="2116"/>
        <v>&lt;/li&gt;&lt;li&gt;&lt;a href=|http://apostolic.interlinearbible.org/psalms/52.htm| title=|Apostolic Bible Polyglot Interlinear| target=|_top|&gt;Polyglot&lt;/a&gt;</v>
      </c>
      <c r="X530" t="str">
        <f t="shared" si="2116"/>
        <v>&lt;/li&gt;&lt;li&gt;&lt;a href=|http://interlinearbible.org/psalms/52.htm| title=|Interlinear Bible| target=|_top|&gt;Interlin&lt;/a&gt;</v>
      </c>
      <c r="Y530" t="str">
        <f t="shared" ref="Y530" si="2117">CONCATENATE("&lt;/li&gt;&lt;li&gt;&lt;a href=|http://",Y1191,"/psalms/52.htm","| ","title=|",Y1190,"| target=|_top|&gt;",Y1192,"&lt;/a&gt;")</f>
        <v>&lt;/li&gt;&lt;li&gt;&lt;a href=|http://bibleoutline.org/psalms/52.htm| title=|Outline with People and Places List| target=|_top|&gt;Outline&lt;/a&gt;</v>
      </c>
      <c r="Z530" t="str">
        <f t="shared" si="2116"/>
        <v>&lt;/li&gt;&lt;li&gt;&lt;a href=|http://kjvs.scripturetext.com/psalms/52.htm| title=|King James Bible with Strong's Numbers| target=|_top|&gt;Strong's&lt;/a&gt;</v>
      </c>
      <c r="AA530" t="str">
        <f t="shared" si="2116"/>
        <v>&lt;/li&gt;&lt;li&gt;&lt;a href=|http://childrensbibleonline.com/psalms/52.htm| title=|The Children's Bible| target=|_top|&gt;Children's&lt;/a&gt;</v>
      </c>
      <c r="AB530" s="2" t="str">
        <f t="shared" si="2116"/>
        <v>&lt;/li&gt;&lt;li&gt;&lt;a href=|http://tsk.scripturetext.com/psalms/52.htm| title=|Treasury of Scripture Knowledge| target=|_top|&gt;TSK&lt;/a&gt;</v>
      </c>
      <c r="AC530" t="str">
        <f>CONCATENATE("&lt;a href=|http://",AC1191,"/psalms/52.htm","| ","title=|",AC1190,"| target=|_top|&gt;",AC1192,"&lt;/a&gt;")</f>
        <v>&lt;a href=|http://parallelbible.com/psalms/52.htm| title=|Parallel Chapters| target=|_top|&gt;PAR&lt;/a&gt;</v>
      </c>
      <c r="AD530" s="2" t="str">
        <f t="shared" ref="AD530:AK530" si="2118">CONCATENATE("&lt;/li&gt;&lt;li&gt;&lt;a href=|http://",AD1191,"/psalms/52.htm","| ","title=|",AD1190,"| target=|_top|&gt;",AD1192,"&lt;/a&gt;")</f>
        <v>&lt;/li&gt;&lt;li&gt;&lt;a href=|http://gsb.biblecommenter.com/psalms/52.htm| title=|Geneva Study Bible| target=|_top|&gt;GSB&lt;/a&gt;</v>
      </c>
      <c r="AE530" s="2" t="str">
        <f t="shared" si="2118"/>
        <v>&lt;/li&gt;&lt;li&gt;&lt;a href=|http://jfb.biblecommenter.com/psalms/52.htm| title=|Jamieson-Fausset-Brown Bible Commentary| target=|_top|&gt;JFB&lt;/a&gt;</v>
      </c>
      <c r="AF530" s="2" t="str">
        <f t="shared" si="2118"/>
        <v>&lt;/li&gt;&lt;li&gt;&lt;a href=|http://kjt.biblecommenter.com/psalms/52.htm| title=|King James Translators' Notes| target=|_top|&gt;KJT&lt;/a&gt;</v>
      </c>
      <c r="AG530" s="2" t="str">
        <f t="shared" si="2118"/>
        <v>&lt;/li&gt;&lt;li&gt;&lt;a href=|http://mhc.biblecommenter.com/psalms/52.htm| title=|Matthew Henry's Concise Commentary| target=|_top|&gt;MHC&lt;/a&gt;</v>
      </c>
      <c r="AH530" s="2" t="str">
        <f t="shared" si="2118"/>
        <v>&lt;/li&gt;&lt;li&gt;&lt;a href=|http://sco.biblecommenter.com/psalms/52.htm| title=|Scofield Reference Notes| target=|_top|&gt;SCO&lt;/a&gt;</v>
      </c>
      <c r="AI530" s="2" t="str">
        <f t="shared" si="2118"/>
        <v>&lt;/li&gt;&lt;li&gt;&lt;a href=|http://wes.biblecommenter.com/psalms/52.htm| title=|Wesley's Notes on the Bible| target=|_top|&gt;WES&lt;/a&gt;</v>
      </c>
      <c r="AJ530" t="str">
        <f t="shared" si="2118"/>
        <v>&lt;/li&gt;&lt;li&gt;&lt;a href=|http://worldebible.com/psalms/52.htm| title=|World English Bible| target=|_top|&gt;WEB&lt;/a&gt;</v>
      </c>
      <c r="AK530" t="str">
        <f t="shared" si="2118"/>
        <v>&lt;/li&gt;&lt;li&gt;&lt;a href=|http://yltbible.com/psalms/52.htm| title=|Young's Literal Translation| target=|_top|&gt;YLT&lt;/a&gt;</v>
      </c>
      <c r="AL530" t="str">
        <f>CONCATENATE("&lt;a href=|http://",AL1191,"/psalms/52.htm","| ","title=|",AL1190,"| target=|_top|&gt;",AL1192,"&lt;/a&gt;")</f>
        <v>&lt;a href=|http://kjv.us/psalms/52.htm| title=|American King James Version| target=|_top|&gt;AKJ&lt;/a&gt;</v>
      </c>
      <c r="AM530" t="str">
        <f t="shared" ref="AM530:AN530" si="2119">CONCATENATE("&lt;/li&gt;&lt;li&gt;&lt;a href=|http://",AM1191,"/psalms/52.htm","| ","title=|",AM1190,"| target=|_top|&gt;",AM1192,"&lt;/a&gt;")</f>
        <v>&lt;/li&gt;&lt;li&gt;&lt;a href=|http://basicenglishbible.com/psalms/52.htm| title=|Bible in Basic English| target=|_top|&gt;BBE&lt;/a&gt;</v>
      </c>
      <c r="AN530" t="str">
        <f t="shared" si="2119"/>
        <v>&lt;/li&gt;&lt;li&gt;&lt;a href=|http://darbybible.com/psalms/52.htm| title=|Darby Bible Translation| target=|_top|&gt;DBY&lt;/a&gt;</v>
      </c>
      <c r="AO53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3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3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30" t="str">
        <f>CONCATENATE("&lt;/li&gt;&lt;li&gt;&lt;a href=|http://",AR1191,"/psalms/52.htm","| ","title=|",AR1190,"| target=|_top|&gt;",AR1192,"&lt;/a&gt;")</f>
        <v>&lt;/li&gt;&lt;li&gt;&lt;a href=|http://websterbible.com/psalms/52.htm| title=|Webster's Bible Translation| target=|_top|&gt;WBS&lt;/a&gt;</v>
      </c>
      <c r="AS53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30" t="str">
        <f>CONCATENATE("&lt;/li&gt;&lt;li&gt;&lt;a href=|http://",AT1191,"/psalms/52-1.htm","| ","title=|",AT1190,"| target=|_top|&gt;",AT1192,"&lt;/a&gt;")</f>
        <v>&lt;/li&gt;&lt;li&gt;&lt;a href=|http://biblebrowser.com/psalms/52-1.htm| title=|Split View| target=|_top|&gt;Split&lt;/a&gt;</v>
      </c>
      <c r="AU530" s="2" t="s">
        <v>1276</v>
      </c>
      <c r="AV530" t="s">
        <v>64</v>
      </c>
    </row>
    <row r="531" spans="1:48">
      <c r="A531" t="s">
        <v>622</v>
      </c>
      <c r="B531" t="s">
        <v>769</v>
      </c>
      <c r="C531" t="s">
        <v>624</v>
      </c>
      <c r="D531" t="s">
        <v>1268</v>
      </c>
      <c r="E531" t="s">
        <v>1277</v>
      </c>
      <c r="F531" t="s">
        <v>1304</v>
      </c>
      <c r="G531" t="s">
        <v>1266</v>
      </c>
      <c r="H531" t="s">
        <v>1305</v>
      </c>
      <c r="I531" t="s">
        <v>1303</v>
      </c>
      <c r="J531" t="s">
        <v>1267</v>
      </c>
      <c r="K531" t="s">
        <v>1275</v>
      </c>
      <c r="L531" s="2" t="s">
        <v>1274</v>
      </c>
      <c r="M531" t="str">
        <f t="shared" ref="M531:AB531" si="2120">CONCATENATE("&lt;/li&gt;&lt;li&gt;&lt;a href=|http://",M1191,"/psalms/53.htm","| ","title=|",M1190,"| target=|_top|&gt;",M1192,"&lt;/a&gt;")</f>
        <v>&lt;/li&gt;&lt;li&gt;&lt;a href=|http://niv.scripturetext.com/psalms/53.htm| title=|New International Version| target=|_top|&gt;NIV&lt;/a&gt;</v>
      </c>
      <c r="N531" t="str">
        <f t="shared" si="2120"/>
        <v>&lt;/li&gt;&lt;li&gt;&lt;a href=|http://nlt.scripturetext.com/psalms/53.htm| title=|New Living Translation| target=|_top|&gt;NLT&lt;/a&gt;</v>
      </c>
      <c r="O531" t="str">
        <f t="shared" si="2120"/>
        <v>&lt;/li&gt;&lt;li&gt;&lt;a href=|http://nasb.scripturetext.com/psalms/53.htm| title=|New American Standard Bible| target=|_top|&gt;NAS&lt;/a&gt;</v>
      </c>
      <c r="P531" t="str">
        <f t="shared" si="2120"/>
        <v>&lt;/li&gt;&lt;li&gt;&lt;a href=|http://gwt.scripturetext.com/psalms/53.htm| title=|God's Word Translation| target=|_top|&gt;GWT&lt;/a&gt;</v>
      </c>
      <c r="Q531" t="str">
        <f t="shared" si="2120"/>
        <v>&lt;/li&gt;&lt;li&gt;&lt;a href=|http://kingjbible.com/psalms/53.htm| title=|King James Bible| target=|_top|&gt;KJV&lt;/a&gt;</v>
      </c>
      <c r="R531" t="str">
        <f t="shared" si="2120"/>
        <v>&lt;/li&gt;&lt;li&gt;&lt;a href=|http://asvbible.com/psalms/53.htm| title=|American Standard Version| target=|_top|&gt;ASV&lt;/a&gt;</v>
      </c>
      <c r="S531" t="str">
        <f t="shared" si="2120"/>
        <v>&lt;/li&gt;&lt;li&gt;&lt;a href=|http://drb.scripturetext.com/psalms/53.htm| title=|Douay-Rheims Bible| target=|_top|&gt;DRB&lt;/a&gt;</v>
      </c>
      <c r="T531" t="str">
        <f t="shared" si="2120"/>
        <v>&lt;/li&gt;&lt;li&gt;&lt;a href=|http://erv.scripturetext.com/psalms/53.htm| title=|English Revised Version| target=|_top|&gt;ERV&lt;/a&gt;</v>
      </c>
      <c r="V531" t="str">
        <f>CONCATENATE("&lt;/li&gt;&lt;li&gt;&lt;a href=|http://",V1191,"/psalms/53.htm","| ","title=|",V1190,"| target=|_top|&gt;",V1192,"&lt;/a&gt;")</f>
        <v>&lt;/li&gt;&lt;li&gt;&lt;a href=|http://study.interlinearbible.org/psalms/53.htm| title=|Hebrew Study Bible| target=|_top|&gt;Heb Study&lt;/a&gt;</v>
      </c>
      <c r="W531" t="str">
        <f t="shared" si="2120"/>
        <v>&lt;/li&gt;&lt;li&gt;&lt;a href=|http://apostolic.interlinearbible.org/psalms/53.htm| title=|Apostolic Bible Polyglot Interlinear| target=|_top|&gt;Polyglot&lt;/a&gt;</v>
      </c>
      <c r="X531" t="str">
        <f t="shared" si="2120"/>
        <v>&lt;/li&gt;&lt;li&gt;&lt;a href=|http://interlinearbible.org/psalms/53.htm| title=|Interlinear Bible| target=|_top|&gt;Interlin&lt;/a&gt;</v>
      </c>
      <c r="Y531" t="str">
        <f t="shared" ref="Y531" si="2121">CONCATENATE("&lt;/li&gt;&lt;li&gt;&lt;a href=|http://",Y1191,"/psalms/53.htm","| ","title=|",Y1190,"| target=|_top|&gt;",Y1192,"&lt;/a&gt;")</f>
        <v>&lt;/li&gt;&lt;li&gt;&lt;a href=|http://bibleoutline.org/psalms/53.htm| title=|Outline with People and Places List| target=|_top|&gt;Outline&lt;/a&gt;</v>
      </c>
      <c r="Z531" t="str">
        <f t="shared" si="2120"/>
        <v>&lt;/li&gt;&lt;li&gt;&lt;a href=|http://kjvs.scripturetext.com/psalms/53.htm| title=|King James Bible with Strong's Numbers| target=|_top|&gt;Strong's&lt;/a&gt;</v>
      </c>
      <c r="AA531" t="str">
        <f t="shared" si="2120"/>
        <v>&lt;/li&gt;&lt;li&gt;&lt;a href=|http://childrensbibleonline.com/psalms/53.htm| title=|The Children's Bible| target=|_top|&gt;Children's&lt;/a&gt;</v>
      </c>
      <c r="AB531" s="2" t="str">
        <f t="shared" si="2120"/>
        <v>&lt;/li&gt;&lt;li&gt;&lt;a href=|http://tsk.scripturetext.com/psalms/53.htm| title=|Treasury of Scripture Knowledge| target=|_top|&gt;TSK&lt;/a&gt;</v>
      </c>
      <c r="AC531" t="str">
        <f>CONCATENATE("&lt;a href=|http://",AC1191,"/psalms/53.htm","| ","title=|",AC1190,"| target=|_top|&gt;",AC1192,"&lt;/a&gt;")</f>
        <v>&lt;a href=|http://parallelbible.com/psalms/53.htm| title=|Parallel Chapters| target=|_top|&gt;PAR&lt;/a&gt;</v>
      </c>
      <c r="AD531" s="2" t="str">
        <f t="shared" ref="AD531:AK531" si="2122">CONCATENATE("&lt;/li&gt;&lt;li&gt;&lt;a href=|http://",AD1191,"/psalms/53.htm","| ","title=|",AD1190,"| target=|_top|&gt;",AD1192,"&lt;/a&gt;")</f>
        <v>&lt;/li&gt;&lt;li&gt;&lt;a href=|http://gsb.biblecommenter.com/psalms/53.htm| title=|Geneva Study Bible| target=|_top|&gt;GSB&lt;/a&gt;</v>
      </c>
      <c r="AE531" s="2" t="str">
        <f t="shared" si="2122"/>
        <v>&lt;/li&gt;&lt;li&gt;&lt;a href=|http://jfb.biblecommenter.com/psalms/53.htm| title=|Jamieson-Fausset-Brown Bible Commentary| target=|_top|&gt;JFB&lt;/a&gt;</v>
      </c>
      <c r="AF531" s="2" t="str">
        <f t="shared" si="2122"/>
        <v>&lt;/li&gt;&lt;li&gt;&lt;a href=|http://kjt.biblecommenter.com/psalms/53.htm| title=|King James Translators' Notes| target=|_top|&gt;KJT&lt;/a&gt;</v>
      </c>
      <c r="AG531" s="2" t="str">
        <f t="shared" si="2122"/>
        <v>&lt;/li&gt;&lt;li&gt;&lt;a href=|http://mhc.biblecommenter.com/psalms/53.htm| title=|Matthew Henry's Concise Commentary| target=|_top|&gt;MHC&lt;/a&gt;</v>
      </c>
      <c r="AH531" s="2" t="str">
        <f t="shared" si="2122"/>
        <v>&lt;/li&gt;&lt;li&gt;&lt;a href=|http://sco.biblecommenter.com/psalms/53.htm| title=|Scofield Reference Notes| target=|_top|&gt;SCO&lt;/a&gt;</v>
      </c>
      <c r="AI531" s="2" t="str">
        <f t="shared" si="2122"/>
        <v>&lt;/li&gt;&lt;li&gt;&lt;a href=|http://wes.biblecommenter.com/psalms/53.htm| title=|Wesley's Notes on the Bible| target=|_top|&gt;WES&lt;/a&gt;</v>
      </c>
      <c r="AJ531" t="str">
        <f t="shared" si="2122"/>
        <v>&lt;/li&gt;&lt;li&gt;&lt;a href=|http://worldebible.com/psalms/53.htm| title=|World English Bible| target=|_top|&gt;WEB&lt;/a&gt;</v>
      </c>
      <c r="AK531" t="str">
        <f t="shared" si="2122"/>
        <v>&lt;/li&gt;&lt;li&gt;&lt;a href=|http://yltbible.com/psalms/53.htm| title=|Young's Literal Translation| target=|_top|&gt;YLT&lt;/a&gt;</v>
      </c>
      <c r="AL531" t="str">
        <f>CONCATENATE("&lt;a href=|http://",AL1191,"/psalms/53.htm","| ","title=|",AL1190,"| target=|_top|&gt;",AL1192,"&lt;/a&gt;")</f>
        <v>&lt;a href=|http://kjv.us/psalms/53.htm| title=|American King James Version| target=|_top|&gt;AKJ&lt;/a&gt;</v>
      </c>
      <c r="AM531" t="str">
        <f t="shared" ref="AM531:AN531" si="2123">CONCATENATE("&lt;/li&gt;&lt;li&gt;&lt;a href=|http://",AM1191,"/psalms/53.htm","| ","title=|",AM1190,"| target=|_top|&gt;",AM1192,"&lt;/a&gt;")</f>
        <v>&lt;/li&gt;&lt;li&gt;&lt;a href=|http://basicenglishbible.com/psalms/53.htm| title=|Bible in Basic English| target=|_top|&gt;BBE&lt;/a&gt;</v>
      </c>
      <c r="AN531" t="str">
        <f t="shared" si="2123"/>
        <v>&lt;/li&gt;&lt;li&gt;&lt;a href=|http://darbybible.com/psalms/53.htm| title=|Darby Bible Translation| target=|_top|&gt;DBY&lt;/a&gt;</v>
      </c>
      <c r="AO53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3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3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31" t="str">
        <f>CONCATENATE("&lt;/li&gt;&lt;li&gt;&lt;a href=|http://",AR1191,"/psalms/53.htm","| ","title=|",AR1190,"| target=|_top|&gt;",AR1192,"&lt;/a&gt;")</f>
        <v>&lt;/li&gt;&lt;li&gt;&lt;a href=|http://websterbible.com/psalms/53.htm| title=|Webster's Bible Translation| target=|_top|&gt;WBS&lt;/a&gt;</v>
      </c>
      <c r="AS53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31" t="str">
        <f>CONCATENATE("&lt;/li&gt;&lt;li&gt;&lt;a href=|http://",AT1191,"/psalms/53-1.htm","| ","title=|",AT1190,"| target=|_top|&gt;",AT1192,"&lt;/a&gt;")</f>
        <v>&lt;/li&gt;&lt;li&gt;&lt;a href=|http://biblebrowser.com/psalms/53-1.htm| title=|Split View| target=|_top|&gt;Split&lt;/a&gt;</v>
      </c>
      <c r="AU531" s="2" t="s">
        <v>1276</v>
      </c>
      <c r="AV531" t="s">
        <v>64</v>
      </c>
    </row>
    <row r="532" spans="1:48">
      <c r="A532" t="s">
        <v>622</v>
      </c>
      <c r="B532" t="s">
        <v>770</v>
      </c>
      <c r="C532" t="s">
        <v>624</v>
      </c>
      <c r="D532" t="s">
        <v>1268</v>
      </c>
      <c r="E532" t="s">
        <v>1277</v>
      </c>
      <c r="F532" t="s">
        <v>1304</v>
      </c>
      <c r="G532" t="s">
        <v>1266</v>
      </c>
      <c r="H532" t="s">
        <v>1305</v>
      </c>
      <c r="I532" t="s">
        <v>1303</v>
      </c>
      <c r="J532" t="s">
        <v>1267</v>
      </c>
      <c r="K532" t="s">
        <v>1275</v>
      </c>
      <c r="L532" s="2" t="s">
        <v>1274</v>
      </c>
      <c r="M532" t="str">
        <f t="shared" ref="M532:AB532" si="2124">CONCATENATE("&lt;/li&gt;&lt;li&gt;&lt;a href=|http://",M1191,"/psalms/54.htm","| ","title=|",M1190,"| target=|_top|&gt;",M1192,"&lt;/a&gt;")</f>
        <v>&lt;/li&gt;&lt;li&gt;&lt;a href=|http://niv.scripturetext.com/psalms/54.htm| title=|New International Version| target=|_top|&gt;NIV&lt;/a&gt;</v>
      </c>
      <c r="N532" t="str">
        <f t="shared" si="2124"/>
        <v>&lt;/li&gt;&lt;li&gt;&lt;a href=|http://nlt.scripturetext.com/psalms/54.htm| title=|New Living Translation| target=|_top|&gt;NLT&lt;/a&gt;</v>
      </c>
      <c r="O532" t="str">
        <f t="shared" si="2124"/>
        <v>&lt;/li&gt;&lt;li&gt;&lt;a href=|http://nasb.scripturetext.com/psalms/54.htm| title=|New American Standard Bible| target=|_top|&gt;NAS&lt;/a&gt;</v>
      </c>
      <c r="P532" t="str">
        <f t="shared" si="2124"/>
        <v>&lt;/li&gt;&lt;li&gt;&lt;a href=|http://gwt.scripturetext.com/psalms/54.htm| title=|God's Word Translation| target=|_top|&gt;GWT&lt;/a&gt;</v>
      </c>
      <c r="Q532" t="str">
        <f t="shared" si="2124"/>
        <v>&lt;/li&gt;&lt;li&gt;&lt;a href=|http://kingjbible.com/psalms/54.htm| title=|King James Bible| target=|_top|&gt;KJV&lt;/a&gt;</v>
      </c>
      <c r="R532" t="str">
        <f t="shared" si="2124"/>
        <v>&lt;/li&gt;&lt;li&gt;&lt;a href=|http://asvbible.com/psalms/54.htm| title=|American Standard Version| target=|_top|&gt;ASV&lt;/a&gt;</v>
      </c>
      <c r="S532" t="str">
        <f t="shared" si="2124"/>
        <v>&lt;/li&gt;&lt;li&gt;&lt;a href=|http://drb.scripturetext.com/psalms/54.htm| title=|Douay-Rheims Bible| target=|_top|&gt;DRB&lt;/a&gt;</v>
      </c>
      <c r="T532" t="str">
        <f t="shared" si="2124"/>
        <v>&lt;/li&gt;&lt;li&gt;&lt;a href=|http://erv.scripturetext.com/psalms/54.htm| title=|English Revised Version| target=|_top|&gt;ERV&lt;/a&gt;</v>
      </c>
      <c r="V532" t="str">
        <f>CONCATENATE("&lt;/li&gt;&lt;li&gt;&lt;a href=|http://",V1191,"/psalms/54.htm","| ","title=|",V1190,"| target=|_top|&gt;",V1192,"&lt;/a&gt;")</f>
        <v>&lt;/li&gt;&lt;li&gt;&lt;a href=|http://study.interlinearbible.org/psalms/54.htm| title=|Hebrew Study Bible| target=|_top|&gt;Heb Study&lt;/a&gt;</v>
      </c>
      <c r="W532" t="str">
        <f t="shared" si="2124"/>
        <v>&lt;/li&gt;&lt;li&gt;&lt;a href=|http://apostolic.interlinearbible.org/psalms/54.htm| title=|Apostolic Bible Polyglot Interlinear| target=|_top|&gt;Polyglot&lt;/a&gt;</v>
      </c>
      <c r="X532" t="str">
        <f t="shared" si="2124"/>
        <v>&lt;/li&gt;&lt;li&gt;&lt;a href=|http://interlinearbible.org/psalms/54.htm| title=|Interlinear Bible| target=|_top|&gt;Interlin&lt;/a&gt;</v>
      </c>
      <c r="Y532" t="str">
        <f t="shared" ref="Y532" si="2125">CONCATENATE("&lt;/li&gt;&lt;li&gt;&lt;a href=|http://",Y1191,"/psalms/54.htm","| ","title=|",Y1190,"| target=|_top|&gt;",Y1192,"&lt;/a&gt;")</f>
        <v>&lt;/li&gt;&lt;li&gt;&lt;a href=|http://bibleoutline.org/psalms/54.htm| title=|Outline with People and Places List| target=|_top|&gt;Outline&lt;/a&gt;</v>
      </c>
      <c r="Z532" t="str">
        <f t="shared" si="2124"/>
        <v>&lt;/li&gt;&lt;li&gt;&lt;a href=|http://kjvs.scripturetext.com/psalms/54.htm| title=|King James Bible with Strong's Numbers| target=|_top|&gt;Strong's&lt;/a&gt;</v>
      </c>
      <c r="AA532" t="str">
        <f t="shared" si="2124"/>
        <v>&lt;/li&gt;&lt;li&gt;&lt;a href=|http://childrensbibleonline.com/psalms/54.htm| title=|The Children's Bible| target=|_top|&gt;Children's&lt;/a&gt;</v>
      </c>
      <c r="AB532" s="2" t="str">
        <f t="shared" si="2124"/>
        <v>&lt;/li&gt;&lt;li&gt;&lt;a href=|http://tsk.scripturetext.com/psalms/54.htm| title=|Treasury of Scripture Knowledge| target=|_top|&gt;TSK&lt;/a&gt;</v>
      </c>
      <c r="AC532" t="str">
        <f>CONCATENATE("&lt;a href=|http://",AC1191,"/psalms/54.htm","| ","title=|",AC1190,"| target=|_top|&gt;",AC1192,"&lt;/a&gt;")</f>
        <v>&lt;a href=|http://parallelbible.com/psalms/54.htm| title=|Parallel Chapters| target=|_top|&gt;PAR&lt;/a&gt;</v>
      </c>
      <c r="AD532" s="2" t="str">
        <f t="shared" ref="AD532:AK532" si="2126">CONCATENATE("&lt;/li&gt;&lt;li&gt;&lt;a href=|http://",AD1191,"/psalms/54.htm","| ","title=|",AD1190,"| target=|_top|&gt;",AD1192,"&lt;/a&gt;")</f>
        <v>&lt;/li&gt;&lt;li&gt;&lt;a href=|http://gsb.biblecommenter.com/psalms/54.htm| title=|Geneva Study Bible| target=|_top|&gt;GSB&lt;/a&gt;</v>
      </c>
      <c r="AE532" s="2" t="str">
        <f t="shared" si="2126"/>
        <v>&lt;/li&gt;&lt;li&gt;&lt;a href=|http://jfb.biblecommenter.com/psalms/54.htm| title=|Jamieson-Fausset-Brown Bible Commentary| target=|_top|&gt;JFB&lt;/a&gt;</v>
      </c>
      <c r="AF532" s="2" t="str">
        <f t="shared" si="2126"/>
        <v>&lt;/li&gt;&lt;li&gt;&lt;a href=|http://kjt.biblecommenter.com/psalms/54.htm| title=|King James Translators' Notes| target=|_top|&gt;KJT&lt;/a&gt;</v>
      </c>
      <c r="AG532" s="2" t="str">
        <f t="shared" si="2126"/>
        <v>&lt;/li&gt;&lt;li&gt;&lt;a href=|http://mhc.biblecommenter.com/psalms/54.htm| title=|Matthew Henry's Concise Commentary| target=|_top|&gt;MHC&lt;/a&gt;</v>
      </c>
      <c r="AH532" s="2" t="str">
        <f t="shared" si="2126"/>
        <v>&lt;/li&gt;&lt;li&gt;&lt;a href=|http://sco.biblecommenter.com/psalms/54.htm| title=|Scofield Reference Notes| target=|_top|&gt;SCO&lt;/a&gt;</v>
      </c>
      <c r="AI532" s="2" t="str">
        <f t="shared" si="2126"/>
        <v>&lt;/li&gt;&lt;li&gt;&lt;a href=|http://wes.biblecommenter.com/psalms/54.htm| title=|Wesley's Notes on the Bible| target=|_top|&gt;WES&lt;/a&gt;</v>
      </c>
      <c r="AJ532" t="str">
        <f t="shared" si="2126"/>
        <v>&lt;/li&gt;&lt;li&gt;&lt;a href=|http://worldebible.com/psalms/54.htm| title=|World English Bible| target=|_top|&gt;WEB&lt;/a&gt;</v>
      </c>
      <c r="AK532" t="str">
        <f t="shared" si="2126"/>
        <v>&lt;/li&gt;&lt;li&gt;&lt;a href=|http://yltbible.com/psalms/54.htm| title=|Young's Literal Translation| target=|_top|&gt;YLT&lt;/a&gt;</v>
      </c>
      <c r="AL532" t="str">
        <f>CONCATENATE("&lt;a href=|http://",AL1191,"/psalms/54.htm","| ","title=|",AL1190,"| target=|_top|&gt;",AL1192,"&lt;/a&gt;")</f>
        <v>&lt;a href=|http://kjv.us/psalms/54.htm| title=|American King James Version| target=|_top|&gt;AKJ&lt;/a&gt;</v>
      </c>
      <c r="AM532" t="str">
        <f t="shared" ref="AM532:AN532" si="2127">CONCATENATE("&lt;/li&gt;&lt;li&gt;&lt;a href=|http://",AM1191,"/psalms/54.htm","| ","title=|",AM1190,"| target=|_top|&gt;",AM1192,"&lt;/a&gt;")</f>
        <v>&lt;/li&gt;&lt;li&gt;&lt;a href=|http://basicenglishbible.com/psalms/54.htm| title=|Bible in Basic English| target=|_top|&gt;BBE&lt;/a&gt;</v>
      </c>
      <c r="AN532" t="str">
        <f t="shared" si="2127"/>
        <v>&lt;/li&gt;&lt;li&gt;&lt;a href=|http://darbybible.com/psalms/54.htm| title=|Darby Bible Translation| target=|_top|&gt;DBY&lt;/a&gt;</v>
      </c>
      <c r="AO53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3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3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32" t="str">
        <f>CONCATENATE("&lt;/li&gt;&lt;li&gt;&lt;a href=|http://",AR1191,"/psalms/54.htm","| ","title=|",AR1190,"| target=|_top|&gt;",AR1192,"&lt;/a&gt;")</f>
        <v>&lt;/li&gt;&lt;li&gt;&lt;a href=|http://websterbible.com/psalms/54.htm| title=|Webster's Bible Translation| target=|_top|&gt;WBS&lt;/a&gt;</v>
      </c>
      <c r="AS53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32" t="str">
        <f>CONCATENATE("&lt;/li&gt;&lt;li&gt;&lt;a href=|http://",AT1191,"/psalms/54-1.htm","| ","title=|",AT1190,"| target=|_top|&gt;",AT1192,"&lt;/a&gt;")</f>
        <v>&lt;/li&gt;&lt;li&gt;&lt;a href=|http://biblebrowser.com/psalms/54-1.htm| title=|Split View| target=|_top|&gt;Split&lt;/a&gt;</v>
      </c>
      <c r="AU532" s="2" t="s">
        <v>1276</v>
      </c>
      <c r="AV532" t="s">
        <v>64</v>
      </c>
    </row>
    <row r="533" spans="1:48">
      <c r="A533" t="s">
        <v>622</v>
      </c>
      <c r="B533" t="s">
        <v>771</v>
      </c>
      <c r="C533" t="s">
        <v>624</v>
      </c>
      <c r="D533" t="s">
        <v>1268</v>
      </c>
      <c r="E533" t="s">
        <v>1277</v>
      </c>
      <c r="F533" t="s">
        <v>1304</v>
      </c>
      <c r="G533" t="s">
        <v>1266</v>
      </c>
      <c r="H533" t="s">
        <v>1305</v>
      </c>
      <c r="I533" t="s">
        <v>1303</v>
      </c>
      <c r="J533" t="s">
        <v>1267</v>
      </c>
      <c r="K533" t="s">
        <v>1275</v>
      </c>
      <c r="L533" s="2" t="s">
        <v>1274</v>
      </c>
      <c r="M533" t="str">
        <f t="shared" ref="M533:AB533" si="2128">CONCATENATE("&lt;/li&gt;&lt;li&gt;&lt;a href=|http://",M1191,"/psalms/55.htm","| ","title=|",M1190,"| target=|_top|&gt;",M1192,"&lt;/a&gt;")</f>
        <v>&lt;/li&gt;&lt;li&gt;&lt;a href=|http://niv.scripturetext.com/psalms/55.htm| title=|New International Version| target=|_top|&gt;NIV&lt;/a&gt;</v>
      </c>
      <c r="N533" t="str">
        <f t="shared" si="2128"/>
        <v>&lt;/li&gt;&lt;li&gt;&lt;a href=|http://nlt.scripturetext.com/psalms/55.htm| title=|New Living Translation| target=|_top|&gt;NLT&lt;/a&gt;</v>
      </c>
      <c r="O533" t="str">
        <f t="shared" si="2128"/>
        <v>&lt;/li&gt;&lt;li&gt;&lt;a href=|http://nasb.scripturetext.com/psalms/55.htm| title=|New American Standard Bible| target=|_top|&gt;NAS&lt;/a&gt;</v>
      </c>
      <c r="P533" t="str">
        <f t="shared" si="2128"/>
        <v>&lt;/li&gt;&lt;li&gt;&lt;a href=|http://gwt.scripturetext.com/psalms/55.htm| title=|God's Word Translation| target=|_top|&gt;GWT&lt;/a&gt;</v>
      </c>
      <c r="Q533" t="str">
        <f t="shared" si="2128"/>
        <v>&lt;/li&gt;&lt;li&gt;&lt;a href=|http://kingjbible.com/psalms/55.htm| title=|King James Bible| target=|_top|&gt;KJV&lt;/a&gt;</v>
      </c>
      <c r="R533" t="str">
        <f t="shared" si="2128"/>
        <v>&lt;/li&gt;&lt;li&gt;&lt;a href=|http://asvbible.com/psalms/55.htm| title=|American Standard Version| target=|_top|&gt;ASV&lt;/a&gt;</v>
      </c>
      <c r="S533" t="str">
        <f t="shared" si="2128"/>
        <v>&lt;/li&gt;&lt;li&gt;&lt;a href=|http://drb.scripturetext.com/psalms/55.htm| title=|Douay-Rheims Bible| target=|_top|&gt;DRB&lt;/a&gt;</v>
      </c>
      <c r="T533" t="str">
        <f t="shared" si="2128"/>
        <v>&lt;/li&gt;&lt;li&gt;&lt;a href=|http://erv.scripturetext.com/psalms/55.htm| title=|English Revised Version| target=|_top|&gt;ERV&lt;/a&gt;</v>
      </c>
      <c r="V533" t="str">
        <f>CONCATENATE("&lt;/li&gt;&lt;li&gt;&lt;a href=|http://",V1191,"/psalms/55.htm","| ","title=|",V1190,"| target=|_top|&gt;",V1192,"&lt;/a&gt;")</f>
        <v>&lt;/li&gt;&lt;li&gt;&lt;a href=|http://study.interlinearbible.org/psalms/55.htm| title=|Hebrew Study Bible| target=|_top|&gt;Heb Study&lt;/a&gt;</v>
      </c>
      <c r="W533" t="str">
        <f t="shared" si="2128"/>
        <v>&lt;/li&gt;&lt;li&gt;&lt;a href=|http://apostolic.interlinearbible.org/psalms/55.htm| title=|Apostolic Bible Polyglot Interlinear| target=|_top|&gt;Polyglot&lt;/a&gt;</v>
      </c>
      <c r="X533" t="str">
        <f t="shared" si="2128"/>
        <v>&lt;/li&gt;&lt;li&gt;&lt;a href=|http://interlinearbible.org/psalms/55.htm| title=|Interlinear Bible| target=|_top|&gt;Interlin&lt;/a&gt;</v>
      </c>
      <c r="Y533" t="str">
        <f t="shared" ref="Y533" si="2129">CONCATENATE("&lt;/li&gt;&lt;li&gt;&lt;a href=|http://",Y1191,"/psalms/55.htm","| ","title=|",Y1190,"| target=|_top|&gt;",Y1192,"&lt;/a&gt;")</f>
        <v>&lt;/li&gt;&lt;li&gt;&lt;a href=|http://bibleoutline.org/psalms/55.htm| title=|Outline with People and Places List| target=|_top|&gt;Outline&lt;/a&gt;</v>
      </c>
      <c r="Z533" t="str">
        <f t="shared" si="2128"/>
        <v>&lt;/li&gt;&lt;li&gt;&lt;a href=|http://kjvs.scripturetext.com/psalms/55.htm| title=|King James Bible with Strong's Numbers| target=|_top|&gt;Strong's&lt;/a&gt;</v>
      </c>
      <c r="AA533" t="str">
        <f t="shared" si="2128"/>
        <v>&lt;/li&gt;&lt;li&gt;&lt;a href=|http://childrensbibleonline.com/psalms/55.htm| title=|The Children's Bible| target=|_top|&gt;Children's&lt;/a&gt;</v>
      </c>
      <c r="AB533" s="2" t="str">
        <f t="shared" si="2128"/>
        <v>&lt;/li&gt;&lt;li&gt;&lt;a href=|http://tsk.scripturetext.com/psalms/55.htm| title=|Treasury of Scripture Knowledge| target=|_top|&gt;TSK&lt;/a&gt;</v>
      </c>
      <c r="AC533" t="str">
        <f>CONCATENATE("&lt;a href=|http://",AC1191,"/psalms/55.htm","| ","title=|",AC1190,"| target=|_top|&gt;",AC1192,"&lt;/a&gt;")</f>
        <v>&lt;a href=|http://parallelbible.com/psalms/55.htm| title=|Parallel Chapters| target=|_top|&gt;PAR&lt;/a&gt;</v>
      </c>
      <c r="AD533" s="2" t="str">
        <f t="shared" ref="AD533:AK533" si="2130">CONCATENATE("&lt;/li&gt;&lt;li&gt;&lt;a href=|http://",AD1191,"/psalms/55.htm","| ","title=|",AD1190,"| target=|_top|&gt;",AD1192,"&lt;/a&gt;")</f>
        <v>&lt;/li&gt;&lt;li&gt;&lt;a href=|http://gsb.biblecommenter.com/psalms/55.htm| title=|Geneva Study Bible| target=|_top|&gt;GSB&lt;/a&gt;</v>
      </c>
      <c r="AE533" s="2" t="str">
        <f t="shared" si="2130"/>
        <v>&lt;/li&gt;&lt;li&gt;&lt;a href=|http://jfb.biblecommenter.com/psalms/55.htm| title=|Jamieson-Fausset-Brown Bible Commentary| target=|_top|&gt;JFB&lt;/a&gt;</v>
      </c>
      <c r="AF533" s="2" t="str">
        <f t="shared" si="2130"/>
        <v>&lt;/li&gt;&lt;li&gt;&lt;a href=|http://kjt.biblecommenter.com/psalms/55.htm| title=|King James Translators' Notes| target=|_top|&gt;KJT&lt;/a&gt;</v>
      </c>
      <c r="AG533" s="2" t="str">
        <f t="shared" si="2130"/>
        <v>&lt;/li&gt;&lt;li&gt;&lt;a href=|http://mhc.biblecommenter.com/psalms/55.htm| title=|Matthew Henry's Concise Commentary| target=|_top|&gt;MHC&lt;/a&gt;</v>
      </c>
      <c r="AH533" s="2" t="str">
        <f t="shared" si="2130"/>
        <v>&lt;/li&gt;&lt;li&gt;&lt;a href=|http://sco.biblecommenter.com/psalms/55.htm| title=|Scofield Reference Notes| target=|_top|&gt;SCO&lt;/a&gt;</v>
      </c>
      <c r="AI533" s="2" t="str">
        <f t="shared" si="2130"/>
        <v>&lt;/li&gt;&lt;li&gt;&lt;a href=|http://wes.biblecommenter.com/psalms/55.htm| title=|Wesley's Notes on the Bible| target=|_top|&gt;WES&lt;/a&gt;</v>
      </c>
      <c r="AJ533" t="str">
        <f t="shared" si="2130"/>
        <v>&lt;/li&gt;&lt;li&gt;&lt;a href=|http://worldebible.com/psalms/55.htm| title=|World English Bible| target=|_top|&gt;WEB&lt;/a&gt;</v>
      </c>
      <c r="AK533" t="str">
        <f t="shared" si="2130"/>
        <v>&lt;/li&gt;&lt;li&gt;&lt;a href=|http://yltbible.com/psalms/55.htm| title=|Young's Literal Translation| target=|_top|&gt;YLT&lt;/a&gt;</v>
      </c>
      <c r="AL533" t="str">
        <f>CONCATENATE("&lt;a href=|http://",AL1191,"/psalms/55.htm","| ","title=|",AL1190,"| target=|_top|&gt;",AL1192,"&lt;/a&gt;")</f>
        <v>&lt;a href=|http://kjv.us/psalms/55.htm| title=|American King James Version| target=|_top|&gt;AKJ&lt;/a&gt;</v>
      </c>
      <c r="AM533" t="str">
        <f t="shared" ref="AM533:AN533" si="2131">CONCATENATE("&lt;/li&gt;&lt;li&gt;&lt;a href=|http://",AM1191,"/psalms/55.htm","| ","title=|",AM1190,"| target=|_top|&gt;",AM1192,"&lt;/a&gt;")</f>
        <v>&lt;/li&gt;&lt;li&gt;&lt;a href=|http://basicenglishbible.com/psalms/55.htm| title=|Bible in Basic English| target=|_top|&gt;BBE&lt;/a&gt;</v>
      </c>
      <c r="AN533" t="str">
        <f t="shared" si="2131"/>
        <v>&lt;/li&gt;&lt;li&gt;&lt;a href=|http://darbybible.com/psalms/55.htm| title=|Darby Bible Translation| target=|_top|&gt;DBY&lt;/a&gt;</v>
      </c>
      <c r="AO53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3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3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33" t="str">
        <f>CONCATENATE("&lt;/li&gt;&lt;li&gt;&lt;a href=|http://",AR1191,"/psalms/55.htm","| ","title=|",AR1190,"| target=|_top|&gt;",AR1192,"&lt;/a&gt;")</f>
        <v>&lt;/li&gt;&lt;li&gt;&lt;a href=|http://websterbible.com/psalms/55.htm| title=|Webster's Bible Translation| target=|_top|&gt;WBS&lt;/a&gt;</v>
      </c>
      <c r="AS53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33" t="str">
        <f>CONCATENATE("&lt;/li&gt;&lt;li&gt;&lt;a href=|http://",AT1191,"/psalms/55-1.htm","| ","title=|",AT1190,"| target=|_top|&gt;",AT1192,"&lt;/a&gt;")</f>
        <v>&lt;/li&gt;&lt;li&gt;&lt;a href=|http://biblebrowser.com/psalms/55-1.htm| title=|Split View| target=|_top|&gt;Split&lt;/a&gt;</v>
      </c>
      <c r="AU533" s="2" t="s">
        <v>1276</v>
      </c>
      <c r="AV533" t="s">
        <v>64</v>
      </c>
    </row>
    <row r="534" spans="1:48">
      <c r="A534" t="s">
        <v>622</v>
      </c>
      <c r="B534" t="s">
        <v>772</v>
      </c>
      <c r="C534" t="s">
        <v>624</v>
      </c>
      <c r="D534" t="s">
        <v>1268</v>
      </c>
      <c r="E534" t="s">
        <v>1277</v>
      </c>
      <c r="F534" t="s">
        <v>1304</v>
      </c>
      <c r="G534" t="s">
        <v>1266</v>
      </c>
      <c r="H534" t="s">
        <v>1305</v>
      </c>
      <c r="I534" t="s">
        <v>1303</v>
      </c>
      <c r="J534" t="s">
        <v>1267</v>
      </c>
      <c r="K534" t="s">
        <v>1275</v>
      </c>
      <c r="L534" s="2" t="s">
        <v>1274</v>
      </c>
      <c r="M534" t="str">
        <f t="shared" ref="M534:AB534" si="2132">CONCATENATE("&lt;/li&gt;&lt;li&gt;&lt;a href=|http://",M1191,"/psalms/56.htm","| ","title=|",M1190,"| target=|_top|&gt;",M1192,"&lt;/a&gt;")</f>
        <v>&lt;/li&gt;&lt;li&gt;&lt;a href=|http://niv.scripturetext.com/psalms/56.htm| title=|New International Version| target=|_top|&gt;NIV&lt;/a&gt;</v>
      </c>
      <c r="N534" t="str">
        <f t="shared" si="2132"/>
        <v>&lt;/li&gt;&lt;li&gt;&lt;a href=|http://nlt.scripturetext.com/psalms/56.htm| title=|New Living Translation| target=|_top|&gt;NLT&lt;/a&gt;</v>
      </c>
      <c r="O534" t="str">
        <f t="shared" si="2132"/>
        <v>&lt;/li&gt;&lt;li&gt;&lt;a href=|http://nasb.scripturetext.com/psalms/56.htm| title=|New American Standard Bible| target=|_top|&gt;NAS&lt;/a&gt;</v>
      </c>
      <c r="P534" t="str">
        <f t="shared" si="2132"/>
        <v>&lt;/li&gt;&lt;li&gt;&lt;a href=|http://gwt.scripturetext.com/psalms/56.htm| title=|God's Word Translation| target=|_top|&gt;GWT&lt;/a&gt;</v>
      </c>
      <c r="Q534" t="str">
        <f t="shared" si="2132"/>
        <v>&lt;/li&gt;&lt;li&gt;&lt;a href=|http://kingjbible.com/psalms/56.htm| title=|King James Bible| target=|_top|&gt;KJV&lt;/a&gt;</v>
      </c>
      <c r="R534" t="str">
        <f t="shared" si="2132"/>
        <v>&lt;/li&gt;&lt;li&gt;&lt;a href=|http://asvbible.com/psalms/56.htm| title=|American Standard Version| target=|_top|&gt;ASV&lt;/a&gt;</v>
      </c>
      <c r="S534" t="str">
        <f t="shared" si="2132"/>
        <v>&lt;/li&gt;&lt;li&gt;&lt;a href=|http://drb.scripturetext.com/psalms/56.htm| title=|Douay-Rheims Bible| target=|_top|&gt;DRB&lt;/a&gt;</v>
      </c>
      <c r="T534" t="str">
        <f t="shared" si="2132"/>
        <v>&lt;/li&gt;&lt;li&gt;&lt;a href=|http://erv.scripturetext.com/psalms/56.htm| title=|English Revised Version| target=|_top|&gt;ERV&lt;/a&gt;</v>
      </c>
      <c r="V534" t="str">
        <f>CONCATENATE("&lt;/li&gt;&lt;li&gt;&lt;a href=|http://",V1191,"/psalms/56.htm","| ","title=|",V1190,"| target=|_top|&gt;",V1192,"&lt;/a&gt;")</f>
        <v>&lt;/li&gt;&lt;li&gt;&lt;a href=|http://study.interlinearbible.org/psalms/56.htm| title=|Hebrew Study Bible| target=|_top|&gt;Heb Study&lt;/a&gt;</v>
      </c>
      <c r="W534" t="str">
        <f t="shared" si="2132"/>
        <v>&lt;/li&gt;&lt;li&gt;&lt;a href=|http://apostolic.interlinearbible.org/psalms/56.htm| title=|Apostolic Bible Polyglot Interlinear| target=|_top|&gt;Polyglot&lt;/a&gt;</v>
      </c>
      <c r="X534" t="str">
        <f t="shared" si="2132"/>
        <v>&lt;/li&gt;&lt;li&gt;&lt;a href=|http://interlinearbible.org/psalms/56.htm| title=|Interlinear Bible| target=|_top|&gt;Interlin&lt;/a&gt;</v>
      </c>
      <c r="Y534" t="str">
        <f t="shared" ref="Y534" si="2133">CONCATENATE("&lt;/li&gt;&lt;li&gt;&lt;a href=|http://",Y1191,"/psalms/56.htm","| ","title=|",Y1190,"| target=|_top|&gt;",Y1192,"&lt;/a&gt;")</f>
        <v>&lt;/li&gt;&lt;li&gt;&lt;a href=|http://bibleoutline.org/psalms/56.htm| title=|Outline with People and Places List| target=|_top|&gt;Outline&lt;/a&gt;</v>
      </c>
      <c r="Z534" t="str">
        <f t="shared" si="2132"/>
        <v>&lt;/li&gt;&lt;li&gt;&lt;a href=|http://kjvs.scripturetext.com/psalms/56.htm| title=|King James Bible with Strong's Numbers| target=|_top|&gt;Strong's&lt;/a&gt;</v>
      </c>
      <c r="AA534" t="str">
        <f t="shared" si="2132"/>
        <v>&lt;/li&gt;&lt;li&gt;&lt;a href=|http://childrensbibleonline.com/psalms/56.htm| title=|The Children's Bible| target=|_top|&gt;Children's&lt;/a&gt;</v>
      </c>
      <c r="AB534" s="2" t="str">
        <f t="shared" si="2132"/>
        <v>&lt;/li&gt;&lt;li&gt;&lt;a href=|http://tsk.scripturetext.com/psalms/56.htm| title=|Treasury of Scripture Knowledge| target=|_top|&gt;TSK&lt;/a&gt;</v>
      </c>
      <c r="AC534" t="str">
        <f>CONCATENATE("&lt;a href=|http://",AC1191,"/psalms/56.htm","| ","title=|",AC1190,"| target=|_top|&gt;",AC1192,"&lt;/a&gt;")</f>
        <v>&lt;a href=|http://parallelbible.com/psalms/56.htm| title=|Parallel Chapters| target=|_top|&gt;PAR&lt;/a&gt;</v>
      </c>
      <c r="AD534" s="2" t="str">
        <f t="shared" ref="AD534:AK534" si="2134">CONCATENATE("&lt;/li&gt;&lt;li&gt;&lt;a href=|http://",AD1191,"/psalms/56.htm","| ","title=|",AD1190,"| target=|_top|&gt;",AD1192,"&lt;/a&gt;")</f>
        <v>&lt;/li&gt;&lt;li&gt;&lt;a href=|http://gsb.biblecommenter.com/psalms/56.htm| title=|Geneva Study Bible| target=|_top|&gt;GSB&lt;/a&gt;</v>
      </c>
      <c r="AE534" s="2" t="str">
        <f t="shared" si="2134"/>
        <v>&lt;/li&gt;&lt;li&gt;&lt;a href=|http://jfb.biblecommenter.com/psalms/56.htm| title=|Jamieson-Fausset-Brown Bible Commentary| target=|_top|&gt;JFB&lt;/a&gt;</v>
      </c>
      <c r="AF534" s="2" t="str">
        <f t="shared" si="2134"/>
        <v>&lt;/li&gt;&lt;li&gt;&lt;a href=|http://kjt.biblecommenter.com/psalms/56.htm| title=|King James Translators' Notes| target=|_top|&gt;KJT&lt;/a&gt;</v>
      </c>
      <c r="AG534" s="2" t="str">
        <f t="shared" si="2134"/>
        <v>&lt;/li&gt;&lt;li&gt;&lt;a href=|http://mhc.biblecommenter.com/psalms/56.htm| title=|Matthew Henry's Concise Commentary| target=|_top|&gt;MHC&lt;/a&gt;</v>
      </c>
      <c r="AH534" s="2" t="str">
        <f t="shared" si="2134"/>
        <v>&lt;/li&gt;&lt;li&gt;&lt;a href=|http://sco.biblecommenter.com/psalms/56.htm| title=|Scofield Reference Notes| target=|_top|&gt;SCO&lt;/a&gt;</v>
      </c>
      <c r="AI534" s="2" t="str">
        <f t="shared" si="2134"/>
        <v>&lt;/li&gt;&lt;li&gt;&lt;a href=|http://wes.biblecommenter.com/psalms/56.htm| title=|Wesley's Notes on the Bible| target=|_top|&gt;WES&lt;/a&gt;</v>
      </c>
      <c r="AJ534" t="str">
        <f t="shared" si="2134"/>
        <v>&lt;/li&gt;&lt;li&gt;&lt;a href=|http://worldebible.com/psalms/56.htm| title=|World English Bible| target=|_top|&gt;WEB&lt;/a&gt;</v>
      </c>
      <c r="AK534" t="str">
        <f t="shared" si="2134"/>
        <v>&lt;/li&gt;&lt;li&gt;&lt;a href=|http://yltbible.com/psalms/56.htm| title=|Young's Literal Translation| target=|_top|&gt;YLT&lt;/a&gt;</v>
      </c>
      <c r="AL534" t="str">
        <f>CONCATENATE("&lt;a href=|http://",AL1191,"/psalms/56.htm","| ","title=|",AL1190,"| target=|_top|&gt;",AL1192,"&lt;/a&gt;")</f>
        <v>&lt;a href=|http://kjv.us/psalms/56.htm| title=|American King James Version| target=|_top|&gt;AKJ&lt;/a&gt;</v>
      </c>
      <c r="AM534" t="str">
        <f t="shared" ref="AM534:AN534" si="2135">CONCATENATE("&lt;/li&gt;&lt;li&gt;&lt;a href=|http://",AM1191,"/psalms/56.htm","| ","title=|",AM1190,"| target=|_top|&gt;",AM1192,"&lt;/a&gt;")</f>
        <v>&lt;/li&gt;&lt;li&gt;&lt;a href=|http://basicenglishbible.com/psalms/56.htm| title=|Bible in Basic English| target=|_top|&gt;BBE&lt;/a&gt;</v>
      </c>
      <c r="AN534" t="str">
        <f t="shared" si="2135"/>
        <v>&lt;/li&gt;&lt;li&gt;&lt;a href=|http://darbybible.com/psalms/56.htm| title=|Darby Bible Translation| target=|_top|&gt;DBY&lt;/a&gt;</v>
      </c>
      <c r="AO53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3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3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34" t="str">
        <f>CONCATENATE("&lt;/li&gt;&lt;li&gt;&lt;a href=|http://",AR1191,"/psalms/56.htm","| ","title=|",AR1190,"| target=|_top|&gt;",AR1192,"&lt;/a&gt;")</f>
        <v>&lt;/li&gt;&lt;li&gt;&lt;a href=|http://websterbible.com/psalms/56.htm| title=|Webster's Bible Translation| target=|_top|&gt;WBS&lt;/a&gt;</v>
      </c>
      <c r="AS53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34" t="str">
        <f>CONCATENATE("&lt;/li&gt;&lt;li&gt;&lt;a href=|http://",AT1191,"/psalms/56-1.htm","| ","title=|",AT1190,"| target=|_top|&gt;",AT1192,"&lt;/a&gt;")</f>
        <v>&lt;/li&gt;&lt;li&gt;&lt;a href=|http://biblebrowser.com/psalms/56-1.htm| title=|Split View| target=|_top|&gt;Split&lt;/a&gt;</v>
      </c>
      <c r="AU534" s="2" t="s">
        <v>1276</v>
      </c>
      <c r="AV534" t="s">
        <v>64</v>
      </c>
    </row>
    <row r="535" spans="1:48">
      <c r="A535" t="s">
        <v>622</v>
      </c>
      <c r="B535" t="s">
        <v>773</v>
      </c>
      <c r="C535" t="s">
        <v>624</v>
      </c>
      <c r="D535" t="s">
        <v>1268</v>
      </c>
      <c r="E535" t="s">
        <v>1277</v>
      </c>
      <c r="F535" t="s">
        <v>1304</v>
      </c>
      <c r="G535" t="s">
        <v>1266</v>
      </c>
      <c r="H535" t="s">
        <v>1305</v>
      </c>
      <c r="I535" t="s">
        <v>1303</v>
      </c>
      <c r="J535" t="s">
        <v>1267</v>
      </c>
      <c r="K535" t="s">
        <v>1275</v>
      </c>
      <c r="L535" s="2" t="s">
        <v>1274</v>
      </c>
      <c r="M535" t="str">
        <f t="shared" ref="M535:AB535" si="2136">CONCATENATE("&lt;/li&gt;&lt;li&gt;&lt;a href=|http://",M1191,"/psalms/57.htm","| ","title=|",M1190,"| target=|_top|&gt;",M1192,"&lt;/a&gt;")</f>
        <v>&lt;/li&gt;&lt;li&gt;&lt;a href=|http://niv.scripturetext.com/psalms/57.htm| title=|New International Version| target=|_top|&gt;NIV&lt;/a&gt;</v>
      </c>
      <c r="N535" t="str">
        <f t="shared" si="2136"/>
        <v>&lt;/li&gt;&lt;li&gt;&lt;a href=|http://nlt.scripturetext.com/psalms/57.htm| title=|New Living Translation| target=|_top|&gt;NLT&lt;/a&gt;</v>
      </c>
      <c r="O535" t="str">
        <f t="shared" si="2136"/>
        <v>&lt;/li&gt;&lt;li&gt;&lt;a href=|http://nasb.scripturetext.com/psalms/57.htm| title=|New American Standard Bible| target=|_top|&gt;NAS&lt;/a&gt;</v>
      </c>
      <c r="P535" t="str">
        <f t="shared" si="2136"/>
        <v>&lt;/li&gt;&lt;li&gt;&lt;a href=|http://gwt.scripturetext.com/psalms/57.htm| title=|God's Word Translation| target=|_top|&gt;GWT&lt;/a&gt;</v>
      </c>
      <c r="Q535" t="str">
        <f t="shared" si="2136"/>
        <v>&lt;/li&gt;&lt;li&gt;&lt;a href=|http://kingjbible.com/psalms/57.htm| title=|King James Bible| target=|_top|&gt;KJV&lt;/a&gt;</v>
      </c>
      <c r="R535" t="str">
        <f t="shared" si="2136"/>
        <v>&lt;/li&gt;&lt;li&gt;&lt;a href=|http://asvbible.com/psalms/57.htm| title=|American Standard Version| target=|_top|&gt;ASV&lt;/a&gt;</v>
      </c>
      <c r="S535" t="str">
        <f t="shared" si="2136"/>
        <v>&lt;/li&gt;&lt;li&gt;&lt;a href=|http://drb.scripturetext.com/psalms/57.htm| title=|Douay-Rheims Bible| target=|_top|&gt;DRB&lt;/a&gt;</v>
      </c>
      <c r="T535" t="str">
        <f t="shared" si="2136"/>
        <v>&lt;/li&gt;&lt;li&gt;&lt;a href=|http://erv.scripturetext.com/psalms/57.htm| title=|English Revised Version| target=|_top|&gt;ERV&lt;/a&gt;</v>
      </c>
      <c r="V535" t="str">
        <f>CONCATENATE("&lt;/li&gt;&lt;li&gt;&lt;a href=|http://",V1191,"/psalms/57.htm","| ","title=|",V1190,"| target=|_top|&gt;",V1192,"&lt;/a&gt;")</f>
        <v>&lt;/li&gt;&lt;li&gt;&lt;a href=|http://study.interlinearbible.org/psalms/57.htm| title=|Hebrew Study Bible| target=|_top|&gt;Heb Study&lt;/a&gt;</v>
      </c>
      <c r="W535" t="str">
        <f t="shared" si="2136"/>
        <v>&lt;/li&gt;&lt;li&gt;&lt;a href=|http://apostolic.interlinearbible.org/psalms/57.htm| title=|Apostolic Bible Polyglot Interlinear| target=|_top|&gt;Polyglot&lt;/a&gt;</v>
      </c>
      <c r="X535" t="str">
        <f t="shared" si="2136"/>
        <v>&lt;/li&gt;&lt;li&gt;&lt;a href=|http://interlinearbible.org/psalms/57.htm| title=|Interlinear Bible| target=|_top|&gt;Interlin&lt;/a&gt;</v>
      </c>
      <c r="Y535" t="str">
        <f t="shared" ref="Y535" si="2137">CONCATENATE("&lt;/li&gt;&lt;li&gt;&lt;a href=|http://",Y1191,"/psalms/57.htm","| ","title=|",Y1190,"| target=|_top|&gt;",Y1192,"&lt;/a&gt;")</f>
        <v>&lt;/li&gt;&lt;li&gt;&lt;a href=|http://bibleoutline.org/psalms/57.htm| title=|Outline with People and Places List| target=|_top|&gt;Outline&lt;/a&gt;</v>
      </c>
      <c r="Z535" t="str">
        <f t="shared" si="2136"/>
        <v>&lt;/li&gt;&lt;li&gt;&lt;a href=|http://kjvs.scripturetext.com/psalms/57.htm| title=|King James Bible with Strong's Numbers| target=|_top|&gt;Strong's&lt;/a&gt;</v>
      </c>
      <c r="AA535" t="str">
        <f t="shared" si="2136"/>
        <v>&lt;/li&gt;&lt;li&gt;&lt;a href=|http://childrensbibleonline.com/psalms/57.htm| title=|The Children's Bible| target=|_top|&gt;Children's&lt;/a&gt;</v>
      </c>
      <c r="AB535" s="2" t="str">
        <f t="shared" si="2136"/>
        <v>&lt;/li&gt;&lt;li&gt;&lt;a href=|http://tsk.scripturetext.com/psalms/57.htm| title=|Treasury of Scripture Knowledge| target=|_top|&gt;TSK&lt;/a&gt;</v>
      </c>
      <c r="AC535" t="str">
        <f>CONCATENATE("&lt;a href=|http://",AC1191,"/psalms/57.htm","| ","title=|",AC1190,"| target=|_top|&gt;",AC1192,"&lt;/a&gt;")</f>
        <v>&lt;a href=|http://parallelbible.com/psalms/57.htm| title=|Parallel Chapters| target=|_top|&gt;PAR&lt;/a&gt;</v>
      </c>
      <c r="AD535" s="2" t="str">
        <f t="shared" ref="AD535:AK535" si="2138">CONCATENATE("&lt;/li&gt;&lt;li&gt;&lt;a href=|http://",AD1191,"/psalms/57.htm","| ","title=|",AD1190,"| target=|_top|&gt;",AD1192,"&lt;/a&gt;")</f>
        <v>&lt;/li&gt;&lt;li&gt;&lt;a href=|http://gsb.biblecommenter.com/psalms/57.htm| title=|Geneva Study Bible| target=|_top|&gt;GSB&lt;/a&gt;</v>
      </c>
      <c r="AE535" s="2" t="str">
        <f t="shared" si="2138"/>
        <v>&lt;/li&gt;&lt;li&gt;&lt;a href=|http://jfb.biblecommenter.com/psalms/57.htm| title=|Jamieson-Fausset-Brown Bible Commentary| target=|_top|&gt;JFB&lt;/a&gt;</v>
      </c>
      <c r="AF535" s="2" t="str">
        <f t="shared" si="2138"/>
        <v>&lt;/li&gt;&lt;li&gt;&lt;a href=|http://kjt.biblecommenter.com/psalms/57.htm| title=|King James Translators' Notes| target=|_top|&gt;KJT&lt;/a&gt;</v>
      </c>
      <c r="AG535" s="2" t="str">
        <f t="shared" si="2138"/>
        <v>&lt;/li&gt;&lt;li&gt;&lt;a href=|http://mhc.biblecommenter.com/psalms/57.htm| title=|Matthew Henry's Concise Commentary| target=|_top|&gt;MHC&lt;/a&gt;</v>
      </c>
      <c r="AH535" s="2" t="str">
        <f t="shared" si="2138"/>
        <v>&lt;/li&gt;&lt;li&gt;&lt;a href=|http://sco.biblecommenter.com/psalms/57.htm| title=|Scofield Reference Notes| target=|_top|&gt;SCO&lt;/a&gt;</v>
      </c>
      <c r="AI535" s="2" t="str">
        <f t="shared" si="2138"/>
        <v>&lt;/li&gt;&lt;li&gt;&lt;a href=|http://wes.biblecommenter.com/psalms/57.htm| title=|Wesley's Notes on the Bible| target=|_top|&gt;WES&lt;/a&gt;</v>
      </c>
      <c r="AJ535" t="str">
        <f t="shared" si="2138"/>
        <v>&lt;/li&gt;&lt;li&gt;&lt;a href=|http://worldebible.com/psalms/57.htm| title=|World English Bible| target=|_top|&gt;WEB&lt;/a&gt;</v>
      </c>
      <c r="AK535" t="str">
        <f t="shared" si="2138"/>
        <v>&lt;/li&gt;&lt;li&gt;&lt;a href=|http://yltbible.com/psalms/57.htm| title=|Young's Literal Translation| target=|_top|&gt;YLT&lt;/a&gt;</v>
      </c>
      <c r="AL535" t="str">
        <f>CONCATENATE("&lt;a href=|http://",AL1191,"/psalms/57.htm","| ","title=|",AL1190,"| target=|_top|&gt;",AL1192,"&lt;/a&gt;")</f>
        <v>&lt;a href=|http://kjv.us/psalms/57.htm| title=|American King James Version| target=|_top|&gt;AKJ&lt;/a&gt;</v>
      </c>
      <c r="AM535" t="str">
        <f t="shared" ref="AM535:AN535" si="2139">CONCATENATE("&lt;/li&gt;&lt;li&gt;&lt;a href=|http://",AM1191,"/psalms/57.htm","| ","title=|",AM1190,"| target=|_top|&gt;",AM1192,"&lt;/a&gt;")</f>
        <v>&lt;/li&gt;&lt;li&gt;&lt;a href=|http://basicenglishbible.com/psalms/57.htm| title=|Bible in Basic English| target=|_top|&gt;BBE&lt;/a&gt;</v>
      </c>
      <c r="AN535" t="str">
        <f t="shared" si="2139"/>
        <v>&lt;/li&gt;&lt;li&gt;&lt;a href=|http://darbybible.com/psalms/57.htm| title=|Darby Bible Translation| target=|_top|&gt;DBY&lt;/a&gt;</v>
      </c>
      <c r="AO53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3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3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35" t="str">
        <f>CONCATENATE("&lt;/li&gt;&lt;li&gt;&lt;a href=|http://",AR1191,"/psalms/57.htm","| ","title=|",AR1190,"| target=|_top|&gt;",AR1192,"&lt;/a&gt;")</f>
        <v>&lt;/li&gt;&lt;li&gt;&lt;a href=|http://websterbible.com/psalms/57.htm| title=|Webster's Bible Translation| target=|_top|&gt;WBS&lt;/a&gt;</v>
      </c>
      <c r="AS53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35" t="str">
        <f>CONCATENATE("&lt;/li&gt;&lt;li&gt;&lt;a href=|http://",AT1191,"/psalms/57-1.htm","| ","title=|",AT1190,"| target=|_top|&gt;",AT1192,"&lt;/a&gt;")</f>
        <v>&lt;/li&gt;&lt;li&gt;&lt;a href=|http://biblebrowser.com/psalms/57-1.htm| title=|Split View| target=|_top|&gt;Split&lt;/a&gt;</v>
      </c>
      <c r="AU535" s="2" t="s">
        <v>1276</v>
      </c>
      <c r="AV535" t="s">
        <v>64</v>
      </c>
    </row>
    <row r="536" spans="1:48">
      <c r="A536" t="s">
        <v>622</v>
      </c>
      <c r="B536" t="s">
        <v>774</v>
      </c>
      <c r="C536" t="s">
        <v>624</v>
      </c>
      <c r="D536" t="s">
        <v>1268</v>
      </c>
      <c r="E536" t="s">
        <v>1277</v>
      </c>
      <c r="F536" t="s">
        <v>1304</v>
      </c>
      <c r="G536" t="s">
        <v>1266</v>
      </c>
      <c r="H536" t="s">
        <v>1305</v>
      </c>
      <c r="I536" t="s">
        <v>1303</v>
      </c>
      <c r="J536" t="s">
        <v>1267</v>
      </c>
      <c r="K536" t="s">
        <v>1275</v>
      </c>
      <c r="L536" s="2" t="s">
        <v>1274</v>
      </c>
      <c r="M536" t="str">
        <f t="shared" ref="M536:AB536" si="2140">CONCATENATE("&lt;/li&gt;&lt;li&gt;&lt;a href=|http://",M1191,"/psalms/58.htm","| ","title=|",M1190,"| target=|_top|&gt;",M1192,"&lt;/a&gt;")</f>
        <v>&lt;/li&gt;&lt;li&gt;&lt;a href=|http://niv.scripturetext.com/psalms/58.htm| title=|New International Version| target=|_top|&gt;NIV&lt;/a&gt;</v>
      </c>
      <c r="N536" t="str">
        <f t="shared" si="2140"/>
        <v>&lt;/li&gt;&lt;li&gt;&lt;a href=|http://nlt.scripturetext.com/psalms/58.htm| title=|New Living Translation| target=|_top|&gt;NLT&lt;/a&gt;</v>
      </c>
      <c r="O536" t="str">
        <f t="shared" si="2140"/>
        <v>&lt;/li&gt;&lt;li&gt;&lt;a href=|http://nasb.scripturetext.com/psalms/58.htm| title=|New American Standard Bible| target=|_top|&gt;NAS&lt;/a&gt;</v>
      </c>
      <c r="P536" t="str">
        <f t="shared" si="2140"/>
        <v>&lt;/li&gt;&lt;li&gt;&lt;a href=|http://gwt.scripturetext.com/psalms/58.htm| title=|God's Word Translation| target=|_top|&gt;GWT&lt;/a&gt;</v>
      </c>
      <c r="Q536" t="str">
        <f t="shared" si="2140"/>
        <v>&lt;/li&gt;&lt;li&gt;&lt;a href=|http://kingjbible.com/psalms/58.htm| title=|King James Bible| target=|_top|&gt;KJV&lt;/a&gt;</v>
      </c>
      <c r="R536" t="str">
        <f t="shared" si="2140"/>
        <v>&lt;/li&gt;&lt;li&gt;&lt;a href=|http://asvbible.com/psalms/58.htm| title=|American Standard Version| target=|_top|&gt;ASV&lt;/a&gt;</v>
      </c>
      <c r="S536" t="str">
        <f t="shared" si="2140"/>
        <v>&lt;/li&gt;&lt;li&gt;&lt;a href=|http://drb.scripturetext.com/psalms/58.htm| title=|Douay-Rheims Bible| target=|_top|&gt;DRB&lt;/a&gt;</v>
      </c>
      <c r="T536" t="str">
        <f t="shared" si="2140"/>
        <v>&lt;/li&gt;&lt;li&gt;&lt;a href=|http://erv.scripturetext.com/psalms/58.htm| title=|English Revised Version| target=|_top|&gt;ERV&lt;/a&gt;</v>
      </c>
      <c r="V536" t="str">
        <f>CONCATENATE("&lt;/li&gt;&lt;li&gt;&lt;a href=|http://",V1191,"/psalms/58.htm","| ","title=|",V1190,"| target=|_top|&gt;",V1192,"&lt;/a&gt;")</f>
        <v>&lt;/li&gt;&lt;li&gt;&lt;a href=|http://study.interlinearbible.org/psalms/58.htm| title=|Hebrew Study Bible| target=|_top|&gt;Heb Study&lt;/a&gt;</v>
      </c>
      <c r="W536" t="str">
        <f t="shared" si="2140"/>
        <v>&lt;/li&gt;&lt;li&gt;&lt;a href=|http://apostolic.interlinearbible.org/psalms/58.htm| title=|Apostolic Bible Polyglot Interlinear| target=|_top|&gt;Polyglot&lt;/a&gt;</v>
      </c>
      <c r="X536" t="str">
        <f t="shared" si="2140"/>
        <v>&lt;/li&gt;&lt;li&gt;&lt;a href=|http://interlinearbible.org/psalms/58.htm| title=|Interlinear Bible| target=|_top|&gt;Interlin&lt;/a&gt;</v>
      </c>
      <c r="Y536" t="str">
        <f t="shared" ref="Y536" si="2141">CONCATENATE("&lt;/li&gt;&lt;li&gt;&lt;a href=|http://",Y1191,"/psalms/58.htm","| ","title=|",Y1190,"| target=|_top|&gt;",Y1192,"&lt;/a&gt;")</f>
        <v>&lt;/li&gt;&lt;li&gt;&lt;a href=|http://bibleoutline.org/psalms/58.htm| title=|Outline with People and Places List| target=|_top|&gt;Outline&lt;/a&gt;</v>
      </c>
      <c r="Z536" t="str">
        <f t="shared" si="2140"/>
        <v>&lt;/li&gt;&lt;li&gt;&lt;a href=|http://kjvs.scripturetext.com/psalms/58.htm| title=|King James Bible with Strong's Numbers| target=|_top|&gt;Strong's&lt;/a&gt;</v>
      </c>
      <c r="AA536" t="str">
        <f t="shared" si="2140"/>
        <v>&lt;/li&gt;&lt;li&gt;&lt;a href=|http://childrensbibleonline.com/psalms/58.htm| title=|The Children's Bible| target=|_top|&gt;Children's&lt;/a&gt;</v>
      </c>
      <c r="AB536" s="2" t="str">
        <f t="shared" si="2140"/>
        <v>&lt;/li&gt;&lt;li&gt;&lt;a href=|http://tsk.scripturetext.com/psalms/58.htm| title=|Treasury of Scripture Knowledge| target=|_top|&gt;TSK&lt;/a&gt;</v>
      </c>
      <c r="AC536" t="str">
        <f>CONCATENATE("&lt;a href=|http://",AC1191,"/psalms/58.htm","| ","title=|",AC1190,"| target=|_top|&gt;",AC1192,"&lt;/a&gt;")</f>
        <v>&lt;a href=|http://parallelbible.com/psalms/58.htm| title=|Parallel Chapters| target=|_top|&gt;PAR&lt;/a&gt;</v>
      </c>
      <c r="AD536" s="2" t="str">
        <f t="shared" ref="AD536:AK536" si="2142">CONCATENATE("&lt;/li&gt;&lt;li&gt;&lt;a href=|http://",AD1191,"/psalms/58.htm","| ","title=|",AD1190,"| target=|_top|&gt;",AD1192,"&lt;/a&gt;")</f>
        <v>&lt;/li&gt;&lt;li&gt;&lt;a href=|http://gsb.biblecommenter.com/psalms/58.htm| title=|Geneva Study Bible| target=|_top|&gt;GSB&lt;/a&gt;</v>
      </c>
      <c r="AE536" s="2" t="str">
        <f t="shared" si="2142"/>
        <v>&lt;/li&gt;&lt;li&gt;&lt;a href=|http://jfb.biblecommenter.com/psalms/58.htm| title=|Jamieson-Fausset-Brown Bible Commentary| target=|_top|&gt;JFB&lt;/a&gt;</v>
      </c>
      <c r="AF536" s="2" t="str">
        <f t="shared" si="2142"/>
        <v>&lt;/li&gt;&lt;li&gt;&lt;a href=|http://kjt.biblecommenter.com/psalms/58.htm| title=|King James Translators' Notes| target=|_top|&gt;KJT&lt;/a&gt;</v>
      </c>
      <c r="AG536" s="2" t="str">
        <f t="shared" si="2142"/>
        <v>&lt;/li&gt;&lt;li&gt;&lt;a href=|http://mhc.biblecommenter.com/psalms/58.htm| title=|Matthew Henry's Concise Commentary| target=|_top|&gt;MHC&lt;/a&gt;</v>
      </c>
      <c r="AH536" s="2" t="str">
        <f t="shared" si="2142"/>
        <v>&lt;/li&gt;&lt;li&gt;&lt;a href=|http://sco.biblecommenter.com/psalms/58.htm| title=|Scofield Reference Notes| target=|_top|&gt;SCO&lt;/a&gt;</v>
      </c>
      <c r="AI536" s="2" t="str">
        <f t="shared" si="2142"/>
        <v>&lt;/li&gt;&lt;li&gt;&lt;a href=|http://wes.biblecommenter.com/psalms/58.htm| title=|Wesley's Notes on the Bible| target=|_top|&gt;WES&lt;/a&gt;</v>
      </c>
      <c r="AJ536" t="str">
        <f t="shared" si="2142"/>
        <v>&lt;/li&gt;&lt;li&gt;&lt;a href=|http://worldebible.com/psalms/58.htm| title=|World English Bible| target=|_top|&gt;WEB&lt;/a&gt;</v>
      </c>
      <c r="AK536" t="str">
        <f t="shared" si="2142"/>
        <v>&lt;/li&gt;&lt;li&gt;&lt;a href=|http://yltbible.com/psalms/58.htm| title=|Young's Literal Translation| target=|_top|&gt;YLT&lt;/a&gt;</v>
      </c>
      <c r="AL536" t="str">
        <f>CONCATENATE("&lt;a href=|http://",AL1191,"/psalms/58.htm","| ","title=|",AL1190,"| target=|_top|&gt;",AL1192,"&lt;/a&gt;")</f>
        <v>&lt;a href=|http://kjv.us/psalms/58.htm| title=|American King James Version| target=|_top|&gt;AKJ&lt;/a&gt;</v>
      </c>
      <c r="AM536" t="str">
        <f t="shared" ref="AM536:AN536" si="2143">CONCATENATE("&lt;/li&gt;&lt;li&gt;&lt;a href=|http://",AM1191,"/psalms/58.htm","| ","title=|",AM1190,"| target=|_top|&gt;",AM1192,"&lt;/a&gt;")</f>
        <v>&lt;/li&gt;&lt;li&gt;&lt;a href=|http://basicenglishbible.com/psalms/58.htm| title=|Bible in Basic English| target=|_top|&gt;BBE&lt;/a&gt;</v>
      </c>
      <c r="AN536" t="str">
        <f t="shared" si="2143"/>
        <v>&lt;/li&gt;&lt;li&gt;&lt;a href=|http://darbybible.com/psalms/58.htm| title=|Darby Bible Translation| target=|_top|&gt;DBY&lt;/a&gt;</v>
      </c>
      <c r="AO53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3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3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36" t="str">
        <f>CONCATENATE("&lt;/li&gt;&lt;li&gt;&lt;a href=|http://",AR1191,"/psalms/58.htm","| ","title=|",AR1190,"| target=|_top|&gt;",AR1192,"&lt;/a&gt;")</f>
        <v>&lt;/li&gt;&lt;li&gt;&lt;a href=|http://websterbible.com/psalms/58.htm| title=|Webster's Bible Translation| target=|_top|&gt;WBS&lt;/a&gt;</v>
      </c>
      <c r="AS53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36" t="str">
        <f>CONCATENATE("&lt;/li&gt;&lt;li&gt;&lt;a href=|http://",AT1191,"/psalms/58-1.htm","| ","title=|",AT1190,"| target=|_top|&gt;",AT1192,"&lt;/a&gt;")</f>
        <v>&lt;/li&gt;&lt;li&gt;&lt;a href=|http://biblebrowser.com/psalms/58-1.htm| title=|Split View| target=|_top|&gt;Split&lt;/a&gt;</v>
      </c>
      <c r="AU536" s="2" t="s">
        <v>1276</v>
      </c>
      <c r="AV536" t="s">
        <v>64</v>
      </c>
    </row>
    <row r="537" spans="1:48">
      <c r="A537" t="s">
        <v>622</v>
      </c>
      <c r="B537" t="s">
        <v>775</v>
      </c>
      <c r="C537" t="s">
        <v>624</v>
      </c>
      <c r="D537" t="s">
        <v>1268</v>
      </c>
      <c r="E537" t="s">
        <v>1277</v>
      </c>
      <c r="F537" t="s">
        <v>1304</v>
      </c>
      <c r="G537" t="s">
        <v>1266</v>
      </c>
      <c r="H537" t="s">
        <v>1305</v>
      </c>
      <c r="I537" t="s">
        <v>1303</v>
      </c>
      <c r="J537" t="s">
        <v>1267</v>
      </c>
      <c r="K537" t="s">
        <v>1275</v>
      </c>
      <c r="L537" s="2" t="s">
        <v>1274</v>
      </c>
      <c r="M537" t="str">
        <f t="shared" ref="M537:AB537" si="2144">CONCATENATE("&lt;/li&gt;&lt;li&gt;&lt;a href=|http://",M1191,"/psalms/59.htm","| ","title=|",M1190,"| target=|_top|&gt;",M1192,"&lt;/a&gt;")</f>
        <v>&lt;/li&gt;&lt;li&gt;&lt;a href=|http://niv.scripturetext.com/psalms/59.htm| title=|New International Version| target=|_top|&gt;NIV&lt;/a&gt;</v>
      </c>
      <c r="N537" t="str">
        <f t="shared" si="2144"/>
        <v>&lt;/li&gt;&lt;li&gt;&lt;a href=|http://nlt.scripturetext.com/psalms/59.htm| title=|New Living Translation| target=|_top|&gt;NLT&lt;/a&gt;</v>
      </c>
      <c r="O537" t="str">
        <f t="shared" si="2144"/>
        <v>&lt;/li&gt;&lt;li&gt;&lt;a href=|http://nasb.scripturetext.com/psalms/59.htm| title=|New American Standard Bible| target=|_top|&gt;NAS&lt;/a&gt;</v>
      </c>
      <c r="P537" t="str">
        <f t="shared" si="2144"/>
        <v>&lt;/li&gt;&lt;li&gt;&lt;a href=|http://gwt.scripturetext.com/psalms/59.htm| title=|God's Word Translation| target=|_top|&gt;GWT&lt;/a&gt;</v>
      </c>
      <c r="Q537" t="str">
        <f t="shared" si="2144"/>
        <v>&lt;/li&gt;&lt;li&gt;&lt;a href=|http://kingjbible.com/psalms/59.htm| title=|King James Bible| target=|_top|&gt;KJV&lt;/a&gt;</v>
      </c>
      <c r="R537" t="str">
        <f t="shared" si="2144"/>
        <v>&lt;/li&gt;&lt;li&gt;&lt;a href=|http://asvbible.com/psalms/59.htm| title=|American Standard Version| target=|_top|&gt;ASV&lt;/a&gt;</v>
      </c>
      <c r="S537" t="str">
        <f t="shared" si="2144"/>
        <v>&lt;/li&gt;&lt;li&gt;&lt;a href=|http://drb.scripturetext.com/psalms/59.htm| title=|Douay-Rheims Bible| target=|_top|&gt;DRB&lt;/a&gt;</v>
      </c>
      <c r="T537" t="str">
        <f t="shared" si="2144"/>
        <v>&lt;/li&gt;&lt;li&gt;&lt;a href=|http://erv.scripturetext.com/psalms/59.htm| title=|English Revised Version| target=|_top|&gt;ERV&lt;/a&gt;</v>
      </c>
      <c r="V537" t="str">
        <f>CONCATENATE("&lt;/li&gt;&lt;li&gt;&lt;a href=|http://",V1191,"/psalms/59.htm","| ","title=|",V1190,"| target=|_top|&gt;",V1192,"&lt;/a&gt;")</f>
        <v>&lt;/li&gt;&lt;li&gt;&lt;a href=|http://study.interlinearbible.org/psalms/59.htm| title=|Hebrew Study Bible| target=|_top|&gt;Heb Study&lt;/a&gt;</v>
      </c>
      <c r="W537" t="str">
        <f t="shared" si="2144"/>
        <v>&lt;/li&gt;&lt;li&gt;&lt;a href=|http://apostolic.interlinearbible.org/psalms/59.htm| title=|Apostolic Bible Polyglot Interlinear| target=|_top|&gt;Polyglot&lt;/a&gt;</v>
      </c>
      <c r="X537" t="str">
        <f t="shared" si="2144"/>
        <v>&lt;/li&gt;&lt;li&gt;&lt;a href=|http://interlinearbible.org/psalms/59.htm| title=|Interlinear Bible| target=|_top|&gt;Interlin&lt;/a&gt;</v>
      </c>
      <c r="Y537" t="str">
        <f t="shared" ref="Y537" si="2145">CONCATENATE("&lt;/li&gt;&lt;li&gt;&lt;a href=|http://",Y1191,"/psalms/59.htm","| ","title=|",Y1190,"| target=|_top|&gt;",Y1192,"&lt;/a&gt;")</f>
        <v>&lt;/li&gt;&lt;li&gt;&lt;a href=|http://bibleoutline.org/psalms/59.htm| title=|Outline with People and Places List| target=|_top|&gt;Outline&lt;/a&gt;</v>
      </c>
      <c r="Z537" t="str">
        <f t="shared" si="2144"/>
        <v>&lt;/li&gt;&lt;li&gt;&lt;a href=|http://kjvs.scripturetext.com/psalms/59.htm| title=|King James Bible with Strong's Numbers| target=|_top|&gt;Strong's&lt;/a&gt;</v>
      </c>
      <c r="AA537" t="str">
        <f t="shared" si="2144"/>
        <v>&lt;/li&gt;&lt;li&gt;&lt;a href=|http://childrensbibleonline.com/psalms/59.htm| title=|The Children's Bible| target=|_top|&gt;Children's&lt;/a&gt;</v>
      </c>
      <c r="AB537" s="2" t="str">
        <f t="shared" si="2144"/>
        <v>&lt;/li&gt;&lt;li&gt;&lt;a href=|http://tsk.scripturetext.com/psalms/59.htm| title=|Treasury of Scripture Knowledge| target=|_top|&gt;TSK&lt;/a&gt;</v>
      </c>
      <c r="AC537" t="str">
        <f>CONCATENATE("&lt;a href=|http://",AC1191,"/psalms/59.htm","| ","title=|",AC1190,"| target=|_top|&gt;",AC1192,"&lt;/a&gt;")</f>
        <v>&lt;a href=|http://parallelbible.com/psalms/59.htm| title=|Parallel Chapters| target=|_top|&gt;PAR&lt;/a&gt;</v>
      </c>
      <c r="AD537" s="2" t="str">
        <f t="shared" ref="AD537:AK537" si="2146">CONCATENATE("&lt;/li&gt;&lt;li&gt;&lt;a href=|http://",AD1191,"/psalms/59.htm","| ","title=|",AD1190,"| target=|_top|&gt;",AD1192,"&lt;/a&gt;")</f>
        <v>&lt;/li&gt;&lt;li&gt;&lt;a href=|http://gsb.biblecommenter.com/psalms/59.htm| title=|Geneva Study Bible| target=|_top|&gt;GSB&lt;/a&gt;</v>
      </c>
      <c r="AE537" s="2" t="str">
        <f t="shared" si="2146"/>
        <v>&lt;/li&gt;&lt;li&gt;&lt;a href=|http://jfb.biblecommenter.com/psalms/59.htm| title=|Jamieson-Fausset-Brown Bible Commentary| target=|_top|&gt;JFB&lt;/a&gt;</v>
      </c>
      <c r="AF537" s="2" t="str">
        <f t="shared" si="2146"/>
        <v>&lt;/li&gt;&lt;li&gt;&lt;a href=|http://kjt.biblecommenter.com/psalms/59.htm| title=|King James Translators' Notes| target=|_top|&gt;KJT&lt;/a&gt;</v>
      </c>
      <c r="AG537" s="2" t="str">
        <f t="shared" si="2146"/>
        <v>&lt;/li&gt;&lt;li&gt;&lt;a href=|http://mhc.biblecommenter.com/psalms/59.htm| title=|Matthew Henry's Concise Commentary| target=|_top|&gt;MHC&lt;/a&gt;</v>
      </c>
      <c r="AH537" s="2" t="str">
        <f t="shared" si="2146"/>
        <v>&lt;/li&gt;&lt;li&gt;&lt;a href=|http://sco.biblecommenter.com/psalms/59.htm| title=|Scofield Reference Notes| target=|_top|&gt;SCO&lt;/a&gt;</v>
      </c>
      <c r="AI537" s="2" t="str">
        <f t="shared" si="2146"/>
        <v>&lt;/li&gt;&lt;li&gt;&lt;a href=|http://wes.biblecommenter.com/psalms/59.htm| title=|Wesley's Notes on the Bible| target=|_top|&gt;WES&lt;/a&gt;</v>
      </c>
      <c r="AJ537" t="str">
        <f t="shared" si="2146"/>
        <v>&lt;/li&gt;&lt;li&gt;&lt;a href=|http://worldebible.com/psalms/59.htm| title=|World English Bible| target=|_top|&gt;WEB&lt;/a&gt;</v>
      </c>
      <c r="AK537" t="str">
        <f t="shared" si="2146"/>
        <v>&lt;/li&gt;&lt;li&gt;&lt;a href=|http://yltbible.com/psalms/59.htm| title=|Young's Literal Translation| target=|_top|&gt;YLT&lt;/a&gt;</v>
      </c>
      <c r="AL537" t="str">
        <f>CONCATENATE("&lt;a href=|http://",AL1191,"/psalms/59.htm","| ","title=|",AL1190,"| target=|_top|&gt;",AL1192,"&lt;/a&gt;")</f>
        <v>&lt;a href=|http://kjv.us/psalms/59.htm| title=|American King James Version| target=|_top|&gt;AKJ&lt;/a&gt;</v>
      </c>
      <c r="AM537" t="str">
        <f t="shared" ref="AM537:AN537" si="2147">CONCATENATE("&lt;/li&gt;&lt;li&gt;&lt;a href=|http://",AM1191,"/psalms/59.htm","| ","title=|",AM1190,"| target=|_top|&gt;",AM1192,"&lt;/a&gt;")</f>
        <v>&lt;/li&gt;&lt;li&gt;&lt;a href=|http://basicenglishbible.com/psalms/59.htm| title=|Bible in Basic English| target=|_top|&gt;BBE&lt;/a&gt;</v>
      </c>
      <c r="AN537" t="str">
        <f t="shared" si="2147"/>
        <v>&lt;/li&gt;&lt;li&gt;&lt;a href=|http://darbybible.com/psalms/59.htm| title=|Darby Bible Translation| target=|_top|&gt;DBY&lt;/a&gt;</v>
      </c>
      <c r="AO53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3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3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37" t="str">
        <f>CONCATENATE("&lt;/li&gt;&lt;li&gt;&lt;a href=|http://",AR1191,"/psalms/59.htm","| ","title=|",AR1190,"| target=|_top|&gt;",AR1192,"&lt;/a&gt;")</f>
        <v>&lt;/li&gt;&lt;li&gt;&lt;a href=|http://websterbible.com/psalms/59.htm| title=|Webster's Bible Translation| target=|_top|&gt;WBS&lt;/a&gt;</v>
      </c>
      <c r="AS53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37" t="str">
        <f>CONCATENATE("&lt;/li&gt;&lt;li&gt;&lt;a href=|http://",AT1191,"/psalms/59-1.htm","| ","title=|",AT1190,"| target=|_top|&gt;",AT1192,"&lt;/a&gt;")</f>
        <v>&lt;/li&gt;&lt;li&gt;&lt;a href=|http://biblebrowser.com/psalms/59-1.htm| title=|Split View| target=|_top|&gt;Split&lt;/a&gt;</v>
      </c>
      <c r="AU537" s="2" t="s">
        <v>1276</v>
      </c>
      <c r="AV537" t="s">
        <v>64</v>
      </c>
    </row>
    <row r="538" spans="1:48">
      <c r="A538" t="s">
        <v>622</v>
      </c>
      <c r="B538" t="s">
        <v>776</v>
      </c>
      <c r="C538" t="s">
        <v>624</v>
      </c>
      <c r="D538" t="s">
        <v>1268</v>
      </c>
      <c r="E538" t="s">
        <v>1277</v>
      </c>
      <c r="F538" t="s">
        <v>1304</v>
      </c>
      <c r="G538" t="s">
        <v>1266</v>
      </c>
      <c r="H538" t="s">
        <v>1305</v>
      </c>
      <c r="I538" t="s">
        <v>1303</v>
      </c>
      <c r="J538" t="s">
        <v>1267</v>
      </c>
      <c r="K538" t="s">
        <v>1275</v>
      </c>
      <c r="L538" s="2" t="s">
        <v>1274</v>
      </c>
      <c r="M538" t="str">
        <f t="shared" ref="M538:AB538" si="2148">CONCATENATE("&lt;/li&gt;&lt;li&gt;&lt;a href=|http://",M1191,"/psalms/60.htm","| ","title=|",M1190,"| target=|_top|&gt;",M1192,"&lt;/a&gt;")</f>
        <v>&lt;/li&gt;&lt;li&gt;&lt;a href=|http://niv.scripturetext.com/psalms/60.htm| title=|New International Version| target=|_top|&gt;NIV&lt;/a&gt;</v>
      </c>
      <c r="N538" t="str">
        <f t="shared" si="2148"/>
        <v>&lt;/li&gt;&lt;li&gt;&lt;a href=|http://nlt.scripturetext.com/psalms/60.htm| title=|New Living Translation| target=|_top|&gt;NLT&lt;/a&gt;</v>
      </c>
      <c r="O538" t="str">
        <f t="shared" si="2148"/>
        <v>&lt;/li&gt;&lt;li&gt;&lt;a href=|http://nasb.scripturetext.com/psalms/60.htm| title=|New American Standard Bible| target=|_top|&gt;NAS&lt;/a&gt;</v>
      </c>
      <c r="P538" t="str">
        <f t="shared" si="2148"/>
        <v>&lt;/li&gt;&lt;li&gt;&lt;a href=|http://gwt.scripturetext.com/psalms/60.htm| title=|God's Word Translation| target=|_top|&gt;GWT&lt;/a&gt;</v>
      </c>
      <c r="Q538" t="str">
        <f t="shared" si="2148"/>
        <v>&lt;/li&gt;&lt;li&gt;&lt;a href=|http://kingjbible.com/psalms/60.htm| title=|King James Bible| target=|_top|&gt;KJV&lt;/a&gt;</v>
      </c>
      <c r="R538" t="str">
        <f t="shared" si="2148"/>
        <v>&lt;/li&gt;&lt;li&gt;&lt;a href=|http://asvbible.com/psalms/60.htm| title=|American Standard Version| target=|_top|&gt;ASV&lt;/a&gt;</v>
      </c>
      <c r="S538" t="str">
        <f t="shared" si="2148"/>
        <v>&lt;/li&gt;&lt;li&gt;&lt;a href=|http://drb.scripturetext.com/psalms/60.htm| title=|Douay-Rheims Bible| target=|_top|&gt;DRB&lt;/a&gt;</v>
      </c>
      <c r="T538" t="str">
        <f t="shared" si="2148"/>
        <v>&lt;/li&gt;&lt;li&gt;&lt;a href=|http://erv.scripturetext.com/psalms/60.htm| title=|English Revised Version| target=|_top|&gt;ERV&lt;/a&gt;</v>
      </c>
      <c r="V538" t="str">
        <f>CONCATENATE("&lt;/li&gt;&lt;li&gt;&lt;a href=|http://",V1191,"/psalms/60.htm","| ","title=|",V1190,"| target=|_top|&gt;",V1192,"&lt;/a&gt;")</f>
        <v>&lt;/li&gt;&lt;li&gt;&lt;a href=|http://study.interlinearbible.org/psalms/60.htm| title=|Hebrew Study Bible| target=|_top|&gt;Heb Study&lt;/a&gt;</v>
      </c>
      <c r="W538" t="str">
        <f t="shared" si="2148"/>
        <v>&lt;/li&gt;&lt;li&gt;&lt;a href=|http://apostolic.interlinearbible.org/psalms/60.htm| title=|Apostolic Bible Polyglot Interlinear| target=|_top|&gt;Polyglot&lt;/a&gt;</v>
      </c>
      <c r="X538" t="str">
        <f t="shared" si="2148"/>
        <v>&lt;/li&gt;&lt;li&gt;&lt;a href=|http://interlinearbible.org/psalms/60.htm| title=|Interlinear Bible| target=|_top|&gt;Interlin&lt;/a&gt;</v>
      </c>
      <c r="Y538" t="str">
        <f t="shared" ref="Y538" si="2149">CONCATENATE("&lt;/li&gt;&lt;li&gt;&lt;a href=|http://",Y1191,"/psalms/60.htm","| ","title=|",Y1190,"| target=|_top|&gt;",Y1192,"&lt;/a&gt;")</f>
        <v>&lt;/li&gt;&lt;li&gt;&lt;a href=|http://bibleoutline.org/psalms/60.htm| title=|Outline with People and Places List| target=|_top|&gt;Outline&lt;/a&gt;</v>
      </c>
      <c r="Z538" t="str">
        <f t="shared" si="2148"/>
        <v>&lt;/li&gt;&lt;li&gt;&lt;a href=|http://kjvs.scripturetext.com/psalms/60.htm| title=|King James Bible with Strong's Numbers| target=|_top|&gt;Strong's&lt;/a&gt;</v>
      </c>
      <c r="AA538" t="str">
        <f t="shared" si="2148"/>
        <v>&lt;/li&gt;&lt;li&gt;&lt;a href=|http://childrensbibleonline.com/psalms/60.htm| title=|The Children's Bible| target=|_top|&gt;Children's&lt;/a&gt;</v>
      </c>
      <c r="AB538" s="2" t="str">
        <f t="shared" si="2148"/>
        <v>&lt;/li&gt;&lt;li&gt;&lt;a href=|http://tsk.scripturetext.com/psalms/60.htm| title=|Treasury of Scripture Knowledge| target=|_top|&gt;TSK&lt;/a&gt;</v>
      </c>
      <c r="AC538" t="str">
        <f>CONCATENATE("&lt;a href=|http://",AC1191,"/psalms/60.htm","| ","title=|",AC1190,"| target=|_top|&gt;",AC1192,"&lt;/a&gt;")</f>
        <v>&lt;a href=|http://parallelbible.com/psalms/60.htm| title=|Parallel Chapters| target=|_top|&gt;PAR&lt;/a&gt;</v>
      </c>
      <c r="AD538" s="2" t="str">
        <f t="shared" ref="AD538:AK538" si="2150">CONCATENATE("&lt;/li&gt;&lt;li&gt;&lt;a href=|http://",AD1191,"/psalms/60.htm","| ","title=|",AD1190,"| target=|_top|&gt;",AD1192,"&lt;/a&gt;")</f>
        <v>&lt;/li&gt;&lt;li&gt;&lt;a href=|http://gsb.biblecommenter.com/psalms/60.htm| title=|Geneva Study Bible| target=|_top|&gt;GSB&lt;/a&gt;</v>
      </c>
      <c r="AE538" s="2" t="str">
        <f t="shared" si="2150"/>
        <v>&lt;/li&gt;&lt;li&gt;&lt;a href=|http://jfb.biblecommenter.com/psalms/60.htm| title=|Jamieson-Fausset-Brown Bible Commentary| target=|_top|&gt;JFB&lt;/a&gt;</v>
      </c>
      <c r="AF538" s="2" t="str">
        <f t="shared" si="2150"/>
        <v>&lt;/li&gt;&lt;li&gt;&lt;a href=|http://kjt.biblecommenter.com/psalms/60.htm| title=|King James Translators' Notes| target=|_top|&gt;KJT&lt;/a&gt;</v>
      </c>
      <c r="AG538" s="2" t="str">
        <f t="shared" si="2150"/>
        <v>&lt;/li&gt;&lt;li&gt;&lt;a href=|http://mhc.biblecommenter.com/psalms/60.htm| title=|Matthew Henry's Concise Commentary| target=|_top|&gt;MHC&lt;/a&gt;</v>
      </c>
      <c r="AH538" s="2" t="str">
        <f t="shared" si="2150"/>
        <v>&lt;/li&gt;&lt;li&gt;&lt;a href=|http://sco.biblecommenter.com/psalms/60.htm| title=|Scofield Reference Notes| target=|_top|&gt;SCO&lt;/a&gt;</v>
      </c>
      <c r="AI538" s="2" t="str">
        <f t="shared" si="2150"/>
        <v>&lt;/li&gt;&lt;li&gt;&lt;a href=|http://wes.biblecommenter.com/psalms/60.htm| title=|Wesley's Notes on the Bible| target=|_top|&gt;WES&lt;/a&gt;</v>
      </c>
      <c r="AJ538" t="str">
        <f t="shared" si="2150"/>
        <v>&lt;/li&gt;&lt;li&gt;&lt;a href=|http://worldebible.com/psalms/60.htm| title=|World English Bible| target=|_top|&gt;WEB&lt;/a&gt;</v>
      </c>
      <c r="AK538" t="str">
        <f t="shared" si="2150"/>
        <v>&lt;/li&gt;&lt;li&gt;&lt;a href=|http://yltbible.com/psalms/60.htm| title=|Young's Literal Translation| target=|_top|&gt;YLT&lt;/a&gt;</v>
      </c>
      <c r="AL538" t="str">
        <f>CONCATENATE("&lt;a href=|http://",AL1191,"/psalms/60.htm","| ","title=|",AL1190,"| target=|_top|&gt;",AL1192,"&lt;/a&gt;")</f>
        <v>&lt;a href=|http://kjv.us/psalms/60.htm| title=|American King James Version| target=|_top|&gt;AKJ&lt;/a&gt;</v>
      </c>
      <c r="AM538" t="str">
        <f t="shared" ref="AM538:AN538" si="2151">CONCATENATE("&lt;/li&gt;&lt;li&gt;&lt;a href=|http://",AM1191,"/psalms/60.htm","| ","title=|",AM1190,"| target=|_top|&gt;",AM1192,"&lt;/a&gt;")</f>
        <v>&lt;/li&gt;&lt;li&gt;&lt;a href=|http://basicenglishbible.com/psalms/60.htm| title=|Bible in Basic English| target=|_top|&gt;BBE&lt;/a&gt;</v>
      </c>
      <c r="AN538" t="str">
        <f t="shared" si="2151"/>
        <v>&lt;/li&gt;&lt;li&gt;&lt;a href=|http://darbybible.com/psalms/60.htm| title=|Darby Bible Translation| target=|_top|&gt;DBY&lt;/a&gt;</v>
      </c>
      <c r="AO53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3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3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38" t="str">
        <f>CONCATENATE("&lt;/li&gt;&lt;li&gt;&lt;a href=|http://",AR1191,"/psalms/60.htm","| ","title=|",AR1190,"| target=|_top|&gt;",AR1192,"&lt;/a&gt;")</f>
        <v>&lt;/li&gt;&lt;li&gt;&lt;a href=|http://websterbible.com/psalms/60.htm| title=|Webster's Bible Translation| target=|_top|&gt;WBS&lt;/a&gt;</v>
      </c>
      <c r="AS53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38" t="str">
        <f>CONCATENATE("&lt;/li&gt;&lt;li&gt;&lt;a href=|http://",AT1191,"/psalms/60-1.htm","| ","title=|",AT1190,"| target=|_top|&gt;",AT1192,"&lt;/a&gt;")</f>
        <v>&lt;/li&gt;&lt;li&gt;&lt;a href=|http://biblebrowser.com/psalms/60-1.htm| title=|Split View| target=|_top|&gt;Split&lt;/a&gt;</v>
      </c>
      <c r="AU538" s="2" t="s">
        <v>1276</v>
      </c>
      <c r="AV538" t="s">
        <v>64</v>
      </c>
    </row>
    <row r="539" spans="1:48">
      <c r="A539" t="s">
        <v>622</v>
      </c>
      <c r="B539" t="s">
        <v>777</v>
      </c>
      <c r="C539" t="s">
        <v>624</v>
      </c>
      <c r="D539" t="s">
        <v>1268</v>
      </c>
      <c r="E539" t="s">
        <v>1277</v>
      </c>
      <c r="F539" t="s">
        <v>1304</v>
      </c>
      <c r="G539" t="s">
        <v>1266</v>
      </c>
      <c r="H539" t="s">
        <v>1305</v>
      </c>
      <c r="I539" t="s">
        <v>1303</v>
      </c>
      <c r="J539" t="s">
        <v>1267</v>
      </c>
      <c r="K539" t="s">
        <v>1275</v>
      </c>
      <c r="L539" s="2" t="s">
        <v>1274</v>
      </c>
      <c r="M539" t="str">
        <f t="shared" ref="M539:AB539" si="2152">CONCATENATE("&lt;/li&gt;&lt;li&gt;&lt;a href=|http://",M1191,"/psalms/61.htm","| ","title=|",M1190,"| target=|_top|&gt;",M1192,"&lt;/a&gt;")</f>
        <v>&lt;/li&gt;&lt;li&gt;&lt;a href=|http://niv.scripturetext.com/psalms/61.htm| title=|New International Version| target=|_top|&gt;NIV&lt;/a&gt;</v>
      </c>
      <c r="N539" t="str">
        <f t="shared" si="2152"/>
        <v>&lt;/li&gt;&lt;li&gt;&lt;a href=|http://nlt.scripturetext.com/psalms/61.htm| title=|New Living Translation| target=|_top|&gt;NLT&lt;/a&gt;</v>
      </c>
      <c r="O539" t="str">
        <f t="shared" si="2152"/>
        <v>&lt;/li&gt;&lt;li&gt;&lt;a href=|http://nasb.scripturetext.com/psalms/61.htm| title=|New American Standard Bible| target=|_top|&gt;NAS&lt;/a&gt;</v>
      </c>
      <c r="P539" t="str">
        <f t="shared" si="2152"/>
        <v>&lt;/li&gt;&lt;li&gt;&lt;a href=|http://gwt.scripturetext.com/psalms/61.htm| title=|God's Word Translation| target=|_top|&gt;GWT&lt;/a&gt;</v>
      </c>
      <c r="Q539" t="str">
        <f t="shared" si="2152"/>
        <v>&lt;/li&gt;&lt;li&gt;&lt;a href=|http://kingjbible.com/psalms/61.htm| title=|King James Bible| target=|_top|&gt;KJV&lt;/a&gt;</v>
      </c>
      <c r="R539" t="str">
        <f t="shared" si="2152"/>
        <v>&lt;/li&gt;&lt;li&gt;&lt;a href=|http://asvbible.com/psalms/61.htm| title=|American Standard Version| target=|_top|&gt;ASV&lt;/a&gt;</v>
      </c>
      <c r="S539" t="str">
        <f t="shared" si="2152"/>
        <v>&lt;/li&gt;&lt;li&gt;&lt;a href=|http://drb.scripturetext.com/psalms/61.htm| title=|Douay-Rheims Bible| target=|_top|&gt;DRB&lt;/a&gt;</v>
      </c>
      <c r="T539" t="str">
        <f t="shared" si="2152"/>
        <v>&lt;/li&gt;&lt;li&gt;&lt;a href=|http://erv.scripturetext.com/psalms/61.htm| title=|English Revised Version| target=|_top|&gt;ERV&lt;/a&gt;</v>
      </c>
      <c r="V539" t="str">
        <f>CONCATENATE("&lt;/li&gt;&lt;li&gt;&lt;a href=|http://",V1191,"/psalms/61.htm","| ","title=|",V1190,"| target=|_top|&gt;",V1192,"&lt;/a&gt;")</f>
        <v>&lt;/li&gt;&lt;li&gt;&lt;a href=|http://study.interlinearbible.org/psalms/61.htm| title=|Hebrew Study Bible| target=|_top|&gt;Heb Study&lt;/a&gt;</v>
      </c>
      <c r="W539" t="str">
        <f t="shared" si="2152"/>
        <v>&lt;/li&gt;&lt;li&gt;&lt;a href=|http://apostolic.interlinearbible.org/psalms/61.htm| title=|Apostolic Bible Polyglot Interlinear| target=|_top|&gt;Polyglot&lt;/a&gt;</v>
      </c>
      <c r="X539" t="str">
        <f t="shared" si="2152"/>
        <v>&lt;/li&gt;&lt;li&gt;&lt;a href=|http://interlinearbible.org/psalms/61.htm| title=|Interlinear Bible| target=|_top|&gt;Interlin&lt;/a&gt;</v>
      </c>
      <c r="Y539" t="str">
        <f t="shared" ref="Y539" si="2153">CONCATENATE("&lt;/li&gt;&lt;li&gt;&lt;a href=|http://",Y1191,"/psalms/61.htm","| ","title=|",Y1190,"| target=|_top|&gt;",Y1192,"&lt;/a&gt;")</f>
        <v>&lt;/li&gt;&lt;li&gt;&lt;a href=|http://bibleoutline.org/psalms/61.htm| title=|Outline with People and Places List| target=|_top|&gt;Outline&lt;/a&gt;</v>
      </c>
      <c r="Z539" t="str">
        <f t="shared" si="2152"/>
        <v>&lt;/li&gt;&lt;li&gt;&lt;a href=|http://kjvs.scripturetext.com/psalms/61.htm| title=|King James Bible with Strong's Numbers| target=|_top|&gt;Strong's&lt;/a&gt;</v>
      </c>
      <c r="AA539" t="str">
        <f t="shared" si="2152"/>
        <v>&lt;/li&gt;&lt;li&gt;&lt;a href=|http://childrensbibleonline.com/psalms/61.htm| title=|The Children's Bible| target=|_top|&gt;Children's&lt;/a&gt;</v>
      </c>
      <c r="AB539" s="2" t="str">
        <f t="shared" si="2152"/>
        <v>&lt;/li&gt;&lt;li&gt;&lt;a href=|http://tsk.scripturetext.com/psalms/61.htm| title=|Treasury of Scripture Knowledge| target=|_top|&gt;TSK&lt;/a&gt;</v>
      </c>
      <c r="AC539" t="str">
        <f>CONCATENATE("&lt;a href=|http://",AC1191,"/psalms/61.htm","| ","title=|",AC1190,"| target=|_top|&gt;",AC1192,"&lt;/a&gt;")</f>
        <v>&lt;a href=|http://parallelbible.com/psalms/61.htm| title=|Parallel Chapters| target=|_top|&gt;PAR&lt;/a&gt;</v>
      </c>
      <c r="AD539" s="2" t="str">
        <f t="shared" ref="AD539:AK539" si="2154">CONCATENATE("&lt;/li&gt;&lt;li&gt;&lt;a href=|http://",AD1191,"/psalms/61.htm","| ","title=|",AD1190,"| target=|_top|&gt;",AD1192,"&lt;/a&gt;")</f>
        <v>&lt;/li&gt;&lt;li&gt;&lt;a href=|http://gsb.biblecommenter.com/psalms/61.htm| title=|Geneva Study Bible| target=|_top|&gt;GSB&lt;/a&gt;</v>
      </c>
      <c r="AE539" s="2" t="str">
        <f t="shared" si="2154"/>
        <v>&lt;/li&gt;&lt;li&gt;&lt;a href=|http://jfb.biblecommenter.com/psalms/61.htm| title=|Jamieson-Fausset-Brown Bible Commentary| target=|_top|&gt;JFB&lt;/a&gt;</v>
      </c>
      <c r="AF539" s="2" t="str">
        <f t="shared" si="2154"/>
        <v>&lt;/li&gt;&lt;li&gt;&lt;a href=|http://kjt.biblecommenter.com/psalms/61.htm| title=|King James Translators' Notes| target=|_top|&gt;KJT&lt;/a&gt;</v>
      </c>
      <c r="AG539" s="2" t="str">
        <f t="shared" si="2154"/>
        <v>&lt;/li&gt;&lt;li&gt;&lt;a href=|http://mhc.biblecommenter.com/psalms/61.htm| title=|Matthew Henry's Concise Commentary| target=|_top|&gt;MHC&lt;/a&gt;</v>
      </c>
      <c r="AH539" s="2" t="str">
        <f t="shared" si="2154"/>
        <v>&lt;/li&gt;&lt;li&gt;&lt;a href=|http://sco.biblecommenter.com/psalms/61.htm| title=|Scofield Reference Notes| target=|_top|&gt;SCO&lt;/a&gt;</v>
      </c>
      <c r="AI539" s="2" t="str">
        <f t="shared" si="2154"/>
        <v>&lt;/li&gt;&lt;li&gt;&lt;a href=|http://wes.biblecommenter.com/psalms/61.htm| title=|Wesley's Notes on the Bible| target=|_top|&gt;WES&lt;/a&gt;</v>
      </c>
      <c r="AJ539" t="str">
        <f t="shared" si="2154"/>
        <v>&lt;/li&gt;&lt;li&gt;&lt;a href=|http://worldebible.com/psalms/61.htm| title=|World English Bible| target=|_top|&gt;WEB&lt;/a&gt;</v>
      </c>
      <c r="AK539" t="str">
        <f t="shared" si="2154"/>
        <v>&lt;/li&gt;&lt;li&gt;&lt;a href=|http://yltbible.com/psalms/61.htm| title=|Young's Literal Translation| target=|_top|&gt;YLT&lt;/a&gt;</v>
      </c>
      <c r="AL539" t="str">
        <f>CONCATENATE("&lt;a href=|http://",AL1191,"/psalms/61.htm","| ","title=|",AL1190,"| target=|_top|&gt;",AL1192,"&lt;/a&gt;")</f>
        <v>&lt;a href=|http://kjv.us/psalms/61.htm| title=|American King James Version| target=|_top|&gt;AKJ&lt;/a&gt;</v>
      </c>
      <c r="AM539" t="str">
        <f t="shared" ref="AM539:AN539" si="2155">CONCATENATE("&lt;/li&gt;&lt;li&gt;&lt;a href=|http://",AM1191,"/psalms/61.htm","| ","title=|",AM1190,"| target=|_top|&gt;",AM1192,"&lt;/a&gt;")</f>
        <v>&lt;/li&gt;&lt;li&gt;&lt;a href=|http://basicenglishbible.com/psalms/61.htm| title=|Bible in Basic English| target=|_top|&gt;BBE&lt;/a&gt;</v>
      </c>
      <c r="AN539" t="str">
        <f t="shared" si="2155"/>
        <v>&lt;/li&gt;&lt;li&gt;&lt;a href=|http://darbybible.com/psalms/61.htm| title=|Darby Bible Translation| target=|_top|&gt;DBY&lt;/a&gt;</v>
      </c>
      <c r="AO53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3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3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39" t="str">
        <f>CONCATENATE("&lt;/li&gt;&lt;li&gt;&lt;a href=|http://",AR1191,"/psalms/61.htm","| ","title=|",AR1190,"| target=|_top|&gt;",AR1192,"&lt;/a&gt;")</f>
        <v>&lt;/li&gt;&lt;li&gt;&lt;a href=|http://websterbible.com/psalms/61.htm| title=|Webster's Bible Translation| target=|_top|&gt;WBS&lt;/a&gt;</v>
      </c>
      <c r="AS53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39" t="str">
        <f>CONCATENATE("&lt;/li&gt;&lt;li&gt;&lt;a href=|http://",AT1191,"/psalms/61-1.htm","| ","title=|",AT1190,"| target=|_top|&gt;",AT1192,"&lt;/a&gt;")</f>
        <v>&lt;/li&gt;&lt;li&gt;&lt;a href=|http://biblebrowser.com/psalms/61-1.htm| title=|Split View| target=|_top|&gt;Split&lt;/a&gt;</v>
      </c>
      <c r="AU539" s="2" t="s">
        <v>1276</v>
      </c>
      <c r="AV539" t="s">
        <v>64</v>
      </c>
    </row>
    <row r="540" spans="1:48">
      <c r="A540" t="s">
        <v>622</v>
      </c>
      <c r="B540" t="s">
        <v>778</v>
      </c>
      <c r="C540" t="s">
        <v>624</v>
      </c>
      <c r="D540" t="s">
        <v>1268</v>
      </c>
      <c r="E540" t="s">
        <v>1277</v>
      </c>
      <c r="F540" t="s">
        <v>1304</v>
      </c>
      <c r="G540" t="s">
        <v>1266</v>
      </c>
      <c r="H540" t="s">
        <v>1305</v>
      </c>
      <c r="I540" t="s">
        <v>1303</v>
      </c>
      <c r="J540" t="s">
        <v>1267</v>
      </c>
      <c r="K540" t="s">
        <v>1275</v>
      </c>
      <c r="L540" s="2" t="s">
        <v>1274</v>
      </c>
      <c r="M540" t="str">
        <f t="shared" ref="M540:AB540" si="2156">CONCATENATE("&lt;/li&gt;&lt;li&gt;&lt;a href=|http://",M1191,"/psalms/62.htm","| ","title=|",M1190,"| target=|_top|&gt;",M1192,"&lt;/a&gt;")</f>
        <v>&lt;/li&gt;&lt;li&gt;&lt;a href=|http://niv.scripturetext.com/psalms/62.htm| title=|New International Version| target=|_top|&gt;NIV&lt;/a&gt;</v>
      </c>
      <c r="N540" t="str">
        <f t="shared" si="2156"/>
        <v>&lt;/li&gt;&lt;li&gt;&lt;a href=|http://nlt.scripturetext.com/psalms/62.htm| title=|New Living Translation| target=|_top|&gt;NLT&lt;/a&gt;</v>
      </c>
      <c r="O540" t="str">
        <f t="shared" si="2156"/>
        <v>&lt;/li&gt;&lt;li&gt;&lt;a href=|http://nasb.scripturetext.com/psalms/62.htm| title=|New American Standard Bible| target=|_top|&gt;NAS&lt;/a&gt;</v>
      </c>
      <c r="P540" t="str">
        <f t="shared" si="2156"/>
        <v>&lt;/li&gt;&lt;li&gt;&lt;a href=|http://gwt.scripturetext.com/psalms/62.htm| title=|God's Word Translation| target=|_top|&gt;GWT&lt;/a&gt;</v>
      </c>
      <c r="Q540" t="str">
        <f t="shared" si="2156"/>
        <v>&lt;/li&gt;&lt;li&gt;&lt;a href=|http://kingjbible.com/psalms/62.htm| title=|King James Bible| target=|_top|&gt;KJV&lt;/a&gt;</v>
      </c>
      <c r="R540" t="str">
        <f t="shared" si="2156"/>
        <v>&lt;/li&gt;&lt;li&gt;&lt;a href=|http://asvbible.com/psalms/62.htm| title=|American Standard Version| target=|_top|&gt;ASV&lt;/a&gt;</v>
      </c>
      <c r="S540" t="str">
        <f t="shared" si="2156"/>
        <v>&lt;/li&gt;&lt;li&gt;&lt;a href=|http://drb.scripturetext.com/psalms/62.htm| title=|Douay-Rheims Bible| target=|_top|&gt;DRB&lt;/a&gt;</v>
      </c>
      <c r="T540" t="str">
        <f t="shared" si="2156"/>
        <v>&lt;/li&gt;&lt;li&gt;&lt;a href=|http://erv.scripturetext.com/psalms/62.htm| title=|English Revised Version| target=|_top|&gt;ERV&lt;/a&gt;</v>
      </c>
      <c r="V540" t="str">
        <f>CONCATENATE("&lt;/li&gt;&lt;li&gt;&lt;a href=|http://",V1191,"/psalms/62.htm","| ","title=|",V1190,"| target=|_top|&gt;",V1192,"&lt;/a&gt;")</f>
        <v>&lt;/li&gt;&lt;li&gt;&lt;a href=|http://study.interlinearbible.org/psalms/62.htm| title=|Hebrew Study Bible| target=|_top|&gt;Heb Study&lt;/a&gt;</v>
      </c>
      <c r="W540" t="str">
        <f t="shared" si="2156"/>
        <v>&lt;/li&gt;&lt;li&gt;&lt;a href=|http://apostolic.interlinearbible.org/psalms/62.htm| title=|Apostolic Bible Polyglot Interlinear| target=|_top|&gt;Polyglot&lt;/a&gt;</v>
      </c>
      <c r="X540" t="str">
        <f t="shared" si="2156"/>
        <v>&lt;/li&gt;&lt;li&gt;&lt;a href=|http://interlinearbible.org/psalms/62.htm| title=|Interlinear Bible| target=|_top|&gt;Interlin&lt;/a&gt;</v>
      </c>
      <c r="Y540" t="str">
        <f t="shared" ref="Y540" si="2157">CONCATENATE("&lt;/li&gt;&lt;li&gt;&lt;a href=|http://",Y1191,"/psalms/62.htm","| ","title=|",Y1190,"| target=|_top|&gt;",Y1192,"&lt;/a&gt;")</f>
        <v>&lt;/li&gt;&lt;li&gt;&lt;a href=|http://bibleoutline.org/psalms/62.htm| title=|Outline with People and Places List| target=|_top|&gt;Outline&lt;/a&gt;</v>
      </c>
      <c r="Z540" t="str">
        <f t="shared" si="2156"/>
        <v>&lt;/li&gt;&lt;li&gt;&lt;a href=|http://kjvs.scripturetext.com/psalms/62.htm| title=|King James Bible with Strong's Numbers| target=|_top|&gt;Strong's&lt;/a&gt;</v>
      </c>
      <c r="AA540" t="str">
        <f t="shared" si="2156"/>
        <v>&lt;/li&gt;&lt;li&gt;&lt;a href=|http://childrensbibleonline.com/psalms/62.htm| title=|The Children's Bible| target=|_top|&gt;Children's&lt;/a&gt;</v>
      </c>
      <c r="AB540" s="2" t="str">
        <f t="shared" si="2156"/>
        <v>&lt;/li&gt;&lt;li&gt;&lt;a href=|http://tsk.scripturetext.com/psalms/62.htm| title=|Treasury of Scripture Knowledge| target=|_top|&gt;TSK&lt;/a&gt;</v>
      </c>
      <c r="AC540" t="str">
        <f>CONCATENATE("&lt;a href=|http://",AC1191,"/psalms/62.htm","| ","title=|",AC1190,"| target=|_top|&gt;",AC1192,"&lt;/a&gt;")</f>
        <v>&lt;a href=|http://parallelbible.com/psalms/62.htm| title=|Parallel Chapters| target=|_top|&gt;PAR&lt;/a&gt;</v>
      </c>
      <c r="AD540" s="2" t="str">
        <f t="shared" ref="AD540:AK540" si="2158">CONCATENATE("&lt;/li&gt;&lt;li&gt;&lt;a href=|http://",AD1191,"/psalms/62.htm","| ","title=|",AD1190,"| target=|_top|&gt;",AD1192,"&lt;/a&gt;")</f>
        <v>&lt;/li&gt;&lt;li&gt;&lt;a href=|http://gsb.biblecommenter.com/psalms/62.htm| title=|Geneva Study Bible| target=|_top|&gt;GSB&lt;/a&gt;</v>
      </c>
      <c r="AE540" s="2" t="str">
        <f t="shared" si="2158"/>
        <v>&lt;/li&gt;&lt;li&gt;&lt;a href=|http://jfb.biblecommenter.com/psalms/62.htm| title=|Jamieson-Fausset-Brown Bible Commentary| target=|_top|&gt;JFB&lt;/a&gt;</v>
      </c>
      <c r="AF540" s="2" t="str">
        <f t="shared" si="2158"/>
        <v>&lt;/li&gt;&lt;li&gt;&lt;a href=|http://kjt.biblecommenter.com/psalms/62.htm| title=|King James Translators' Notes| target=|_top|&gt;KJT&lt;/a&gt;</v>
      </c>
      <c r="AG540" s="2" t="str">
        <f t="shared" si="2158"/>
        <v>&lt;/li&gt;&lt;li&gt;&lt;a href=|http://mhc.biblecommenter.com/psalms/62.htm| title=|Matthew Henry's Concise Commentary| target=|_top|&gt;MHC&lt;/a&gt;</v>
      </c>
      <c r="AH540" s="2" t="str">
        <f t="shared" si="2158"/>
        <v>&lt;/li&gt;&lt;li&gt;&lt;a href=|http://sco.biblecommenter.com/psalms/62.htm| title=|Scofield Reference Notes| target=|_top|&gt;SCO&lt;/a&gt;</v>
      </c>
      <c r="AI540" s="2" t="str">
        <f t="shared" si="2158"/>
        <v>&lt;/li&gt;&lt;li&gt;&lt;a href=|http://wes.biblecommenter.com/psalms/62.htm| title=|Wesley's Notes on the Bible| target=|_top|&gt;WES&lt;/a&gt;</v>
      </c>
      <c r="AJ540" t="str">
        <f t="shared" si="2158"/>
        <v>&lt;/li&gt;&lt;li&gt;&lt;a href=|http://worldebible.com/psalms/62.htm| title=|World English Bible| target=|_top|&gt;WEB&lt;/a&gt;</v>
      </c>
      <c r="AK540" t="str">
        <f t="shared" si="2158"/>
        <v>&lt;/li&gt;&lt;li&gt;&lt;a href=|http://yltbible.com/psalms/62.htm| title=|Young's Literal Translation| target=|_top|&gt;YLT&lt;/a&gt;</v>
      </c>
      <c r="AL540" t="str">
        <f>CONCATENATE("&lt;a href=|http://",AL1191,"/psalms/62.htm","| ","title=|",AL1190,"| target=|_top|&gt;",AL1192,"&lt;/a&gt;")</f>
        <v>&lt;a href=|http://kjv.us/psalms/62.htm| title=|American King James Version| target=|_top|&gt;AKJ&lt;/a&gt;</v>
      </c>
      <c r="AM540" t="str">
        <f t="shared" ref="AM540:AN540" si="2159">CONCATENATE("&lt;/li&gt;&lt;li&gt;&lt;a href=|http://",AM1191,"/psalms/62.htm","| ","title=|",AM1190,"| target=|_top|&gt;",AM1192,"&lt;/a&gt;")</f>
        <v>&lt;/li&gt;&lt;li&gt;&lt;a href=|http://basicenglishbible.com/psalms/62.htm| title=|Bible in Basic English| target=|_top|&gt;BBE&lt;/a&gt;</v>
      </c>
      <c r="AN540" t="str">
        <f t="shared" si="2159"/>
        <v>&lt;/li&gt;&lt;li&gt;&lt;a href=|http://darbybible.com/psalms/62.htm| title=|Darby Bible Translation| target=|_top|&gt;DBY&lt;/a&gt;</v>
      </c>
      <c r="AO54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4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4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40" t="str">
        <f>CONCATENATE("&lt;/li&gt;&lt;li&gt;&lt;a href=|http://",AR1191,"/psalms/62.htm","| ","title=|",AR1190,"| target=|_top|&gt;",AR1192,"&lt;/a&gt;")</f>
        <v>&lt;/li&gt;&lt;li&gt;&lt;a href=|http://websterbible.com/psalms/62.htm| title=|Webster's Bible Translation| target=|_top|&gt;WBS&lt;/a&gt;</v>
      </c>
      <c r="AS54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40" t="str">
        <f>CONCATENATE("&lt;/li&gt;&lt;li&gt;&lt;a href=|http://",AT1191,"/psalms/62-1.htm","| ","title=|",AT1190,"| target=|_top|&gt;",AT1192,"&lt;/a&gt;")</f>
        <v>&lt;/li&gt;&lt;li&gt;&lt;a href=|http://biblebrowser.com/psalms/62-1.htm| title=|Split View| target=|_top|&gt;Split&lt;/a&gt;</v>
      </c>
      <c r="AU540" s="2" t="s">
        <v>1276</v>
      </c>
      <c r="AV540" t="s">
        <v>64</v>
      </c>
    </row>
    <row r="541" spans="1:48">
      <c r="A541" t="s">
        <v>622</v>
      </c>
      <c r="B541" t="s">
        <v>779</v>
      </c>
      <c r="C541" t="s">
        <v>624</v>
      </c>
      <c r="D541" t="s">
        <v>1268</v>
      </c>
      <c r="E541" t="s">
        <v>1277</v>
      </c>
      <c r="F541" t="s">
        <v>1304</v>
      </c>
      <c r="G541" t="s">
        <v>1266</v>
      </c>
      <c r="H541" t="s">
        <v>1305</v>
      </c>
      <c r="I541" t="s">
        <v>1303</v>
      </c>
      <c r="J541" t="s">
        <v>1267</v>
      </c>
      <c r="K541" t="s">
        <v>1275</v>
      </c>
      <c r="L541" s="2" t="s">
        <v>1274</v>
      </c>
      <c r="M541" t="str">
        <f t="shared" ref="M541:AB541" si="2160">CONCATENATE("&lt;/li&gt;&lt;li&gt;&lt;a href=|http://",M1191,"/psalms/63.htm","| ","title=|",M1190,"| target=|_top|&gt;",M1192,"&lt;/a&gt;")</f>
        <v>&lt;/li&gt;&lt;li&gt;&lt;a href=|http://niv.scripturetext.com/psalms/63.htm| title=|New International Version| target=|_top|&gt;NIV&lt;/a&gt;</v>
      </c>
      <c r="N541" t="str">
        <f t="shared" si="2160"/>
        <v>&lt;/li&gt;&lt;li&gt;&lt;a href=|http://nlt.scripturetext.com/psalms/63.htm| title=|New Living Translation| target=|_top|&gt;NLT&lt;/a&gt;</v>
      </c>
      <c r="O541" t="str">
        <f t="shared" si="2160"/>
        <v>&lt;/li&gt;&lt;li&gt;&lt;a href=|http://nasb.scripturetext.com/psalms/63.htm| title=|New American Standard Bible| target=|_top|&gt;NAS&lt;/a&gt;</v>
      </c>
      <c r="P541" t="str">
        <f t="shared" si="2160"/>
        <v>&lt;/li&gt;&lt;li&gt;&lt;a href=|http://gwt.scripturetext.com/psalms/63.htm| title=|God's Word Translation| target=|_top|&gt;GWT&lt;/a&gt;</v>
      </c>
      <c r="Q541" t="str">
        <f t="shared" si="2160"/>
        <v>&lt;/li&gt;&lt;li&gt;&lt;a href=|http://kingjbible.com/psalms/63.htm| title=|King James Bible| target=|_top|&gt;KJV&lt;/a&gt;</v>
      </c>
      <c r="R541" t="str">
        <f t="shared" si="2160"/>
        <v>&lt;/li&gt;&lt;li&gt;&lt;a href=|http://asvbible.com/psalms/63.htm| title=|American Standard Version| target=|_top|&gt;ASV&lt;/a&gt;</v>
      </c>
      <c r="S541" t="str">
        <f t="shared" si="2160"/>
        <v>&lt;/li&gt;&lt;li&gt;&lt;a href=|http://drb.scripturetext.com/psalms/63.htm| title=|Douay-Rheims Bible| target=|_top|&gt;DRB&lt;/a&gt;</v>
      </c>
      <c r="T541" t="str">
        <f t="shared" si="2160"/>
        <v>&lt;/li&gt;&lt;li&gt;&lt;a href=|http://erv.scripturetext.com/psalms/63.htm| title=|English Revised Version| target=|_top|&gt;ERV&lt;/a&gt;</v>
      </c>
      <c r="V541" t="str">
        <f>CONCATENATE("&lt;/li&gt;&lt;li&gt;&lt;a href=|http://",V1191,"/psalms/63.htm","| ","title=|",V1190,"| target=|_top|&gt;",V1192,"&lt;/a&gt;")</f>
        <v>&lt;/li&gt;&lt;li&gt;&lt;a href=|http://study.interlinearbible.org/psalms/63.htm| title=|Hebrew Study Bible| target=|_top|&gt;Heb Study&lt;/a&gt;</v>
      </c>
      <c r="W541" t="str">
        <f t="shared" si="2160"/>
        <v>&lt;/li&gt;&lt;li&gt;&lt;a href=|http://apostolic.interlinearbible.org/psalms/63.htm| title=|Apostolic Bible Polyglot Interlinear| target=|_top|&gt;Polyglot&lt;/a&gt;</v>
      </c>
      <c r="X541" t="str">
        <f t="shared" si="2160"/>
        <v>&lt;/li&gt;&lt;li&gt;&lt;a href=|http://interlinearbible.org/psalms/63.htm| title=|Interlinear Bible| target=|_top|&gt;Interlin&lt;/a&gt;</v>
      </c>
      <c r="Y541" t="str">
        <f t="shared" ref="Y541" si="2161">CONCATENATE("&lt;/li&gt;&lt;li&gt;&lt;a href=|http://",Y1191,"/psalms/63.htm","| ","title=|",Y1190,"| target=|_top|&gt;",Y1192,"&lt;/a&gt;")</f>
        <v>&lt;/li&gt;&lt;li&gt;&lt;a href=|http://bibleoutline.org/psalms/63.htm| title=|Outline with People and Places List| target=|_top|&gt;Outline&lt;/a&gt;</v>
      </c>
      <c r="Z541" t="str">
        <f t="shared" si="2160"/>
        <v>&lt;/li&gt;&lt;li&gt;&lt;a href=|http://kjvs.scripturetext.com/psalms/63.htm| title=|King James Bible with Strong's Numbers| target=|_top|&gt;Strong's&lt;/a&gt;</v>
      </c>
      <c r="AA541" t="str">
        <f t="shared" si="2160"/>
        <v>&lt;/li&gt;&lt;li&gt;&lt;a href=|http://childrensbibleonline.com/psalms/63.htm| title=|The Children's Bible| target=|_top|&gt;Children's&lt;/a&gt;</v>
      </c>
      <c r="AB541" s="2" t="str">
        <f t="shared" si="2160"/>
        <v>&lt;/li&gt;&lt;li&gt;&lt;a href=|http://tsk.scripturetext.com/psalms/63.htm| title=|Treasury of Scripture Knowledge| target=|_top|&gt;TSK&lt;/a&gt;</v>
      </c>
      <c r="AC541" t="str">
        <f>CONCATENATE("&lt;a href=|http://",AC1191,"/psalms/63.htm","| ","title=|",AC1190,"| target=|_top|&gt;",AC1192,"&lt;/a&gt;")</f>
        <v>&lt;a href=|http://parallelbible.com/psalms/63.htm| title=|Parallel Chapters| target=|_top|&gt;PAR&lt;/a&gt;</v>
      </c>
      <c r="AD541" s="2" t="str">
        <f t="shared" ref="AD541:AK541" si="2162">CONCATENATE("&lt;/li&gt;&lt;li&gt;&lt;a href=|http://",AD1191,"/psalms/63.htm","| ","title=|",AD1190,"| target=|_top|&gt;",AD1192,"&lt;/a&gt;")</f>
        <v>&lt;/li&gt;&lt;li&gt;&lt;a href=|http://gsb.biblecommenter.com/psalms/63.htm| title=|Geneva Study Bible| target=|_top|&gt;GSB&lt;/a&gt;</v>
      </c>
      <c r="AE541" s="2" t="str">
        <f t="shared" si="2162"/>
        <v>&lt;/li&gt;&lt;li&gt;&lt;a href=|http://jfb.biblecommenter.com/psalms/63.htm| title=|Jamieson-Fausset-Brown Bible Commentary| target=|_top|&gt;JFB&lt;/a&gt;</v>
      </c>
      <c r="AF541" s="2" t="str">
        <f t="shared" si="2162"/>
        <v>&lt;/li&gt;&lt;li&gt;&lt;a href=|http://kjt.biblecommenter.com/psalms/63.htm| title=|King James Translators' Notes| target=|_top|&gt;KJT&lt;/a&gt;</v>
      </c>
      <c r="AG541" s="2" t="str">
        <f t="shared" si="2162"/>
        <v>&lt;/li&gt;&lt;li&gt;&lt;a href=|http://mhc.biblecommenter.com/psalms/63.htm| title=|Matthew Henry's Concise Commentary| target=|_top|&gt;MHC&lt;/a&gt;</v>
      </c>
      <c r="AH541" s="2" t="str">
        <f t="shared" si="2162"/>
        <v>&lt;/li&gt;&lt;li&gt;&lt;a href=|http://sco.biblecommenter.com/psalms/63.htm| title=|Scofield Reference Notes| target=|_top|&gt;SCO&lt;/a&gt;</v>
      </c>
      <c r="AI541" s="2" t="str">
        <f t="shared" si="2162"/>
        <v>&lt;/li&gt;&lt;li&gt;&lt;a href=|http://wes.biblecommenter.com/psalms/63.htm| title=|Wesley's Notes on the Bible| target=|_top|&gt;WES&lt;/a&gt;</v>
      </c>
      <c r="AJ541" t="str">
        <f t="shared" si="2162"/>
        <v>&lt;/li&gt;&lt;li&gt;&lt;a href=|http://worldebible.com/psalms/63.htm| title=|World English Bible| target=|_top|&gt;WEB&lt;/a&gt;</v>
      </c>
      <c r="AK541" t="str">
        <f t="shared" si="2162"/>
        <v>&lt;/li&gt;&lt;li&gt;&lt;a href=|http://yltbible.com/psalms/63.htm| title=|Young's Literal Translation| target=|_top|&gt;YLT&lt;/a&gt;</v>
      </c>
      <c r="AL541" t="str">
        <f>CONCATENATE("&lt;a href=|http://",AL1191,"/psalms/63.htm","| ","title=|",AL1190,"| target=|_top|&gt;",AL1192,"&lt;/a&gt;")</f>
        <v>&lt;a href=|http://kjv.us/psalms/63.htm| title=|American King James Version| target=|_top|&gt;AKJ&lt;/a&gt;</v>
      </c>
      <c r="AM541" t="str">
        <f t="shared" ref="AM541:AN541" si="2163">CONCATENATE("&lt;/li&gt;&lt;li&gt;&lt;a href=|http://",AM1191,"/psalms/63.htm","| ","title=|",AM1190,"| target=|_top|&gt;",AM1192,"&lt;/a&gt;")</f>
        <v>&lt;/li&gt;&lt;li&gt;&lt;a href=|http://basicenglishbible.com/psalms/63.htm| title=|Bible in Basic English| target=|_top|&gt;BBE&lt;/a&gt;</v>
      </c>
      <c r="AN541" t="str">
        <f t="shared" si="2163"/>
        <v>&lt;/li&gt;&lt;li&gt;&lt;a href=|http://darbybible.com/psalms/63.htm| title=|Darby Bible Translation| target=|_top|&gt;DBY&lt;/a&gt;</v>
      </c>
      <c r="AO54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4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4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41" t="str">
        <f>CONCATENATE("&lt;/li&gt;&lt;li&gt;&lt;a href=|http://",AR1191,"/psalms/63.htm","| ","title=|",AR1190,"| target=|_top|&gt;",AR1192,"&lt;/a&gt;")</f>
        <v>&lt;/li&gt;&lt;li&gt;&lt;a href=|http://websterbible.com/psalms/63.htm| title=|Webster's Bible Translation| target=|_top|&gt;WBS&lt;/a&gt;</v>
      </c>
      <c r="AS54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41" t="str">
        <f>CONCATENATE("&lt;/li&gt;&lt;li&gt;&lt;a href=|http://",AT1191,"/psalms/63-1.htm","| ","title=|",AT1190,"| target=|_top|&gt;",AT1192,"&lt;/a&gt;")</f>
        <v>&lt;/li&gt;&lt;li&gt;&lt;a href=|http://biblebrowser.com/psalms/63-1.htm| title=|Split View| target=|_top|&gt;Split&lt;/a&gt;</v>
      </c>
      <c r="AU541" s="2" t="s">
        <v>1276</v>
      </c>
      <c r="AV541" t="s">
        <v>64</v>
      </c>
    </row>
    <row r="542" spans="1:48">
      <c r="A542" t="s">
        <v>622</v>
      </c>
      <c r="B542" t="s">
        <v>780</v>
      </c>
      <c r="C542" t="s">
        <v>624</v>
      </c>
      <c r="D542" t="s">
        <v>1268</v>
      </c>
      <c r="E542" t="s">
        <v>1277</v>
      </c>
      <c r="F542" t="s">
        <v>1304</v>
      </c>
      <c r="G542" t="s">
        <v>1266</v>
      </c>
      <c r="H542" t="s">
        <v>1305</v>
      </c>
      <c r="I542" t="s">
        <v>1303</v>
      </c>
      <c r="J542" t="s">
        <v>1267</v>
      </c>
      <c r="K542" t="s">
        <v>1275</v>
      </c>
      <c r="L542" s="2" t="s">
        <v>1274</v>
      </c>
      <c r="M542" t="str">
        <f t="shared" ref="M542:AB542" si="2164">CONCATENATE("&lt;/li&gt;&lt;li&gt;&lt;a href=|http://",M1191,"/psalms/64.htm","| ","title=|",M1190,"| target=|_top|&gt;",M1192,"&lt;/a&gt;")</f>
        <v>&lt;/li&gt;&lt;li&gt;&lt;a href=|http://niv.scripturetext.com/psalms/64.htm| title=|New International Version| target=|_top|&gt;NIV&lt;/a&gt;</v>
      </c>
      <c r="N542" t="str">
        <f t="shared" si="2164"/>
        <v>&lt;/li&gt;&lt;li&gt;&lt;a href=|http://nlt.scripturetext.com/psalms/64.htm| title=|New Living Translation| target=|_top|&gt;NLT&lt;/a&gt;</v>
      </c>
      <c r="O542" t="str">
        <f t="shared" si="2164"/>
        <v>&lt;/li&gt;&lt;li&gt;&lt;a href=|http://nasb.scripturetext.com/psalms/64.htm| title=|New American Standard Bible| target=|_top|&gt;NAS&lt;/a&gt;</v>
      </c>
      <c r="P542" t="str">
        <f t="shared" si="2164"/>
        <v>&lt;/li&gt;&lt;li&gt;&lt;a href=|http://gwt.scripturetext.com/psalms/64.htm| title=|God's Word Translation| target=|_top|&gt;GWT&lt;/a&gt;</v>
      </c>
      <c r="Q542" t="str">
        <f t="shared" si="2164"/>
        <v>&lt;/li&gt;&lt;li&gt;&lt;a href=|http://kingjbible.com/psalms/64.htm| title=|King James Bible| target=|_top|&gt;KJV&lt;/a&gt;</v>
      </c>
      <c r="R542" t="str">
        <f t="shared" si="2164"/>
        <v>&lt;/li&gt;&lt;li&gt;&lt;a href=|http://asvbible.com/psalms/64.htm| title=|American Standard Version| target=|_top|&gt;ASV&lt;/a&gt;</v>
      </c>
      <c r="S542" t="str">
        <f t="shared" si="2164"/>
        <v>&lt;/li&gt;&lt;li&gt;&lt;a href=|http://drb.scripturetext.com/psalms/64.htm| title=|Douay-Rheims Bible| target=|_top|&gt;DRB&lt;/a&gt;</v>
      </c>
      <c r="T542" t="str">
        <f t="shared" si="2164"/>
        <v>&lt;/li&gt;&lt;li&gt;&lt;a href=|http://erv.scripturetext.com/psalms/64.htm| title=|English Revised Version| target=|_top|&gt;ERV&lt;/a&gt;</v>
      </c>
      <c r="V542" t="str">
        <f>CONCATENATE("&lt;/li&gt;&lt;li&gt;&lt;a href=|http://",V1191,"/psalms/64.htm","| ","title=|",V1190,"| target=|_top|&gt;",V1192,"&lt;/a&gt;")</f>
        <v>&lt;/li&gt;&lt;li&gt;&lt;a href=|http://study.interlinearbible.org/psalms/64.htm| title=|Hebrew Study Bible| target=|_top|&gt;Heb Study&lt;/a&gt;</v>
      </c>
      <c r="W542" t="str">
        <f t="shared" si="2164"/>
        <v>&lt;/li&gt;&lt;li&gt;&lt;a href=|http://apostolic.interlinearbible.org/psalms/64.htm| title=|Apostolic Bible Polyglot Interlinear| target=|_top|&gt;Polyglot&lt;/a&gt;</v>
      </c>
      <c r="X542" t="str">
        <f t="shared" si="2164"/>
        <v>&lt;/li&gt;&lt;li&gt;&lt;a href=|http://interlinearbible.org/psalms/64.htm| title=|Interlinear Bible| target=|_top|&gt;Interlin&lt;/a&gt;</v>
      </c>
      <c r="Y542" t="str">
        <f t="shared" ref="Y542" si="2165">CONCATENATE("&lt;/li&gt;&lt;li&gt;&lt;a href=|http://",Y1191,"/psalms/64.htm","| ","title=|",Y1190,"| target=|_top|&gt;",Y1192,"&lt;/a&gt;")</f>
        <v>&lt;/li&gt;&lt;li&gt;&lt;a href=|http://bibleoutline.org/psalms/64.htm| title=|Outline with People and Places List| target=|_top|&gt;Outline&lt;/a&gt;</v>
      </c>
      <c r="Z542" t="str">
        <f t="shared" si="2164"/>
        <v>&lt;/li&gt;&lt;li&gt;&lt;a href=|http://kjvs.scripturetext.com/psalms/64.htm| title=|King James Bible with Strong's Numbers| target=|_top|&gt;Strong's&lt;/a&gt;</v>
      </c>
      <c r="AA542" t="str">
        <f t="shared" si="2164"/>
        <v>&lt;/li&gt;&lt;li&gt;&lt;a href=|http://childrensbibleonline.com/psalms/64.htm| title=|The Children's Bible| target=|_top|&gt;Children's&lt;/a&gt;</v>
      </c>
      <c r="AB542" s="2" t="str">
        <f t="shared" si="2164"/>
        <v>&lt;/li&gt;&lt;li&gt;&lt;a href=|http://tsk.scripturetext.com/psalms/64.htm| title=|Treasury of Scripture Knowledge| target=|_top|&gt;TSK&lt;/a&gt;</v>
      </c>
      <c r="AC542" t="str">
        <f>CONCATENATE("&lt;a href=|http://",AC1191,"/psalms/64.htm","| ","title=|",AC1190,"| target=|_top|&gt;",AC1192,"&lt;/a&gt;")</f>
        <v>&lt;a href=|http://parallelbible.com/psalms/64.htm| title=|Parallel Chapters| target=|_top|&gt;PAR&lt;/a&gt;</v>
      </c>
      <c r="AD542" s="2" t="str">
        <f t="shared" ref="AD542:AK542" si="2166">CONCATENATE("&lt;/li&gt;&lt;li&gt;&lt;a href=|http://",AD1191,"/psalms/64.htm","| ","title=|",AD1190,"| target=|_top|&gt;",AD1192,"&lt;/a&gt;")</f>
        <v>&lt;/li&gt;&lt;li&gt;&lt;a href=|http://gsb.biblecommenter.com/psalms/64.htm| title=|Geneva Study Bible| target=|_top|&gt;GSB&lt;/a&gt;</v>
      </c>
      <c r="AE542" s="2" t="str">
        <f t="shared" si="2166"/>
        <v>&lt;/li&gt;&lt;li&gt;&lt;a href=|http://jfb.biblecommenter.com/psalms/64.htm| title=|Jamieson-Fausset-Brown Bible Commentary| target=|_top|&gt;JFB&lt;/a&gt;</v>
      </c>
      <c r="AF542" s="2" t="str">
        <f t="shared" si="2166"/>
        <v>&lt;/li&gt;&lt;li&gt;&lt;a href=|http://kjt.biblecommenter.com/psalms/64.htm| title=|King James Translators' Notes| target=|_top|&gt;KJT&lt;/a&gt;</v>
      </c>
      <c r="AG542" s="2" t="str">
        <f t="shared" si="2166"/>
        <v>&lt;/li&gt;&lt;li&gt;&lt;a href=|http://mhc.biblecommenter.com/psalms/64.htm| title=|Matthew Henry's Concise Commentary| target=|_top|&gt;MHC&lt;/a&gt;</v>
      </c>
      <c r="AH542" s="2" t="str">
        <f t="shared" si="2166"/>
        <v>&lt;/li&gt;&lt;li&gt;&lt;a href=|http://sco.biblecommenter.com/psalms/64.htm| title=|Scofield Reference Notes| target=|_top|&gt;SCO&lt;/a&gt;</v>
      </c>
      <c r="AI542" s="2" t="str">
        <f t="shared" si="2166"/>
        <v>&lt;/li&gt;&lt;li&gt;&lt;a href=|http://wes.biblecommenter.com/psalms/64.htm| title=|Wesley's Notes on the Bible| target=|_top|&gt;WES&lt;/a&gt;</v>
      </c>
      <c r="AJ542" t="str">
        <f t="shared" si="2166"/>
        <v>&lt;/li&gt;&lt;li&gt;&lt;a href=|http://worldebible.com/psalms/64.htm| title=|World English Bible| target=|_top|&gt;WEB&lt;/a&gt;</v>
      </c>
      <c r="AK542" t="str">
        <f t="shared" si="2166"/>
        <v>&lt;/li&gt;&lt;li&gt;&lt;a href=|http://yltbible.com/psalms/64.htm| title=|Young's Literal Translation| target=|_top|&gt;YLT&lt;/a&gt;</v>
      </c>
      <c r="AL542" t="str">
        <f>CONCATENATE("&lt;a href=|http://",AL1191,"/psalms/64.htm","| ","title=|",AL1190,"| target=|_top|&gt;",AL1192,"&lt;/a&gt;")</f>
        <v>&lt;a href=|http://kjv.us/psalms/64.htm| title=|American King James Version| target=|_top|&gt;AKJ&lt;/a&gt;</v>
      </c>
      <c r="AM542" t="str">
        <f t="shared" ref="AM542:AN542" si="2167">CONCATENATE("&lt;/li&gt;&lt;li&gt;&lt;a href=|http://",AM1191,"/psalms/64.htm","| ","title=|",AM1190,"| target=|_top|&gt;",AM1192,"&lt;/a&gt;")</f>
        <v>&lt;/li&gt;&lt;li&gt;&lt;a href=|http://basicenglishbible.com/psalms/64.htm| title=|Bible in Basic English| target=|_top|&gt;BBE&lt;/a&gt;</v>
      </c>
      <c r="AN542" t="str">
        <f t="shared" si="2167"/>
        <v>&lt;/li&gt;&lt;li&gt;&lt;a href=|http://darbybible.com/psalms/64.htm| title=|Darby Bible Translation| target=|_top|&gt;DBY&lt;/a&gt;</v>
      </c>
      <c r="AO54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4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4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42" t="str">
        <f>CONCATENATE("&lt;/li&gt;&lt;li&gt;&lt;a href=|http://",AR1191,"/psalms/64.htm","| ","title=|",AR1190,"| target=|_top|&gt;",AR1192,"&lt;/a&gt;")</f>
        <v>&lt;/li&gt;&lt;li&gt;&lt;a href=|http://websterbible.com/psalms/64.htm| title=|Webster's Bible Translation| target=|_top|&gt;WBS&lt;/a&gt;</v>
      </c>
      <c r="AS54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42" t="str">
        <f>CONCATENATE("&lt;/li&gt;&lt;li&gt;&lt;a href=|http://",AT1191,"/psalms/64-1.htm","| ","title=|",AT1190,"| target=|_top|&gt;",AT1192,"&lt;/a&gt;")</f>
        <v>&lt;/li&gt;&lt;li&gt;&lt;a href=|http://biblebrowser.com/psalms/64-1.htm| title=|Split View| target=|_top|&gt;Split&lt;/a&gt;</v>
      </c>
      <c r="AU542" s="2" t="s">
        <v>1276</v>
      </c>
      <c r="AV542" t="s">
        <v>64</v>
      </c>
    </row>
    <row r="543" spans="1:48">
      <c r="A543" t="s">
        <v>622</v>
      </c>
      <c r="B543" t="s">
        <v>781</v>
      </c>
      <c r="C543" t="s">
        <v>624</v>
      </c>
      <c r="D543" t="s">
        <v>1268</v>
      </c>
      <c r="E543" t="s">
        <v>1277</v>
      </c>
      <c r="F543" t="s">
        <v>1304</v>
      </c>
      <c r="G543" t="s">
        <v>1266</v>
      </c>
      <c r="H543" t="s">
        <v>1305</v>
      </c>
      <c r="I543" t="s">
        <v>1303</v>
      </c>
      <c r="J543" t="s">
        <v>1267</v>
      </c>
      <c r="K543" t="s">
        <v>1275</v>
      </c>
      <c r="L543" s="2" t="s">
        <v>1274</v>
      </c>
      <c r="M543" t="str">
        <f t="shared" ref="M543:AB543" si="2168">CONCATENATE("&lt;/li&gt;&lt;li&gt;&lt;a href=|http://",M1191,"/psalms/65.htm","| ","title=|",M1190,"| target=|_top|&gt;",M1192,"&lt;/a&gt;")</f>
        <v>&lt;/li&gt;&lt;li&gt;&lt;a href=|http://niv.scripturetext.com/psalms/65.htm| title=|New International Version| target=|_top|&gt;NIV&lt;/a&gt;</v>
      </c>
      <c r="N543" t="str">
        <f t="shared" si="2168"/>
        <v>&lt;/li&gt;&lt;li&gt;&lt;a href=|http://nlt.scripturetext.com/psalms/65.htm| title=|New Living Translation| target=|_top|&gt;NLT&lt;/a&gt;</v>
      </c>
      <c r="O543" t="str">
        <f t="shared" si="2168"/>
        <v>&lt;/li&gt;&lt;li&gt;&lt;a href=|http://nasb.scripturetext.com/psalms/65.htm| title=|New American Standard Bible| target=|_top|&gt;NAS&lt;/a&gt;</v>
      </c>
      <c r="P543" t="str">
        <f t="shared" si="2168"/>
        <v>&lt;/li&gt;&lt;li&gt;&lt;a href=|http://gwt.scripturetext.com/psalms/65.htm| title=|God's Word Translation| target=|_top|&gt;GWT&lt;/a&gt;</v>
      </c>
      <c r="Q543" t="str">
        <f t="shared" si="2168"/>
        <v>&lt;/li&gt;&lt;li&gt;&lt;a href=|http://kingjbible.com/psalms/65.htm| title=|King James Bible| target=|_top|&gt;KJV&lt;/a&gt;</v>
      </c>
      <c r="R543" t="str">
        <f t="shared" si="2168"/>
        <v>&lt;/li&gt;&lt;li&gt;&lt;a href=|http://asvbible.com/psalms/65.htm| title=|American Standard Version| target=|_top|&gt;ASV&lt;/a&gt;</v>
      </c>
      <c r="S543" t="str">
        <f t="shared" si="2168"/>
        <v>&lt;/li&gt;&lt;li&gt;&lt;a href=|http://drb.scripturetext.com/psalms/65.htm| title=|Douay-Rheims Bible| target=|_top|&gt;DRB&lt;/a&gt;</v>
      </c>
      <c r="T543" t="str">
        <f t="shared" si="2168"/>
        <v>&lt;/li&gt;&lt;li&gt;&lt;a href=|http://erv.scripturetext.com/psalms/65.htm| title=|English Revised Version| target=|_top|&gt;ERV&lt;/a&gt;</v>
      </c>
      <c r="V543" t="str">
        <f>CONCATENATE("&lt;/li&gt;&lt;li&gt;&lt;a href=|http://",V1191,"/psalms/65.htm","| ","title=|",V1190,"| target=|_top|&gt;",V1192,"&lt;/a&gt;")</f>
        <v>&lt;/li&gt;&lt;li&gt;&lt;a href=|http://study.interlinearbible.org/psalms/65.htm| title=|Hebrew Study Bible| target=|_top|&gt;Heb Study&lt;/a&gt;</v>
      </c>
      <c r="W543" t="str">
        <f t="shared" si="2168"/>
        <v>&lt;/li&gt;&lt;li&gt;&lt;a href=|http://apostolic.interlinearbible.org/psalms/65.htm| title=|Apostolic Bible Polyglot Interlinear| target=|_top|&gt;Polyglot&lt;/a&gt;</v>
      </c>
      <c r="X543" t="str">
        <f t="shared" si="2168"/>
        <v>&lt;/li&gt;&lt;li&gt;&lt;a href=|http://interlinearbible.org/psalms/65.htm| title=|Interlinear Bible| target=|_top|&gt;Interlin&lt;/a&gt;</v>
      </c>
      <c r="Y543" t="str">
        <f t="shared" ref="Y543" si="2169">CONCATENATE("&lt;/li&gt;&lt;li&gt;&lt;a href=|http://",Y1191,"/psalms/65.htm","| ","title=|",Y1190,"| target=|_top|&gt;",Y1192,"&lt;/a&gt;")</f>
        <v>&lt;/li&gt;&lt;li&gt;&lt;a href=|http://bibleoutline.org/psalms/65.htm| title=|Outline with People and Places List| target=|_top|&gt;Outline&lt;/a&gt;</v>
      </c>
      <c r="Z543" t="str">
        <f t="shared" si="2168"/>
        <v>&lt;/li&gt;&lt;li&gt;&lt;a href=|http://kjvs.scripturetext.com/psalms/65.htm| title=|King James Bible with Strong's Numbers| target=|_top|&gt;Strong's&lt;/a&gt;</v>
      </c>
      <c r="AA543" t="str">
        <f t="shared" si="2168"/>
        <v>&lt;/li&gt;&lt;li&gt;&lt;a href=|http://childrensbibleonline.com/psalms/65.htm| title=|The Children's Bible| target=|_top|&gt;Children's&lt;/a&gt;</v>
      </c>
      <c r="AB543" s="2" t="str">
        <f t="shared" si="2168"/>
        <v>&lt;/li&gt;&lt;li&gt;&lt;a href=|http://tsk.scripturetext.com/psalms/65.htm| title=|Treasury of Scripture Knowledge| target=|_top|&gt;TSK&lt;/a&gt;</v>
      </c>
      <c r="AC543" t="str">
        <f>CONCATENATE("&lt;a href=|http://",AC1191,"/psalms/65.htm","| ","title=|",AC1190,"| target=|_top|&gt;",AC1192,"&lt;/a&gt;")</f>
        <v>&lt;a href=|http://parallelbible.com/psalms/65.htm| title=|Parallel Chapters| target=|_top|&gt;PAR&lt;/a&gt;</v>
      </c>
      <c r="AD543" s="2" t="str">
        <f t="shared" ref="AD543:AK543" si="2170">CONCATENATE("&lt;/li&gt;&lt;li&gt;&lt;a href=|http://",AD1191,"/psalms/65.htm","| ","title=|",AD1190,"| target=|_top|&gt;",AD1192,"&lt;/a&gt;")</f>
        <v>&lt;/li&gt;&lt;li&gt;&lt;a href=|http://gsb.biblecommenter.com/psalms/65.htm| title=|Geneva Study Bible| target=|_top|&gt;GSB&lt;/a&gt;</v>
      </c>
      <c r="AE543" s="2" t="str">
        <f t="shared" si="2170"/>
        <v>&lt;/li&gt;&lt;li&gt;&lt;a href=|http://jfb.biblecommenter.com/psalms/65.htm| title=|Jamieson-Fausset-Brown Bible Commentary| target=|_top|&gt;JFB&lt;/a&gt;</v>
      </c>
      <c r="AF543" s="2" t="str">
        <f t="shared" si="2170"/>
        <v>&lt;/li&gt;&lt;li&gt;&lt;a href=|http://kjt.biblecommenter.com/psalms/65.htm| title=|King James Translators' Notes| target=|_top|&gt;KJT&lt;/a&gt;</v>
      </c>
      <c r="AG543" s="2" t="str">
        <f t="shared" si="2170"/>
        <v>&lt;/li&gt;&lt;li&gt;&lt;a href=|http://mhc.biblecommenter.com/psalms/65.htm| title=|Matthew Henry's Concise Commentary| target=|_top|&gt;MHC&lt;/a&gt;</v>
      </c>
      <c r="AH543" s="2" t="str">
        <f t="shared" si="2170"/>
        <v>&lt;/li&gt;&lt;li&gt;&lt;a href=|http://sco.biblecommenter.com/psalms/65.htm| title=|Scofield Reference Notes| target=|_top|&gt;SCO&lt;/a&gt;</v>
      </c>
      <c r="AI543" s="2" t="str">
        <f t="shared" si="2170"/>
        <v>&lt;/li&gt;&lt;li&gt;&lt;a href=|http://wes.biblecommenter.com/psalms/65.htm| title=|Wesley's Notes on the Bible| target=|_top|&gt;WES&lt;/a&gt;</v>
      </c>
      <c r="AJ543" t="str">
        <f t="shared" si="2170"/>
        <v>&lt;/li&gt;&lt;li&gt;&lt;a href=|http://worldebible.com/psalms/65.htm| title=|World English Bible| target=|_top|&gt;WEB&lt;/a&gt;</v>
      </c>
      <c r="AK543" t="str">
        <f t="shared" si="2170"/>
        <v>&lt;/li&gt;&lt;li&gt;&lt;a href=|http://yltbible.com/psalms/65.htm| title=|Young's Literal Translation| target=|_top|&gt;YLT&lt;/a&gt;</v>
      </c>
      <c r="AL543" t="str">
        <f>CONCATENATE("&lt;a href=|http://",AL1191,"/psalms/65.htm","| ","title=|",AL1190,"| target=|_top|&gt;",AL1192,"&lt;/a&gt;")</f>
        <v>&lt;a href=|http://kjv.us/psalms/65.htm| title=|American King James Version| target=|_top|&gt;AKJ&lt;/a&gt;</v>
      </c>
      <c r="AM543" t="str">
        <f t="shared" ref="AM543:AN543" si="2171">CONCATENATE("&lt;/li&gt;&lt;li&gt;&lt;a href=|http://",AM1191,"/psalms/65.htm","| ","title=|",AM1190,"| target=|_top|&gt;",AM1192,"&lt;/a&gt;")</f>
        <v>&lt;/li&gt;&lt;li&gt;&lt;a href=|http://basicenglishbible.com/psalms/65.htm| title=|Bible in Basic English| target=|_top|&gt;BBE&lt;/a&gt;</v>
      </c>
      <c r="AN543" t="str">
        <f t="shared" si="2171"/>
        <v>&lt;/li&gt;&lt;li&gt;&lt;a href=|http://darbybible.com/psalms/65.htm| title=|Darby Bible Translation| target=|_top|&gt;DBY&lt;/a&gt;</v>
      </c>
      <c r="AO54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4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4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43" t="str">
        <f>CONCATENATE("&lt;/li&gt;&lt;li&gt;&lt;a href=|http://",AR1191,"/psalms/65.htm","| ","title=|",AR1190,"| target=|_top|&gt;",AR1192,"&lt;/a&gt;")</f>
        <v>&lt;/li&gt;&lt;li&gt;&lt;a href=|http://websterbible.com/psalms/65.htm| title=|Webster's Bible Translation| target=|_top|&gt;WBS&lt;/a&gt;</v>
      </c>
      <c r="AS54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43" t="str">
        <f>CONCATENATE("&lt;/li&gt;&lt;li&gt;&lt;a href=|http://",AT1191,"/psalms/65-1.htm","| ","title=|",AT1190,"| target=|_top|&gt;",AT1192,"&lt;/a&gt;")</f>
        <v>&lt;/li&gt;&lt;li&gt;&lt;a href=|http://biblebrowser.com/psalms/65-1.htm| title=|Split View| target=|_top|&gt;Split&lt;/a&gt;</v>
      </c>
      <c r="AU543" s="2" t="s">
        <v>1276</v>
      </c>
      <c r="AV543" t="s">
        <v>64</v>
      </c>
    </row>
    <row r="544" spans="1:48">
      <c r="A544" t="s">
        <v>622</v>
      </c>
      <c r="B544" t="s">
        <v>782</v>
      </c>
      <c r="C544" t="s">
        <v>624</v>
      </c>
      <c r="D544" t="s">
        <v>1268</v>
      </c>
      <c r="E544" t="s">
        <v>1277</v>
      </c>
      <c r="F544" t="s">
        <v>1304</v>
      </c>
      <c r="G544" t="s">
        <v>1266</v>
      </c>
      <c r="H544" t="s">
        <v>1305</v>
      </c>
      <c r="I544" t="s">
        <v>1303</v>
      </c>
      <c r="J544" t="s">
        <v>1267</v>
      </c>
      <c r="K544" t="s">
        <v>1275</v>
      </c>
      <c r="L544" s="2" t="s">
        <v>1274</v>
      </c>
      <c r="M544" t="str">
        <f t="shared" ref="M544:AB544" si="2172">CONCATENATE("&lt;/li&gt;&lt;li&gt;&lt;a href=|http://",M1191,"/psalms/66.htm","| ","title=|",M1190,"| target=|_top|&gt;",M1192,"&lt;/a&gt;")</f>
        <v>&lt;/li&gt;&lt;li&gt;&lt;a href=|http://niv.scripturetext.com/psalms/66.htm| title=|New International Version| target=|_top|&gt;NIV&lt;/a&gt;</v>
      </c>
      <c r="N544" t="str">
        <f t="shared" si="2172"/>
        <v>&lt;/li&gt;&lt;li&gt;&lt;a href=|http://nlt.scripturetext.com/psalms/66.htm| title=|New Living Translation| target=|_top|&gt;NLT&lt;/a&gt;</v>
      </c>
      <c r="O544" t="str">
        <f t="shared" si="2172"/>
        <v>&lt;/li&gt;&lt;li&gt;&lt;a href=|http://nasb.scripturetext.com/psalms/66.htm| title=|New American Standard Bible| target=|_top|&gt;NAS&lt;/a&gt;</v>
      </c>
      <c r="P544" t="str">
        <f t="shared" si="2172"/>
        <v>&lt;/li&gt;&lt;li&gt;&lt;a href=|http://gwt.scripturetext.com/psalms/66.htm| title=|God's Word Translation| target=|_top|&gt;GWT&lt;/a&gt;</v>
      </c>
      <c r="Q544" t="str">
        <f t="shared" si="2172"/>
        <v>&lt;/li&gt;&lt;li&gt;&lt;a href=|http://kingjbible.com/psalms/66.htm| title=|King James Bible| target=|_top|&gt;KJV&lt;/a&gt;</v>
      </c>
      <c r="R544" t="str">
        <f t="shared" si="2172"/>
        <v>&lt;/li&gt;&lt;li&gt;&lt;a href=|http://asvbible.com/psalms/66.htm| title=|American Standard Version| target=|_top|&gt;ASV&lt;/a&gt;</v>
      </c>
      <c r="S544" t="str">
        <f t="shared" si="2172"/>
        <v>&lt;/li&gt;&lt;li&gt;&lt;a href=|http://drb.scripturetext.com/psalms/66.htm| title=|Douay-Rheims Bible| target=|_top|&gt;DRB&lt;/a&gt;</v>
      </c>
      <c r="T544" t="str">
        <f t="shared" si="2172"/>
        <v>&lt;/li&gt;&lt;li&gt;&lt;a href=|http://erv.scripturetext.com/psalms/66.htm| title=|English Revised Version| target=|_top|&gt;ERV&lt;/a&gt;</v>
      </c>
      <c r="V544" t="str">
        <f>CONCATENATE("&lt;/li&gt;&lt;li&gt;&lt;a href=|http://",V1191,"/psalms/66.htm","| ","title=|",V1190,"| target=|_top|&gt;",V1192,"&lt;/a&gt;")</f>
        <v>&lt;/li&gt;&lt;li&gt;&lt;a href=|http://study.interlinearbible.org/psalms/66.htm| title=|Hebrew Study Bible| target=|_top|&gt;Heb Study&lt;/a&gt;</v>
      </c>
      <c r="W544" t="str">
        <f t="shared" si="2172"/>
        <v>&lt;/li&gt;&lt;li&gt;&lt;a href=|http://apostolic.interlinearbible.org/psalms/66.htm| title=|Apostolic Bible Polyglot Interlinear| target=|_top|&gt;Polyglot&lt;/a&gt;</v>
      </c>
      <c r="X544" t="str">
        <f t="shared" si="2172"/>
        <v>&lt;/li&gt;&lt;li&gt;&lt;a href=|http://interlinearbible.org/psalms/66.htm| title=|Interlinear Bible| target=|_top|&gt;Interlin&lt;/a&gt;</v>
      </c>
      <c r="Y544" t="str">
        <f t="shared" ref="Y544" si="2173">CONCATENATE("&lt;/li&gt;&lt;li&gt;&lt;a href=|http://",Y1191,"/psalms/66.htm","| ","title=|",Y1190,"| target=|_top|&gt;",Y1192,"&lt;/a&gt;")</f>
        <v>&lt;/li&gt;&lt;li&gt;&lt;a href=|http://bibleoutline.org/psalms/66.htm| title=|Outline with People and Places List| target=|_top|&gt;Outline&lt;/a&gt;</v>
      </c>
      <c r="Z544" t="str">
        <f t="shared" si="2172"/>
        <v>&lt;/li&gt;&lt;li&gt;&lt;a href=|http://kjvs.scripturetext.com/psalms/66.htm| title=|King James Bible with Strong's Numbers| target=|_top|&gt;Strong's&lt;/a&gt;</v>
      </c>
      <c r="AA544" t="str">
        <f t="shared" si="2172"/>
        <v>&lt;/li&gt;&lt;li&gt;&lt;a href=|http://childrensbibleonline.com/psalms/66.htm| title=|The Children's Bible| target=|_top|&gt;Children's&lt;/a&gt;</v>
      </c>
      <c r="AB544" s="2" t="str">
        <f t="shared" si="2172"/>
        <v>&lt;/li&gt;&lt;li&gt;&lt;a href=|http://tsk.scripturetext.com/psalms/66.htm| title=|Treasury of Scripture Knowledge| target=|_top|&gt;TSK&lt;/a&gt;</v>
      </c>
      <c r="AC544" t="str">
        <f>CONCATENATE("&lt;a href=|http://",AC1191,"/psalms/66.htm","| ","title=|",AC1190,"| target=|_top|&gt;",AC1192,"&lt;/a&gt;")</f>
        <v>&lt;a href=|http://parallelbible.com/psalms/66.htm| title=|Parallel Chapters| target=|_top|&gt;PAR&lt;/a&gt;</v>
      </c>
      <c r="AD544" s="2" t="str">
        <f t="shared" ref="AD544:AK544" si="2174">CONCATENATE("&lt;/li&gt;&lt;li&gt;&lt;a href=|http://",AD1191,"/psalms/66.htm","| ","title=|",AD1190,"| target=|_top|&gt;",AD1192,"&lt;/a&gt;")</f>
        <v>&lt;/li&gt;&lt;li&gt;&lt;a href=|http://gsb.biblecommenter.com/psalms/66.htm| title=|Geneva Study Bible| target=|_top|&gt;GSB&lt;/a&gt;</v>
      </c>
      <c r="AE544" s="2" t="str">
        <f t="shared" si="2174"/>
        <v>&lt;/li&gt;&lt;li&gt;&lt;a href=|http://jfb.biblecommenter.com/psalms/66.htm| title=|Jamieson-Fausset-Brown Bible Commentary| target=|_top|&gt;JFB&lt;/a&gt;</v>
      </c>
      <c r="AF544" s="2" t="str">
        <f t="shared" si="2174"/>
        <v>&lt;/li&gt;&lt;li&gt;&lt;a href=|http://kjt.biblecommenter.com/psalms/66.htm| title=|King James Translators' Notes| target=|_top|&gt;KJT&lt;/a&gt;</v>
      </c>
      <c r="AG544" s="2" t="str">
        <f t="shared" si="2174"/>
        <v>&lt;/li&gt;&lt;li&gt;&lt;a href=|http://mhc.biblecommenter.com/psalms/66.htm| title=|Matthew Henry's Concise Commentary| target=|_top|&gt;MHC&lt;/a&gt;</v>
      </c>
      <c r="AH544" s="2" t="str">
        <f t="shared" si="2174"/>
        <v>&lt;/li&gt;&lt;li&gt;&lt;a href=|http://sco.biblecommenter.com/psalms/66.htm| title=|Scofield Reference Notes| target=|_top|&gt;SCO&lt;/a&gt;</v>
      </c>
      <c r="AI544" s="2" t="str">
        <f t="shared" si="2174"/>
        <v>&lt;/li&gt;&lt;li&gt;&lt;a href=|http://wes.biblecommenter.com/psalms/66.htm| title=|Wesley's Notes on the Bible| target=|_top|&gt;WES&lt;/a&gt;</v>
      </c>
      <c r="AJ544" t="str">
        <f t="shared" si="2174"/>
        <v>&lt;/li&gt;&lt;li&gt;&lt;a href=|http://worldebible.com/psalms/66.htm| title=|World English Bible| target=|_top|&gt;WEB&lt;/a&gt;</v>
      </c>
      <c r="AK544" t="str">
        <f t="shared" si="2174"/>
        <v>&lt;/li&gt;&lt;li&gt;&lt;a href=|http://yltbible.com/psalms/66.htm| title=|Young's Literal Translation| target=|_top|&gt;YLT&lt;/a&gt;</v>
      </c>
      <c r="AL544" t="str">
        <f>CONCATENATE("&lt;a href=|http://",AL1191,"/psalms/66.htm","| ","title=|",AL1190,"| target=|_top|&gt;",AL1192,"&lt;/a&gt;")</f>
        <v>&lt;a href=|http://kjv.us/psalms/66.htm| title=|American King James Version| target=|_top|&gt;AKJ&lt;/a&gt;</v>
      </c>
      <c r="AM544" t="str">
        <f t="shared" ref="AM544:AN544" si="2175">CONCATENATE("&lt;/li&gt;&lt;li&gt;&lt;a href=|http://",AM1191,"/psalms/66.htm","| ","title=|",AM1190,"| target=|_top|&gt;",AM1192,"&lt;/a&gt;")</f>
        <v>&lt;/li&gt;&lt;li&gt;&lt;a href=|http://basicenglishbible.com/psalms/66.htm| title=|Bible in Basic English| target=|_top|&gt;BBE&lt;/a&gt;</v>
      </c>
      <c r="AN544" t="str">
        <f t="shared" si="2175"/>
        <v>&lt;/li&gt;&lt;li&gt;&lt;a href=|http://darbybible.com/psalms/66.htm| title=|Darby Bible Translation| target=|_top|&gt;DBY&lt;/a&gt;</v>
      </c>
      <c r="AO54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4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4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44" t="str">
        <f>CONCATENATE("&lt;/li&gt;&lt;li&gt;&lt;a href=|http://",AR1191,"/psalms/66.htm","| ","title=|",AR1190,"| target=|_top|&gt;",AR1192,"&lt;/a&gt;")</f>
        <v>&lt;/li&gt;&lt;li&gt;&lt;a href=|http://websterbible.com/psalms/66.htm| title=|Webster's Bible Translation| target=|_top|&gt;WBS&lt;/a&gt;</v>
      </c>
      <c r="AS54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44" t="str">
        <f>CONCATENATE("&lt;/li&gt;&lt;li&gt;&lt;a href=|http://",AT1191,"/psalms/66-1.htm","| ","title=|",AT1190,"| target=|_top|&gt;",AT1192,"&lt;/a&gt;")</f>
        <v>&lt;/li&gt;&lt;li&gt;&lt;a href=|http://biblebrowser.com/psalms/66-1.htm| title=|Split View| target=|_top|&gt;Split&lt;/a&gt;</v>
      </c>
      <c r="AU544" s="2" t="s">
        <v>1276</v>
      </c>
      <c r="AV544" t="s">
        <v>64</v>
      </c>
    </row>
    <row r="545" spans="1:48">
      <c r="A545" t="s">
        <v>622</v>
      </c>
      <c r="B545" t="s">
        <v>783</v>
      </c>
      <c r="C545" t="s">
        <v>624</v>
      </c>
      <c r="D545" t="s">
        <v>1268</v>
      </c>
      <c r="E545" t="s">
        <v>1277</v>
      </c>
      <c r="F545" t="s">
        <v>1304</v>
      </c>
      <c r="G545" t="s">
        <v>1266</v>
      </c>
      <c r="H545" t="s">
        <v>1305</v>
      </c>
      <c r="I545" t="s">
        <v>1303</v>
      </c>
      <c r="J545" t="s">
        <v>1267</v>
      </c>
      <c r="K545" t="s">
        <v>1275</v>
      </c>
      <c r="L545" s="2" t="s">
        <v>1274</v>
      </c>
      <c r="M545" t="str">
        <f t="shared" ref="M545:AB545" si="2176">CONCATENATE("&lt;/li&gt;&lt;li&gt;&lt;a href=|http://",M1191,"/psalms/67.htm","| ","title=|",M1190,"| target=|_top|&gt;",M1192,"&lt;/a&gt;")</f>
        <v>&lt;/li&gt;&lt;li&gt;&lt;a href=|http://niv.scripturetext.com/psalms/67.htm| title=|New International Version| target=|_top|&gt;NIV&lt;/a&gt;</v>
      </c>
      <c r="N545" t="str">
        <f t="shared" si="2176"/>
        <v>&lt;/li&gt;&lt;li&gt;&lt;a href=|http://nlt.scripturetext.com/psalms/67.htm| title=|New Living Translation| target=|_top|&gt;NLT&lt;/a&gt;</v>
      </c>
      <c r="O545" t="str">
        <f t="shared" si="2176"/>
        <v>&lt;/li&gt;&lt;li&gt;&lt;a href=|http://nasb.scripturetext.com/psalms/67.htm| title=|New American Standard Bible| target=|_top|&gt;NAS&lt;/a&gt;</v>
      </c>
      <c r="P545" t="str">
        <f t="shared" si="2176"/>
        <v>&lt;/li&gt;&lt;li&gt;&lt;a href=|http://gwt.scripturetext.com/psalms/67.htm| title=|God's Word Translation| target=|_top|&gt;GWT&lt;/a&gt;</v>
      </c>
      <c r="Q545" t="str">
        <f t="shared" si="2176"/>
        <v>&lt;/li&gt;&lt;li&gt;&lt;a href=|http://kingjbible.com/psalms/67.htm| title=|King James Bible| target=|_top|&gt;KJV&lt;/a&gt;</v>
      </c>
      <c r="R545" t="str">
        <f t="shared" si="2176"/>
        <v>&lt;/li&gt;&lt;li&gt;&lt;a href=|http://asvbible.com/psalms/67.htm| title=|American Standard Version| target=|_top|&gt;ASV&lt;/a&gt;</v>
      </c>
      <c r="S545" t="str">
        <f t="shared" si="2176"/>
        <v>&lt;/li&gt;&lt;li&gt;&lt;a href=|http://drb.scripturetext.com/psalms/67.htm| title=|Douay-Rheims Bible| target=|_top|&gt;DRB&lt;/a&gt;</v>
      </c>
      <c r="T545" t="str">
        <f t="shared" si="2176"/>
        <v>&lt;/li&gt;&lt;li&gt;&lt;a href=|http://erv.scripturetext.com/psalms/67.htm| title=|English Revised Version| target=|_top|&gt;ERV&lt;/a&gt;</v>
      </c>
      <c r="V545" t="str">
        <f>CONCATENATE("&lt;/li&gt;&lt;li&gt;&lt;a href=|http://",V1191,"/psalms/67.htm","| ","title=|",V1190,"| target=|_top|&gt;",V1192,"&lt;/a&gt;")</f>
        <v>&lt;/li&gt;&lt;li&gt;&lt;a href=|http://study.interlinearbible.org/psalms/67.htm| title=|Hebrew Study Bible| target=|_top|&gt;Heb Study&lt;/a&gt;</v>
      </c>
      <c r="W545" t="str">
        <f t="shared" si="2176"/>
        <v>&lt;/li&gt;&lt;li&gt;&lt;a href=|http://apostolic.interlinearbible.org/psalms/67.htm| title=|Apostolic Bible Polyglot Interlinear| target=|_top|&gt;Polyglot&lt;/a&gt;</v>
      </c>
      <c r="X545" t="str">
        <f t="shared" si="2176"/>
        <v>&lt;/li&gt;&lt;li&gt;&lt;a href=|http://interlinearbible.org/psalms/67.htm| title=|Interlinear Bible| target=|_top|&gt;Interlin&lt;/a&gt;</v>
      </c>
      <c r="Y545" t="str">
        <f t="shared" ref="Y545" si="2177">CONCATENATE("&lt;/li&gt;&lt;li&gt;&lt;a href=|http://",Y1191,"/psalms/67.htm","| ","title=|",Y1190,"| target=|_top|&gt;",Y1192,"&lt;/a&gt;")</f>
        <v>&lt;/li&gt;&lt;li&gt;&lt;a href=|http://bibleoutline.org/psalms/67.htm| title=|Outline with People and Places List| target=|_top|&gt;Outline&lt;/a&gt;</v>
      </c>
      <c r="Z545" t="str">
        <f t="shared" si="2176"/>
        <v>&lt;/li&gt;&lt;li&gt;&lt;a href=|http://kjvs.scripturetext.com/psalms/67.htm| title=|King James Bible with Strong's Numbers| target=|_top|&gt;Strong's&lt;/a&gt;</v>
      </c>
      <c r="AA545" t="str">
        <f t="shared" si="2176"/>
        <v>&lt;/li&gt;&lt;li&gt;&lt;a href=|http://childrensbibleonline.com/psalms/67.htm| title=|The Children's Bible| target=|_top|&gt;Children's&lt;/a&gt;</v>
      </c>
      <c r="AB545" s="2" t="str">
        <f t="shared" si="2176"/>
        <v>&lt;/li&gt;&lt;li&gt;&lt;a href=|http://tsk.scripturetext.com/psalms/67.htm| title=|Treasury of Scripture Knowledge| target=|_top|&gt;TSK&lt;/a&gt;</v>
      </c>
      <c r="AC545" t="str">
        <f>CONCATENATE("&lt;a href=|http://",AC1191,"/psalms/67.htm","| ","title=|",AC1190,"| target=|_top|&gt;",AC1192,"&lt;/a&gt;")</f>
        <v>&lt;a href=|http://parallelbible.com/psalms/67.htm| title=|Parallel Chapters| target=|_top|&gt;PAR&lt;/a&gt;</v>
      </c>
      <c r="AD545" s="2" t="str">
        <f t="shared" ref="AD545:AK545" si="2178">CONCATENATE("&lt;/li&gt;&lt;li&gt;&lt;a href=|http://",AD1191,"/psalms/67.htm","| ","title=|",AD1190,"| target=|_top|&gt;",AD1192,"&lt;/a&gt;")</f>
        <v>&lt;/li&gt;&lt;li&gt;&lt;a href=|http://gsb.biblecommenter.com/psalms/67.htm| title=|Geneva Study Bible| target=|_top|&gt;GSB&lt;/a&gt;</v>
      </c>
      <c r="AE545" s="2" t="str">
        <f t="shared" si="2178"/>
        <v>&lt;/li&gt;&lt;li&gt;&lt;a href=|http://jfb.biblecommenter.com/psalms/67.htm| title=|Jamieson-Fausset-Brown Bible Commentary| target=|_top|&gt;JFB&lt;/a&gt;</v>
      </c>
      <c r="AF545" s="2" t="str">
        <f t="shared" si="2178"/>
        <v>&lt;/li&gt;&lt;li&gt;&lt;a href=|http://kjt.biblecommenter.com/psalms/67.htm| title=|King James Translators' Notes| target=|_top|&gt;KJT&lt;/a&gt;</v>
      </c>
      <c r="AG545" s="2" t="str">
        <f t="shared" si="2178"/>
        <v>&lt;/li&gt;&lt;li&gt;&lt;a href=|http://mhc.biblecommenter.com/psalms/67.htm| title=|Matthew Henry's Concise Commentary| target=|_top|&gt;MHC&lt;/a&gt;</v>
      </c>
      <c r="AH545" s="2" t="str">
        <f t="shared" si="2178"/>
        <v>&lt;/li&gt;&lt;li&gt;&lt;a href=|http://sco.biblecommenter.com/psalms/67.htm| title=|Scofield Reference Notes| target=|_top|&gt;SCO&lt;/a&gt;</v>
      </c>
      <c r="AI545" s="2" t="str">
        <f t="shared" si="2178"/>
        <v>&lt;/li&gt;&lt;li&gt;&lt;a href=|http://wes.biblecommenter.com/psalms/67.htm| title=|Wesley's Notes on the Bible| target=|_top|&gt;WES&lt;/a&gt;</v>
      </c>
      <c r="AJ545" t="str">
        <f t="shared" si="2178"/>
        <v>&lt;/li&gt;&lt;li&gt;&lt;a href=|http://worldebible.com/psalms/67.htm| title=|World English Bible| target=|_top|&gt;WEB&lt;/a&gt;</v>
      </c>
      <c r="AK545" t="str">
        <f t="shared" si="2178"/>
        <v>&lt;/li&gt;&lt;li&gt;&lt;a href=|http://yltbible.com/psalms/67.htm| title=|Young's Literal Translation| target=|_top|&gt;YLT&lt;/a&gt;</v>
      </c>
      <c r="AL545" t="str">
        <f>CONCATENATE("&lt;a href=|http://",AL1191,"/psalms/67.htm","| ","title=|",AL1190,"| target=|_top|&gt;",AL1192,"&lt;/a&gt;")</f>
        <v>&lt;a href=|http://kjv.us/psalms/67.htm| title=|American King James Version| target=|_top|&gt;AKJ&lt;/a&gt;</v>
      </c>
      <c r="AM545" t="str">
        <f t="shared" ref="AM545:AN545" si="2179">CONCATENATE("&lt;/li&gt;&lt;li&gt;&lt;a href=|http://",AM1191,"/psalms/67.htm","| ","title=|",AM1190,"| target=|_top|&gt;",AM1192,"&lt;/a&gt;")</f>
        <v>&lt;/li&gt;&lt;li&gt;&lt;a href=|http://basicenglishbible.com/psalms/67.htm| title=|Bible in Basic English| target=|_top|&gt;BBE&lt;/a&gt;</v>
      </c>
      <c r="AN545" t="str">
        <f t="shared" si="2179"/>
        <v>&lt;/li&gt;&lt;li&gt;&lt;a href=|http://darbybible.com/psalms/67.htm| title=|Darby Bible Translation| target=|_top|&gt;DBY&lt;/a&gt;</v>
      </c>
      <c r="AO54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4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4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45" t="str">
        <f>CONCATENATE("&lt;/li&gt;&lt;li&gt;&lt;a href=|http://",AR1191,"/psalms/67.htm","| ","title=|",AR1190,"| target=|_top|&gt;",AR1192,"&lt;/a&gt;")</f>
        <v>&lt;/li&gt;&lt;li&gt;&lt;a href=|http://websterbible.com/psalms/67.htm| title=|Webster's Bible Translation| target=|_top|&gt;WBS&lt;/a&gt;</v>
      </c>
      <c r="AS54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45" t="str">
        <f>CONCATENATE("&lt;/li&gt;&lt;li&gt;&lt;a href=|http://",AT1191,"/psalms/67-1.htm","| ","title=|",AT1190,"| target=|_top|&gt;",AT1192,"&lt;/a&gt;")</f>
        <v>&lt;/li&gt;&lt;li&gt;&lt;a href=|http://biblebrowser.com/psalms/67-1.htm| title=|Split View| target=|_top|&gt;Split&lt;/a&gt;</v>
      </c>
      <c r="AU545" s="2" t="s">
        <v>1276</v>
      </c>
      <c r="AV545" t="s">
        <v>64</v>
      </c>
    </row>
    <row r="546" spans="1:48">
      <c r="A546" t="s">
        <v>622</v>
      </c>
      <c r="B546" t="s">
        <v>784</v>
      </c>
      <c r="C546" t="s">
        <v>624</v>
      </c>
      <c r="D546" t="s">
        <v>1268</v>
      </c>
      <c r="E546" t="s">
        <v>1277</v>
      </c>
      <c r="F546" t="s">
        <v>1304</v>
      </c>
      <c r="G546" t="s">
        <v>1266</v>
      </c>
      <c r="H546" t="s">
        <v>1305</v>
      </c>
      <c r="I546" t="s">
        <v>1303</v>
      </c>
      <c r="J546" t="s">
        <v>1267</v>
      </c>
      <c r="K546" t="s">
        <v>1275</v>
      </c>
      <c r="L546" s="2" t="s">
        <v>1274</v>
      </c>
      <c r="M546" t="str">
        <f t="shared" ref="M546:AB546" si="2180">CONCATENATE("&lt;/li&gt;&lt;li&gt;&lt;a href=|http://",M1191,"/psalms/68.htm","| ","title=|",M1190,"| target=|_top|&gt;",M1192,"&lt;/a&gt;")</f>
        <v>&lt;/li&gt;&lt;li&gt;&lt;a href=|http://niv.scripturetext.com/psalms/68.htm| title=|New International Version| target=|_top|&gt;NIV&lt;/a&gt;</v>
      </c>
      <c r="N546" t="str">
        <f t="shared" si="2180"/>
        <v>&lt;/li&gt;&lt;li&gt;&lt;a href=|http://nlt.scripturetext.com/psalms/68.htm| title=|New Living Translation| target=|_top|&gt;NLT&lt;/a&gt;</v>
      </c>
      <c r="O546" t="str">
        <f t="shared" si="2180"/>
        <v>&lt;/li&gt;&lt;li&gt;&lt;a href=|http://nasb.scripturetext.com/psalms/68.htm| title=|New American Standard Bible| target=|_top|&gt;NAS&lt;/a&gt;</v>
      </c>
      <c r="P546" t="str">
        <f t="shared" si="2180"/>
        <v>&lt;/li&gt;&lt;li&gt;&lt;a href=|http://gwt.scripturetext.com/psalms/68.htm| title=|God's Word Translation| target=|_top|&gt;GWT&lt;/a&gt;</v>
      </c>
      <c r="Q546" t="str">
        <f t="shared" si="2180"/>
        <v>&lt;/li&gt;&lt;li&gt;&lt;a href=|http://kingjbible.com/psalms/68.htm| title=|King James Bible| target=|_top|&gt;KJV&lt;/a&gt;</v>
      </c>
      <c r="R546" t="str">
        <f t="shared" si="2180"/>
        <v>&lt;/li&gt;&lt;li&gt;&lt;a href=|http://asvbible.com/psalms/68.htm| title=|American Standard Version| target=|_top|&gt;ASV&lt;/a&gt;</v>
      </c>
      <c r="S546" t="str">
        <f t="shared" si="2180"/>
        <v>&lt;/li&gt;&lt;li&gt;&lt;a href=|http://drb.scripturetext.com/psalms/68.htm| title=|Douay-Rheims Bible| target=|_top|&gt;DRB&lt;/a&gt;</v>
      </c>
      <c r="T546" t="str">
        <f t="shared" si="2180"/>
        <v>&lt;/li&gt;&lt;li&gt;&lt;a href=|http://erv.scripturetext.com/psalms/68.htm| title=|English Revised Version| target=|_top|&gt;ERV&lt;/a&gt;</v>
      </c>
      <c r="V546" t="str">
        <f>CONCATENATE("&lt;/li&gt;&lt;li&gt;&lt;a href=|http://",V1191,"/psalms/68.htm","| ","title=|",V1190,"| target=|_top|&gt;",V1192,"&lt;/a&gt;")</f>
        <v>&lt;/li&gt;&lt;li&gt;&lt;a href=|http://study.interlinearbible.org/psalms/68.htm| title=|Hebrew Study Bible| target=|_top|&gt;Heb Study&lt;/a&gt;</v>
      </c>
      <c r="W546" t="str">
        <f t="shared" si="2180"/>
        <v>&lt;/li&gt;&lt;li&gt;&lt;a href=|http://apostolic.interlinearbible.org/psalms/68.htm| title=|Apostolic Bible Polyglot Interlinear| target=|_top|&gt;Polyglot&lt;/a&gt;</v>
      </c>
      <c r="X546" t="str">
        <f t="shared" si="2180"/>
        <v>&lt;/li&gt;&lt;li&gt;&lt;a href=|http://interlinearbible.org/psalms/68.htm| title=|Interlinear Bible| target=|_top|&gt;Interlin&lt;/a&gt;</v>
      </c>
      <c r="Y546" t="str">
        <f t="shared" ref="Y546" si="2181">CONCATENATE("&lt;/li&gt;&lt;li&gt;&lt;a href=|http://",Y1191,"/psalms/68.htm","| ","title=|",Y1190,"| target=|_top|&gt;",Y1192,"&lt;/a&gt;")</f>
        <v>&lt;/li&gt;&lt;li&gt;&lt;a href=|http://bibleoutline.org/psalms/68.htm| title=|Outline with People and Places List| target=|_top|&gt;Outline&lt;/a&gt;</v>
      </c>
      <c r="Z546" t="str">
        <f t="shared" si="2180"/>
        <v>&lt;/li&gt;&lt;li&gt;&lt;a href=|http://kjvs.scripturetext.com/psalms/68.htm| title=|King James Bible with Strong's Numbers| target=|_top|&gt;Strong's&lt;/a&gt;</v>
      </c>
      <c r="AA546" t="str">
        <f t="shared" si="2180"/>
        <v>&lt;/li&gt;&lt;li&gt;&lt;a href=|http://childrensbibleonline.com/psalms/68.htm| title=|The Children's Bible| target=|_top|&gt;Children's&lt;/a&gt;</v>
      </c>
      <c r="AB546" s="2" t="str">
        <f t="shared" si="2180"/>
        <v>&lt;/li&gt;&lt;li&gt;&lt;a href=|http://tsk.scripturetext.com/psalms/68.htm| title=|Treasury of Scripture Knowledge| target=|_top|&gt;TSK&lt;/a&gt;</v>
      </c>
      <c r="AC546" t="str">
        <f>CONCATENATE("&lt;a href=|http://",AC1191,"/psalms/68.htm","| ","title=|",AC1190,"| target=|_top|&gt;",AC1192,"&lt;/a&gt;")</f>
        <v>&lt;a href=|http://parallelbible.com/psalms/68.htm| title=|Parallel Chapters| target=|_top|&gt;PAR&lt;/a&gt;</v>
      </c>
      <c r="AD546" s="2" t="str">
        <f t="shared" ref="AD546:AK546" si="2182">CONCATENATE("&lt;/li&gt;&lt;li&gt;&lt;a href=|http://",AD1191,"/psalms/68.htm","| ","title=|",AD1190,"| target=|_top|&gt;",AD1192,"&lt;/a&gt;")</f>
        <v>&lt;/li&gt;&lt;li&gt;&lt;a href=|http://gsb.biblecommenter.com/psalms/68.htm| title=|Geneva Study Bible| target=|_top|&gt;GSB&lt;/a&gt;</v>
      </c>
      <c r="AE546" s="2" t="str">
        <f t="shared" si="2182"/>
        <v>&lt;/li&gt;&lt;li&gt;&lt;a href=|http://jfb.biblecommenter.com/psalms/68.htm| title=|Jamieson-Fausset-Brown Bible Commentary| target=|_top|&gt;JFB&lt;/a&gt;</v>
      </c>
      <c r="AF546" s="2" t="str">
        <f t="shared" si="2182"/>
        <v>&lt;/li&gt;&lt;li&gt;&lt;a href=|http://kjt.biblecommenter.com/psalms/68.htm| title=|King James Translators' Notes| target=|_top|&gt;KJT&lt;/a&gt;</v>
      </c>
      <c r="AG546" s="2" t="str">
        <f t="shared" si="2182"/>
        <v>&lt;/li&gt;&lt;li&gt;&lt;a href=|http://mhc.biblecommenter.com/psalms/68.htm| title=|Matthew Henry's Concise Commentary| target=|_top|&gt;MHC&lt;/a&gt;</v>
      </c>
      <c r="AH546" s="2" t="str">
        <f t="shared" si="2182"/>
        <v>&lt;/li&gt;&lt;li&gt;&lt;a href=|http://sco.biblecommenter.com/psalms/68.htm| title=|Scofield Reference Notes| target=|_top|&gt;SCO&lt;/a&gt;</v>
      </c>
      <c r="AI546" s="2" t="str">
        <f t="shared" si="2182"/>
        <v>&lt;/li&gt;&lt;li&gt;&lt;a href=|http://wes.biblecommenter.com/psalms/68.htm| title=|Wesley's Notes on the Bible| target=|_top|&gt;WES&lt;/a&gt;</v>
      </c>
      <c r="AJ546" t="str">
        <f t="shared" si="2182"/>
        <v>&lt;/li&gt;&lt;li&gt;&lt;a href=|http://worldebible.com/psalms/68.htm| title=|World English Bible| target=|_top|&gt;WEB&lt;/a&gt;</v>
      </c>
      <c r="AK546" t="str">
        <f t="shared" si="2182"/>
        <v>&lt;/li&gt;&lt;li&gt;&lt;a href=|http://yltbible.com/psalms/68.htm| title=|Young's Literal Translation| target=|_top|&gt;YLT&lt;/a&gt;</v>
      </c>
      <c r="AL546" t="str">
        <f>CONCATENATE("&lt;a href=|http://",AL1191,"/psalms/68.htm","| ","title=|",AL1190,"| target=|_top|&gt;",AL1192,"&lt;/a&gt;")</f>
        <v>&lt;a href=|http://kjv.us/psalms/68.htm| title=|American King James Version| target=|_top|&gt;AKJ&lt;/a&gt;</v>
      </c>
      <c r="AM546" t="str">
        <f t="shared" ref="AM546:AN546" si="2183">CONCATENATE("&lt;/li&gt;&lt;li&gt;&lt;a href=|http://",AM1191,"/psalms/68.htm","| ","title=|",AM1190,"| target=|_top|&gt;",AM1192,"&lt;/a&gt;")</f>
        <v>&lt;/li&gt;&lt;li&gt;&lt;a href=|http://basicenglishbible.com/psalms/68.htm| title=|Bible in Basic English| target=|_top|&gt;BBE&lt;/a&gt;</v>
      </c>
      <c r="AN546" t="str">
        <f t="shared" si="2183"/>
        <v>&lt;/li&gt;&lt;li&gt;&lt;a href=|http://darbybible.com/psalms/68.htm| title=|Darby Bible Translation| target=|_top|&gt;DBY&lt;/a&gt;</v>
      </c>
      <c r="AO54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4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4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46" t="str">
        <f>CONCATENATE("&lt;/li&gt;&lt;li&gt;&lt;a href=|http://",AR1191,"/psalms/68.htm","| ","title=|",AR1190,"| target=|_top|&gt;",AR1192,"&lt;/a&gt;")</f>
        <v>&lt;/li&gt;&lt;li&gt;&lt;a href=|http://websterbible.com/psalms/68.htm| title=|Webster's Bible Translation| target=|_top|&gt;WBS&lt;/a&gt;</v>
      </c>
      <c r="AS54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46" t="str">
        <f>CONCATENATE("&lt;/li&gt;&lt;li&gt;&lt;a href=|http://",AT1191,"/psalms/68-1.htm","| ","title=|",AT1190,"| target=|_top|&gt;",AT1192,"&lt;/a&gt;")</f>
        <v>&lt;/li&gt;&lt;li&gt;&lt;a href=|http://biblebrowser.com/psalms/68-1.htm| title=|Split View| target=|_top|&gt;Split&lt;/a&gt;</v>
      </c>
      <c r="AU546" s="2" t="s">
        <v>1276</v>
      </c>
      <c r="AV546" t="s">
        <v>64</v>
      </c>
    </row>
    <row r="547" spans="1:48">
      <c r="A547" t="s">
        <v>622</v>
      </c>
      <c r="B547" t="s">
        <v>785</v>
      </c>
      <c r="C547" t="s">
        <v>624</v>
      </c>
      <c r="D547" t="s">
        <v>1268</v>
      </c>
      <c r="E547" t="s">
        <v>1277</v>
      </c>
      <c r="F547" t="s">
        <v>1304</v>
      </c>
      <c r="G547" t="s">
        <v>1266</v>
      </c>
      <c r="H547" t="s">
        <v>1305</v>
      </c>
      <c r="I547" t="s">
        <v>1303</v>
      </c>
      <c r="J547" t="s">
        <v>1267</v>
      </c>
      <c r="K547" t="s">
        <v>1275</v>
      </c>
      <c r="L547" s="2" t="s">
        <v>1274</v>
      </c>
      <c r="M547" t="str">
        <f t="shared" ref="M547:AB547" si="2184">CONCATENATE("&lt;/li&gt;&lt;li&gt;&lt;a href=|http://",M1191,"/psalms/69.htm","| ","title=|",M1190,"| target=|_top|&gt;",M1192,"&lt;/a&gt;")</f>
        <v>&lt;/li&gt;&lt;li&gt;&lt;a href=|http://niv.scripturetext.com/psalms/69.htm| title=|New International Version| target=|_top|&gt;NIV&lt;/a&gt;</v>
      </c>
      <c r="N547" t="str">
        <f t="shared" si="2184"/>
        <v>&lt;/li&gt;&lt;li&gt;&lt;a href=|http://nlt.scripturetext.com/psalms/69.htm| title=|New Living Translation| target=|_top|&gt;NLT&lt;/a&gt;</v>
      </c>
      <c r="O547" t="str">
        <f t="shared" si="2184"/>
        <v>&lt;/li&gt;&lt;li&gt;&lt;a href=|http://nasb.scripturetext.com/psalms/69.htm| title=|New American Standard Bible| target=|_top|&gt;NAS&lt;/a&gt;</v>
      </c>
      <c r="P547" t="str">
        <f t="shared" si="2184"/>
        <v>&lt;/li&gt;&lt;li&gt;&lt;a href=|http://gwt.scripturetext.com/psalms/69.htm| title=|God's Word Translation| target=|_top|&gt;GWT&lt;/a&gt;</v>
      </c>
      <c r="Q547" t="str">
        <f t="shared" si="2184"/>
        <v>&lt;/li&gt;&lt;li&gt;&lt;a href=|http://kingjbible.com/psalms/69.htm| title=|King James Bible| target=|_top|&gt;KJV&lt;/a&gt;</v>
      </c>
      <c r="R547" t="str">
        <f t="shared" si="2184"/>
        <v>&lt;/li&gt;&lt;li&gt;&lt;a href=|http://asvbible.com/psalms/69.htm| title=|American Standard Version| target=|_top|&gt;ASV&lt;/a&gt;</v>
      </c>
      <c r="S547" t="str">
        <f t="shared" si="2184"/>
        <v>&lt;/li&gt;&lt;li&gt;&lt;a href=|http://drb.scripturetext.com/psalms/69.htm| title=|Douay-Rheims Bible| target=|_top|&gt;DRB&lt;/a&gt;</v>
      </c>
      <c r="T547" t="str">
        <f t="shared" si="2184"/>
        <v>&lt;/li&gt;&lt;li&gt;&lt;a href=|http://erv.scripturetext.com/psalms/69.htm| title=|English Revised Version| target=|_top|&gt;ERV&lt;/a&gt;</v>
      </c>
      <c r="V547" t="str">
        <f>CONCATENATE("&lt;/li&gt;&lt;li&gt;&lt;a href=|http://",V1191,"/psalms/69.htm","| ","title=|",V1190,"| target=|_top|&gt;",V1192,"&lt;/a&gt;")</f>
        <v>&lt;/li&gt;&lt;li&gt;&lt;a href=|http://study.interlinearbible.org/psalms/69.htm| title=|Hebrew Study Bible| target=|_top|&gt;Heb Study&lt;/a&gt;</v>
      </c>
      <c r="W547" t="str">
        <f t="shared" si="2184"/>
        <v>&lt;/li&gt;&lt;li&gt;&lt;a href=|http://apostolic.interlinearbible.org/psalms/69.htm| title=|Apostolic Bible Polyglot Interlinear| target=|_top|&gt;Polyglot&lt;/a&gt;</v>
      </c>
      <c r="X547" t="str">
        <f t="shared" si="2184"/>
        <v>&lt;/li&gt;&lt;li&gt;&lt;a href=|http://interlinearbible.org/psalms/69.htm| title=|Interlinear Bible| target=|_top|&gt;Interlin&lt;/a&gt;</v>
      </c>
      <c r="Y547" t="str">
        <f t="shared" ref="Y547" si="2185">CONCATENATE("&lt;/li&gt;&lt;li&gt;&lt;a href=|http://",Y1191,"/psalms/69.htm","| ","title=|",Y1190,"| target=|_top|&gt;",Y1192,"&lt;/a&gt;")</f>
        <v>&lt;/li&gt;&lt;li&gt;&lt;a href=|http://bibleoutline.org/psalms/69.htm| title=|Outline with People and Places List| target=|_top|&gt;Outline&lt;/a&gt;</v>
      </c>
      <c r="Z547" t="str">
        <f t="shared" si="2184"/>
        <v>&lt;/li&gt;&lt;li&gt;&lt;a href=|http://kjvs.scripturetext.com/psalms/69.htm| title=|King James Bible with Strong's Numbers| target=|_top|&gt;Strong's&lt;/a&gt;</v>
      </c>
      <c r="AA547" t="str">
        <f t="shared" si="2184"/>
        <v>&lt;/li&gt;&lt;li&gt;&lt;a href=|http://childrensbibleonline.com/psalms/69.htm| title=|The Children's Bible| target=|_top|&gt;Children's&lt;/a&gt;</v>
      </c>
      <c r="AB547" s="2" t="str">
        <f t="shared" si="2184"/>
        <v>&lt;/li&gt;&lt;li&gt;&lt;a href=|http://tsk.scripturetext.com/psalms/69.htm| title=|Treasury of Scripture Knowledge| target=|_top|&gt;TSK&lt;/a&gt;</v>
      </c>
      <c r="AC547" t="str">
        <f>CONCATENATE("&lt;a href=|http://",AC1191,"/psalms/69.htm","| ","title=|",AC1190,"| target=|_top|&gt;",AC1192,"&lt;/a&gt;")</f>
        <v>&lt;a href=|http://parallelbible.com/psalms/69.htm| title=|Parallel Chapters| target=|_top|&gt;PAR&lt;/a&gt;</v>
      </c>
      <c r="AD547" s="2" t="str">
        <f t="shared" ref="AD547:AK547" si="2186">CONCATENATE("&lt;/li&gt;&lt;li&gt;&lt;a href=|http://",AD1191,"/psalms/69.htm","| ","title=|",AD1190,"| target=|_top|&gt;",AD1192,"&lt;/a&gt;")</f>
        <v>&lt;/li&gt;&lt;li&gt;&lt;a href=|http://gsb.biblecommenter.com/psalms/69.htm| title=|Geneva Study Bible| target=|_top|&gt;GSB&lt;/a&gt;</v>
      </c>
      <c r="AE547" s="2" t="str">
        <f t="shared" si="2186"/>
        <v>&lt;/li&gt;&lt;li&gt;&lt;a href=|http://jfb.biblecommenter.com/psalms/69.htm| title=|Jamieson-Fausset-Brown Bible Commentary| target=|_top|&gt;JFB&lt;/a&gt;</v>
      </c>
      <c r="AF547" s="2" t="str">
        <f t="shared" si="2186"/>
        <v>&lt;/li&gt;&lt;li&gt;&lt;a href=|http://kjt.biblecommenter.com/psalms/69.htm| title=|King James Translators' Notes| target=|_top|&gt;KJT&lt;/a&gt;</v>
      </c>
      <c r="AG547" s="2" t="str">
        <f t="shared" si="2186"/>
        <v>&lt;/li&gt;&lt;li&gt;&lt;a href=|http://mhc.biblecommenter.com/psalms/69.htm| title=|Matthew Henry's Concise Commentary| target=|_top|&gt;MHC&lt;/a&gt;</v>
      </c>
      <c r="AH547" s="2" t="str">
        <f t="shared" si="2186"/>
        <v>&lt;/li&gt;&lt;li&gt;&lt;a href=|http://sco.biblecommenter.com/psalms/69.htm| title=|Scofield Reference Notes| target=|_top|&gt;SCO&lt;/a&gt;</v>
      </c>
      <c r="AI547" s="2" t="str">
        <f t="shared" si="2186"/>
        <v>&lt;/li&gt;&lt;li&gt;&lt;a href=|http://wes.biblecommenter.com/psalms/69.htm| title=|Wesley's Notes on the Bible| target=|_top|&gt;WES&lt;/a&gt;</v>
      </c>
      <c r="AJ547" t="str">
        <f t="shared" si="2186"/>
        <v>&lt;/li&gt;&lt;li&gt;&lt;a href=|http://worldebible.com/psalms/69.htm| title=|World English Bible| target=|_top|&gt;WEB&lt;/a&gt;</v>
      </c>
      <c r="AK547" t="str">
        <f t="shared" si="2186"/>
        <v>&lt;/li&gt;&lt;li&gt;&lt;a href=|http://yltbible.com/psalms/69.htm| title=|Young's Literal Translation| target=|_top|&gt;YLT&lt;/a&gt;</v>
      </c>
      <c r="AL547" t="str">
        <f>CONCATENATE("&lt;a href=|http://",AL1191,"/psalms/69.htm","| ","title=|",AL1190,"| target=|_top|&gt;",AL1192,"&lt;/a&gt;")</f>
        <v>&lt;a href=|http://kjv.us/psalms/69.htm| title=|American King James Version| target=|_top|&gt;AKJ&lt;/a&gt;</v>
      </c>
      <c r="AM547" t="str">
        <f t="shared" ref="AM547:AN547" si="2187">CONCATENATE("&lt;/li&gt;&lt;li&gt;&lt;a href=|http://",AM1191,"/psalms/69.htm","| ","title=|",AM1190,"| target=|_top|&gt;",AM1192,"&lt;/a&gt;")</f>
        <v>&lt;/li&gt;&lt;li&gt;&lt;a href=|http://basicenglishbible.com/psalms/69.htm| title=|Bible in Basic English| target=|_top|&gt;BBE&lt;/a&gt;</v>
      </c>
      <c r="AN547" t="str">
        <f t="shared" si="2187"/>
        <v>&lt;/li&gt;&lt;li&gt;&lt;a href=|http://darbybible.com/psalms/69.htm| title=|Darby Bible Translation| target=|_top|&gt;DBY&lt;/a&gt;</v>
      </c>
      <c r="AO54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4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4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47" t="str">
        <f>CONCATENATE("&lt;/li&gt;&lt;li&gt;&lt;a href=|http://",AR1191,"/psalms/69.htm","| ","title=|",AR1190,"| target=|_top|&gt;",AR1192,"&lt;/a&gt;")</f>
        <v>&lt;/li&gt;&lt;li&gt;&lt;a href=|http://websterbible.com/psalms/69.htm| title=|Webster's Bible Translation| target=|_top|&gt;WBS&lt;/a&gt;</v>
      </c>
      <c r="AS54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47" t="str">
        <f>CONCATENATE("&lt;/li&gt;&lt;li&gt;&lt;a href=|http://",AT1191,"/psalms/69-1.htm","| ","title=|",AT1190,"| target=|_top|&gt;",AT1192,"&lt;/a&gt;")</f>
        <v>&lt;/li&gt;&lt;li&gt;&lt;a href=|http://biblebrowser.com/psalms/69-1.htm| title=|Split View| target=|_top|&gt;Split&lt;/a&gt;</v>
      </c>
      <c r="AU547" s="2" t="s">
        <v>1276</v>
      </c>
      <c r="AV547" t="s">
        <v>64</v>
      </c>
    </row>
    <row r="548" spans="1:48">
      <c r="A548" t="s">
        <v>622</v>
      </c>
      <c r="B548" t="s">
        <v>786</v>
      </c>
      <c r="C548" t="s">
        <v>624</v>
      </c>
      <c r="D548" t="s">
        <v>1268</v>
      </c>
      <c r="E548" t="s">
        <v>1277</v>
      </c>
      <c r="F548" t="s">
        <v>1304</v>
      </c>
      <c r="G548" t="s">
        <v>1266</v>
      </c>
      <c r="H548" t="s">
        <v>1305</v>
      </c>
      <c r="I548" t="s">
        <v>1303</v>
      </c>
      <c r="J548" t="s">
        <v>1267</v>
      </c>
      <c r="K548" t="s">
        <v>1275</v>
      </c>
      <c r="L548" s="2" t="s">
        <v>1274</v>
      </c>
      <c r="M548" t="str">
        <f t="shared" ref="M548:AB548" si="2188">CONCATENATE("&lt;/li&gt;&lt;li&gt;&lt;a href=|http://",M1191,"/psalms/70.htm","| ","title=|",M1190,"| target=|_top|&gt;",M1192,"&lt;/a&gt;")</f>
        <v>&lt;/li&gt;&lt;li&gt;&lt;a href=|http://niv.scripturetext.com/psalms/70.htm| title=|New International Version| target=|_top|&gt;NIV&lt;/a&gt;</v>
      </c>
      <c r="N548" t="str">
        <f t="shared" si="2188"/>
        <v>&lt;/li&gt;&lt;li&gt;&lt;a href=|http://nlt.scripturetext.com/psalms/70.htm| title=|New Living Translation| target=|_top|&gt;NLT&lt;/a&gt;</v>
      </c>
      <c r="O548" t="str">
        <f t="shared" si="2188"/>
        <v>&lt;/li&gt;&lt;li&gt;&lt;a href=|http://nasb.scripturetext.com/psalms/70.htm| title=|New American Standard Bible| target=|_top|&gt;NAS&lt;/a&gt;</v>
      </c>
      <c r="P548" t="str">
        <f t="shared" si="2188"/>
        <v>&lt;/li&gt;&lt;li&gt;&lt;a href=|http://gwt.scripturetext.com/psalms/70.htm| title=|God's Word Translation| target=|_top|&gt;GWT&lt;/a&gt;</v>
      </c>
      <c r="Q548" t="str">
        <f t="shared" si="2188"/>
        <v>&lt;/li&gt;&lt;li&gt;&lt;a href=|http://kingjbible.com/psalms/70.htm| title=|King James Bible| target=|_top|&gt;KJV&lt;/a&gt;</v>
      </c>
      <c r="R548" t="str">
        <f t="shared" si="2188"/>
        <v>&lt;/li&gt;&lt;li&gt;&lt;a href=|http://asvbible.com/psalms/70.htm| title=|American Standard Version| target=|_top|&gt;ASV&lt;/a&gt;</v>
      </c>
      <c r="S548" t="str">
        <f t="shared" si="2188"/>
        <v>&lt;/li&gt;&lt;li&gt;&lt;a href=|http://drb.scripturetext.com/psalms/70.htm| title=|Douay-Rheims Bible| target=|_top|&gt;DRB&lt;/a&gt;</v>
      </c>
      <c r="T548" t="str">
        <f t="shared" si="2188"/>
        <v>&lt;/li&gt;&lt;li&gt;&lt;a href=|http://erv.scripturetext.com/psalms/70.htm| title=|English Revised Version| target=|_top|&gt;ERV&lt;/a&gt;</v>
      </c>
      <c r="V548" t="str">
        <f>CONCATENATE("&lt;/li&gt;&lt;li&gt;&lt;a href=|http://",V1191,"/psalms/70.htm","| ","title=|",V1190,"| target=|_top|&gt;",V1192,"&lt;/a&gt;")</f>
        <v>&lt;/li&gt;&lt;li&gt;&lt;a href=|http://study.interlinearbible.org/psalms/70.htm| title=|Hebrew Study Bible| target=|_top|&gt;Heb Study&lt;/a&gt;</v>
      </c>
      <c r="W548" t="str">
        <f t="shared" si="2188"/>
        <v>&lt;/li&gt;&lt;li&gt;&lt;a href=|http://apostolic.interlinearbible.org/psalms/70.htm| title=|Apostolic Bible Polyglot Interlinear| target=|_top|&gt;Polyglot&lt;/a&gt;</v>
      </c>
      <c r="X548" t="str">
        <f t="shared" si="2188"/>
        <v>&lt;/li&gt;&lt;li&gt;&lt;a href=|http://interlinearbible.org/psalms/70.htm| title=|Interlinear Bible| target=|_top|&gt;Interlin&lt;/a&gt;</v>
      </c>
      <c r="Y548" t="str">
        <f t="shared" ref="Y548" si="2189">CONCATENATE("&lt;/li&gt;&lt;li&gt;&lt;a href=|http://",Y1191,"/psalms/70.htm","| ","title=|",Y1190,"| target=|_top|&gt;",Y1192,"&lt;/a&gt;")</f>
        <v>&lt;/li&gt;&lt;li&gt;&lt;a href=|http://bibleoutline.org/psalms/70.htm| title=|Outline with People and Places List| target=|_top|&gt;Outline&lt;/a&gt;</v>
      </c>
      <c r="Z548" t="str">
        <f t="shared" si="2188"/>
        <v>&lt;/li&gt;&lt;li&gt;&lt;a href=|http://kjvs.scripturetext.com/psalms/70.htm| title=|King James Bible with Strong's Numbers| target=|_top|&gt;Strong's&lt;/a&gt;</v>
      </c>
      <c r="AA548" t="str">
        <f t="shared" si="2188"/>
        <v>&lt;/li&gt;&lt;li&gt;&lt;a href=|http://childrensbibleonline.com/psalms/70.htm| title=|The Children's Bible| target=|_top|&gt;Children's&lt;/a&gt;</v>
      </c>
      <c r="AB548" s="2" t="str">
        <f t="shared" si="2188"/>
        <v>&lt;/li&gt;&lt;li&gt;&lt;a href=|http://tsk.scripturetext.com/psalms/70.htm| title=|Treasury of Scripture Knowledge| target=|_top|&gt;TSK&lt;/a&gt;</v>
      </c>
      <c r="AC548" t="str">
        <f>CONCATENATE("&lt;a href=|http://",AC1191,"/psalms/70.htm","| ","title=|",AC1190,"| target=|_top|&gt;",AC1192,"&lt;/a&gt;")</f>
        <v>&lt;a href=|http://parallelbible.com/psalms/70.htm| title=|Parallel Chapters| target=|_top|&gt;PAR&lt;/a&gt;</v>
      </c>
      <c r="AD548" s="2" t="str">
        <f t="shared" ref="AD548:AK548" si="2190">CONCATENATE("&lt;/li&gt;&lt;li&gt;&lt;a href=|http://",AD1191,"/psalms/70.htm","| ","title=|",AD1190,"| target=|_top|&gt;",AD1192,"&lt;/a&gt;")</f>
        <v>&lt;/li&gt;&lt;li&gt;&lt;a href=|http://gsb.biblecommenter.com/psalms/70.htm| title=|Geneva Study Bible| target=|_top|&gt;GSB&lt;/a&gt;</v>
      </c>
      <c r="AE548" s="2" t="str">
        <f t="shared" si="2190"/>
        <v>&lt;/li&gt;&lt;li&gt;&lt;a href=|http://jfb.biblecommenter.com/psalms/70.htm| title=|Jamieson-Fausset-Brown Bible Commentary| target=|_top|&gt;JFB&lt;/a&gt;</v>
      </c>
      <c r="AF548" s="2" t="str">
        <f t="shared" si="2190"/>
        <v>&lt;/li&gt;&lt;li&gt;&lt;a href=|http://kjt.biblecommenter.com/psalms/70.htm| title=|King James Translators' Notes| target=|_top|&gt;KJT&lt;/a&gt;</v>
      </c>
      <c r="AG548" s="2" t="str">
        <f t="shared" si="2190"/>
        <v>&lt;/li&gt;&lt;li&gt;&lt;a href=|http://mhc.biblecommenter.com/psalms/70.htm| title=|Matthew Henry's Concise Commentary| target=|_top|&gt;MHC&lt;/a&gt;</v>
      </c>
      <c r="AH548" s="2" t="str">
        <f t="shared" si="2190"/>
        <v>&lt;/li&gt;&lt;li&gt;&lt;a href=|http://sco.biblecommenter.com/psalms/70.htm| title=|Scofield Reference Notes| target=|_top|&gt;SCO&lt;/a&gt;</v>
      </c>
      <c r="AI548" s="2" t="str">
        <f t="shared" si="2190"/>
        <v>&lt;/li&gt;&lt;li&gt;&lt;a href=|http://wes.biblecommenter.com/psalms/70.htm| title=|Wesley's Notes on the Bible| target=|_top|&gt;WES&lt;/a&gt;</v>
      </c>
      <c r="AJ548" t="str">
        <f t="shared" si="2190"/>
        <v>&lt;/li&gt;&lt;li&gt;&lt;a href=|http://worldebible.com/psalms/70.htm| title=|World English Bible| target=|_top|&gt;WEB&lt;/a&gt;</v>
      </c>
      <c r="AK548" t="str">
        <f t="shared" si="2190"/>
        <v>&lt;/li&gt;&lt;li&gt;&lt;a href=|http://yltbible.com/psalms/70.htm| title=|Young's Literal Translation| target=|_top|&gt;YLT&lt;/a&gt;</v>
      </c>
      <c r="AL548" t="str">
        <f>CONCATENATE("&lt;a href=|http://",AL1191,"/psalms/70.htm","| ","title=|",AL1190,"| target=|_top|&gt;",AL1192,"&lt;/a&gt;")</f>
        <v>&lt;a href=|http://kjv.us/psalms/70.htm| title=|American King James Version| target=|_top|&gt;AKJ&lt;/a&gt;</v>
      </c>
      <c r="AM548" t="str">
        <f t="shared" ref="AM548:AN548" si="2191">CONCATENATE("&lt;/li&gt;&lt;li&gt;&lt;a href=|http://",AM1191,"/psalms/70.htm","| ","title=|",AM1190,"| target=|_top|&gt;",AM1192,"&lt;/a&gt;")</f>
        <v>&lt;/li&gt;&lt;li&gt;&lt;a href=|http://basicenglishbible.com/psalms/70.htm| title=|Bible in Basic English| target=|_top|&gt;BBE&lt;/a&gt;</v>
      </c>
      <c r="AN548" t="str">
        <f t="shared" si="2191"/>
        <v>&lt;/li&gt;&lt;li&gt;&lt;a href=|http://darbybible.com/psalms/70.htm| title=|Darby Bible Translation| target=|_top|&gt;DBY&lt;/a&gt;</v>
      </c>
      <c r="AO54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4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4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48" t="str">
        <f>CONCATENATE("&lt;/li&gt;&lt;li&gt;&lt;a href=|http://",AR1191,"/psalms/70.htm","| ","title=|",AR1190,"| target=|_top|&gt;",AR1192,"&lt;/a&gt;")</f>
        <v>&lt;/li&gt;&lt;li&gt;&lt;a href=|http://websterbible.com/psalms/70.htm| title=|Webster's Bible Translation| target=|_top|&gt;WBS&lt;/a&gt;</v>
      </c>
      <c r="AS54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48" t="str">
        <f>CONCATENATE("&lt;/li&gt;&lt;li&gt;&lt;a href=|http://",AT1191,"/psalms/70-1.htm","| ","title=|",AT1190,"| target=|_top|&gt;",AT1192,"&lt;/a&gt;")</f>
        <v>&lt;/li&gt;&lt;li&gt;&lt;a href=|http://biblebrowser.com/psalms/70-1.htm| title=|Split View| target=|_top|&gt;Split&lt;/a&gt;</v>
      </c>
      <c r="AU548" s="2" t="s">
        <v>1276</v>
      </c>
      <c r="AV548" t="s">
        <v>64</v>
      </c>
    </row>
    <row r="549" spans="1:48">
      <c r="A549" t="s">
        <v>622</v>
      </c>
      <c r="B549" t="s">
        <v>787</v>
      </c>
      <c r="C549" t="s">
        <v>624</v>
      </c>
      <c r="D549" t="s">
        <v>1268</v>
      </c>
      <c r="E549" t="s">
        <v>1277</v>
      </c>
      <c r="F549" t="s">
        <v>1304</v>
      </c>
      <c r="G549" t="s">
        <v>1266</v>
      </c>
      <c r="H549" t="s">
        <v>1305</v>
      </c>
      <c r="I549" t="s">
        <v>1303</v>
      </c>
      <c r="J549" t="s">
        <v>1267</v>
      </c>
      <c r="K549" t="s">
        <v>1275</v>
      </c>
      <c r="L549" s="2" t="s">
        <v>1274</v>
      </c>
      <c r="M549" t="str">
        <f t="shared" ref="M549:AB549" si="2192">CONCATENATE("&lt;/li&gt;&lt;li&gt;&lt;a href=|http://",M1191,"/psalms/71.htm","| ","title=|",M1190,"| target=|_top|&gt;",M1192,"&lt;/a&gt;")</f>
        <v>&lt;/li&gt;&lt;li&gt;&lt;a href=|http://niv.scripturetext.com/psalms/71.htm| title=|New International Version| target=|_top|&gt;NIV&lt;/a&gt;</v>
      </c>
      <c r="N549" t="str">
        <f t="shared" si="2192"/>
        <v>&lt;/li&gt;&lt;li&gt;&lt;a href=|http://nlt.scripturetext.com/psalms/71.htm| title=|New Living Translation| target=|_top|&gt;NLT&lt;/a&gt;</v>
      </c>
      <c r="O549" t="str">
        <f t="shared" si="2192"/>
        <v>&lt;/li&gt;&lt;li&gt;&lt;a href=|http://nasb.scripturetext.com/psalms/71.htm| title=|New American Standard Bible| target=|_top|&gt;NAS&lt;/a&gt;</v>
      </c>
      <c r="P549" t="str">
        <f t="shared" si="2192"/>
        <v>&lt;/li&gt;&lt;li&gt;&lt;a href=|http://gwt.scripturetext.com/psalms/71.htm| title=|God's Word Translation| target=|_top|&gt;GWT&lt;/a&gt;</v>
      </c>
      <c r="Q549" t="str">
        <f t="shared" si="2192"/>
        <v>&lt;/li&gt;&lt;li&gt;&lt;a href=|http://kingjbible.com/psalms/71.htm| title=|King James Bible| target=|_top|&gt;KJV&lt;/a&gt;</v>
      </c>
      <c r="R549" t="str">
        <f t="shared" si="2192"/>
        <v>&lt;/li&gt;&lt;li&gt;&lt;a href=|http://asvbible.com/psalms/71.htm| title=|American Standard Version| target=|_top|&gt;ASV&lt;/a&gt;</v>
      </c>
      <c r="S549" t="str">
        <f t="shared" si="2192"/>
        <v>&lt;/li&gt;&lt;li&gt;&lt;a href=|http://drb.scripturetext.com/psalms/71.htm| title=|Douay-Rheims Bible| target=|_top|&gt;DRB&lt;/a&gt;</v>
      </c>
      <c r="T549" t="str">
        <f t="shared" si="2192"/>
        <v>&lt;/li&gt;&lt;li&gt;&lt;a href=|http://erv.scripturetext.com/psalms/71.htm| title=|English Revised Version| target=|_top|&gt;ERV&lt;/a&gt;</v>
      </c>
      <c r="V549" t="str">
        <f>CONCATENATE("&lt;/li&gt;&lt;li&gt;&lt;a href=|http://",V1191,"/psalms/71.htm","| ","title=|",V1190,"| target=|_top|&gt;",V1192,"&lt;/a&gt;")</f>
        <v>&lt;/li&gt;&lt;li&gt;&lt;a href=|http://study.interlinearbible.org/psalms/71.htm| title=|Hebrew Study Bible| target=|_top|&gt;Heb Study&lt;/a&gt;</v>
      </c>
      <c r="W549" t="str">
        <f t="shared" si="2192"/>
        <v>&lt;/li&gt;&lt;li&gt;&lt;a href=|http://apostolic.interlinearbible.org/psalms/71.htm| title=|Apostolic Bible Polyglot Interlinear| target=|_top|&gt;Polyglot&lt;/a&gt;</v>
      </c>
      <c r="X549" t="str">
        <f t="shared" si="2192"/>
        <v>&lt;/li&gt;&lt;li&gt;&lt;a href=|http://interlinearbible.org/psalms/71.htm| title=|Interlinear Bible| target=|_top|&gt;Interlin&lt;/a&gt;</v>
      </c>
      <c r="Y549" t="str">
        <f t="shared" ref="Y549" si="2193">CONCATENATE("&lt;/li&gt;&lt;li&gt;&lt;a href=|http://",Y1191,"/psalms/71.htm","| ","title=|",Y1190,"| target=|_top|&gt;",Y1192,"&lt;/a&gt;")</f>
        <v>&lt;/li&gt;&lt;li&gt;&lt;a href=|http://bibleoutline.org/psalms/71.htm| title=|Outline with People and Places List| target=|_top|&gt;Outline&lt;/a&gt;</v>
      </c>
      <c r="Z549" t="str">
        <f t="shared" si="2192"/>
        <v>&lt;/li&gt;&lt;li&gt;&lt;a href=|http://kjvs.scripturetext.com/psalms/71.htm| title=|King James Bible with Strong's Numbers| target=|_top|&gt;Strong's&lt;/a&gt;</v>
      </c>
      <c r="AA549" t="str">
        <f t="shared" si="2192"/>
        <v>&lt;/li&gt;&lt;li&gt;&lt;a href=|http://childrensbibleonline.com/psalms/71.htm| title=|The Children's Bible| target=|_top|&gt;Children's&lt;/a&gt;</v>
      </c>
      <c r="AB549" s="2" t="str">
        <f t="shared" si="2192"/>
        <v>&lt;/li&gt;&lt;li&gt;&lt;a href=|http://tsk.scripturetext.com/psalms/71.htm| title=|Treasury of Scripture Knowledge| target=|_top|&gt;TSK&lt;/a&gt;</v>
      </c>
      <c r="AC549" t="str">
        <f>CONCATENATE("&lt;a href=|http://",AC1191,"/psalms/71.htm","| ","title=|",AC1190,"| target=|_top|&gt;",AC1192,"&lt;/a&gt;")</f>
        <v>&lt;a href=|http://parallelbible.com/psalms/71.htm| title=|Parallel Chapters| target=|_top|&gt;PAR&lt;/a&gt;</v>
      </c>
      <c r="AD549" s="2" t="str">
        <f t="shared" ref="AD549:AK549" si="2194">CONCATENATE("&lt;/li&gt;&lt;li&gt;&lt;a href=|http://",AD1191,"/psalms/71.htm","| ","title=|",AD1190,"| target=|_top|&gt;",AD1192,"&lt;/a&gt;")</f>
        <v>&lt;/li&gt;&lt;li&gt;&lt;a href=|http://gsb.biblecommenter.com/psalms/71.htm| title=|Geneva Study Bible| target=|_top|&gt;GSB&lt;/a&gt;</v>
      </c>
      <c r="AE549" s="2" t="str">
        <f t="shared" si="2194"/>
        <v>&lt;/li&gt;&lt;li&gt;&lt;a href=|http://jfb.biblecommenter.com/psalms/71.htm| title=|Jamieson-Fausset-Brown Bible Commentary| target=|_top|&gt;JFB&lt;/a&gt;</v>
      </c>
      <c r="AF549" s="2" t="str">
        <f t="shared" si="2194"/>
        <v>&lt;/li&gt;&lt;li&gt;&lt;a href=|http://kjt.biblecommenter.com/psalms/71.htm| title=|King James Translators' Notes| target=|_top|&gt;KJT&lt;/a&gt;</v>
      </c>
      <c r="AG549" s="2" t="str">
        <f t="shared" si="2194"/>
        <v>&lt;/li&gt;&lt;li&gt;&lt;a href=|http://mhc.biblecommenter.com/psalms/71.htm| title=|Matthew Henry's Concise Commentary| target=|_top|&gt;MHC&lt;/a&gt;</v>
      </c>
      <c r="AH549" s="2" t="str">
        <f t="shared" si="2194"/>
        <v>&lt;/li&gt;&lt;li&gt;&lt;a href=|http://sco.biblecommenter.com/psalms/71.htm| title=|Scofield Reference Notes| target=|_top|&gt;SCO&lt;/a&gt;</v>
      </c>
      <c r="AI549" s="2" t="str">
        <f t="shared" si="2194"/>
        <v>&lt;/li&gt;&lt;li&gt;&lt;a href=|http://wes.biblecommenter.com/psalms/71.htm| title=|Wesley's Notes on the Bible| target=|_top|&gt;WES&lt;/a&gt;</v>
      </c>
      <c r="AJ549" t="str">
        <f t="shared" si="2194"/>
        <v>&lt;/li&gt;&lt;li&gt;&lt;a href=|http://worldebible.com/psalms/71.htm| title=|World English Bible| target=|_top|&gt;WEB&lt;/a&gt;</v>
      </c>
      <c r="AK549" t="str">
        <f t="shared" si="2194"/>
        <v>&lt;/li&gt;&lt;li&gt;&lt;a href=|http://yltbible.com/psalms/71.htm| title=|Young's Literal Translation| target=|_top|&gt;YLT&lt;/a&gt;</v>
      </c>
      <c r="AL549" t="str">
        <f>CONCATENATE("&lt;a href=|http://",AL1191,"/psalms/71.htm","| ","title=|",AL1190,"| target=|_top|&gt;",AL1192,"&lt;/a&gt;")</f>
        <v>&lt;a href=|http://kjv.us/psalms/71.htm| title=|American King James Version| target=|_top|&gt;AKJ&lt;/a&gt;</v>
      </c>
      <c r="AM549" t="str">
        <f t="shared" ref="AM549:AN549" si="2195">CONCATENATE("&lt;/li&gt;&lt;li&gt;&lt;a href=|http://",AM1191,"/psalms/71.htm","| ","title=|",AM1190,"| target=|_top|&gt;",AM1192,"&lt;/a&gt;")</f>
        <v>&lt;/li&gt;&lt;li&gt;&lt;a href=|http://basicenglishbible.com/psalms/71.htm| title=|Bible in Basic English| target=|_top|&gt;BBE&lt;/a&gt;</v>
      </c>
      <c r="AN549" t="str">
        <f t="shared" si="2195"/>
        <v>&lt;/li&gt;&lt;li&gt;&lt;a href=|http://darbybible.com/psalms/71.htm| title=|Darby Bible Translation| target=|_top|&gt;DBY&lt;/a&gt;</v>
      </c>
      <c r="AO54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4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4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49" t="str">
        <f>CONCATENATE("&lt;/li&gt;&lt;li&gt;&lt;a href=|http://",AR1191,"/psalms/71.htm","| ","title=|",AR1190,"| target=|_top|&gt;",AR1192,"&lt;/a&gt;")</f>
        <v>&lt;/li&gt;&lt;li&gt;&lt;a href=|http://websterbible.com/psalms/71.htm| title=|Webster's Bible Translation| target=|_top|&gt;WBS&lt;/a&gt;</v>
      </c>
      <c r="AS54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49" t="str">
        <f>CONCATENATE("&lt;/li&gt;&lt;li&gt;&lt;a href=|http://",AT1191,"/psalms/71-1.htm","| ","title=|",AT1190,"| target=|_top|&gt;",AT1192,"&lt;/a&gt;")</f>
        <v>&lt;/li&gt;&lt;li&gt;&lt;a href=|http://biblebrowser.com/psalms/71-1.htm| title=|Split View| target=|_top|&gt;Split&lt;/a&gt;</v>
      </c>
      <c r="AU549" s="2" t="s">
        <v>1276</v>
      </c>
      <c r="AV549" t="s">
        <v>64</v>
      </c>
    </row>
    <row r="550" spans="1:48">
      <c r="A550" t="s">
        <v>622</v>
      </c>
      <c r="B550" t="s">
        <v>788</v>
      </c>
      <c r="C550" t="s">
        <v>624</v>
      </c>
      <c r="D550" t="s">
        <v>1268</v>
      </c>
      <c r="E550" t="s">
        <v>1277</v>
      </c>
      <c r="F550" t="s">
        <v>1304</v>
      </c>
      <c r="G550" t="s">
        <v>1266</v>
      </c>
      <c r="H550" t="s">
        <v>1305</v>
      </c>
      <c r="I550" t="s">
        <v>1303</v>
      </c>
      <c r="J550" t="s">
        <v>1267</v>
      </c>
      <c r="K550" t="s">
        <v>1275</v>
      </c>
      <c r="L550" s="2" t="s">
        <v>1274</v>
      </c>
      <c r="M550" t="str">
        <f t="shared" ref="M550:AB550" si="2196">CONCATENATE("&lt;/li&gt;&lt;li&gt;&lt;a href=|http://",M1191,"/psalms/72.htm","| ","title=|",M1190,"| target=|_top|&gt;",M1192,"&lt;/a&gt;")</f>
        <v>&lt;/li&gt;&lt;li&gt;&lt;a href=|http://niv.scripturetext.com/psalms/72.htm| title=|New International Version| target=|_top|&gt;NIV&lt;/a&gt;</v>
      </c>
      <c r="N550" t="str">
        <f t="shared" si="2196"/>
        <v>&lt;/li&gt;&lt;li&gt;&lt;a href=|http://nlt.scripturetext.com/psalms/72.htm| title=|New Living Translation| target=|_top|&gt;NLT&lt;/a&gt;</v>
      </c>
      <c r="O550" t="str">
        <f t="shared" si="2196"/>
        <v>&lt;/li&gt;&lt;li&gt;&lt;a href=|http://nasb.scripturetext.com/psalms/72.htm| title=|New American Standard Bible| target=|_top|&gt;NAS&lt;/a&gt;</v>
      </c>
      <c r="P550" t="str">
        <f t="shared" si="2196"/>
        <v>&lt;/li&gt;&lt;li&gt;&lt;a href=|http://gwt.scripturetext.com/psalms/72.htm| title=|God's Word Translation| target=|_top|&gt;GWT&lt;/a&gt;</v>
      </c>
      <c r="Q550" t="str">
        <f t="shared" si="2196"/>
        <v>&lt;/li&gt;&lt;li&gt;&lt;a href=|http://kingjbible.com/psalms/72.htm| title=|King James Bible| target=|_top|&gt;KJV&lt;/a&gt;</v>
      </c>
      <c r="R550" t="str">
        <f t="shared" si="2196"/>
        <v>&lt;/li&gt;&lt;li&gt;&lt;a href=|http://asvbible.com/psalms/72.htm| title=|American Standard Version| target=|_top|&gt;ASV&lt;/a&gt;</v>
      </c>
      <c r="S550" t="str">
        <f t="shared" si="2196"/>
        <v>&lt;/li&gt;&lt;li&gt;&lt;a href=|http://drb.scripturetext.com/psalms/72.htm| title=|Douay-Rheims Bible| target=|_top|&gt;DRB&lt;/a&gt;</v>
      </c>
      <c r="T550" t="str">
        <f t="shared" si="2196"/>
        <v>&lt;/li&gt;&lt;li&gt;&lt;a href=|http://erv.scripturetext.com/psalms/72.htm| title=|English Revised Version| target=|_top|&gt;ERV&lt;/a&gt;</v>
      </c>
      <c r="V550" t="str">
        <f>CONCATENATE("&lt;/li&gt;&lt;li&gt;&lt;a href=|http://",V1191,"/psalms/72.htm","| ","title=|",V1190,"| target=|_top|&gt;",V1192,"&lt;/a&gt;")</f>
        <v>&lt;/li&gt;&lt;li&gt;&lt;a href=|http://study.interlinearbible.org/psalms/72.htm| title=|Hebrew Study Bible| target=|_top|&gt;Heb Study&lt;/a&gt;</v>
      </c>
      <c r="W550" t="str">
        <f t="shared" si="2196"/>
        <v>&lt;/li&gt;&lt;li&gt;&lt;a href=|http://apostolic.interlinearbible.org/psalms/72.htm| title=|Apostolic Bible Polyglot Interlinear| target=|_top|&gt;Polyglot&lt;/a&gt;</v>
      </c>
      <c r="X550" t="str">
        <f t="shared" si="2196"/>
        <v>&lt;/li&gt;&lt;li&gt;&lt;a href=|http://interlinearbible.org/psalms/72.htm| title=|Interlinear Bible| target=|_top|&gt;Interlin&lt;/a&gt;</v>
      </c>
      <c r="Y550" t="str">
        <f t="shared" ref="Y550" si="2197">CONCATENATE("&lt;/li&gt;&lt;li&gt;&lt;a href=|http://",Y1191,"/psalms/72.htm","| ","title=|",Y1190,"| target=|_top|&gt;",Y1192,"&lt;/a&gt;")</f>
        <v>&lt;/li&gt;&lt;li&gt;&lt;a href=|http://bibleoutline.org/psalms/72.htm| title=|Outline with People and Places List| target=|_top|&gt;Outline&lt;/a&gt;</v>
      </c>
      <c r="Z550" t="str">
        <f t="shared" si="2196"/>
        <v>&lt;/li&gt;&lt;li&gt;&lt;a href=|http://kjvs.scripturetext.com/psalms/72.htm| title=|King James Bible with Strong's Numbers| target=|_top|&gt;Strong's&lt;/a&gt;</v>
      </c>
      <c r="AA550" t="str">
        <f t="shared" si="2196"/>
        <v>&lt;/li&gt;&lt;li&gt;&lt;a href=|http://childrensbibleonline.com/psalms/72.htm| title=|The Children's Bible| target=|_top|&gt;Children's&lt;/a&gt;</v>
      </c>
      <c r="AB550" s="2" t="str">
        <f t="shared" si="2196"/>
        <v>&lt;/li&gt;&lt;li&gt;&lt;a href=|http://tsk.scripturetext.com/psalms/72.htm| title=|Treasury of Scripture Knowledge| target=|_top|&gt;TSK&lt;/a&gt;</v>
      </c>
      <c r="AC550" t="str">
        <f>CONCATENATE("&lt;a href=|http://",AC1191,"/psalms/72.htm","| ","title=|",AC1190,"| target=|_top|&gt;",AC1192,"&lt;/a&gt;")</f>
        <v>&lt;a href=|http://parallelbible.com/psalms/72.htm| title=|Parallel Chapters| target=|_top|&gt;PAR&lt;/a&gt;</v>
      </c>
      <c r="AD550" s="2" t="str">
        <f t="shared" ref="AD550:AK550" si="2198">CONCATENATE("&lt;/li&gt;&lt;li&gt;&lt;a href=|http://",AD1191,"/psalms/72.htm","| ","title=|",AD1190,"| target=|_top|&gt;",AD1192,"&lt;/a&gt;")</f>
        <v>&lt;/li&gt;&lt;li&gt;&lt;a href=|http://gsb.biblecommenter.com/psalms/72.htm| title=|Geneva Study Bible| target=|_top|&gt;GSB&lt;/a&gt;</v>
      </c>
      <c r="AE550" s="2" t="str">
        <f t="shared" si="2198"/>
        <v>&lt;/li&gt;&lt;li&gt;&lt;a href=|http://jfb.biblecommenter.com/psalms/72.htm| title=|Jamieson-Fausset-Brown Bible Commentary| target=|_top|&gt;JFB&lt;/a&gt;</v>
      </c>
      <c r="AF550" s="2" t="str">
        <f t="shared" si="2198"/>
        <v>&lt;/li&gt;&lt;li&gt;&lt;a href=|http://kjt.biblecommenter.com/psalms/72.htm| title=|King James Translators' Notes| target=|_top|&gt;KJT&lt;/a&gt;</v>
      </c>
      <c r="AG550" s="2" t="str">
        <f t="shared" si="2198"/>
        <v>&lt;/li&gt;&lt;li&gt;&lt;a href=|http://mhc.biblecommenter.com/psalms/72.htm| title=|Matthew Henry's Concise Commentary| target=|_top|&gt;MHC&lt;/a&gt;</v>
      </c>
      <c r="AH550" s="2" t="str">
        <f t="shared" si="2198"/>
        <v>&lt;/li&gt;&lt;li&gt;&lt;a href=|http://sco.biblecommenter.com/psalms/72.htm| title=|Scofield Reference Notes| target=|_top|&gt;SCO&lt;/a&gt;</v>
      </c>
      <c r="AI550" s="2" t="str">
        <f t="shared" si="2198"/>
        <v>&lt;/li&gt;&lt;li&gt;&lt;a href=|http://wes.biblecommenter.com/psalms/72.htm| title=|Wesley's Notes on the Bible| target=|_top|&gt;WES&lt;/a&gt;</v>
      </c>
      <c r="AJ550" t="str">
        <f t="shared" si="2198"/>
        <v>&lt;/li&gt;&lt;li&gt;&lt;a href=|http://worldebible.com/psalms/72.htm| title=|World English Bible| target=|_top|&gt;WEB&lt;/a&gt;</v>
      </c>
      <c r="AK550" t="str">
        <f t="shared" si="2198"/>
        <v>&lt;/li&gt;&lt;li&gt;&lt;a href=|http://yltbible.com/psalms/72.htm| title=|Young's Literal Translation| target=|_top|&gt;YLT&lt;/a&gt;</v>
      </c>
      <c r="AL550" t="str">
        <f>CONCATENATE("&lt;a href=|http://",AL1191,"/psalms/72.htm","| ","title=|",AL1190,"| target=|_top|&gt;",AL1192,"&lt;/a&gt;")</f>
        <v>&lt;a href=|http://kjv.us/psalms/72.htm| title=|American King James Version| target=|_top|&gt;AKJ&lt;/a&gt;</v>
      </c>
      <c r="AM550" t="str">
        <f t="shared" ref="AM550:AN550" si="2199">CONCATENATE("&lt;/li&gt;&lt;li&gt;&lt;a href=|http://",AM1191,"/psalms/72.htm","| ","title=|",AM1190,"| target=|_top|&gt;",AM1192,"&lt;/a&gt;")</f>
        <v>&lt;/li&gt;&lt;li&gt;&lt;a href=|http://basicenglishbible.com/psalms/72.htm| title=|Bible in Basic English| target=|_top|&gt;BBE&lt;/a&gt;</v>
      </c>
      <c r="AN550" t="str">
        <f t="shared" si="2199"/>
        <v>&lt;/li&gt;&lt;li&gt;&lt;a href=|http://darbybible.com/psalms/72.htm| title=|Darby Bible Translation| target=|_top|&gt;DBY&lt;/a&gt;</v>
      </c>
      <c r="AO55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5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5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50" t="str">
        <f>CONCATENATE("&lt;/li&gt;&lt;li&gt;&lt;a href=|http://",AR1191,"/psalms/72.htm","| ","title=|",AR1190,"| target=|_top|&gt;",AR1192,"&lt;/a&gt;")</f>
        <v>&lt;/li&gt;&lt;li&gt;&lt;a href=|http://websterbible.com/psalms/72.htm| title=|Webster's Bible Translation| target=|_top|&gt;WBS&lt;/a&gt;</v>
      </c>
      <c r="AS55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50" t="str">
        <f>CONCATENATE("&lt;/li&gt;&lt;li&gt;&lt;a href=|http://",AT1191,"/psalms/72-1.htm","| ","title=|",AT1190,"| target=|_top|&gt;",AT1192,"&lt;/a&gt;")</f>
        <v>&lt;/li&gt;&lt;li&gt;&lt;a href=|http://biblebrowser.com/psalms/72-1.htm| title=|Split View| target=|_top|&gt;Split&lt;/a&gt;</v>
      </c>
      <c r="AU550" s="2" t="s">
        <v>1276</v>
      </c>
      <c r="AV550" t="s">
        <v>64</v>
      </c>
    </row>
    <row r="551" spans="1:48">
      <c r="A551" t="s">
        <v>622</v>
      </c>
      <c r="B551" t="s">
        <v>789</v>
      </c>
      <c r="C551" t="s">
        <v>624</v>
      </c>
      <c r="D551" t="s">
        <v>1268</v>
      </c>
      <c r="E551" t="s">
        <v>1277</v>
      </c>
      <c r="F551" t="s">
        <v>1304</v>
      </c>
      <c r="G551" t="s">
        <v>1266</v>
      </c>
      <c r="H551" t="s">
        <v>1305</v>
      </c>
      <c r="I551" t="s">
        <v>1303</v>
      </c>
      <c r="J551" t="s">
        <v>1267</v>
      </c>
      <c r="K551" t="s">
        <v>1275</v>
      </c>
      <c r="L551" s="2" t="s">
        <v>1274</v>
      </c>
      <c r="M551" t="str">
        <f t="shared" ref="M551:AB551" si="2200">CONCATENATE("&lt;/li&gt;&lt;li&gt;&lt;a href=|http://",M1191,"/psalms/73.htm","| ","title=|",M1190,"| target=|_top|&gt;",M1192,"&lt;/a&gt;")</f>
        <v>&lt;/li&gt;&lt;li&gt;&lt;a href=|http://niv.scripturetext.com/psalms/73.htm| title=|New International Version| target=|_top|&gt;NIV&lt;/a&gt;</v>
      </c>
      <c r="N551" t="str">
        <f t="shared" si="2200"/>
        <v>&lt;/li&gt;&lt;li&gt;&lt;a href=|http://nlt.scripturetext.com/psalms/73.htm| title=|New Living Translation| target=|_top|&gt;NLT&lt;/a&gt;</v>
      </c>
      <c r="O551" t="str">
        <f t="shared" si="2200"/>
        <v>&lt;/li&gt;&lt;li&gt;&lt;a href=|http://nasb.scripturetext.com/psalms/73.htm| title=|New American Standard Bible| target=|_top|&gt;NAS&lt;/a&gt;</v>
      </c>
      <c r="P551" t="str">
        <f t="shared" si="2200"/>
        <v>&lt;/li&gt;&lt;li&gt;&lt;a href=|http://gwt.scripturetext.com/psalms/73.htm| title=|God's Word Translation| target=|_top|&gt;GWT&lt;/a&gt;</v>
      </c>
      <c r="Q551" t="str">
        <f t="shared" si="2200"/>
        <v>&lt;/li&gt;&lt;li&gt;&lt;a href=|http://kingjbible.com/psalms/73.htm| title=|King James Bible| target=|_top|&gt;KJV&lt;/a&gt;</v>
      </c>
      <c r="R551" t="str">
        <f t="shared" si="2200"/>
        <v>&lt;/li&gt;&lt;li&gt;&lt;a href=|http://asvbible.com/psalms/73.htm| title=|American Standard Version| target=|_top|&gt;ASV&lt;/a&gt;</v>
      </c>
      <c r="S551" t="str">
        <f t="shared" si="2200"/>
        <v>&lt;/li&gt;&lt;li&gt;&lt;a href=|http://drb.scripturetext.com/psalms/73.htm| title=|Douay-Rheims Bible| target=|_top|&gt;DRB&lt;/a&gt;</v>
      </c>
      <c r="T551" t="str">
        <f t="shared" si="2200"/>
        <v>&lt;/li&gt;&lt;li&gt;&lt;a href=|http://erv.scripturetext.com/psalms/73.htm| title=|English Revised Version| target=|_top|&gt;ERV&lt;/a&gt;</v>
      </c>
      <c r="V551" t="str">
        <f>CONCATENATE("&lt;/li&gt;&lt;li&gt;&lt;a href=|http://",V1191,"/psalms/73.htm","| ","title=|",V1190,"| target=|_top|&gt;",V1192,"&lt;/a&gt;")</f>
        <v>&lt;/li&gt;&lt;li&gt;&lt;a href=|http://study.interlinearbible.org/psalms/73.htm| title=|Hebrew Study Bible| target=|_top|&gt;Heb Study&lt;/a&gt;</v>
      </c>
      <c r="W551" t="str">
        <f t="shared" si="2200"/>
        <v>&lt;/li&gt;&lt;li&gt;&lt;a href=|http://apostolic.interlinearbible.org/psalms/73.htm| title=|Apostolic Bible Polyglot Interlinear| target=|_top|&gt;Polyglot&lt;/a&gt;</v>
      </c>
      <c r="X551" t="str">
        <f t="shared" si="2200"/>
        <v>&lt;/li&gt;&lt;li&gt;&lt;a href=|http://interlinearbible.org/psalms/73.htm| title=|Interlinear Bible| target=|_top|&gt;Interlin&lt;/a&gt;</v>
      </c>
      <c r="Y551" t="str">
        <f t="shared" ref="Y551" si="2201">CONCATENATE("&lt;/li&gt;&lt;li&gt;&lt;a href=|http://",Y1191,"/psalms/73.htm","| ","title=|",Y1190,"| target=|_top|&gt;",Y1192,"&lt;/a&gt;")</f>
        <v>&lt;/li&gt;&lt;li&gt;&lt;a href=|http://bibleoutline.org/psalms/73.htm| title=|Outline with People and Places List| target=|_top|&gt;Outline&lt;/a&gt;</v>
      </c>
      <c r="Z551" t="str">
        <f t="shared" si="2200"/>
        <v>&lt;/li&gt;&lt;li&gt;&lt;a href=|http://kjvs.scripturetext.com/psalms/73.htm| title=|King James Bible with Strong's Numbers| target=|_top|&gt;Strong's&lt;/a&gt;</v>
      </c>
      <c r="AA551" t="str">
        <f t="shared" si="2200"/>
        <v>&lt;/li&gt;&lt;li&gt;&lt;a href=|http://childrensbibleonline.com/psalms/73.htm| title=|The Children's Bible| target=|_top|&gt;Children's&lt;/a&gt;</v>
      </c>
      <c r="AB551" s="2" t="str">
        <f t="shared" si="2200"/>
        <v>&lt;/li&gt;&lt;li&gt;&lt;a href=|http://tsk.scripturetext.com/psalms/73.htm| title=|Treasury of Scripture Knowledge| target=|_top|&gt;TSK&lt;/a&gt;</v>
      </c>
      <c r="AC551" t="str">
        <f>CONCATENATE("&lt;a href=|http://",AC1191,"/psalms/73.htm","| ","title=|",AC1190,"| target=|_top|&gt;",AC1192,"&lt;/a&gt;")</f>
        <v>&lt;a href=|http://parallelbible.com/psalms/73.htm| title=|Parallel Chapters| target=|_top|&gt;PAR&lt;/a&gt;</v>
      </c>
      <c r="AD551" s="2" t="str">
        <f t="shared" ref="AD551:AK551" si="2202">CONCATENATE("&lt;/li&gt;&lt;li&gt;&lt;a href=|http://",AD1191,"/psalms/73.htm","| ","title=|",AD1190,"| target=|_top|&gt;",AD1192,"&lt;/a&gt;")</f>
        <v>&lt;/li&gt;&lt;li&gt;&lt;a href=|http://gsb.biblecommenter.com/psalms/73.htm| title=|Geneva Study Bible| target=|_top|&gt;GSB&lt;/a&gt;</v>
      </c>
      <c r="AE551" s="2" t="str">
        <f t="shared" si="2202"/>
        <v>&lt;/li&gt;&lt;li&gt;&lt;a href=|http://jfb.biblecommenter.com/psalms/73.htm| title=|Jamieson-Fausset-Brown Bible Commentary| target=|_top|&gt;JFB&lt;/a&gt;</v>
      </c>
      <c r="AF551" s="2" t="str">
        <f t="shared" si="2202"/>
        <v>&lt;/li&gt;&lt;li&gt;&lt;a href=|http://kjt.biblecommenter.com/psalms/73.htm| title=|King James Translators' Notes| target=|_top|&gt;KJT&lt;/a&gt;</v>
      </c>
      <c r="AG551" s="2" t="str">
        <f t="shared" si="2202"/>
        <v>&lt;/li&gt;&lt;li&gt;&lt;a href=|http://mhc.biblecommenter.com/psalms/73.htm| title=|Matthew Henry's Concise Commentary| target=|_top|&gt;MHC&lt;/a&gt;</v>
      </c>
      <c r="AH551" s="2" t="str">
        <f t="shared" si="2202"/>
        <v>&lt;/li&gt;&lt;li&gt;&lt;a href=|http://sco.biblecommenter.com/psalms/73.htm| title=|Scofield Reference Notes| target=|_top|&gt;SCO&lt;/a&gt;</v>
      </c>
      <c r="AI551" s="2" t="str">
        <f t="shared" si="2202"/>
        <v>&lt;/li&gt;&lt;li&gt;&lt;a href=|http://wes.biblecommenter.com/psalms/73.htm| title=|Wesley's Notes on the Bible| target=|_top|&gt;WES&lt;/a&gt;</v>
      </c>
      <c r="AJ551" t="str">
        <f t="shared" si="2202"/>
        <v>&lt;/li&gt;&lt;li&gt;&lt;a href=|http://worldebible.com/psalms/73.htm| title=|World English Bible| target=|_top|&gt;WEB&lt;/a&gt;</v>
      </c>
      <c r="AK551" t="str">
        <f t="shared" si="2202"/>
        <v>&lt;/li&gt;&lt;li&gt;&lt;a href=|http://yltbible.com/psalms/73.htm| title=|Young's Literal Translation| target=|_top|&gt;YLT&lt;/a&gt;</v>
      </c>
      <c r="AL551" t="str">
        <f>CONCATENATE("&lt;a href=|http://",AL1191,"/psalms/73.htm","| ","title=|",AL1190,"| target=|_top|&gt;",AL1192,"&lt;/a&gt;")</f>
        <v>&lt;a href=|http://kjv.us/psalms/73.htm| title=|American King James Version| target=|_top|&gt;AKJ&lt;/a&gt;</v>
      </c>
      <c r="AM551" t="str">
        <f t="shared" ref="AM551:AN551" si="2203">CONCATENATE("&lt;/li&gt;&lt;li&gt;&lt;a href=|http://",AM1191,"/psalms/73.htm","| ","title=|",AM1190,"| target=|_top|&gt;",AM1192,"&lt;/a&gt;")</f>
        <v>&lt;/li&gt;&lt;li&gt;&lt;a href=|http://basicenglishbible.com/psalms/73.htm| title=|Bible in Basic English| target=|_top|&gt;BBE&lt;/a&gt;</v>
      </c>
      <c r="AN551" t="str">
        <f t="shared" si="2203"/>
        <v>&lt;/li&gt;&lt;li&gt;&lt;a href=|http://darbybible.com/psalms/73.htm| title=|Darby Bible Translation| target=|_top|&gt;DBY&lt;/a&gt;</v>
      </c>
      <c r="AO55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5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5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51" t="str">
        <f>CONCATENATE("&lt;/li&gt;&lt;li&gt;&lt;a href=|http://",AR1191,"/psalms/73.htm","| ","title=|",AR1190,"| target=|_top|&gt;",AR1192,"&lt;/a&gt;")</f>
        <v>&lt;/li&gt;&lt;li&gt;&lt;a href=|http://websterbible.com/psalms/73.htm| title=|Webster's Bible Translation| target=|_top|&gt;WBS&lt;/a&gt;</v>
      </c>
      <c r="AS55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51" t="str">
        <f>CONCATENATE("&lt;/li&gt;&lt;li&gt;&lt;a href=|http://",AT1191,"/psalms/73-1.htm","| ","title=|",AT1190,"| target=|_top|&gt;",AT1192,"&lt;/a&gt;")</f>
        <v>&lt;/li&gt;&lt;li&gt;&lt;a href=|http://biblebrowser.com/psalms/73-1.htm| title=|Split View| target=|_top|&gt;Split&lt;/a&gt;</v>
      </c>
      <c r="AU551" s="2" t="s">
        <v>1276</v>
      </c>
      <c r="AV551" t="s">
        <v>64</v>
      </c>
    </row>
    <row r="552" spans="1:48">
      <c r="A552" t="s">
        <v>622</v>
      </c>
      <c r="B552" t="s">
        <v>790</v>
      </c>
      <c r="C552" t="s">
        <v>624</v>
      </c>
      <c r="D552" t="s">
        <v>1268</v>
      </c>
      <c r="E552" t="s">
        <v>1277</v>
      </c>
      <c r="F552" t="s">
        <v>1304</v>
      </c>
      <c r="G552" t="s">
        <v>1266</v>
      </c>
      <c r="H552" t="s">
        <v>1305</v>
      </c>
      <c r="I552" t="s">
        <v>1303</v>
      </c>
      <c r="J552" t="s">
        <v>1267</v>
      </c>
      <c r="K552" t="s">
        <v>1275</v>
      </c>
      <c r="L552" s="2" t="s">
        <v>1274</v>
      </c>
      <c r="M552" t="str">
        <f t="shared" ref="M552:AB552" si="2204">CONCATENATE("&lt;/li&gt;&lt;li&gt;&lt;a href=|http://",M1191,"/psalms/74.htm","| ","title=|",M1190,"| target=|_top|&gt;",M1192,"&lt;/a&gt;")</f>
        <v>&lt;/li&gt;&lt;li&gt;&lt;a href=|http://niv.scripturetext.com/psalms/74.htm| title=|New International Version| target=|_top|&gt;NIV&lt;/a&gt;</v>
      </c>
      <c r="N552" t="str">
        <f t="shared" si="2204"/>
        <v>&lt;/li&gt;&lt;li&gt;&lt;a href=|http://nlt.scripturetext.com/psalms/74.htm| title=|New Living Translation| target=|_top|&gt;NLT&lt;/a&gt;</v>
      </c>
      <c r="O552" t="str">
        <f t="shared" si="2204"/>
        <v>&lt;/li&gt;&lt;li&gt;&lt;a href=|http://nasb.scripturetext.com/psalms/74.htm| title=|New American Standard Bible| target=|_top|&gt;NAS&lt;/a&gt;</v>
      </c>
      <c r="P552" t="str">
        <f t="shared" si="2204"/>
        <v>&lt;/li&gt;&lt;li&gt;&lt;a href=|http://gwt.scripturetext.com/psalms/74.htm| title=|God's Word Translation| target=|_top|&gt;GWT&lt;/a&gt;</v>
      </c>
      <c r="Q552" t="str">
        <f t="shared" si="2204"/>
        <v>&lt;/li&gt;&lt;li&gt;&lt;a href=|http://kingjbible.com/psalms/74.htm| title=|King James Bible| target=|_top|&gt;KJV&lt;/a&gt;</v>
      </c>
      <c r="R552" t="str">
        <f t="shared" si="2204"/>
        <v>&lt;/li&gt;&lt;li&gt;&lt;a href=|http://asvbible.com/psalms/74.htm| title=|American Standard Version| target=|_top|&gt;ASV&lt;/a&gt;</v>
      </c>
      <c r="S552" t="str">
        <f t="shared" si="2204"/>
        <v>&lt;/li&gt;&lt;li&gt;&lt;a href=|http://drb.scripturetext.com/psalms/74.htm| title=|Douay-Rheims Bible| target=|_top|&gt;DRB&lt;/a&gt;</v>
      </c>
      <c r="T552" t="str">
        <f t="shared" si="2204"/>
        <v>&lt;/li&gt;&lt;li&gt;&lt;a href=|http://erv.scripturetext.com/psalms/74.htm| title=|English Revised Version| target=|_top|&gt;ERV&lt;/a&gt;</v>
      </c>
      <c r="V552" t="str">
        <f>CONCATENATE("&lt;/li&gt;&lt;li&gt;&lt;a href=|http://",V1191,"/psalms/74.htm","| ","title=|",V1190,"| target=|_top|&gt;",V1192,"&lt;/a&gt;")</f>
        <v>&lt;/li&gt;&lt;li&gt;&lt;a href=|http://study.interlinearbible.org/psalms/74.htm| title=|Hebrew Study Bible| target=|_top|&gt;Heb Study&lt;/a&gt;</v>
      </c>
      <c r="W552" t="str">
        <f t="shared" si="2204"/>
        <v>&lt;/li&gt;&lt;li&gt;&lt;a href=|http://apostolic.interlinearbible.org/psalms/74.htm| title=|Apostolic Bible Polyglot Interlinear| target=|_top|&gt;Polyglot&lt;/a&gt;</v>
      </c>
      <c r="X552" t="str">
        <f t="shared" si="2204"/>
        <v>&lt;/li&gt;&lt;li&gt;&lt;a href=|http://interlinearbible.org/psalms/74.htm| title=|Interlinear Bible| target=|_top|&gt;Interlin&lt;/a&gt;</v>
      </c>
      <c r="Y552" t="str">
        <f t="shared" ref="Y552" si="2205">CONCATENATE("&lt;/li&gt;&lt;li&gt;&lt;a href=|http://",Y1191,"/psalms/74.htm","| ","title=|",Y1190,"| target=|_top|&gt;",Y1192,"&lt;/a&gt;")</f>
        <v>&lt;/li&gt;&lt;li&gt;&lt;a href=|http://bibleoutline.org/psalms/74.htm| title=|Outline with People and Places List| target=|_top|&gt;Outline&lt;/a&gt;</v>
      </c>
      <c r="Z552" t="str">
        <f t="shared" si="2204"/>
        <v>&lt;/li&gt;&lt;li&gt;&lt;a href=|http://kjvs.scripturetext.com/psalms/74.htm| title=|King James Bible with Strong's Numbers| target=|_top|&gt;Strong's&lt;/a&gt;</v>
      </c>
      <c r="AA552" t="str">
        <f t="shared" si="2204"/>
        <v>&lt;/li&gt;&lt;li&gt;&lt;a href=|http://childrensbibleonline.com/psalms/74.htm| title=|The Children's Bible| target=|_top|&gt;Children's&lt;/a&gt;</v>
      </c>
      <c r="AB552" s="2" t="str">
        <f t="shared" si="2204"/>
        <v>&lt;/li&gt;&lt;li&gt;&lt;a href=|http://tsk.scripturetext.com/psalms/74.htm| title=|Treasury of Scripture Knowledge| target=|_top|&gt;TSK&lt;/a&gt;</v>
      </c>
      <c r="AC552" t="str">
        <f>CONCATENATE("&lt;a href=|http://",AC1191,"/psalms/74.htm","| ","title=|",AC1190,"| target=|_top|&gt;",AC1192,"&lt;/a&gt;")</f>
        <v>&lt;a href=|http://parallelbible.com/psalms/74.htm| title=|Parallel Chapters| target=|_top|&gt;PAR&lt;/a&gt;</v>
      </c>
      <c r="AD552" s="2" t="str">
        <f t="shared" ref="AD552:AK552" si="2206">CONCATENATE("&lt;/li&gt;&lt;li&gt;&lt;a href=|http://",AD1191,"/psalms/74.htm","| ","title=|",AD1190,"| target=|_top|&gt;",AD1192,"&lt;/a&gt;")</f>
        <v>&lt;/li&gt;&lt;li&gt;&lt;a href=|http://gsb.biblecommenter.com/psalms/74.htm| title=|Geneva Study Bible| target=|_top|&gt;GSB&lt;/a&gt;</v>
      </c>
      <c r="AE552" s="2" t="str">
        <f t="shared" si="2206"/>
        <v>&lt;/li&gt;&lt;li&gt;&lt;a href=|http://jfb.biblecommenter.com/psalms/74.htm| title=|Jamieson-Fausset-Brown Bible Commentary| target=|_top|&gt;JFB&lt;/a&gt;</v>
      </c>
      <c r="AF552" s="2" t="str">
        <f t="shared" si="2206"/>
        <v>&lt;/li&gt;&lt;li&gt;&lt;a href=|http://kjt.biblecommenter.com/psalms/74.htm| title=|King James Translators' Notes| target=|_top|&gt;KJT&lt;/a&gt;</v>
      </c>
      <c r="AG552" s="2" t="str">
        <f t="shared" si="2206"/>
        <v>&lt;/li&gt;&lt;li&gt;&lt;a href=|http://mhc.biblecommenter.com/psalms/74.htm| title=|Matthew Henry's Concise Commentary| target=|_top|&gt;MHC&lt;/a&gt;</v>
      </c>
      <c r="AH552" s="2" t="str">
        <f t="shared" si="2206"/>
        <v>&lt;/li&gt;&lt;li&gt;&lt;a href=|http://sco.biblecommenter.com/psalms/74.htm| title=|Scofield Reference Notes| target=|_top|&gt;SCO&lt;/a&gt;</v>
      </c>
      <c r="AI552" s="2" t="str">
        <f t="shared" si="2206"/>
        <v>&lt;/li&gt;&lt;li&gt;&lt;a href=|http://wes.biblecommenter.com/psalms/74.htm| title=|Wesley's Notes on the Bible| target=|_top|&gt;WES&lt;/a&gt;</v>
      </c>
      <c r="AJ552" t="str">
        <f t="shared" si="2206"/>
        <v>&lt;/li&gt;&lt;li&gt;&lt;a href=|http://worldebible.com/psalms/74.htm| title=|World English Bible| target=|_top|&gt;WEB&lt;/a&gt;</v>
      </c>
      <c r="AK552" t="str">
        <f t="shared" si="2206"/>
        <v>&lt;/li&gt;&lt;li&gt;&lt;a href=|http://yltbible.com/psalms/74.htm| title=|Young's Literal Translation| target=|_top|&gt;YLT&lt;/a&gt;</v>
      </c>
      <c r="AL552" t="str">
        <f>CONCATENATE("&lt;a href=|http://",AL1191,"/psalms/74.htm","| ","title=|",AL1190,"| target=|_top|&gt;",AL1192,"&lt;/a&gt;")</f>
        <v>&lt;a href=|http://kjv.us/psalms/74.htm| title=|American King James Version| target=|_top|&gt;AKJ&lt;/a&gt;</v>
      </c>
      <c r="AM552" t="str">
        <f t="shared" ref="AM552:AN552" si="2207">CONCATENATE("&lt;/li&gt;&lt;li&gt;&lt;a href=|http://",AM1191,"/psalms/74.htm","| ","title=|",AM1190,"| target=|_top|&gt;",AM1192,"&lt;/a&gt;")</f>
        <v>&lt;/li&gt;&lt;li&gt;&lt;a href=|http://basicenglishbible.com/psalms/74.htm| title=|Bible in Basic English| target=|_top|&gt;BBE&lt;/a&gt;</v>
      </c>
      <c r="AN552" t="str">
        <f t="shared" si="2207"/>
        <v>&lt;/li&gt;&lt;li&gt;&lt;a href=|http://darbybible.com/psalms/74.htm| title=|Darby Bible Translation| target=|_top|&gt;DBY&lt;/a&gt;</v>
      </c>
      <c r="AO55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5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5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52" t="str">
        <f>CONCATENATE("&lt;/li&gt;&lt;li&gt;&lt;a href=|http://",AR1191,"/psalms/74.htm","| ","title=|",AR1190,"| target=|_top|&gt;",AR1192,"&lt;/a&gt;")</f>
        <v>&lt;/li&gt;&lt;li&gt;&lt;a href=|http://websterbible.com/psalms/74.htm| title=|Webster's Bible Translation| target=|_top|&gt;WBS&lt;/a&gt;</v>
      </c>
      <c r="AS55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52" t="str">
        <f>CONCATENATE("&lt;/li&gt;&lt;li&gt;&lt;a href=|http://",AT1191,"/psalms/74-1.htm","| ","title=|",AT1190,"| target=|_top|&gt;",AT1192,"&lt;/a&gt;")</f>
        <v>&lt;/li&gt;&lt;li&gt;&lt;a href=|http://biblebrowser.com/psalms/74-1.htm| title=|Split View| target=|_top|&gt;Split&lt;/a&gt;</v>
      </c>
      <c r="AU552" s="2" t="s">
        <v>1276</v>
      </c>
      <c r="AV552" t="s">
        <v>64</v>
      </c>
    </row>
    <row r="553" spans="1:48">
      <c r="A553" t="s">
        <v>622</v>
      </c>
      <c r="B553" t="s">
        <v>791</v>
      </c>
      <c r="C553" t="s">
        <v>624</v>
      </c>
      <c r="D553" t="s">
        <v>1268</v>
      </c>
      <c r="E553" t="s">
        <v>1277</v>
      </c>
      <c r="F553" t="s">
        <v>1304</v>
      </c>
      <c r="G553" t="s">
        <v>1266</v>
      </c>
      <c r="H553" t="s">
        <v>1305</v>
      </c>
      <c r="I553" t="s">
        <v>1303</v>
      </c>
      <c r="J553" t="s">
        <v>1267</v>
      </c>
      <c r="K553" t="s">
        <v>1275</v>
      </c>
      <c r="L553" s="2" t="s">
        <v>1274</v>
      </c>
      <c r="M553" t="str">
        <f t="shared" ref="M553:AB553" si="2208">CONCATENATE("&lt;/li&gt;&lt;li&gt;&lt;a href=|http://",M1191,"/psalms/75.htm","| ","title=|",M1190,"| target=|_top|&gt;",M1192,"&lt;/a&gt;")</f>
        <v>&lt;/li&gt;&lt;li&gt;&lt;a href=|http://niv.scripturetext.com/psalms/75.htm| title=|New International Version| target=|_top|&gt;NIV&lt;/a&gt;</v>
      </c>
      <c r="N553" t="str">
        <f t="shared" si="2208"/>
        <v>&lt;/li&gt;&lt;li&gt;&lt;a href=|http://nlt.scripturetext.com/psalms/75.htm| title=|New Living Translation| target=|_top|&gt;NLT&lt;/a&gt;</v>
      </c>
      <c r="O553" t="str">
        <f t="shared" si="2208"/>
        <v>&lt;/li&gt;&lt;li&gt;&lt;a href=|http://nasb.scripturetext.com/psalms/75.htm| title=|New American Standard Bible| target=|_top|&gt;NAS&lt;/a&gt;</v>
      </c>
      <c r="P553" t="str">
        <f t="shared" si="2208"/>
        <v>&lt;/li&gt;&lt;li&gt;&lt;a href=|http://gwt.scripturetext.com/psalms/75.htm| title=|God's Word Translation| target=|_top|&gt;GWT&lt;/a&gt;</v>
      </c>
      <c r="Q553" t="str">
        <f t="shared" si="2208"/>
        <v>&lt;/li&gt;&lt;li&gt;&lt;a href=|http://kingjbible.com/psalms/75.htm| title=|King James Bible| target=|_top|&gt;KJV&lt;/a&gt;</v>
      </c>
      <c r="R553" t="str">
        <f t="shared" si="2208"/>
        <v>&lt;/li&gt;&lt;li&gt;&lt;a href=|http://asvbible.com/psalms/75.htm| title=|American Standard Version| target=|_top|&gt;ASV&lt;/a&gt;</v>
      </c>
      <c r="S553" t="str">
        <f t="shared" si="2208"/>
        <v>&lt;/li&gt;&lt;li&gt;&lt;a href=|http://drb.scripturetext.com/psalms/75.htm| title=|Douay-Rheims Bible| target=|_top|&gt;DRB&lt;/a&gt;</v>
      </c>
      <c r="T553" t="str">
        <f t="shared" si="2208"/>
        <v>&lt;/li&gt;&lt;li&gt;&lt;a href=|http://erv.scripturetext.com/psalms/75.htm| title=|English Revised Version| target=|_top|&gt;ERV&lt;/a&gt;</v>
      </c>
      <c r="V553" t="str">
        <f>CONCATENATE("&lt;/li&gt;&lt;li&gt;&lt;a href=|http://",V1191,"/psalms/75.htm","| ","title=|",V1190,"| target=|_top|&gt;",V1192,"&lt;/a&gt;")</f>
        <v>&lt;/li&gt;&lt;li&gt;&lt;a href=|http://study.interlinearbible.org/psalms/75.htm| title=|Hebrew Study Bible| target=|_top|&gt;Heb Study&lt;/a&gt;</v>
      </c>
      <c r="W553" t="str">
        <f t="shared" si="2208"/>
        <v>&lt;/li&gt;&lt;li&gt;&lt;a href=|http://apostolic.interlinearbible.org/psalms/75.htm| title=|Apostolic Bible Polyglot Interlinear| target=|_top|&gt;Polyglot&lt;/a&gt;</v>
      </c>
      <c r="X553" t="str">
        <f t="shared" si="2208"/>
        <v>&lt;/li&gt;&lt;li&gt;&lt;a href=|http://interlinearbible.org/psalms/75.htm| title=|Interlinear Bible| target=|_top|&gt;Interlin&lt;/a&gt;</v>
      </c>
      <c r="Y553" t="str">
        <f t="shared" ref="Y553" si="2209">CONCATENATE("&lt;/li&gt;&lt;li&gt;&lt;a href=|http://",Y1191,"/psalms/75.htm","| ","title=|",Y1190,"| target=|_top|&gt;",Y1192,"&lt;/a&gt;")</f>
        <v>&lt;/li&gt;&lt;li&gt;&lt;a href=|http://bibleoutline.org/psalms/75.htm| title=|Outline with People and Places List| target=|_top|&gt;Outline&lt;/a&gt;</v>
      </c>
      <c r="Z553" t="str">
        <f t="shared" si="2208"/>
        <v>&lt;/li&gt;&lt;li&gt;&lt;a href=|http://kjvs.scripturetext.com/psalms/75.htm| title=|King James Bible with Strong's Numbers| target=|_top|&gt;Strong's&lt;/a&gt;</v>
      </c>
      <c r="AA553" t="str">
        <f t="shared" si="2208"/>
        <v>&lt;/li&gt;&lt;li&gt;&lt;a href=|http://childrensbibleonline.com/psalms/75.htm| title=|The Children's Bible| target=|_top|&gt;Children's&lt;/a&gt;</v>
      </c>
      <c r="AB553" s="2" t="str">
        <f t="shared" si="2208"/>
        <v>&lt;/li&gt;&lt;li&gt;&lt;a href=|http://tsk.scripturetext.com/psalms/75.htm| title=|Treasury of Scripture Knowledge| target=|_top|&gt;TSK&lt;/a&gt;</v>
      </c>
      <c r="AC553" t="str">
        <f>CONCATENATE("&lt;a href=|http://",AC1191,"/psalms/75.htm","| ","title=|",AC1190,"| target=|_top|&gt;",AC1192,"&lt;/a&gt;")</f>
        <v>&lt;a href=|http://parallelbible.com/psalms/75.htm| title=|Parallel Chapters| target=|_top|&gt;PAR&lt;/a&gt;</v>
      </c>
      <c r="AD553" s="2" t="str">
        <f t="shared" ref="AD553:AK553" si="2210">CONCATENATE("&lt;/li&gt;&lt;li&gt;&lt;a href=|http://",AD1191,"/psalms/75.htm","| ","title=|",AD1190,"| target=|_top|&gt;",AD1192,"&lt;/a&gt;")</f>
        <v>&lt;/li&gt;&lt;li&gt;&lt;a href=|http://gsb.biblecommenter.com/psalms/75.htm| title=|Geneva Study Bible| target=|_top|&gt;GSB&lt;/a&gt;</v>
      </c>
      <c r="AE553" s="2" t="str">
        <f t="shared" si="2210"/>
        <v>&lt;/li&gt;&lt;li&gt;&lt;a href=|http://jfb.biblecommenter.com/psalms/75.htm| title=|Jamieson-Fausset-Brown Bible Commentary| target=|_top|&gt;JFB&lt;/a&gt;</v>
      </c>
      <c r="AF553" s="2" t="str">
        <f t="shared" si="2210"/>
        <v>&lt;/li&gt;&lt;li&gt;&lt;a href=|http://kjt.biblecommenter.com/psalms/75.htm| title=|King James Translators' Notes| target=|_top|&gt;KJT&lt;/a&gt;</v>
      </c>
      <c r="AG553" s="2" t="str">
        <f t="shared" si="2210"/>
        <v>&lt;/li&gt;&lt;li&gt;&lt;a href=|http://mhc.biblecommenter.com/psalms/75.htm| title=|Matthew Henry's Concise Commentary| target=|_top|&gt;MHC&lt;/a&gt;</v>
      </c>
      <c r="AH553" s="2" t="str">
        <f t="shared" si="2210"/>
        <v>&lt;/li&gt;&lt;li&gt;&lt;a href=|http://sco.biblecommenter.com/psalms/75.htm| title=|Scofield Reference Notes| target=|_top|&gt;SCO&lt;/a&gt;</v>
      </c>
      <c r="AI553" s="2" t="str">
        <f t="shared" si="2210"/>
        <v>&lt;/li&gt;&lt;li&gt;&lt;a href=|http://wes.biblecommenter.com/psalms/75.htm| title=|Wesley's Notes on the Bible| target=|_top|&gt;WES&lt;/a&gt;</v>
      </c>
      <c r="AJ553" t="str">
        <f t="shared" si="2210"/>
        <v>&lt;/li&gt;&lt;li&gt;&lt;a href=|http://worldebible.com/psalms/75.htm| title=|World English Bible| target=|_top|&gt;WEB&lt;/a&gt;</v>
      </c>
      <c r="AK553" t="str">
        <f t="shared" si="2210"/>
        <v>&lt;/li&gt;&lt;li&gt;&lt;a href=|http://yltbible.com/psalms/75.htm| title=|Young's Literal Translation| target=|_top|&gt;YLT&lt;/a&gt;</v>
      </c>
      <c r="AL553" t="str">
        <f>CONCATENATE("&lt;a href=|http://",AL1191,"/psalms/75.htm","| ","title=|",AL1190,"| target=|_top|&gt;",AL1192,"&lt;/a&gt;")</f>
        <v>&lt;a href=|http://kjv.us/psalms/75.htm| title=|American King James Version| target=|_top|&gt;AKJ&lt;/a&gt;</v>
      </c>
      <c r="AM553" t="str">
        <f t="shared" ref="AM553:AN553" si="2211">CONCATENATE("&lt;/li&gt;&lt;li&gt;&lt;a href=|http://",AM1191,"/psalms/75.htm","| ","title=|",AM1190,"| target=|_top|&gt;",AM1192,"&lt;/a&gt;")</f>
        <v>&lt;/li&gt;&lt;li&gt;&lt;a href=|http://basicenglishbible.com/psalms/75.htm| title=|Bible in Basic English| target=|_top|&gt;BBE&lt;/a&gt;</v>
      </c>
      <c r="AN553" t="str">
        <f t="shared" si="2211"/>
        <v>&lt;/li&gt;&lt;li&gt;&lt;a href=|http://darbybible.com/psalms/75.htm| title=|Darby Bible Translation| target=|_top|&gt;DBY&lt;/a&gt;</v>
      </c>
      <c r="AO55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5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5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53" t="str">
        <f>CONCATENATE("&lt;/li&gt;&lt;li&gt;&lt;a href=|http://",AR1191,"/psalms/75.htm","| ","title=|",AR1190,"| target=|_top|&gt;",AR1192,"&lt;/a&gt;")</f>
        <v>&lt;/li&gt;&lt;li&gt;&lt;a href=|http://websterbible.com/psalms/75.htm| title=|Webster's Bible Translation| target=|_top|&gt;WBS&lt;/a&gt;</v>
      </c>
      <c r="AS55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53" t="str">
        <f>CONCATENATE("&lt;/li&gt;&lt;li&gt;&lt;a href=|http://",AT1191,"/psalms/75-1.htm","| ","title=|",AT1190,"| target=|_top|&gt;",AT1192,"&lt;/a&gt;")</f>
        <v>&lt;/li&gt;&lt;li&gt;&lt;a href=|http://biblebrowser.com/psalms/75-1.htm| title=|Split View| target=|_top|&gt;Split&lt;/a&gt;</v>
      </c>
      <c r="AU553" s="2" t="s">
        <v>1276</v>
      </c>
      <c r="AV553" t="s">
        <v>64</v>
      </c>
    </row>
    <row r="554" spans="1:48">
      <c r="A554" t="s">
        <v>622</v>
      </c>
      <c r="B554" t="s">
        <v>792</v>
      </c>
      <c r="C554" t="s">
        <v>624</v>
      </c>
      <c r="D554" t="s">
        <v>1268</v>
      </c>
      <c r="E554" t="s">
        <v>1277</v>
      </c>
      <c r="F554" t="s">
        <v>1304</v>
      </c>
      <c r="G554" t="s">
        <v>1266</v>
      </c>
      <c r="H554" t="s">
        <v>1305</v>
      </c>
      <c r="I554" t="s">
        <v>1303</v>
      </c>
      <c r="J554" t="s">
        <v>1267</v>
      </c>
      <c r="K554" t="s">
        <v>1275</v>
      </c>
      <c r="L554" s="2" t="s">
        <v>1274</v>
      </c>
      <c r="M554" t="str">
        <f t="shared" ref="M554:AB554" si="2212">CONCATENATE("&lt;/li&gt;&lt;li&gt;&lt;a href=|http://",M1191,"/psalms/76.htm","| ","title=|",M1190,"| target=|_top|&gt;",M1192,"&lt;/a&gt;")</f>
        <v>&lt;/li&gt;&lt;li&gt;&lt;a href=|http://niv.scripturetext.com/psalms/76.htm| title=|New International Version| target=|_top|&gt;NIV&lt;/a&gt;</v>
      </c>
      <c r="N554" t="str">
        <f t="shared" si="2212"/>
        <v>&lt;/li&gt;&lt;li&gt;&lt;a href=|http://nlt.scripturetext.com/psalms/76.htm| title=|New Living Translation| target=|_top|&gt;NLT&lt;/a&gt;</v>
      </c>
      <c r="O554" t="str">
        <f t="shared" si="2212"/>
        <v>&lt;/li&gt;&lt;li&gt;&lt;a href=|http://nasb.scripturetext.com/psalms/76.htm| title=|New American Standard Bible| target=|_top|&gt;NAS&lt;/a&gt;</v>
      </c>
      <c r="P554" t="str">
        <f t="shared" si="2212"/>
        <v>&lt;/li&gt;&lt;li&gt;&lt;a href=|http://gwt.scripturetext.com/psalms/76.htm| title=|God's Word Translation| target=|_top|&gt;GWT&lt;/a&gt;</v>
      </c>
      <c r="Q554" t="str">
        <f t="shared" si="2212"/>
        <v>&lt;/li&gt;&lt;li&gt;&lt;a href=|http://kingjbible.com/psalms/76.htm| title=|King James Bible| target=|_top|&gt;KJV&lt;/a&gt;</v>
      </c>
      <c r="R554" t="str">
        <f t="shared" si="2212"/>
        <v>&lt;/li&gt;&lt;li&gt;&lt;a href=|http://asvbible.com/psalms/76.htm| title=|American Standard Version| target=|_top|&gt;ASV&lt;/a&gt;</v>
      </c>
      <c r="S554" t="str">
        <f t="shared" si="2212"/>
        <v>&lt;/li&gt;&lt;li&gt;&lt;a href=|http://drb.scripturetext.com/psalms/76.htm| title=|Douay-Rheims Bible| target=|_top|&gt;DRB&lt;/a&gt;</v>
      </c>
      <c r="T554" t="str">
        <f t="shared" si="2212"/>
        <v>&lt;/li&gt;&lt;li&gt;&lt;a href=|http://erv.scripturetext.com/psalms/76.htm| title=|English Revised Version| target=|_top|&gt;ERV&lt;/a&gt;</v>
      </c>
      <c r="V554" t="str">
        <f>CONCATENATE("&lt;/li&gt;&lt;li&gt;&lt;a href=|http://",V1191,"/psalms/76.htm","| ","title=|",V1190,"| target=|_top|&gt;",V1192,"&lt;/a&gt;")</f>
        <v>&lt;/li&gt;&lt;li&gt;&lt;a href=|http://study.interlinearbible.org/psalms/76.htm| title=|Hebrew Study Bible| target=|_top|&gt;Heb Study&lt;/a&gt;</v>
      </c>
      <c r="W554" t="str">
        <f t="shared" si="2212"/>
        <v>&lt;/li&gt;&lt;li&gt;&lt;a href=|http://apostolic.interlinearbible.org/psalms/76.htm| title=|Apostolic Bible Polyglot Interlinear| target=|_top|&gt;Polyglot&lt;/a&gt;</v>
      </c>
      <c r="X554" t="str">
        <f t="shared" si="2212"/>
        <v>&lt;/li&gt;&lt;li&gt;&lt;a href=|http://interlinearbible.org/psalms/76.htm| title=|Interlinear Bible| target=|_top|&gt;Interlin&lt;/a&gt;</v>
      </c>
      <c r="Y554" t="str">
        <f t="shared" ref="Y554" si="2213">CONCATENATE("&lt;/li&gt;&lt;li&gt;&lt;a href=|http://",Y1191,"/psalms/76.htm","| ","title=|",Y1190,"| target=|_top|&gt;",Y1192,"&lt;/a&gt;")</f>
        <v>&lt;/li&gt;&lt;li&gt;&lt;a href=|http://bibleoutline.org/psalms/76.htm| title=|Outline with People and Places List| target=|_top|&gt;Outline&lt;/a&gt;</v>
      </c>
      <c r="Z554" t="str">
        <f t="shared" si="2212"/>
        <v>&lt;/li&gt;&lt;li&gt;&lt;a href=|http://kjvs.scripturetext.com/psalms/76.htm| title=|King James Bible with Strong's Numbers| target=|_top|&gt;Strong's&lt;/a&gt;</v>
      </c>
      <c r="AA554" t="str">
        <f t="shared" si="2212"/>
        <v>&lt;/li&gt;&lt;li&gt;&lt;a href=|http://childrensbibleonline.com/psalms/76.htm| title=|The Children's Bible| target=|_top|&gt;Children's&lt;/a&gt;</v>
      </c>
      <c r="AB554" s="2" t="str">
        <f t="shared" si="2212"/>
        <v>&lt;/li&gt;&lt;li&gt;&lt;a href=|http://tsk.scripturetext.com/psalms/76.htm| title=|Treasury of Scripture Knowledge| target=|_top|&gt;TSK&lt;/a&gt;</v>
      </c>
      <c r="AC554" t="str">
        <f>CONCATENATE("&lt;a href=|http://",AC1191,"/psalms/76.htm","| ","title=|",AC1190,"| target=|_top|&gt;",AC1192,"&lt;/a&gt;")</f>
        <v>&lt;a href=|http://parallelbible.com/psalms/76.htm| title=|Parallel Chapters| target=|_top|&gt;PAR&lt;/a&gt;</v>
      </c>
      <c r="AD554" s="2" t="str">
        <f t="shared" ref="AD554:AK554" si="2214">CONCATENATE("&lt;/li&gt;&lt;li&gt;&lt;a href=|http://",AD1191,"/psalms/76.htm","| ","title=|",AD1190,"| target=|_top|&gt;",AD1192,"&lt;/a&gt;")</f>
        <v>&lt;/li&gt;&lt;li&gt;&lt;a href=|http://gsb.biblecommenter.com/psalms/76.htm| title=|Geneva Study Bible| target=|_top|&gt;GSB&lt;/a&gt;</v>
      </c>
      <c r="AE554" s="2" t="str">
        <f t="shared" si="2214"/>
        <v>&lt;/li&gt;&lt;li&gt;&lt;a href=|http://jfb.biblecommenter.com/psalms/76.htm| title=|Jamieson-Fausset-Brown Bible Commentary| target=|_top|&gt;JFB&lt;/a&gt;</v>
      </c>
      <c r="AF554" s="2" t="str">
        <f t="shared" si="2214"/>
        <v>&lt;/li&gt;&lt;li&gt;&lt;a href=|http://kjt.biblecommenter.com/psalms/76.htm| title=|King James Translators' Notes| target=|_top|&gt;KJT&lt;/a&gt;</v>
      </c>
      <c r="AG554" s="2" t="str">
        <f t="shared" si="2214"/>
        <v>&lt;/li&gt;&lt;li&gt;&lt;a href=|http://mhc.biblecommenter.com/psalms/76.htm| title=|Matthew Henry's Concise Commentary| target=|_top|&gt;MHC&lt;/a&gt;</v>
      </c>
      <c r="AH554" s="2" t="str">
        <f t="shared" si="2214"/>
        <v>&lt;/li&gt;&lt;li&gt;&lt;a href=|http://sco.biblecommenter.com/psalms/76.htm| title=|Scofield Reference Notes| target=|_top|&gt;SCO&lt;/a&gt;</v>
      </c>
      <c r="AI554" s="2" t="str">
        <f t="shared" si="2214"/>
        <v>&lt;/li&gt;&lt;li&gt;&lt;a href=|http://wes.biblecommenter.com/psalms/76.htm| title=|Wesley's Notes on the Bible| target=|_top|&gt;WES&lt;/a&gt;</v>
      </c>
      <c r="AJ554" t="str">
        <f t="shared" si="2214"/>
        <v>&lt;/li&gt;&lt;li&gt;&lt;a href=|http://worldebible.com/psalms/76.htm| title=|World English Bible| target=|_top|&gt;WEB&lt;/a&gt;</v>
      </c>
      <c r="AK554" t="str">
        <f t="shared" si="2214"/>
        <v>&lt;/li&gt;&lt;li&gt;&lt;a href=|http://yltbible.com/psalms/76.htm| title=|Young's Literal Translation| target=|_top|&gt;YLT&lt;/a&gt;</v>
      </c>
      <c r="AL554" t="str">
        <f>CONCATENATE("&lt;a href=|http://",AL1191,"/psalms/76.htm","| ","title=|",AL1190,"| target=|_top|&gt;",AL1192,"&lt;/a&gt;")</f>
        <v>&lt;a href=|http://kjv.us/psalms/76.htm| title=|American King James Version| target=|_top|&gt;AKJ&lt;/a&gt;</v>
      </c>
      <c r="AM554" t="str">
        <f t="shared" ref="AM554:AN554" si="2215">CONCATENATE("&lt;/li&gt;&lt;li&gt;&lt;a href=|http://",AM1191,"/psalms/76.htm","| ","title=|",AM1190,"| target=|_top|&gt;",AM1192,"&lt;/a&gt;")</f>
        <v>&lt;/li&gt;&lt;li&gt;&lt;a href=|http://basicenglishbible.com/psalms/76.htm| title=|Bible in Basic English| target=|_top|&gt;BBE&lt;/a&gt;</v>
      </c>
      <c r="AN554" t="str">
        <f t="shared" si="2215"/>
        <v>&lt;/li&gt;&lt;li&gt;&lt;a href=|http://darbybible.com/psalms/76.htm| title=|Darby Bible Translation| target=|_top|&gt;DBY&lt;/a&gt;</v>
      </c>
      <c r="AO55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5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5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54" t="str">
        <f>CONCATENATE("&lt;/li&gt;&lt;li&gt;&lt;a href=|http://",AR1191,"/psalms/76.htm","| ","title=|",AR1190,"| target=|_top|&gt;",AR1192,"&lt;/a&gt;")</f>
        <v>&lt;/li&gt;&lt;li&gt;&lt;a href=|http://websterbible.com/psalms/76.htm| title=|Webster's Bible Translation| target=|_top|&gt;WBS&lt;/a&gt;</v>
      </c>
      <c r="AS55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54" t="str">
        <f>CONCATENATE("&lt;/li&gt;&lt;li&gt;&lt;a href=|http://",AT1191,"/psalms/76-1.htm","| ","title=|",AT1190,"| target=|_top|&gt;",AT1192,"&lt;/a&gt;")</f>
        <v>&lt;/li&gt;&lt;li&gt;&lt;a href=|http://biblebrowser.com/psalms/76-1.htm| title=|Split View| target=|_top|&gt;Split&lt;/a&gt;</v>
      </c>
      <c r="AU554" s="2" t="s">
        <v>1276</v>
      </c>
      <c r="AV554" t="s">
        <v>64</v>
      </c>
    </row>
    <row r="555" spans="1:48">
      <c r="A555" t="s">
        <v>622</v>
      </c>
      <c r="B555" t="s">
        <v>793</v>
      </c>
      <c r="C555" t="s">
        <v>624</v>
      </c>
      <c r="D555" t="s">
        <v>1268</v>
      </c>
      <c r="E555" t="s">
        <v>1277</v>
      </c>
      <c r="F555" t="s">
        <v>1304</v>
      </c>
      <c r="G555" t="s">
        <v>1266</v>
      </c>
      <c r="H555" t="s">
        <v>1305</v>
      </c>
      <c r="I555" t="s">
        <v>1303</v>
      </c>
      <c r="J555" t="s">
        <v>1267</v>
      </c>
      <c r="K555" t="s">
        <v>1275</v>
      </c>
      <c r="L555" s="2" t="s">
        <v>1274</v>
      </c>
      <c r="M555" t="str">
        <f t="shared" ref="M555:AB555" si="2216">CONCATENATE("&lt;/li&gt;&lt;li&gt;&lt;a href=|http://",M1191,"/psalms/77.htm","| ","title=|",M1190,"| target=|_top|&gt;",M1192,"&lt;/a&gt;")</f>
        <v>&lt;/li&gt;&lt;li&gt;&lt;a href=|http://niv.scripturetext.com/psalms/77.htm| title=|New International Version| target=|_top|&gt;NIV&lt;/a&gt;</v>
      </c>
      <c r="N555" t="str">
        <f t="shared" si="2216"/>
        <v>&lt;/li&gt;&lt;li&gt;&lt;a href=|http://nlt.scripturetext.com/psalms/77.htm| title=|New Living Translation| target=|_top|&gt;NLT&lt;/a&gt;</v>
      </c>
      <c r="O555" t="str">
        <f t="shared" si="2216"/>
        <v>&lt;/li&gt;&lt;li&gt;&lt;a href=|http://nasb.scripturetext.com/psalms/77.htm| title=|New American Standard Bible| target=|_top|&gt;NAS&lt;/a&gt;</v>
      </c>
      <c r="P555" t="str">
        <f t="shared" si="2216"/>
        <v>&lt;/li&gt;&lt;li&gt;&lt;a href=|http://gwt.scripturetext.com/psalms/77.htm| title=|God's Word Translation| target=|_top|&gt;GWT&lt;/a&gt;</v>
      </c>
      <c r="Q555" t="str">
        <f t="shared" si="2216"/>
        <v>&lt;/li&gt;&lt;li&gt;&lt;a href=|http://kingjbible.com/psalms/77.htm| title=|King James Bible| target=|_top|&gt;KJV&lt;/a&gt;</v>
      </c>
      <c r="R555" t="str">
        <f t="shared" si="2216"/>
        <v>&lt;/li&gt;&lt;li&gt;&lt;a href=|http://asvbible.com/psalms/77.htm| title=|American Standard Version| target=|_top|&gt;ASV&lt;/a&gt;</v>
      </c>
      <c r="S555" t="str">
        <f t="shared" si="2216"/>
        <v>&lt;/li&gt;&lt;li&gt;&lt;a href=|http://drb.scripturetext.com/psalms/77.htm| title=|Douay-Rheims Bible| target=|_top|&gt;DRB&lt;/a&gt;</v>
      </c>
      <c r="T555" t="str">
        <f t="shared" si="2216"/>
        <v>&lt;/li&gt;&lt;li&gt;&lt;a href=|http://erv.scripturetext.com/psalms/77.htm| title=|English Revised Version| target=|_top|&gt;ERV&lt;/a&gt;</v>
      </c>
      <c r="V555" t="str">
        <f>CONCATENATE("&lt;/li&gt;&lt;li&gt;&lt;a href=|http://",V1191,"/psalms/77.htm","| ","title=|",V1190,"| target=|_top|&gt;",V1192,"&lt;/a&gt;")</f>
        <v>&lt;/li&gt;&lt;li&gt;&lt;a href=|http://study.interlinearbible.org/psalms/77.htm| title=|Hebrew Study Bible| target=|_top|&gt;Heb Study&lt;/a&gt;</v>
      </c>
      <c r="W555" t="str">
        <f t="shared" si="2216"/>
        <v>&lt;/li&gt;&lt;li&gt;&lt;a href=|http://apostolic.interlinearbible.org/psalms/77.htm| title=|Apostolic Bible Polyglot Interlinear| target=|_top|&gt;Polyglot&lt;/a&gt;</v>
      </c>
      <c r="X555" t="str">
        <f t="shared" si="2216"/>
        <v>&lt;/li&gt;&lt;li&gt;&lt;a href=|http://interlinearbible.org/psalms/77.htm| title=|Interlinear Bible| target=|_top|&gt;Interlin&lt;/a&gt;</v>
      </c>
      <c r="Y555" t="str">
        <f t="shared" ref="Y555" si="2217">CONCATENATE("&lt;/li&gt;&lt;li&gt;&lt;a href=|http://",Y1191,"/psalms/77.htm","| ","title=|",Y1190,"| target=|_top|&gt;",Y1192,"&lt;/a&gt;")</f>
        <v>&lt;/li&gt;&lt;li&gt;&lt;a href=|http://bibleoutline.org/psalms/77.htm| title=|Outline with People and Places List| target=|_top|&gt;Outline&lt;/a&gt;</v>
      </c>
      <c r="Z555" t="str">
        <f t="shared" si="2216"/>
        <v>&lt;/li&gt;&lt;li&gt;&lt;a href=|http://kjvs.scripturetext.com/psalms/77.htm| title=|King James Bible with Strong's Numbers| target=|_top|&gt;Strong's&lt;/a&gt;</v>
      </c>
      <c r="AA555" t="str">
        <f t="shared" si="2216"/>
        <v>&lt;/li&gt;&lt;li&gt;&lt;a href=|http://childrensbibleonline.com/psalms/77.htm| title=|The Children's Bible| target=|_top|&gt;Children's&lt;/a&gt;</v>
      </c>
      <c r="AB555" s="2" t="str">
        <f t="shared" si="2216"/>
        <v>&lt;/li&gt;&lt;li&gt;&lt;a href=|http://tsk.scripturetext.com/psalms/77.htm| title=|Treasury of Scripture Knowledge| target=|_top|&gt;TSK&lt;/a&gt;</v>
      </c>
      <c r="AC555" t="str">
        <f>CONCATENATE("&lt;a href=|http://",AC1191,"/psalms/77.htm","| ","title=|",AC1190,"| target=|_top|&gt;",AC1192,"&lt;/a&gt;")</f>
        <v>&lt;a href=|http://parallelbible.com/psalms/77.htm| title=|Parallel Chapters| target=|_top|&gt;PAR&lt;/a&gt;</v>
      </c>
      <c r="AD555" s="2" t="str">
        <f t="shared" ref="AD555:AK555" si="2218">CONCATENATE("&lt;/li&gt;&lt;li&gt;&lt;a href=|http://",AD1191,"/psalms/77.htm","| ","title=|",AD1190,"| target=|_top|&gt;",AD1192,"&lt;/a&gt;")</f>
        <v>&lt;/li&gt;&lt;li&gt;&lt;a href=|http://gsb.biblecommenter.com/psalms/77.htm| title=|Geneva Study Bible| target=|_top|&gt;GSB&lt;/a&gt;</v>
      </c>
      <c r="AE555" s="2" t="str">
        <f t="shared" si="2218"/>
        <v>&lt;/li&gt;&lt;li&gt;&lt;a href=|http://jfb.biblecommenter.com/psalms/77.htm| title=|Jamieson-Fausset-Brown Bible Commentary| target=|_top|&gt;JFB&lt;/a&gt;</v>
      </c>
      <c r="AF555" s="2" t="str">
        <f t="shared" si="2218"/>
        <v>&lt;/li&gt;&lt;li&gt;&lt;a href=|http://kjt.biblecommenter.com/psalms/77.htm| title=|King James Translators' Notes| target=|_top|&gt;KJT&lt;/a&gt;</v>
      </c>
      <c r="AG555" s="2" t="str">
        <f t="shared" si="2218"/>
        <v>&lt;/li&gt;&lt;li&gt;&lt;a href=|http://mhc.biblecommenter.com/psalms/77.htm| title=|Matthew Henry's Concise Commentary| target=|_top|&gt;MHC&lt;/a&gt;</v>
      </c>
      <c r="AH555" s="2" t="str">
        <f t="shared" si="2218"/>
        <v>&lt;/li&gt;&lt;li&gt;&lt;a href=|http://sco.biblecommenter.com/psalms/77.htm| title=|Scofield Reference Notes| target=|_top|&gt;SCO&lt;/a&gt;</v>
      </c>
      <c r="AI555" s="2" t="str">
        <f t="shared" si="2218"/>
        <v>&lt;/li&gt;&lt;li&gt;&lt;a href=|http://wes.biblecommenter.com/psalms/77.htm| title=|Wesley's Notes on the Bible| target=|_top|&gt;WES&lt;/a&gt;</v>
      </c>
      <c r="AJ555" t="str">
        <f t="shared" si="2218"/>
        <v>&lt;/li&gt;&lt;li&gt;&lt;a href=|http://worldebible.com/psalms/77.htm| title=|World English Bible| target=|_top|&gt;WEB&lt;/a&gt;</v>
      </c>
      <c r="AK555" t="str">
        <f t="shared" si="2218"/>
        <v>&lt;/li&gt;&lt;li&gt;&lt;a href=|http://yltbible.com/psalms/77.htm| title=|Young's Literal Translation| target=|_top|&gt;YLT&lt;/a&gt;</v>
      </c>
      <c r="AL555" t="str">
        <f>CONCATENATE("&lt;a href=|http://",AL1191,"/psalms/77.htm","| ","title=|",AL1190,"| target=|_top|&gt;",AL1192,"&lt;/a&gt;")</f>
        <v>&lt;a href=|http://kjv.us/psalms/77.htm| title=|American King James Version| target=|_top|&gt;AKJ&lt;/a&gt;</v>
      </c>
      <c r="AM555" t="str">
        <f t="shared" ref="AM555:AN555" si="2219">CONCATENATE("&lt;/li&gt;&lt;li&gt;&lt;a href=|http://",AM1191,"/psalms/77.htm","| ","title=|",AM1190,"| target=|_top|&gt;",AM1192,"&lt;/a&gt;")</f>
        <v>&lt;/li&gt;&lt;li&gt;&lt;a href=|http://basicenglishbible.com/psalms/77.htm| title=|Bible in Basic English| target=|_top|&gt;BBE&lt;/a&gt;</v>
      </c>
      <c r="AN555" t="str">
        <f t="shared" si="2219"/>
        <v>&lt;/li&gt;&lt;li&gt;&lt;a href=|http://darbybible.com/psalms/77.htm| title=|Darby Bible Translation| target=|_top|&gt;DBY&lt;/a&gt;</v>
      </c>
      <c r="AO55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5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5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55" t="str">
        <f>CONCATENATE("&lt;/li&gt;&lt;li&gt;&lt;a href=|http://",AR1191,"/psalms/77.htm","| ","title=|",AR1190,"| target=|_top|&gt;",AR1192,"&lt;/a&gt;")</f>
        <v>&lt;/li&gt;&lt;li&gt;&lt;a href=|http://websterbible.com/psalms/77.htm| title=|Webster's Bible Translation| target=|_top|&gt;WBS&lt;/a&gt;</v>
      </c>
      <c r="AS55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55" t="str">
        <f>CONCATENATE("&lt;/li&gt;&lt;li&gt;&lt;a href=|http://",AT1191,"/psalms/77-1.htm","| ","title=|",AT1190,"| target=|_top|&gt;",AT1192,"&lt;/a&gt;")</f>
        <v>&lt;/li&gt;&lt;li&gt;&lt;a href=|http://biblebrowser.com/psalms/77-1.htm| title=|Split View| target=|_top|&gt;Split&lt;/a&gt;</v>
      </c>
      <c r="AU555" s="2" t="s">
        <v>1276</v>
      </c>
      <c r="AV555" t="s">
        <v>64</v>
      </c>
    </row>
    <row r="556" spans="1:48">
      <c r="A556" t="s">
        <v>622</v>
      </c>
      <c r="B556" t="s">
        <v>1060</v>
      </c>
      <c r="C556" t="s">
        <v>624</v>
      </c>
      <c r="D556" t="s">
        <v>1268</v>
      </c>
      <c r="E556" t="s">
        <v>1277</v>
      </c>
      <c r="F556" t="s">
        <v>1304</v>
      </c>
      <c r="G556" t="s">
        <v>1266</v>
      </c>
      <c r="H556" t="s">
        <v>1305</v>
      </c>
      <c r="I556" t="s">
        <v>1303</v>
      </c>
      <c r="J556" t="s">
        <v>1267</v>
      </c>
      <c r="K556" t="s">
        <v>1275</v>
      </c>
      <c r="L556" s="2" t="s">
        <v>1274</v>
      </c>
      <c r="M556" t="str">
        <f t="shared" ref="M556:AB556" si="2220">CONCATENATE("&lt;/li&gt;&lt;li&gt;&lt;a href=|http://",M1191,"/psalms/78.htm","| ","title=|",M1190,"| target=|_top|&gt;",M1192,"&lt;/a&gt;")</f>
        <v>&lt;/li&gt;&lt;li&gt;&lt;a href=|http://niv.scripturetext.com/psalms/78.htm| title=|New International Version| target=|_top|&gt;NIV&lt;/a&gt;</v>
      </c>
      <c r="N556" t="str">
        <f t="shared" si="2220"/>
        <v>&lt;/li&gt;&lt;li&gt;&lt;a href=|http://nlt.scripturetext.com/psalms/78.htm| title=|New Living Translation| target=|_top|&gt;NLT&lt;/a&gt;</v>
      </c>
      <c r="O556" t="str">
        <f t="shared" si="2220"/>
        <v>&lt;/li&gt;&lt;li&gt;&lt;a href=|http://nasb.scripturetext.com/psalms/78.htm| title=|New American Standard Bible| target=|_top|&gt;NAS&lt;/a&gt;</v>
      </c>
      <c r="P556" t="str">
        <f t="shared" si="2220"/>
        <v>&lt;/li&gt;&lt;li&gt;&lt;a href=|http://gwt.scripturetext.com/psalms/78.htm| title=|God's Word Translation| target=|_top|&gt;GWT&lt;/a&gt;</v>
      </c>
      <c r="Q556" t="str">
        <f t="shared" si="2220"/>
        <v>&lt;/li&gt;&lt;li&gt;&lt;a href=|http://kingjbible.com/psalms/78.htm| title=|King James Bible| target=|_top|&gt;KJV&lt;/a&gt;</v>
      </c>
      <c r="R556" t="str">
        <f t="shared" si="2220"/>
        <v>&lt;/li&gt;&lt;li&gt;&lt;a href=|http://asvbible.com/psalms/78.htm| title=|American Standard Version| target=|_top|&gt;ASV&lt;/a&gt;</v>
      </c>
      <c r="S556" t="str">
        <f t="shared" si="2220"/>
        <v>&lt;/li&gt;&lt;li&gt;&lt;a href=|http://drb.scripturetext.com/psalms/78.htm| title=|Douay-Rheims Bible| target=|_top|&gt;DRB&lt;/a&gt;</v>
      </c>
      <c r="T556" t="str">
        <f t="shared" si="2220"/>
        <v>&lt;/li&gt;&lt;li&gt;&lt;a href=|http://erv.scripturetext.com/psalms/78.htm| title=|English Revised Version| target=|_top|&gt;ERV&lt;/a&gt;</v>
      </c>
      <c r="V556" t="str">
        <f>CONCATENATE("&lt;/li&gt;&lt;li&gt;&lt;a href=|http://",V1191,"/psalms/78.htm","| ","title=|",V1190,"| target=|_top|&gt;",V1192,"&lt;/a&gt;")</f>
        <v>&lt;/li&gt;&lt;li&gt;&lt;a href=|http://study.interlinearbible.org/psalms/78.htm| title=|Hebrew Study Bible| target=|_top|&gt;Heb Study&lt;/a&gt;</v>
      </c>
      <c r="W556" t="str">
        <f t="shared" si="2220"/>
        <v>&lt;/li&gt;&lt;li&gt;&lt;a href=|http://apostolic.interlinearbible.org/psalms/78.htm| title=|Apostolic Bible Polyglot Interlinear| target=|_top|&gt;Polyglot&lt;/a&gt;</v>
      </c>
      <c r="X556" t="str">
        <f t="shared" si="2220"/>
        <v>&lt;/li&gt;&lt;li&gt;&lt;a href=|http://interlinearbible.org/psalms/78.htm| title=|Interlinear Bible| target=|_top|&gt;Interlin&lt;/a&gt;</v>
      </c>
      <c r="Y556" t="str">
        <f t="shared" ref="Y556" si="2221">CONCATENATE("&lt;/li&gt;&lt;li&gt;&lt;a href=|http://",Y1191,"/psalms/78.htm","| ","title=|",Y1190,"| target=|_top|&gt;",Y1192,"&lt;/a&gt;")</f>
        <v>&lt;/li&gt;&lt;li&gt;&lt;a href=|http://bibleoutline.org/psalms/78.htm| title=|Outline with People and Places List| target=|_top|&gt;Outline&lt;/a&gt;</v>
      </c>
      <c r="Z556" t="str">
        <f t="shared" si="2220"/>
        <v>&lt;/li&gt;&lt;li&gt;&lt;a href=|http://kjvs.scripturetext.com/psalms/78.htm| title=|King James Bible with Strong's Numbers| target=|_top|&gt;Strong's&lt;/a&gt;</v>
      </c>
      <c r="AA556" t="str">
        <f t="shared" si="2220"/>
        <v>&lt;/li&gt;&lt;li&gt;&lt;a href=|http://childrensbibleonline.com/psalms/78.htm| title=|The Children's Bible| target=|_top|&gt;Children's&lt;/a&gt;</v>
      </c>
      <c r="AB556" s="2" t="str">
        <f t="shared" si="2220"/>
        <v>&lt;/li&gt;&lt;li&gt;&lt;a href=|http://tsk.scripturetext.com/psalms/78.htm| title=|Treasury of Scripture Knowledge| target=|_top|&gt;TSK&lt;/a&gt;</v>
      </c>
      <c r="AC556" t="str">
        <f>CONCATENATE("&lt;a href=|http://",AC1191,"/psalms/78.htm","| ","title=|",AC1190,"| target=|_top|&gt;",AC1192,"&lt;/a&gt;")</f>
        <v>&lt;a href=|http://parallelbible.com/psalms/78.htm| title=|Parallel Chapters| target=|_top|&gt;PAR&lt;/a&gt;</v>
      </c>
      <c r="AD556" s="2" t="str">
        <f t="shared" ref="AD556:AK556" si="2222">CONCATENATE("&lt;/li&gt;&lt;li&gt;&lt;a href=|http://",AD1191,"/psalms/78.htm","| ","title=|",AD1190,"| target=|_top|&gt;",AD1192,"&lt;/a&gt;")</f>
        <v>&lt;/li&gt;&lt;li&gt;&lt;a href=|http://gsb.biblecommenter.com/psalms/78.htm| title=|Geneva Study Bible| target=|_top|&gt;GSB&lt;/a&gt;</v>
      </c>
      <c r="AE556" s="2" t="str">
        <f t="shared" si="2222"/>
        <v>&lt;/li&gt;&lt;li&gt;&lt;a href=|http://jfb.biblecommenter.com/psalms/78.htm| title=|Jamieson-Fausset-Brown Bible Commentary| target=|_top|&gt;JFB&lt;/a&gt;</v>
      </c>
      <c r="AF556" s="2" t="str">
        <f t="shared" si="2222"/>
        <v>&lt;/li&gt;&lt;li&gt;&lt;a href=|http://kjt.biblecommenter.com/psalms/78.htm| title=|King James Translators' Notes| target=|_top|&gt;KJT&lt;/a&gt;</v>
      </c>
      <c r="AG556" s="2" t="str">
        <f t="shared" si="2222"/>
        <v>&lt;/li&gt;&lt;li&gt;&lt;a href=|http://mhc.biblecommenter.com/psalms/78.htm| title=|Matthew Henry's Concise Commentary| target=|_top|&gt;MHC&lt;/a&gt;</v>
      </c>
      <c r="AH556" s="2" t="str">
        <f t="shared" si="2222"/>
        <v>&lt;/li&gt;&lt;li&gt;&lt;a href=|http://sco.biblecommenter.com/psalms/78.htm| title=|Scofield Reference Notes| target=|_top|&gt;SCO&lt;/a&gt;</v>
      </c>
      <c r="AI556" s="2" t="str">
        <f t="shared" si="2222"/>
        <v>&lt;/li&gt;&lt;li&gt;&lt;a href=|http://wes.biblecommenter.com/psalms/78.htm| title=|Wesley's Notes on the Bible| target=|_top|&gt;WES&lt;/a&gt;</v>
      </c>
      <c r="AJ556" t="str">
        <f t="shared" si="2222"/>
        <v>&lt;/li&gt;&lt;li&gt;&lt;a href=|http://worldebible.com/psalms/78.htm| title=|World English Bible| target=|_top|&gt;WEB&lt;/a&gt;</v>
      </c>
      <c r="AK556" t="str">
        <f t="shared" si="2222"/>
        <v>&lt;/li&gt;&lt;li&gt;&lt;a href=|http://yltbible.com/psalms/78.htm| title=|Young's Literal Translation| target=|_top|&gt;YLT&lt;/a&gt;</v>
      </c>
      <c r="AL556" t="str">
        <f>CONCATENATE("&lt;a href=|http://",AL1191,"/psalms/78.htm","| ","title=|",AL1190,"| target=|_top|&gt;",AL1192,"&lt;/a&gt;")</f>
        <v>&lt;a href=|http://kjv.us/psalms/78.htm| title=|American King James Version| target=|_top|&gt;AKJ&lt;/a&gt;</v>
      </c>
      <c r="AM556" t="str">
        <f t="shared" ref="AM556:AN556" si="2223">CONCATENATE("&lt;/li&gt;&lt;li&gt;&lt;a href=|http://",AM1191,"/psalms/78.htm","| ","title=|",AM1190,"| target=|_top|&gt;",AM1192,"&lt;/a&gt;")</f>
        <v>&lt;/li&gt;&lt;li&gt;&lt;a href=|http://basicenglishbible.com/psalms/78.htm| title=|Bible in Basic English| target=|_top|&gt;BBE&lt;/a&gt;</v>
      </c>
      <c r="AN556" t="str">
        <f t="shared" si="2223"/>
        <v>&lt;/li&gt;&lt;li&gt;&lt;a href=|http://darbybible.com/psalms/78.htm| title=|Darby Bible Translation| target=|_top|&gt;DBY&lt;/a&gt;</v>
      </c>
      <c r="AO55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5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5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56" t="str">
        <f>CONCATENATE("&lt;/li&gt;&lt;li&gt;&lt;a href=|http://",AR1191,"/psalms/78.htm","| ","title=|",AR1190,"| target=|_top|&gt;",AR1192,"&lt;/a&gt;")</f>
        <v>&lt;/li&gt;&lt;li&gt;&lt;a href=|http://websterbible.com/psalms/78.htm| title=|Webster's Bible Translation| target=|_top|&gt;WBS&lt;/a&gt;</v>
      </c>
      <c r="AS55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56" t="str">
        <f>CONCATENATE("&lt;/li&gt;&lt;li&gt;&lt;a href=|http://",AT1191,"/psalms/78-1.htm","| ","title=|",AT1190,"| target=|_top|&gt;",AT1192,"&lt;/a&gt;")</f>
        <v>&lt;/li&gt;&lt;li&gt;&lt;a href=|http://biblebrowser.com/psalms/78-1.htm| title=|Split View| target=|_top|&gt;Split&lt;/a&gt;</v>
      </c>
      <c r="AU556" s="2" t="s">
        <v>1276</v>
      </c>
      <c r="AV556" t="s">
        <v>64</v>
      </c>
    </row>
    <row r="557" spans="1:48">
      <c r="A557" t="s">
        <v>622</v>
      </c>
      <c r="B557" t="s">
        <v>1061</v>
      </c>
      <c r="C557" t="s">
        <v>624</v>
      </c>
      <c r="D557" t="s">
        <v>1268</v>
      </c>
      <c r="E557" t="s">
        <v>1277</v>
      </c>
      <c r="F557" t="s">
        <v>1304</v>
      </c>
      <c r="G557" t="s">
        <v>1266</v>
      </c>
      <c r="H557" t="s">
        <v>1305</v>
      </c>
      <c r="I557" t="s">
        <v>1303</v>
      </c>
      <c r="J557" t="s">
        <v>1267</v>
      </c>
      <c r="K557" t="s">
        <v>1275</v>
      </c>
      <c r="L557" s="2" t="s">
        <v>1274</v>
      </c>
      <c r="M557" t="str">
        <f t="shared" ref="M557:AB557" si="2224">CONCATENATE("&lt;/li&gt;&lt;li&gt;&lt;a href=|http://",M1191,"/psalms/79.htm","| ","title=|",M1190,"| target=|_top|&gt;",M1192,"&lt;/a&gt;")</f>
        <v>&lt;/li&gt;&lt;li&gt;&lt;a href=|http://niv.scripturetext.com/psalms/79.htm| title=|New International Version| target=|_top|&gt;NIV&lt;/a&gt;</v>
      </c>
      <c r="N557" t="str">
        <f t="shared" si="2224"/>
        <v>&lt;/li&gt;&lt;li&gt;&lt;a href=|http://nlt.scripturetext.com/psalms/79.htm| title=|New Living Translation| target=|_top|&gt;NLT&lt;/a&gt;</v>
      </c>
      <c r="O557" t="str">
        <f t="shared" si="2224"/>
        <v>&lt;/li&gt;&lt;li&gt;&lt;a href=|http://nasb.scripturetext.com/psalms/79.htm| title=|New American Standard Bible| target=|_top|&gt;NAS&lt;/a&gt;</v>
      </c>
      <c r="P557" t="str">
        <f t="shared" si="2224"/>
        <v>&lt;/li&gt;&lt;li&gt;&lt;a href=|http://gwt.scripturetext.com/psalms/79.htm| title=|God's Word Translation| target=|_top|&gt;GWT&lt;/a&gt;</v>
      </c>
      <c r="Q557" t="str">
        <f t="shared" si="2224"/>
        <v>&lt;/li&gt;&lt;li&gt;&lt;a href=|http://kingjbible.com/psalms/79.htm| title=|King James Bible| target=|_top|&gt;KJV&lt;/a&gt;</v>
      </c>
      <c r="R557" t="str">
        <f t="shared" si="2224"/>
        <v>&lt;/li&gt;&lt;li&gt;&lt;a href=|http://asvbible.com/psalms/79.htm| title=|American Standard Version| target=|_top|&gt;ASV&lt;/a&gt;</v>
      </c>
      <c r="S557" t="str">
        <f t="shared" si="2224"/>
        <v>&lt;/li&gt;&lt;li&gt;&lt;a href=|http://drb.scripturetext.com/psalms/79.htm| title=|Douay-Rheims Bible| target=|_top|&gt;DRB&lt;/a&gt;</v>
      </c>
      <c r="T557" t="str">
        <f t="shared" si="2224"/>
        <v>&lt;/li&gt;&lt;li&gt;&lt;a href=|http://erv.scripturetext.com/psalms/79.htm| title=|English Revised Version| target=|_top|&gt;ERV&lt;/a&gt;</v>
      </c>
      <c r="V557" t="str">
        <f>CONCATENATE("&lt;/li&gt;&lt;li&gt;&lt;a href=|http://",V1191,"/psalms/79.htm","| ","title=|",V1190,"| target=|_top|&gt;",V1192,"&lt;/a&gt;")</f>
        <v>&lt;/li&gt;&lt;li&gt;&lt;a href=|http://study.interlinearbible.org/psalms/79.htm| title=|Hebrew Study Bible| target=|_top|&gt;Heb Study&lt;/a&gt;</v>
      </c>
      <c r="W557" t="str">
        <f t="shared" si="2224"/>
        <v>&lt;/li&gt;&lt;li&gt;&lt;a href=|http://apostolic.interlinearbible.org/psalms/79.htm| title=|Apostolic Bible Polyglot Interlinear| target=|_top|&gt;Polyglot&lt;/a&gt;</v>
      </c>
      <c r="X557" t="str">
        <f t="shared" si="2224"/>
        <v>&lt;/li&gt;&lt;li&gt;&lt;a href=|http://interlinearbible.org/psalms/79.htm| title=|Interlinear Bible| target=|_top|&gt;Interlin&lt;/a&gt;</v>
      </c>
      <c r="Y557" t="str">
        <f t="shared" ref="Y557" si="2225">CONCATENATE("&lt;/li&gt;&lt;li&gt;&lt;a href=|http://",Y1191,"/psalms/79.htm","| ","title=|",Y1190,"| target=|_top|&gt;",Y1192,"&lt;/a&gt;")</f>
        <v>&lt;/li&gt;&lt;li&gt;&lt;a href=|http://bibleoutline.org/psalms/79.htm| title=|Outline with People and Places List| target=|_top|&gt;Outline&lt;/a&gt;</v>
      </c>
      <c r="Z557" t="str">
        <f t="shared" si="2224"/>
        <v>&lt;/li&gt;&lt;li&gt;&lt;a href=|http://kjvs.scripturetext.com/psalms/79.htm| title=|King James Bible with Strong's Numbers| target=|_top|&gt;Strong's&lt;/a&gt;</v>
      </c>
      <c r="AA557" t="str">
        <f t="shared" si="2224"/>
        <v>&lt;/li&gt;&lt;li&gt;&lt;a href=|http://childrensbibleonline.com/psalms/79.htm| title=|The Children's Bible| target=|_top|&gt;Children's&lt;/a&gt;</v>
      </c>
      <c r="AB557" s="2" t="str">
        <f t="shared" si="2224"/>
        <v>&lt;/li&gt;&lt;li&gt;&lt;a href=|http://tsk.scripturetext.com/psalms/79.htm| title=|Treasury of Scripture Knowledge| target=|_top|&gt;TSK&lt;/a&gt;</v>
      </c>
      <c r="AC557" t="str">
        <f>CONCATENATE("&lt;a href=|http://",AC1191,"/psalms/79.htm","| ","title=|",AC1190,"| target=|_top|&gt;",AC1192,"&lt;/a&gt;")</f>
        <v>&lt;a href=|http://parallelbible.com/psalms/79.htm| title=|Parallel Chapters| target=|_top|&gt;PAR&lt;/a&gt;</v>
      </c>
      <c r="AD557" s="2" t="str">
        <f t="shared" ref="AD557:AK557" si="2226">CONCATENATE("&lt;/li&gt;&lt;li&gt;&lt;a href=|http://",AD1191,"/psalms/79.htm","| ","title=|",AD1190,"| target=|_top|&gt;",AD1192,"&lt;/a&gt;")</f>
        <v>&lt;/li&gt;&lt;li&gt;&lt;a href=|http://gsb.biblecommenter.com/psalms/79.htm| title=|Geneva Study Bible| target=|_top|&gt;GSB&lt;/a&gt;</v>
      </c>
      <c r="AE557" s="2" t="str">
        <f t="shared" si="2226"/>
        <v>&lt;/li&gt;&lt;li&gt;&lt;a href=|http://jfb.biblecommenter.com/psalms/79.htm| title=|Jamieson-Fausset-Brown Bible Commentary| target=|_top|&gt;JFB&lt;/a&gt;</v>
      </c>
      <c r="AF557" s="2" t="str">
        <f t="shared" si="2226"/>
        <v>&lt;/li&gt;&lt;li&gt;&lt;a href=|http://kjt.biblecommenter.com/psalms/79.htm| title=|King James Translators' Notes| target=|_top|&gt;KJT&lt;/a&gt;</v>
      </c>
      <c r="AG557" s="2" t="str">
        <f t="shared" si="2226"/>
        <v>&lt;/li&gt;&lt;li&gt;&lt;a href=|http://mhc.biblecommenter.com/psalms/79.htm| title=|Matthew Henry's Concise Commentary| target=|_top|&gt;MHC&lt;/a&gt;</v>
      </c>
      <c r="AH557" s="2" t="str">
        <f t="shared" si="2226"/>
        <v>&lt;/li&gt;&lt;li&gt;&lt;a href=|http://sco.biblecommenter.com/psalms/79.htm| title=|Scofield Reference Notes| target=|_top|&gt;SCO&lt;/a&gt;</v>
      </c>
      <c r="AI557" s="2" t="str">
        <f t="shared" si="2226"/>
        <v>&lt;/li&gt;&lt;li&gt;&lt;a href=|http://wes.biblecommenter.com/psalms/79.htm| title=|Wesley's Notes on the Bible| target=|_top|&gt;WES&lt;/a&gt;</v>
      </c>
      <c r="AJ557" t="str">
        <f t="shared" si="2226"/>
        <v>&lt;/li&gt;&lt;li&gt;&lt;a href=|http://worldebible.com/psalms/79.htm| title=|World English Bible| target=|_top|&gt;WEB&lt;/a&gt;</v>
      </c>
      <c r="AK557" t="str">
        <f t="shared" si="2226"/>
        <v>&lt;/li&gt;&lt;li&gt;&lt;a href=|http://yltbible.com/psalms/79.htm| title=|Young's Literal Translation| target=|_top|&gt;YLT&lt;/a&gt;</v>
      </c>
      <c r="AL557" t="str">
        <f>CONCATENATE("&lt;a href=|http://",AL1191,"/psalms/79.htm","| ","title=|",AL1190,"| target=|_top|&gt;",AL1192,"&lt;/a&gt;")</f>
        <v>&lt;a href=|http://kjv.us/psalms/79.htm| title=|American King James Version| target=|_top|&gt;AKJ&lt;/a&gt;</v>
      </c>
      <c r="AM557" t="str">
        <f t="shared" ref="AM557:AN557" si="2227">CONCATENATE("&lt;/li&gt;&lt;li&gt;&lt;a href=|http://",AM1191,"/psalms/79.htm","| ","title=|",AM1190,"| target=|_top|&gt;",AM1192,"&lt;/a&gt;")</f>
        <v>&lt;/li&gt;&lt;li&gt;&lt;a href=|http://basicenglishbible.com/psalms/79.htm| title=|Bible in Basic English| target=|_top|&gt;BBE&lt;/a&gt;</v>
      </c>
      <c r="AN557" t="str">
        <f t="shared" si="2227"/>
        <v>&lt;/li&gt;&lt;li&gt;&lt;a href=|http://darbybible.com/psalms/79.htm| title=|Darby Bible Translation| target=|_top|&gt;DBY&lt;/a&gt;</v>
      </c>
      <c r="AO55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5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5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57" t="str">
        <f>CONCATENATE("&lt;/li&gt;&lt;li&gt;&lt;a href=|http://",AR1191,"/psalms/79.htm","| ","title=|",AR1190,"| target=|_top|&gt;",AR1192,"&lt;/a&gt;")</f>
        <v>&lt;/li&gt;&lt;li&gt;&lt;a href=|http://websterbible.com/psalms/79.htm| title=|Webster's Bible Translation| target=|_top|&gt;WBS&lt;/a&gt;</v>
      </c>
      <c r="AS55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57" t="str">
        <f>CONCATENATE("&lt;/li&gt;&lt;li&gt;&lt;a href=|http://",AT1191,"/psalms/79-1.htm","| ","title=|",AT1190,"| target=|_top|&gt;",AT1192,"&lt;/a&gt;")</f>
        <v>&lt;/li&gt;&lt;li&gt;&lt;a href=|http://biblebrowser.com/psalms/79-1.htm| title=|Split View| target=|_top|&gt;Split&lt;/a&gt;</v>
      </c>
      <c r="AU557" s="2" t="s">
        <v>1276</v>
      </c>
      <c r="AV557" t="s">
        <v>64</v>
      </c>
    </row>
    <row r="558" spans="1:48">
      <c r="A558" t="s">
        <v>622</v>
      </c>
      <c r="B558" t="s">
        <v>1062</v>
      </c>
      <c r="C558" t="s">
        <v>624</v>
      </c>
      <c r="D558" t="s">
        <v>1268</v>
      </c>
      <c r="E558" t="s">
        <v>1277</v>
      </c>
      <c r="F558" t="s">
        <v>1304</v>
      </c>
      <c r="G558" t="s">
        <v>1266</v>
      </c>
      <c r="H558" t="s">
        <v>1305</v>
      </c>
      <c r="I558" t="s">
        <v>1303</v>
      </c>
      <c r="J558" t="s">
        <v>1267</v>
      </c>
      <c r="K558" t="s">
        <v>1275</v>
      </c>
      <c r="L558" s="2" t="s">
        <v>1274</v>
      </c>
      <c r="M558" t="str">
        <f t="shared" ref="M558:AB558" si="2228">CONCATENATE("&lt;/li&gt;&lt;li&gt;&lt;a href=|http://",M1191,"/psalms/80.htm","| ","title=|",M1190,"| target=|_top|&gt;",M1192,"&lt;/a&gt;")</f>
        <v>&lt;/li&gt;&lt;li&gt;&lt;a href=|http://niv.scripturetext.com/psalms/80.htm| title=|New International Version| target=|_top|&gt;NIV&lt;/a&gt;</v>
      </c>
      <c r="N558" t="str">
        <f t="shared" si="2228"/>
        <v>&lt;/li&gt;&lt;li&gt;&lt;a href=|http://nlt.scripturetext.com/psalms/80.htm| title=|New Living Translation| target=|_top|&gt;NLT&lt;/a&gt;</v>
      </c>
      <c r="O558" t="str">
        <f t="shared" si="2228"/>
        <v>&lt;/li&gt;&lt;li&gt;&lt;a href=|http://nasb.scripturetext.com/psalms/80.htm| title=|New American Standard Bible| target=|_top|&gt;NAS&lt;/a&gt;</v>
      </c>
      <c r="P558" t="str">
        <f t="shared" si="2228"/>
        <v>&lt;/li&gt;&lt;li&gt;&lt;a href=|http://gwt.scripturetext.com/psalms/80.htm| title=|God's Word Translation| target=|_top|&gt;GWT&lt;/a&gt;</v>
      </c>
      <c r="Q558" t="str">
        <f t="shared" si="2228"/>
        <v>&lt;/li&gt;&lt;li&gt;&lt;a href=|http://kingjbible.com/psalms/80.htm| title=|King James Bible| target=|_top|&gt;KJV&lt;/a&gt;</v>
      </c>
      <c r="R558" t="str">
        <f t="shared" si="2228"/>
        <v>&lt;/li&gt;&lt;li&gt;&lt;a href=|http://asvbible.com/psalms/80.htm| title=|American Standard Version| target=|_top|&gt;ASV&lt;/a&gt;</v>
      </c>
      <c r="S558" t="str">
        <f t="shared" si="2228"/>
        <v>&lt;/li&gt;&lt;li&gt;&lt;a href=|http://drb.scripturetext.com/psalms/80.htm| title=|Douay-Rheims Bible| target=|_top|&gt;DRB&lt;/a&gt;</v>
      </c>
      <c r="T558" t="str">
        <f t="shared" si="2228"/>
        <v>&lt;/li&gt;&lt;li&gt;&lt;a href=|http://erv.scripturetext.com/psalms/80.htm| title=|English Revised Version| target=|_top|&gt;ERV&lt;/a&gt;</v>
      </c>
      <c r="V558" t="str">
        <f>CONCATENATE("&lt;/li&gt;&lt;li&gt;&lt;a href=|http://",V1191,"/psalms/80.htm","| ","title=|",V1190,"| target=|_top|&gt;",V1192,"&lt;/a&gt;")</f>
        <v>&lt;/li&gt;&lt;li&gt;&lt;a href=|http://study.interlinearbible.org/psalms/80.htm| title=|Hebrew Study Bible| target=|_top|&gt;Heb Study&lt;/a&gt;</v>
      </c>
      <c r="W558" t="str">
        <f t="shared" si="2228"/>
        <v>&lt;/li&gt;&lt;li&gt;&lt;a href=|http://apostolic.interlinearbible.org/psalms/80.htm| title=|Apostolic Bible Polyglot Interlinear| target=|_top|&gt;Polyglot&lt;/a&gt;</v>
      </c>
      <c r="X558" t="str">
        <f t="shared" si="2228"/>
        <v>&lt;/li&gt;&lt;li&gt;&lt;a href=|http://interlinearbible.org/psalms/80.htm| title=|Interlinear Bible| target=|_top|&gt;Interlin&lt;/a&gt;</v>
      </c>
      <c r="Y558" t="str">
        <f t="shared" ref="Y558" si="2229">CONCATENATE("&lt;/li&gt;&lt;li&gt;&lt;a href=|http://",Y1191,"/psalms/80.htm","| ","title=|",Y1190,"| target=|_top|&gt;",Y1192,"&lt;/a&gt;")</f>
        <v>&lt;/li&gt;&lt;li&gt;&lt;a href=|http://bibleoutline.org/psalms/80.htm| title=|Outline with People and Places List| target=|_top|&gt;Outline&lt;/a&gt;</v>
      </c>
      <c r="Z558" t="str">
        <f t="shared" si="2228"/>
        <v>&lt;/li&gt;&lt;li&gt;&lt;a href=|http://kjvs.scripturetext.com/psalms/80.htm| title=|King James Bible with Strong's Numbers| target=|_top|&gt;Strong's&lt;/a&gt;</v>
      </c>
      <c r="AA558" t="str">
        <f t="shared" si="2228"/>
        <v>&lt;/li&gt;&lt;li&gt;&lt;a href=|http://childrensbibleonline.com/psalms/80.htm| title=|The Children's Bible| target=|_top|&gt;Children's&lt;/a&gt;</v>
      </c>
      <c r="AB558" s="2" t="str">
        <f t="shared" si="2228"/>
        <v>&lt;/li&gt;&lt;li&gt;&lt;a href=|http://tsk.scripturetext.com/psalms/80.htm| title=|Treasury of Scripture Knowledge| target=|_top|&gt;TSK&lt;/a&gt;</v>
      </c>
      <c r="AC558" t="str">
        <f>CONCATENATE("&lt;a href=|http://",AC1191,"/psalms/80.htm","| ","title=|",AC1190,"| target=|_top|&gt;",AC1192,"&lt;/a&gt;")</f>
        <v>&lt;a href=|http://parallelbible.com/psalms/80.htm| title=|Parallel Chapters| target=|_top|&gt;PAR&lt;/a&gt;</v>
      </c>
      <c r="AD558" s="2" t="str">
        <f t="shared" ref="AD558:AK558" si="2230">CONCATENATE("&lt;/li&gt;&lt;li&gt;&lt;a href=|http://",AD1191,"/psalms/80.htm","| ","title=|",AD1190,"| target=|_top|&gt;",AD1192,"&lt;/a&gt;")</f>
        <v>&lt;/li&gt;&lt;li&gt;&lt;a href=|http://gsb.biblecommenter.com/psalms/80.htm| title=|Geneva Study Bible| target=|_top|&gt;GSB&lt;/a&gt;</v>
      </c>
      <c r="AE558" s="2" t="str">
        <f t="shared" si="2230"/>
        <v>&lt;/li&gt;&lt;li&gt;&lt;a href=|http://jfb.biblecommenter.com/psalms/80.htm| title=|Jamieson-Fausset-Brown Bible Commentary| target=|_top|&gt;JFB&lt;/a&gt;</v>
      </c>
      <c r="AF558" s="2" t="str">
        <f t="shared" si="2230"/>
        <v>&lt;/li&gt;&lt;li&gt;&lt;a href=|http://kjt.biblecommenter.com/psalms/80.htm| title=|King James Translators' Notes| target=|_top|&gt;KJT&lt;/a&gt;</v>
      </c>
      <c r="AG558" s="2" t="str">
        <f t="shared" si="2230"/>
        <v>&lt;/li&gt;&lt;li&gt;&lt;a href=|http://mhc.biblecommenter.com/psalms/80.htm| title=|Matthew Henry's Concise Commentary| target=|_top|&gt;MHC&lt;/a&gt;</v>
      </c>
      <c r="AH558" s="2" t="str">
        <f t="shared" si="2230"/>
        <v>&lt;/li&gt;&lt;li&gt;&lt;a href=|http://sco.biblecommenter.com/psalms/80.htm| title=|Scofield Reference Notes| target=|_top|&gt;SCO&lt;/a&gt;</v>
      </c>
      <c r="AI558" s="2" t="str">
        <f t="shared" si="2230"/>
        <v>&lt;/li&gt;&lt;li&gt;&lt;a href=|http://wes.biblecommenter.com/psalms/80.htm| title=|Wesley's Notes on the Bible| target=|_top|&gt;WES&lt;/a&gt;</v>
      </c>
      <c r="AJ558" t="str">
        <f t="shared" si="2230"/>
        <v>&lt;/li&gt;&lt;li&gt;&lt;a href=|http://worldebible.com/psalms/80.htm| title=|World English Bible| target=|_top|&gt;WEB&lt;/a&gt;</v>
      </c>
      <c r="AK558" t="str">
        <f t="shared" si="2230"/>
        <v>&lt;/li&gt;&lt;li&gt;&lt;a href=|http://yltbible.com/psalms/80.htm| title=|Young's Literal Translation| target=|_top|&gt;YLT&lt;/a&gt;</v>
      </c>
      <c r="AL558" t="str">
        <f>CONCATENATE("&lt;a href=|http://",AL1191,"/psalms/80.htm","| ","title=|",AL1190,"| target=|_top|&gt;",AL1192,"&lt;/a&gt;")</f>
        <v>&lt;a href=|http://kjv.us/psalms/80.htm| title=|American King James Version| target=|_top|&gt;AKJ&lt;/a&gt;</v>
      </c>
      <c r="AM558" t="str">
        <f t="shared" ref="AM558:AN558" si="2231">CONCATENATE("&lt;/li&gt;&lt;li&gt;&lt;a href=|http://",AM1191,"/psalms/80.htm","| ","title=|",AM1190,"| target=|_top|&gt;",AM1192,"&lt;/a&gt;")</f>
        <v>&lt;/li&gt;&lt;li&gt;&lt;a href=|http://basicenglishbible.com/psalms/80.htm| title=|Bible in Basic English| target=|_top|&gt;BBE&lt;/a&gt;</v>
      </c>
      <c r="AN558" t="str">
        <f t="shared" si="2231"/>
        <v>&lt;/li&gt;&lt;li&gt;&lt;a href=|http://darbybible.com/psalms/80.htm| title=|Darby Bible Translation| target=|_top|&gt;DBY&lt;/a&gt;</v>
      </c>
      <c r="AO55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5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5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58" t="str">
        <f>CONCATENATE("&lt;/li&gt;&lt;li&gt;&lt;a href=|http://",AR1191,"/psalms/80.htm","| ","title=|",AR1190,"| target=|_top|&gt;",AR1192,"&lt;/a&gt;")</f>
        <v>&lt;/li&gt;&lt;li&gt;&lt;a href=|http://websterbible.com/psalms/80.htm| title=|Webster's Bible Translation| target=|_top|&gt;WBS&lt;/a&gt;</v>
      </c>
      <c r="AS55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58" t="str">
        <f>CONCATENATE("&lt;/li&gt;&lt;li&gt;&lt;a href=|http://",AT1191,"/psalms/80-1.htm","| ","title=|",AT1190,"| target=|_top|&gt;",AT1192,"&lt;/a&gt;")</f>
        <v>&lt;/li&gt;&lt;li&gt;&lt;a href=|http://biblebrowser.com/psalms/80-1.htm| title=|Split View| target=|_top|&gt;Split&lt;/a&gt;</v>
      </c>
      <c r="AU558" s="2" t="s">
        <v>1276</v>
      </c>
      <c r="AV558" t="s">
        <v>64</v>
      </c>
    </row>
    <row r="559" spans="1:48">
      <c r="A559" t="s">
        <v>622</v>
      </c>
      <c r="B559" t="s">
        <v>1063</v>
      </c>
      <c r="C559" t="s">
        <v>624</v>
      </c>
      <c r="D559" t="s">
        <v>1268</v>
      </c>
      <c r="E559" t="s">
        <v>1277</v>
      </c>
      <c r="F559" t="s">
        <v>1304</v>
      </c>
      <c r="G559" t="s">
        <v>1266</v>
      </c>
      <c r="H559" t="s">
        <v>1305</v>
      </c>
      <c r="I559" t="s">
        <v>1303</v>
      </c>
      <c r="J559" t="s">
        <v>1267</v>
      </c>
      <c r="K559" t="s">
        <v>1275</v>
      </c>
      <c r="L559" s="2" t="s">
        <v>1274</v>
      </c>
      <c r="M559" t="str">
        <f t="shared" ref="M559:AB559" si="2232">CONCATENATE("&lt;/li&gt;&lt;li&gt;&lt;a href=|http://",M1191,"/psalms/81.htm","| ","title=|",M1190,"| target=|_top|&gt;",M1192,"&lt;/a&gt;")</f>
        <v>&lt;/li&gt;&lt;li&gt;&lt;a href=|http://niv.scripturetext.com/psalms/81.htm| title=|New International Version| target=|_top|&gt;NIV&lt;/a&gt;</v>
      </c>
      <c r="N559" t="str">
        <f t="shared" si="2232"/>
        <v>&lt;/li&gt;&lt;li&gt;&lt;a href=|http://nlt.scripturetext.com/psalms/81.htm| title=|New Living Translation| target=|_top|&gt;NLT&lt;/a&gt;</v>
      </c>
      <c r="O559" t="str">
        <f t="shared" si="2232"/>
        <v>&lt;/li&gt;&lt;li&gt;&lt;a href=|http://nasb.scripturetext.com/psalms/81.htm| title=|New American Standard Bible| target=|_top|&gt;NAS&lt;/a&gt;</v>
      </c>
      <c r="P559" t="str">
        <f t="shared" si="2232"/>
        <v>&lt;/li&gt;&lt;li&gt;&lt;a href=|http://gwt.scripturetext.com/psalms/81.htm| title=|God's Word Translation| target=|_top|&gt;GWT&lt;/a&gt;</v>
      </c>
      <c r="Q559" t="str">
        <f t="shared" si="2232"/>
        <v>&lt;/li&gt;&lt;li&gt;&lt;a href=|http://kingjbible.com/psalms/81.htm| title=|King James Bible| target=|_top|&gt;KJV&lt;/a&gt;</v>
      </c>
      <c r="R559" t="str">
        <f t="shared" si="2232"/>
        <v>&lt;/li&gt;&lt;li&gt;&lt;a href=|http://asvbible.com/psalms/81.htm| title=|American Standard Version| target=|_top|&gt;ASV&lt;/a&gt;</v>
      </c>
      <c r="S559" t="str">
        <f t="shared" si="2232"/>
        <v>&lt;/li&gt;&lt;li&gt;&lt;a href=|http://drb.scripturetext.com/psalms/81.htm| title=|Douay-Rheims Bible| target=|_top|&gt;DRB&lt;/a&gt;</v>
      </c>
      <c r="T559" t="str">
        <f t="shared" si="2232"/>
        <v>&lt;/li&gt;&lt;li&gt;&lt;a href=|http://erv.scripturetext.com/psalms/81.htm| title=|English Revised Version| target=|_top|&gt;ERV&lt;/a&gt;</v>
      </c>
      <c r="V559" t="str">
        <f>CONCATENATE("&lt;/li&gt;&lt;li&gt;&lt;a href=|http://",V1191,"/psalms/81.htm","| ","title=|",V1190,"| target=|_top|&gt;",V1192,"&lt;/a&gt;")</f>
        <v>&lt;/li&gt;&lt;li&gt;&lt;a href=|http://study.interlinearbible.org/psalms/81.htm| title=|Hebrew Study Bible| target=|_top|&gt;Heb Study&lt;/a&gt;</v>
      </c>
      <c r="W559" t="str">
        <f t="shared" si="2232"/>
        <v>&lt;/li&gt;&lt;li&gt;&lt;a href=|http://apostolic.interlinearbible.org/psalms/81.htm| title=|Apostolic Bible Polyglot Interlinear| target=|_top|&gt;Polyglot&lt;/a&gt;</v>
      </c>
      <c r="X559" t="str">
        <f t="shared" si="2232"/>
        <v>&lt;/li&gt;&lt;li&gt;&lt;a href=|http://interlinearbible.org/psalms/81.htm| title=|Interlinear Bible| target=|_top|&gt;Interlin&lt;/a&gt;</v>
      </c>
      <c r="Y559" t="str">
        <f t="shared" ref="Y559" si="2233">CONCATENATE("&lt;/li&gt;&lt;li&gt;&lt;a href=|http://",Y1191,"/psalms/81.htm","| ","title=|",Y1190,"| target=|_top|&gt;",Y1192,"&lt;/a&gt;")</f>
        <v>&lt;/li&gt;&lt;li&gt;&lt;a href=|http://bibleoutline.org/psalms/81.htm| title=|Outline with People and Places List| target=|_top|&gt;Outline&lt;/a&gt;</v>
      </c>
      <c r="Z559" t="str">
        <f t="shared" si="2232"/>
        <v>&lt;/li&gt;&lt;li&gt;&lt;a href=|http://kjvs.scripturetext.com/psalms/81.htm| title=|King James Bible with Strong's Numbers| target=|_top|&gt;Strong's&lt;/a&gt;</v>
      </c>
      <c r="AA559" t="str">
        <f t="shared" si="2232"/>
        <v>&lt;/li&gt;&lt;li&gt;&lt;a href=|http://childrensbibleonline.com/psalms/81.htm| title=|The Children's Bible| target=|_top|&gt;Children's&lt;/a&gt;</v>
      </c>
      <c r="AB559" s="2" t="str">
        <f t="shared" si="2232"/>
        <v>&lt;/li&gt;&lt;li&gt;&lt;a href=|http://tsk.scripturetext.com/psalms/81.htm| title=|Treasury of Scripture Knowledge| target=|_top|&gt;TSK&lt;/a&gt;</v>
      </c>
      <c r="AC559" t="str">
        <f>CONCATENATE("&lt;a href=|http://",AC1191,"/psalms/81.htm","| ","title=|",AC1190,"| target=|_top|&gt;",AC1192,"&lt;/a&gt;")</f>
        <v>&lt;a href=|http://parallelbible.com/psalms/81.htm| title=|Parallel Chapters| target=|_top|&gt;PAR&lt;/a&gt;</v>
      </c>
      <c r="AD559" s="2" t="str">
        <f t="shared" ref="AD559:AK559" si="2234">CONCATENATE("&lt;/li&gt;&lt;li&gt;&lt;a href=|http://",AD1191,"/psalms/81.htm","| ","title=|",AD1190,"| target=|_top|&gt;",AD1192,"&lt;/a&gt;")</f>
        <v>&lt;/li&gt;&lt;li&gt;&lt;a href=|http://gsb.biblecommenter.com/psalms/81.htm| title=|Geneva Study Bible| target=|_top|&gt;GSB&lt;/a&gt;</v>
      </c>
      <c r="AE559" s="2" t="str">
        <f t="shared" si="2234"/>
        <v>&lt;/li&gt;&lt;li&gt;&lt;a href=|http://jfb.biblecommenter.com/psalms/81.htm| title=|Jamieson-Fausset-Brown Bible Commentary| target=|_top|&gt;JFB&lt;/a&gt;</v>
      </c>
      <c r="AF559" s="2" t="str">
        <f t="shared" si="2234"/>
        <v>&lt;/li&gt;&lt;li&gt;&lt;a href=|http://kjt.biblecommenter.com/psalms/81.htm| title=|King James Translators' Notes| target=|_top|&gt;KJT&lt;/a&gt;</v>
      </c>
      <c r="AG559" s="2" t="str">
        <f t="shared" si="2234"/>
        <v>&lt;/li&gt;&lt;li&gt;&lt;a href=|http://mhc.biblecommenter.com/psalms/81.htm| title=|Matthew Henry's Concise Commentary| target=|_top|&gt;MHC&lt;/a&gt;</v>
      </c>
      <c r="AH559" s="2" t="str">
        <f t="shared" si="2234"/>
        <v>&lt;/li&gt;&lt;li&gt;&lt;a href=|http://sco.biblecommenter.com/psalms/81.htm| title=|Scofield Reference Notes| target=|_top|&gt;SCO&lt;/a&gt;</v>
      </c>
      <c r="AI559" s="2" t="str">
        <f t="shared" si="2234"/>
        <v>&lt;/li&gt;&lt;li&gt;&lt;a href=|http://wes.biblecommenter.com/psalms/81.htm| title=|Wesley's Notes on the Bible| target=|_top|&gt;WES&lt;/a&gt;</v>
      </c>
      <c r="AJ559" t="str">
        <f t="shared" si="2234"/>
        <v>&lt;/li&gt;&lt;li&gt;&lt;a href=|http://worldebible.com/psalms/81.htm| title=|World English Bible| target=|_top|&gt;WEB&lt;/a&gt;</v>
      </c>
      <c r="AK559" t="str">
        <f t="shared" si="2234"/>
        <v>&lt;/li&gt;&lt;li&gt;&lt;a href=|http://yltbible.com/psalms/81.htm| title=|Young's Literal Translation| target=|_top|&gt;YLT&lt;/a&gt;</v>
      </c>
      <c r="AL559" t="str">
        <f>CONCATENATE("&lt;a href=|http://",AL1191,"/psalms/81.htm","| ","title=|",AL1190,"| target=|_top|&gt;",AL1192,"&lt;/a&gt;")</f>
        <v>&lt;a href=|http://kjv.us/psalms/81.htm| title=|American King James Version| target=|_top|&gt;AKJ&lt;/a&gt;</v>
      </c>
      <c r="AM559" t="str">
        <f t="shared" ref="AM559:AN559" si="2235">CONCATENATE("&lt;/li&gt;&lt;li&gt;&lt;a href=|http://",AM1191,"/psalms/81.htm","| ","title=|",AM1190,"| target=|_top|&gt;",AM1192,"&lt;/a&gt;")</f>
        <v>&lt;/li&gt;&lt;li&gt;&lt;a href=|http://basicenglishbible.com/psalms/81.htm| title=|Bible in Basic English| target=|_top|&gt;BBE&lt;/a&gt;</v>
      </c>
      <c r="AN559" t="str">
        <f t="shared" si="2235"/>
        <v>&lt;/li&gt;&lt;li&gt;&lt;a href=|http://darbybible.com/psalms/81.htm| title=|Darby Bible Translation| target=|_top|&gt;DBY&lt;/a&gt;</v>
      </c>
      <c r="AO55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5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5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59" t="str">
        <f>CONCATENATE("&lt;/li&gt;&lt;li&gt;&lt;a href=|http://",AR1191,"/psalms/81.htm","| ","title=|",AR1190,"| target=|_top|&gt;",AR1192,"&lt;/a&gt;")</f>
        <v>&lt;/li&gt;&lt;li&gt;&lt;a href=|http://websterbible.com/psalms/81.htm| title=|Webster's Bible Translation| target=|_top|&gt;WBS&lt;/a&gt;</v>
      </c>
      <c r="AS55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59" t="str">
        <f>CONCATENATE("&lt;/li&gt;&lt;li&gt;&lt;a href=|http://",AT1191,"/psalms/81-1.htm","| ","title=|",AT1190,"| target=|_top|&gt;",AT1192,"&lt;/a&gt;")</f>
        <v>&lt;/li&gt;&lt;li&gt;&lt;a href=|http://biblebrowser.com/psalms/81-1.htm| title=|Split View| target=|_top|&gt;Split&lt;/a&gt;</v>
      </c>
      <c r="AU559" s="2" t="s">
        <v>1276</v>
      </c>
      <c r="AV559" t="s">
        <v>64</v>
      </c>
    </row>
    <row r="560" spans="1:48">
      <c r="A560" t="s">
        <v>622</v>
      </c>
      <c r="B560" t="s">
        <v>1064</v>
      </c>
      <c r="C560" t="s">
        <v>624</v>
      </c>
      <c r="D560" t="s">
        <v>1268</v>
      </c>
      <c r="E560" t="s">
        <v>1277</v>
      </c>
      <c r="F560" t="s">
        <v>1304</v>
      </c>
      <c r="G560" t="s">
        <v>1266</v>
      </c>
      <c r="H560" t="s">
        <v>1305</v>
      </c>
      <c r="I560" t="s">
        <v>1303</v>
      </c>
      <c r="J560" t="s">
        <v>1267</v>
      </c>
      <c r="K560" t="s">
        <v>1275</v>
      </c>
      <c r="L560" s="2" t="s">
        <v>1274</v>
      </c>
      <c r="M560" t="str">
        <f t="shared" ref="M560:AB560" si="2236">CONCATENATE("&lt;/li&gt;&lt;li&gt;&lt;a href=|http://",M1191,"/psalms/82.htm","| ","title=|",M1190,"| target=|_top|&gt;",M1192,"&lt;/a&gt;")</f>
        <v>&lt;/li&gt;&lt;li&gt;&lt;a href=|http://niv.scripturetext.com/psalms/82.htm| title=|New International Version| target=|_top|&gt;NIV&lt;/a&gt;</v>
      </c>
      <c r="N560" t="str">
        <f t="shared" si="2236"/>
        <v>&lt;/li&gt;&lt;li&gt;&lt;a href=|http://nlt.scripturetext.com/psalms/82.htm| title=|New Living Translation| target=|_top|&gt;NLT&lt;/a&gt;</v>
      </c>
      <c r="O560" t="str">
        <f t="shared" si="2236"/>
        <v>&lt;/li&gt;&lt;li&gt;&lt;a href=|http://nasb.scripturetext.com/psalms/82.htm| title=|New American Standard Bible| target=|_top|&gt;NAS&lt;/a&gt;</v>
      </c>
      <c r="P560" t="str">
        <f t="shared" si="2236"/>
        <v>&lt;/li&gt;&lt;li&gt;&lt;a href=|http://gwt.scripturetext.com/psalms/82.htm| title=|God's Word Translation| target=|_top|&gt;GWT&lt;/a&gt;</v>
      </c>
      <c r="Q560" t="str">
        <f t="shared" si="2236"/>
        <v>&lt;/li&gt;&lt;li&gt;&lt;a href=|http://kingjbible.com/psalms/82.htm| title=|King James Bible| target=|_top|&gt;KJV&lt;/a&gt;</v>
      </c>
      <c r="R560" t="str">
        <f t="shared" si="2236"/>
        <v>&lt;/li&gt;&lt;li&gt;&lt;a href=|http://asvbible.com/psalms/82.htm| title=|American Standard Version| target=|_top|&gt;ASV&lt;/a&gt;</v>
      </c>
      <c r="S560" t="str">
        <f t="shared" si="2236"/>
        <v>&lt;/li&gt;&lt;li&gt;&lt;a href=|http://drb.scripturetext.com/psalms/82.htm| title=|Douay-Rheims Bible| target=|_top|&gt;DRB&lt;/a&gt;</v>
      </c>
      <c r="T560" t="str">
        <f t="shared" si="2236"/>
        <v>&lt;/li&gt;&lt;li&gt;&lt;a href=|http://erv.scripturetext.com/psalms/82.htm| title=|English Revised Version| target=|_top|&gt;ERV&lt;/a&gt;</v>
      </c>
      <c r="V560" t="str">
        <f>CONCATENATE("&lt;/li&gt;&lt;li&gt;&lt;a href=|http://",V1191,"/psalms/82.htm","| ","title=|",V1190,"| target=|_top|&gt;",V1192,"&lt;/a&gt;")</f>
        <v>&lt;/li&gt;&lt;li&gt;&lt;a href=|http://study.interlinearbible.org/psalms/82.htm| title=|Hebrew Study Bible| target=|_top|&gt;Heb Study&lt;/a&gt;</v>
      </c>
      <c r="W560" t="str">
        <f t="shared" si="2236"/>
        <v>&lt;/li&gt;&lt;li&gt;&lt;a href=|http://apostolic.interlinearbible.org/psalms/82.htm| title=|Apostolic Bible Polyglot Interlinear| target=|_top|&gt;Polyglot&lt;/a&gt;</v>
      </c>
      <c r="X560" t="str">
        <f t="shared" si="2236"/>
        <v>&lt;/li&gt;&lt;li&gt;&lt;a href=|http://interlinearbible.org/psalms/82.htm| title=|Interlinear Bible| target=|_top|&gt;Interlin&lt;/a&gt;</v>
      </c>
      <c r="Y560" t="str">
        <f t="shared" ref="Y560" si="2237">CONCATENATE("&lt;/li&gt;&lt;li&gt;&lt;a href=|http://",Y1191,"/psalms/82.htm","| ","title=|",Y1190,"| target=|_top|&gt;",Y1192,"&lt;/a&gt;")</f>
        <v>&lt;/li&gt;&lt;li&gt;&lt;a href=|http://bibleoutline.org/psalms/82.htm| title=|Outline with People and Places List| target=|_top|&gt;Outline&lt;/a&gt;</v>
      </c>
      <c r="Z560" t="str">
        <f t="shared" si="2236"/>
        <v>&lt;/li&gt;&lt;li&gt;&lt;a href=|http://kjvs.scripturetext.com/psalms/82.htm| title=|King James Bible with Strong's Numbers| target=|_top|&gt;Strong's&lt;/a&gt;</v>
      </c>
      <c r="AA560" t="str">
        <f t="shared" si="2236"/>
        <v>&lt;/li&gt;&lt;li&gt;&lt;a href=|http://childrensbibleonline.com/psalms/82.htm| title=|The Children's Bible| target=|_top|&gt;Children's&lt;/a&gt;</v>
      </c>
      <c r="AB560" s="2" t="str">
        <f t="shared" si="2236"/>
        <v>&lt;/li&gt;&lt;li&gt;&lt;a href=|http://tsk.scripturetext.com/psalms/82.htm| title=|Treasury of Scripture Knowledge| target=|_top|&gt;TSK&lt;/a&gt;</v>
      </c>
      <c r="AC560" t="str">
        <f>CONCATENATE("&lt;a href=|http://",AC1191,"/psalms/82.htm","| ","title=|",AC1190,"| target=|_top|&gt;",AC1192,"&lt;/a&gt;")</f>
        <v>&lt;a href=|http://parallelbible.com/psalms/82.htm| title=|Parallel Chapters| target=|_top|&gt;PAR&lt;/a&gt;</v>
      </c>
      <c r="AD560" s="2" t="str">
        <f t="shared" ref="AD560:AK560" si="2238">CONCATENATE("&lt;/li&gt;&lt;li&gt;&lt;a href=|http://",AD1191,"/psalms/82.htm","| ","title=|",AD1190,"| target=|_top|&gt;",AD1192,"&lt;/a&gt;")</f>
        <v>&lt;/li&gt;&lt;li&gt;&lt;a href=|http://gsb.biblecommenter.com/psalms/82.htm| title=|Geneva Study Bible| target=|_top|&gt;GSB&lt;/a&gt;</v>
      </c>
      <c r="AE560" s="2" t="str">
        <f t="shared" si="2238"/>
        <v>&lt;/li&gt;&lt;li&gt;&lt;a href=|http://jfb.biblecommenter.com/psalms/82.htm| title=|Jamieson-Fausset-Brown Bible Commentary| target=|_top|&gt;JFB&lt;/a&gt;</v>
      </c>
      <c r="AF560" s="2" t="str">
        <f t="shared" si="2238"/>
        <v>&lt;/li&gt;&lt;li&gt;&lt;a href=|http://kjt.biblecommenter.com/psalms/82.htm| title=|King James Translators' Notes| target=|_top|&gt;KJT&lt;/a&gt;</v>
      </c>
      <c r="AG560" s="2" t="str">
        <f t="shared" si="2238"/>
        <v>&lt;/li&gt;&lt;li&gt;&lt;a href=|http://mhc.biblecommenter.com/psalms/82.htm| title=|Matthew Henry's Concise Commentary| target=|_top|&gt;MHC&lt;/a&gt;</v>
      </c>
      <c r="AH560" s="2" t="str">
        <f t="shared" si="2238"/>
        <v>&lt;/li&gt;&lt;li&gt;&lt;a href=|http://sco.biblecommenter.com/psalms/82.htm| title=|Scofield Reference Notes| target=|_top|&gt;SCO&lt;/a&gt;</v>
      </c>
      <c r="AI560" s="2" t="str">
        <f t="shared" si="2238"/>
        <v>&lt;/li&gt;&lt;li&gt;&lt;a href=|http://wes.biblecommenter.com/psalms/82.htm| title=|Wesley's Notes on the Bible| target=|_top|&gt;WES&lt;/a&gt;</v>
      </c>
      <c r="AJ560" t="str">
        <f t="shared" si="2238"/>
        <v>&lt;/li&gt;&lt;li&gt;&lt;a href=|http://worldebible.com/psalms/82.htm| title=|World English Bible| target=|_top|&gt;WEB&lt;/a&gt;</v>
      </c>
      <c r="AK560" t="str">
        <f t="shared" si="2238"/>
        <v>&lt;/li&gt;&lt;li&gt;&lt;a href=|http://yltbible.com/psalms/82.htm| title=|Young's Literal Translation| target=|_top|&gt;YLT&lt;/a&gt;</v>
      </c>
      <c r="AL560" t="str">
        <f>CONCATENATE("&lt;a href=|http://",AL1191,"/psalms/82.htm","| ","title=|",AL1190,"| target=|_top|&gt;",AL1192,"&lt;/a&gt;")</f>
        <v>&lt;a href=|http://kjv.us/psalms/82.htm| title=|American King James Version| target=|_top|&gt;AKJ&lt;/a&gt;</v>
      </c>
      <c r="AM560" t="str">
        <f t="shared" ref="AM560:AN560" si="2239">CONCATENATE("&lt;/li&gt;&lt;li&gt;&lt;a href=|http://",AM1191,"/psalms/82.htm","| ","title=|",AM1190,"| target=|_top|&gt;",AM1192,"&lt;/a&gt;")</f>
        <v>&lt;/li&gt;&lt;li&gt;&lt;a href=|http://basicenglishbible.com/psalms/82.htm| title=|Bible in Basic English| target=|_top|&gt;BBE&lt;/a&gt;</v>
      </c>
      <c r="AN560" t="str">
        <f t="shared" si="2239"/>
        <v>&lt;/li&gt;&lt;li&gt;&lt;a href=|http://darbybible.com/psalms/82.htm| title=|Darby Bible Translation| target=|_top|&gt;DBY&lt;/a&gt;</v>
      </c>
      <c r="AO56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6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6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60" t="str">
        <f>CONCATENATE("&lt;/li&gt;&lt;li&gt;&lt;a href=|http://",AR1191,"/psalms/82.htm","| ","title=|",AR1190,"| target=|_top|&gt;",AR1192,"&lt;/a&gt;")</f>
        <v>&lt;/li&gt;&lt;li&gt;&lt;a href=|http://websterbible.com/psalms/82.htm| title=|Webster's Bible Translation| target=|_top|&gt;WBS&lt;/a&gt;</v>
      </c>
      <c r="AS56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60" t="str">
        <f>CONCATENATE("&lt;/li&gt;&lt;li&gt;&lt;a href=|http://",AT1191,"/psalms/82-1.htm","| ","title=|",AT1190,"| target=|_top|&gt;",AT1192,"&lt;/a&gt;")</f>
        <v>&lt;/li&gt;&lt;li&gt;&lt;a href=|http://biblebrowser.com/psalms/82-1.htm| title=|Split View| target=|_top|&gt;Split&lt;/a&gt;</v>
      </c>
      <c r="AU560" s="2" t="s">
        <v>1276</v>
      </c>
      <c r="AV560" t="s">
        <v>64</v>
      </c>
    </row>
    <row r="561" spans="1:48">
      <c r="A561" t="s">
        <v>622</v>
      </c>
      <c r="B561" t="s">
        <v>1065</v>
      </c>
      <c r="C561" t="s">
        <v>624</v>
      </c>
      <c r="D561" t="s">
        <v>1268</v>
      </c>
      <c r="E561" t="s">
        <v>1277</v>
      </c>
      <c r="F561" t="s">
        <v>1304</v>
      </c>
      <c r="G561" t="s">
        <v>1266</v>
      </c>
      <c r="H561" t="s">
        <v>1305</v>
      </c>
      <c r="I561" t="s">
        <v>1303</v>
      </c>
      <c r="J561" t="s">
        <v>1267</v>
      </c>
      <c r="K561" t="s">
        <v>1275</v>
      </c>
      <c r="L561" s="2" t="s">
        <v>1274</v>
      </c>
      <c r="M561" t="str">
        <f t="shared" ref="M561:AB561" si="2240">CONCATENATE("&lt;/li&gt;&lt;li&gt;&lt;a href=|http://",M1191,"/psalms/83.htm","| ","title=|",M1190,"| target=|_top|&gt;",M1192,"&lt;/a&gt;")</f>
        <v>&lt;/li&gt;&lt;li&gt;&lt;a href=|http://niv.scripturetext.com/psalms/83.htm| title=|New International Version| target=|_top|&gt;NIV&lt;/a&gt;</v>
      </c>
      <c r="N561" t="str">
        <f t="shared" si="2240"/>
        <v>&lt;/li&gt;&lt;li&gt;&lt;a href=|http://nlt.scripturetext.com/psalms/83.htm| title=|New Living Translation| target=|_top|&gt;NLT&lt;/a&gt;</v>
      </c>
      <c r="O561" t="str">
        <f t="shared" si="2240"/>
        <v>&lt;/li&gt;&lt;li&gt;&lt;a href=|http://nasb.scripturetext.com/psalms/83.htm| title=|New American Standard Bible| target=|_top|&gt;NAS&lt;/a&gt;</v>
      </c>
      <c r="P561" t="str">
        <f t="shared" si="2240"/>
        <v>&lt;/li&gt;&lt;li&gt;&lt;a href=|http://gwt.scripturetext.com/psalms/83.htm| title=|God's Word Translation| target=|_top|&gt;GWT&lt;/a&gt;</v>
      </c>
      <c r="Q561" t="str">
        <f t="shared" si="2240"/>
        <v>&lt;/li&gt;&lt;li&gt;&lt;a href=|http://kingjbible.com/psalms/83.htm| title=|King James Bible| target=|_top|&gt;KJV&lt;/a&gt;</v>
      </c>
      <c r="R561" t="str">
        <f t="shared" si="2240"/>
        <v>&lt;/li&gt;&lt;li&gt;&lt;a href=|http://asvbible.com/psalms/83.htm| title=|American Standard Version| target=|_top|&gt;ASV&lt;/a&gt;</v>
      </c>
      <c r="S561" t="str">
        <f t="shared" si="2240"/>
        <v>&lt;/li&gt;&lt;li&gt;&lt;a href=|http://drb.scripturetext.com/psalms/83.htm| title=|Douay-Rheims Bible| target=|_top|&gt;DRB&lt;/a&gt;</v>
      </c>
      <c r="T561" t="str">
        <f t="shared" si="2240"/>
        <v>&lt;/li&gt;&lt;li&gt;&lt;a href=|http://erv.scripturetext.com/psalms/83.htm| title=|English Revised Version| target=|_top|&gt;ERV&lt;/a&gt;</v>
      </c>
      <c r="V561" t="str">
        <f>CONCATENATE("&lt;/li&gt;&lt;li&gt;&lt;a href=|http://",V1191,"/psalms/83.htm","| ","title=|",V1190,"| target=|_top|&gt;",V1192,"&lt;/a&gt;")</f>
        <v>&lt;/li&gt;&lt;li&gt;&lt;a href=|http://study.interlinearbible.org/psalms/83.htm| title=|Hebrew Study Bible| target=|_top|&gt;Heb Study&lt;/a&gt;</v>
      </c>
      <c r="W561" t="str">
        <f t="shared" si="2240"/>
        <v>&lt;/li&gt;&lt;li&gt;&lt;a href=|http://apostolic.interlinearbible.org/psalms/83.htm| title=|Apostolic Bible Polyglot Interlinear| target=|_top|&gt;Polyglot&lt;/a&gt;</v>
      </c>
      <c r="X561" t="str">
        <f t="shared" si="2240"/>
        <v>&lt;/li&gt;&lt;li&gt;&lt;a href=|http://interlinearbible.org/psalms/83.htm| title=|Interlinear Bible| target=|_top|&gt;Interlin&lt;/a&gt;</v>
      </c>
      <c r="Y561" t="str">
        <f t="shared" ref="Y561" si="2241">CONCATENATE("&lt;/li&gt;&lt;li&gt;&lt;a href=|http://",Y1191,"/psalms/83.htm","| ","title=|",Y1190,"| target=|_top|&gt;",Y1192,"&lt;/a&gt;")</f>
        <v>&lt;/li&gt;&lt;li&gt;&lt;a href=|http://bibleoutline.org/psalms/83.htm| title=|Outline with People and Places List| target=|_top|&gt;Outline&lt;/a&gt;</v>
      </c>
      <c r="Z561" t="str">
        <f t="shared" si="2240"/>
        <v>&lt;/li&gt;&lt;li&gt;&lt;a href=|http://kjvs.scripturetext.com/psalms/83.htm| title=|King James Bible with Strong's Numbers| target=|_top|&gt;Strong's&lt;/a&gt;</v>
      </c>
      <c r="AA561" t="str">
        <f t="shared" si="2240"/>
        <v>&lt;/li&gt;&lt;li&gt;&lt;a href=|http://childrensbibleonline.com/psalms/83.htm| title=|The Children's Bible| target=|_top|&gt;Children's&lt;/a&gt;</v>
      </c>
      <c r="AB561" s="2" t="str">
        <f t="shared" si="2240"/>
        <v>&lt;/li&gt;&lt;li&gt;&lt;a href=|http://tsk.scripturetext.com/psalms/83.htm| title=|Treasury of Scripture Knowledge| target=|_top|&gt;TSK&lt;/a&gt;</v>
      </c>
      <c r="AC561" t="str">
        <f>CONCATENATE("&lt;a href=|http://",AC1191,"/psalms/83.htm","| ","title=|",AC1190,"| target=|_top|&gt;",AC1192,"&lt;/a&gt;")</f>
        <v>&lt;a href=|http://parallelbible.com/psalms/83.htm| title=|Parallel Chapters| target=|_top|&gt;PAR&lt;/a&gt;</v>
      </c>
      <c r="AD561" s="2" t="str">
        <f t="shared" ref="AD561:AK561" si="2242">CONCATENATE("&lt;/li&gt;&lt;li&gt;&lt;a href=|http://",AD1191,"/psalms/83.htm","| ","title=|",AD1190,"| target=|_top|&gt;",AD1192,"&lt;/a&gt;")</f>
        <v>&lt;/li&gt;&lt;li&gt;&lt;a href=|http://gsb.biblecommenter.com/psalms/83.htm| title=|Geneva Study Bible| target=|_top|&gt;GSB&lt;/a&gt;</v>
      </c>
      <c r="AE561" s="2" t="str">
        <f t="shared" si="2242"/>
        <v>&lt;/li&gt;&lt;li&gt;&lt;a href=|http://jfb.biblecommenter.com/psalms/83.htm| title=|Jamieson-Fausset-Brown Bible Commentary| target=|_top|&gt;JFB&lt;/a&gt;</v>
      </c>
      <c r="AF561" s="2" t="str">
        <f t="shared" si="2242"/>
        <v>&lt;/li&gt;&lt;li&gt;&lt;a href=|http://kjt.biblecommenter.com/psalms/83.htm| title=|King James Translators' Notes| target=|_top|&gt;KJT&lt;/a&gt;</v>
      </c>
      <c r="AG561" s="2" t="str">
        <f t="shared" si="2242"/>
        <v>&lt;/li&gt;&lt;li&gt;&lt;a href=|http://mhc.biblecommenter.com/psalms/83.htm| title=|Matthew Henry's Concise Commentary| target=|_top|&gt;MHC&lt;/a&gt;</v>
      </c>
      <c r="AH561" s="2" t="str">
        <f t="shared" si="2242"/>
        <v>&lt;/li&gt;&lt;li&gt;&lt;a href=|http://sco.biblecommenter.com/psalms/83.htm| title=|Scofield Reference Notes| target=|_top|&gt;SCO&lt;/a&gt;</v>
      </c>
      <c r="AI561" s="2" t="str">
        <f t="shared" si="2242"/>
        <v>&lt;/li&gt;&lt;li&gt;&lt;a href=|http://wes.biblecommenter.com/psalms/83.htm| title=|Wesley's Notes on the Bible| target=|_top|&gt;WES&lt;/a&gt;</v>
      </c>
      <c r="AJ561" t="str">
        <f t="shared" si="2242"/>
        <v>&lt;/li&gt;&lt;li&gt;&lt;a href=|http://worldebible.com/psalms/83.htm| title=|World English Bible| target=|_top|&gt;WEB&lt;/a&gt;</v>
      </c>
      <c r="AK561" t="str">
        <f t="shared" si="2242"/>
        <v>&lt;/li&gt;&lt;li&gt;&lt;a href=|http://yltbible.com/psalms/83.htm| title=|Young's Literal Translation| target=|_top|&gt;YLT&lt;/a&gt;</v>
      </c>
      <c r="AL561" t="str">
        <f>CONCATENATE("&lt;a href=|http://",AL1191,"/psalms/83.htm","| ","title=|",AL1190,"| target=|_top|&gt;",AL1192,"&lt;/a&gt;")</f>
        <v>&lt;a href=|http://kjv.us/psalms/83.htm| title=|American King James Version| target=|_top|&gt;AKJ&lt;/a&gt;</v>
      </c>
      <c r="AM561" t="str">
        <f t="shared" ref="AM561:AN561" si="2243">CONCATENATE("&lt;/li&gt;&lt;li&gt;&lt;a href=|http://",AM1191,"/psalms/83.htm","| ","title=|",AM1190,"| target=|_top|&gt;",AM1192,"&lt;/a&gt;")</f>
        <v>&lt;/li&gt;&lt;li&gt;&lt;a href=|http://basicenglishbible.com/psalms/83.htm| title=|Bible in Basic English| target=|_top|&gt;BBE&lt;/a&gt;</v>
      </c>
      <c r="AN561" t="str">
        <f t="shared" si="2243"/>
        <v>&lt;/li&gt;&lt;li&gt;&lt;a href=|http://darbybible.com/psalms/83.htm| title=|Darby Bible Translation| target=|_top|&gt;DBY&lt;/a&gt;</v>
      </c>
      <c r="AO56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6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6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61" t="str">
        <f>CONCATENATE("&lt;/li&gt;&lt;li&gt;&lt;a href=|http://",AR1191,"/psalms/83.htm","| ","title=|",AR1190,"| target=|_top|&gt;",AR1192,"&lt;/a&gt;")</f>
        <v>&lt;/li&gt;&lt;li&gt;&lt;a href=|http://websterbible.com/psalms/83.htm| title=|Webster's Bible Translation| target=|_top|&gt;WBS&lt;/a&gt;</v>
      </c>
      <c r="AS56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61" t="str">
        <f>CONCATENATE("&lt;/li&gt;&lt;li&gt;&lt;a href=|http://",AT1191,"/psalms/83-1.htm","| ","title=|",AT1190,"| target=|_top|&gt;",AT1192,"&lt;/a&gt;")</f>
        <v>&lt;/li&gt;&lt;li&gt;&lt;a href=|http://biblebrowser.com/psalms/83-1.htm| title=|Split View| target=|_top|&gt;Split&lt;/a&gt;</v>
      </c>
      <c r="AU561" s="2" t="s">
        <v>1276</v>
      </c>
      <c r="AV561" t="s">
        <v>64</v>
      </c>
    </row>
    <row r="562" spans="1:48">
      <c r="A562" t="s">
        <v>622</v>
      </c>
      <c r="B562" t="s">
        <v>1066</v>
      </c>
      <c r="C562" t="s">
        <v>624</v>
      </c>
      <c r="D562" t="s">
        <v>1268</v>
      </c>
      <c r="E562" t="s">
        <v>1277</v>
      </c>
      <c r="F562" t="s">
        <v>1304</v>
      </c>
      <c r="G562" t="s">
        <v>1266</v>
      </c>
      <c r="H562" t="s">
        <v>1305</v>
      </c>
      <c r="I562" t="s">
        <v>1303</v>
      </c>
      <c r="J562" t="s">
        <v>1267</v>
      </c>
      <c r="K562" t="s">
        <v>1275</v>
      </c>
      <c r="L562" s="2" t="s">
        <v>1274</v>
      </c>
      <c r="M562" t="str">
        <f t="shared" ref="M562:AB562" si="2244">CONCATENATE("&lt;/li&gt;&lt;li&gt;&lt;a href=|http://",M1191,"/psalms/84.htm","| ","title=|",M1190,"| target=|_top|&gt;",M1192,"&lt;/a&gt;")</f>
        <v>&lt;/li&gt;&lt;li&gt;&lt;a href=|http://niv.scripturetext.com/psalms/84.htm| title=|New International Version| target=|_top|&gt;NIV&lt;/a&gt;</v>
      </c>
      <c r="N562" t="str">
        <f t="shared" si="2244"/>
        <v>&lt;/li&gt;&lt;li&gt;&lt;a href=|http://nlt.scripturetext.com/psalms/84.htm| title=|New Living Translation| target=|_top|&gt;NLT&lt;/a&gt;</v>
      </c>
      <c r="O562" t="str">
        <f t="shared" si="2244"/>
        <v>&lt;/li&gt;&lt;li&gt;&lt;a href=|http://nasb.scripturetext.com/psalms/84.htm| title=|New American Standard Bible| target=|_top|&gt;NAS&lt;/a&gt;</v>
      </c>
      <c r="P562" t="str">
        <f t="shared" si="2244"/>
        <v>&lt;/li&gt;&lt;li&gt;&lt;a href=|http://gwt.scripturetext.com/psalms/84.htm| title=|God's Word Translation| target=|_top|&gt;GWT&lt;/a&gt;</v>
      </c>
      <c r="Q562" t="str">
        <f t="shared" si="2244"/>
        <v>&lt;/li&gt;&lt;li&gt;&lt;a href=|http://kingjbible.com/psalms/84.htm| title=|King James Bible| target=|_top|&gt;KJV&lt;/a&gt;</v>
      </c>
      <c r="R562" t="str">
        <f t="shared" si="2244"/>
        <v>&lt;/li&gt;&lt;li&gt;&lt;a href=|http://asvbible.com/psalms/84.htm| title=|American Standard Version| target=|_top|&gt;ASV&lt;/a&gt;</v>
      </c>
      <c r="S562" t="str">
        <f t="shared" si="2244"/>
        <v>&lt;/li&gt;&lt;li&gt;&lt;a href=|http://drb.scripturetext.com/psalms/84.htm| title=|Douay-Rheims Bible| target=|_top|&gt;DRB&lt;/a&gt;</v>
      </c>
      <c r="T562" t="str">
        <f t="shared" si="2244"/>
        <v>&lt;/li&gt;&lt;li&gt;&lt;a href=|http://erv.scripturetext.com/psalms/84.htm| title=|English Revised Version| target=|_top|&gt;ERV&lt;/a&gt;</v>
      </c>
      <c r="V562" t="str">
        <f>CONCATENATE("&lt;/li&gt;&lt;li&gt;&lt;a href=|http://",V1191,"/psalms/84.htm","| ","title=|",V1190,"| target=|_top|&gt;",V1192,"&lt;/a&gt;")</f>
        <v>&lt;/li&gt;&lt;li&gt;&lt;a href=|http://study.interlinearbible.org/psalms/84.htm| title=|Hebrew Study Bible| target=|_top|&gt;Heb Study&lt;/a&gt;</v>
      </c>
      <c r="W562" t="str">
        <f t="shared" si="2244"/>
        <v>&lt;/li&gt;&lt;li&gt;&lt;a href=|http://apostolic.interlinearbible.org/psalms/84.htm| title=|Apostolic Bible Polyglot Interlinear| target=|_top|&gt;Polyglot&lt;/a&gt;</v>
      </c>
      <c r="X562" t="str">
        <f t="shared" si="2244"/>
        <v>&lt;/li&gt;&lt;li&gt;&lt;a href=|http://interlinearbible.org/psalms/84.htm| title=|Interlinear Bible| target=|_top|&gt;Interlin&lt;/a&gt;</v>
      </c>
      <c r="Y562" t="str">
        <f t="shared" ref="Y562" si="2245">CONCATENATE("&lt;/li&gt;&lt;li&gt;&lt;a href=|http://",Y1191,"/psalms/84.htm","| ","title=|",Y1190,"| target=|_top|&gt;",Y1192,"&lt;/a&gt;")</f>
        <v>&lt;/li&gt;&lt;li&gt;&lt;a href=|http://bibleoutline.org/psalms/84.htm| title=|Outline with People and Places List| target=|_top|&gt;Outline&lt;/a&gt;</v>
      </c>
      <c r="Z562" t="str">
        <f t="shared" si="2244"/>
        <v>&lt;/li&gt;&lt;li&gt;&lt;a href=|http://kjvs.scripturetext.com/psalms/84.htm| title=|King James Bible with Strong's Numbers| target=|_top|&gt;Strong's&lt;/a&gt;</v>
      </c>
      <c r="AA562" t="str">
        <f t="shared" si="2244"/>
        <v>&lt;/li&gt;&lt;li&gt;&lt;a href=|http://childrensbibleonline.com/psalms/84.htm| title=|The Children's Bible| target=|_top|&gt;Children's&lt;/a&gt;</v>
      </c>
      <c r="AB562" s="2" t="str">
        <f t="shared" si="2244"/>
        <v>&lt;/li&gt;&lt;li&gt;&lt;a href=|http://tsk.scripturetext.com/psalms/84.htm| title=|Treasury of Scripture Knowledge| target=|_top|&gt;TSK&lt;/a&gt;</v>
      </c>
      <c r="AC562" t="str">
        <f>CONCATENATE("&lt;a href=|http://",AC1191,"/psalms/84.htm","| ","title=|",AC1190,"| target=|_top|&gt;",AC1192,"&lt;/a&gt;")</f>
        <v>&lt;a href=|http://parallelbible.com/psalms/84.htm| title=|Parallel Chapters| target=|_top|&gt;PAR&lt;/a&gt;</v>
      </c>
      <c r="AD562" s="2" t="str">
        <f t="shared" ref="AD562:AK562" si="2246">CONCATENATE("&lt;/li&gt;&lt;li&gt;&lt;a href=|http://",AD1191,"/psalms/84.htm","| ","title=|",AD1190,"| target=|_top|&gt;",AD1192,"&lt;/a&gt;")</f>
        <v>&lt;/li&gt;&lt;li&gt;&lt;a href=|http://gsb.biblecommenter.com/psalms/84.htm| title=|Geneva Study Bible| target=|_top|&gt;GSB&lt;/a&gt;</v>
      </c>
      <c r="AE562" s="2" t="str">
        <f t="shared" si="2246"/>
        <v>&lt;/li&gt;&lt;li&gt;&lt;a href=|http://jfb.biblecommenter.com/psalms/84.htm| title=|Jamieson-Fausset-Brown Bible Commentary| target=|_top|&gt;JFB&lt;/a&gt;</v>
      </c>
      <c r="AF562" s="2" t="str">
        <f t="shared" si="2246"/>
        <v>&lt;/li&gt;&lt;li&gt;&lt;a href=|http://kjt.biblecommenter.com/psalms/84.htm| title=|King James Translators' Notes| target=|_top|&gt;KJT&lt;/a&gt;</v>
      </c>
      <c r="AG562" s="2" t="str">
        <f t="shared" si="2246"/>
        <v>&lt;/li&gt;&lt;li&gt;&lt;a href=|http://mhc.biblecommenter.com/psalms/84.htm| title=|Matthew Henry's Concise Commentary| target=|_top|&gt;MHC&lt;/a&gt;</v>
      </c>
      <c r="AH562" s="2" t="str">
        <f t="shared" si="2246"/>
        <v>&lt;/li&gt;&lt;li&gt;&lt;a href=|http://sco.biblecommenter.com/psalms/84.htm| title=|Scofield Reference Notes| target=|_top|&gt;SCO&lt;/a&gt;</v>
      </c>
      <c r="AI562" s="2" t="str">
        <f t="shared" si="2246"/>
        <v>&lt;/li&gt;&lt;li&gt;&lt;a href=|http://wes.biblecommenter.com/psalms/84.htm| title=|Wesley's Notes on the Bible| target=|_top|&gt;WES&lt;/a&gt;</v>
      </c>
      <c r="AJ562" t="str">
        <f t="shared" si="2246"/>
        <v>&lt;/li&gt;&lt;li&gt;&lt;a href=|http://worldebible.com/psalms/84.htm| title=|World English Bible| target=|_top|&gt;WEB&lt;/a&gt;</v>
      </c>
      <c r="AK562" t="str">
        <f t="shared" si="2246"/>
        <v>&lt;/li&gt;&lt;li&gt;&lt;a href=|http://yltbible.com/psalms/84.htm| title=|Young's Literal Translation| target=|_top|&gt;YLT&lt;/a&gt;</v>
      </c>
      <c r="AL562" t="str">
        <f>CONCATENATE("&lt;a href=|http://",AL1191,"/psalms/84.htm","| ","title=|",AL1190,"| target=|_top|&gt;",AL1192,"&lt;/a&gt;")</f>
        <v>&lt;a href=|http://kjv.us/psalms/84.htm| title=|American King James Version| target=|_top|&gt;AKJ&lt;/a&gt;</v>
      </c>
      <c r="AM562" t="str">
        <f t="shared" ref="AM562:AN562" si="2247">CONCATENATE("&lt;/li&gt;&lt;li&gt;&lt;a href=|http://",AM1191,"/psalms/84.htm","| ","title=|",AM1190,"| target=|_top|&gt;",AM1192,"&lt;/a&gt;")</f>
        <v>&lt;/li&gt;&lt;li&gt;&lt;a href=|http://basicenglishbible.com/psalms/84.htm| title=|Bible in Basic English| target=|_top|&gt;BBE&lt;/a&gt;</v>
      </c>
      <c r="AN562" t="str">
        <f t="shared" si="2247"/>
        <v>&lt;/li&gt;&lt;li&gt;&lt;a href=|http://darbybible.com/psalms/84.htm| title=|Darby Bible Translation| target=|_top|&gt;DBY&lt;/a&gt;</v>
      </c>
      <c r="AO56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6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6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62" t="str">
        <f>CONCATENATE("&lt;/li&gt;&lt;li&gt;&lt;a href=|http://",AR1191,"/psalms/84.htm","| ","title=|",AR1190,"| target=|_top|&gt;",AR1192,"&lt;/a&gt;")</f>
        <v>&lt;/li&gt;&lt;li&gt;&lt;a href=|http://websterbible.com/psalms/84.htm| title=|Webster's Bible Translation| target=|_top|&gt;WBS&lt;/a&gt;</v>
      </c>
      <c r="AS56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62" t="str">
        <f>CONCATENATE("&lt;/li&gt;&lt;li&gt;&lt;a href=|http://",AT1191,"/psalms/84-1.htm","| ","title=|",AT1190,"| target=|_top|&gt;",AT1192,"&lt;/a&gt;")</f>
        <v>&lt;/li&gt;&lt;li&gt;&lt;a href=|http://biblebrowser.com/psalms/84-1.htm| title=|Split View| target=|_top|&gt;Split&lt;/a&gt;</v>
      </c>
      <c r="AU562" s="2" t="s">
        <v>1276</v>
      </c>
      <c r="AV562" t="s">
        <v>64</v>
      </c>
    </row>
    <row r="563" spans="1:48">
      <c r="A563" t="s">
        <v>622</v>
      </c>
      <c r="B563" t="s">
        <v>1067</v>
      </c>
      <c r="C563" t="s">
        <v>624</v>
      </c>
      <c r="D563" t="s">
        <v>1268</v>
      </c>
      <c r="E563" t="s">
        <v>1277</v>
      </c>
      <c r="F563" t="s">
        <v>1304</v>
      </c>
      <c r="G563" t="s">
        <v>1266</v>
      </c>
      <c r="H563" t="s">
        <v>1305</v>
      </c>
      <c r="I563" t="s">
        <v>1303</v>
      </c>
      <c r="J563" t="s">
        <v>1267</v>
      </c>
      <c r="K563" t="s">
        <v>1275</v>
      </c>
      <c r="L563" s="2" t="s">
        <v>1274</v>
      </c>
      <c r="M563" t="str">
        <f t="shared" ref="M563:AB563" si="2248">CONCATENATE("&lt;/li&gt;&lt;li&gt;&lt;a href=|http://",M1191,"/psalms/85.htm","| ","title=|",M1190,"| target=|_top|&gt;",M1192,"&lt;/a&gt;")</f>
        <v>&lt;/li&gt;&lt;li&gt;&lt;a href=|http://niv.scripturetext.com/psalms/85.htm| title=|New International Version| target=|_top|&gt;NIV&lt;/a&gt;</v>
      </c>
      <c r="N563" t="str">
        <f t="shared" si="2248"/>
        <v>&lt;/li&gt;&lt;li&gt;&lt;a href=|http://nlt.scripturetext.com/psalms/85.htm| title=|New Living Translation| target=|_top|&gt;NLT&lt;/a&gt;</v>
      </c>
      <c r="O563" t="str">
        <f t="shared" si="2248"/>
        <v>&lt;/li&gt;&lt;li&gt;&lt;a href=|http://nasb.scripturetext.com/psalms/85.htm| title=|New American Standard Bible| target=|_top|&gt;NAS&lt;/a&gt;</v>
      </c>
      <c r="P563" t="str">
        <f t="shared" si="2248"/>
        <v>&lt;/li&gt;&lt;li&gt;&lt;a href=|http://gwt.scripturetext.com/psalms/85.htm| title=|God's Word Translation| target=|_top|&gt;GWT&lt;/a&gt;</v>
      </c>
      <c r="Q563" t="str">
        <f t="shared" si="2248"/>
        <v>&lt;/li&gt;&lt;li&gt;&lt;a href=|http://kingjbible.com/psalms/85.htm| title=|King James Bible| target=|_top|&gt;KJV&lt;/a&gt;</v>
      </c>
      <c r="R563" t="str">
        <f t="shared" si="2248"/>
        <v>&lt;/li&gt;&lt;li&gt;&lt;a href=|http://asvbible.com/psalms/85.htm| title=|American Standard Version| target=|_top|&gt;ASV&lt;/a&gt;</v>
      </c>
      <c r="S563" t="str">
        <f t="shared" si="2248"/>
        <v>&lt;/li&gt;&lt;li&gt;&lt;a href=|http://drb.scripturetext.com/psalms/85.htm| title=|Douay-Rheims Bible| target=|_top|&gt;DRB&lt;/a&gt;</v>
      </c>
      <c r="T563" t="str">
        <f t="shared" si="2248"/>
        <v>&lt;/li&gt;&lt;li&gt;&lt;a href=|http://erv.scripturetext.com/psalms/85.htm| title=|English Revised Version| target=|_top|&gt;ERV&lt;/a&gt;</v>
      </c>
      <c r="V563" t="str">
        <f>CONCATENATE("&lt;/li&gt;&lt;li&gt;&lt;a href=|http://",V1191,"/psalms/85.htm","| ","title=|",V1190,"| target=|_top|&gt;",V1192,"&lt;/a&gt;")</f>
        <v>&lt;/li&gt;&lt;li&gt;&lt;a href=|http://study.interlinearbible.org/psalms/85.htm| title=|Hebrew Study Bible| target=|_top|&gt;Heb Study&lt;/a&gt;</v>
      </c>
      <c r="W563" t="str">
        <f t="shared" si="2248"/>
        <v>&lt;/li&gt;&lt;li&gt;&lt;a href=|http://apostolic.interlinearbible.org/psalms/85.htm| title=|Apostolic Bible Polyglot Interlinear| target=|_top|&gt;Polyglot&lt;/a&gt;</v>
      </c>
      <c r="X563" t="str">
        <f t="shared" si="2248"/>
        <v>&lt;/li&gt;&lt;li&gt;&lt;a href=|http://interlinearbible.org/psalms/85.htm| title=|Interlinear Bible| target=|_top|&gt;Interlin&lt;/a&gt;</v>
      </c>
      <c r="Y563" t="str">
        <f t="shared" ref="Y563" si="2249">CONCATENATE("&lt;/li&gt;&lt;li&gt;&lt;a href=|http://",Y1191,"/psalms/85.htm","| ","title=|",Y1190,"| target=|_top|&gt;",Y1192,"&lt;/a&gt;")</f>
        <v>&lt;/li&gt;&lt;li&gt;&lt;a href=|http://bibleoutline.org/psalms/85.htm| title=|Outline with People and Places List| target=|_top|&gt;Outline&lt;/a&gt;</v>
      </c>
      <c r="Z563" t="str">
        <f t="shared" si="2248"/>
        <v>&lt;/li&gt;&lt;li&gt;&lt;a href=|http://kjvs.scripturetext.com/psalms/85.htm| title=|King James Bible with Strong's Numbers| target=|_top|&gt;Strong's&lt;/a&gt;</v>
      </c>
      <c r="AA563" t="str">
        <f t="shared" si="2248"/>
        <v>&lt;/li&gt;&lt;li&gt;&lt;a href=|http://childrensbibleonline.com/psalms/85.htm| title=|The Children's Bible| target=|_top|&gt;Children's&lt;/a&gt;</v>
      </c>
      <c r="AB563" s="2" t="str">
        <f t="shared" si="2248"/>
        <v>&lt;/li&gt;&lt;li&gt;&lt;a href=|http://tsk.scripturetext.com/psalms/85.htm| title=|Treasury of Scripture Knowledge| target=|_top|&gt;TSK&lt;/a&gt;</v>
      </c>
      <c r="AC563" t="str">
        <f>CONCATENATE("&lt;a href=|http://",AC1191,"/psalms/85.htm","| ","title=|",AC1190,"| target=|_top|&gt;",AC1192,"&lt;/a&gt;")</f>
        <v>&lt;a href=|http://parallelbible.com/psalms/85.htm| title=|Parallel Chapters| target=|_top|&gt;PAR&lt;/a&gt;</v>
      </c>
      <c r="AD563" s="2" t="str">
        <f t="shared" ref="AD563:AK563" si="2250">CONCATENATE("&lt;/li&gt;&lt;li&gt;&lt;a href=|http://",AD1191,"/psalms/85.htm","| ","title=|",AD1190,"| target=|_top|&gt;",AD1192,"&lt;/a&gt;")</f>
        <v>&lt;/li&gt;&lt;li&gt;&lt;a href=|http://gsb.biblecommenter.com/psalms/85.htm| title=|Geneva Study Bible| target=|_top|&gt;GSB&lt;/a&gt;</v>
      </c>
      <c r="AE563" s="2" t="str">
        <f t="shared" si="2250"/>
        <v>&lt;/li&gt;&lt;li&gt;&lt;a href=|http://jfb.biblecommenter.com/psalms/85.htm| title=|Jamieson-Fausset-Brown Bible Commentary| target=|_top|&gt;JFB&lt;/a&gt;</v>
      </c>
      <c r="AF563" s="2" t="str">
        <f t="shared" si="2250"/>
        <v>&lt;/li&gt;&lt;li&gt;&lt;a href=|http://kjt.biblecommenter.com/psalms/85.htm| title=|King James Translators' Notes| target=|_top|&gt;KJT&lt;/a&gt;</v>
      </c>
      <c r="AG563" s="2" t="str">
        <f t="shared" si="2250"/>
        <v>&lt;/li&gt;&lt;li&gt;&lt;a href=|http://mhc.biblecommenter.com/psalms/85.htm| title=|Matthew Henry's Concise Commentary| target=|_top|&gt;MHC&lt;/a&gt;</v>
      </c>
      <c r="AH563" s="2" t="str">
        <f t="shared" si="2250"/>
        <v>&lt;/li&gt;&lt;li&gt;&lt;a href=|http://sco.biblecommenter.com/psalms/85.htm| title=|Scofield Reference Notes| target=|_top|&gt;SCO&lt;/a&gt;</v>
      </c>
      <c r="AI563" s="2" t="str">
        <f t="shared" si="2250"/>
        <v>&lt;/li&gt;&lt;li&gt;&lt;a href=|http://wes.biblecommenter.com/psalms/85.htm| title=|Wesley's Notes on the Bible| target=|_top|&gt;WES&lt;/a&gt;</v>
      </c>
      <c r="AJ563" t="str">
        <f t="shared" si="2250"/>
        <v>&lt;/li&gt;&lt;li&gt;&lt;a href=|http://worldebible.com/psalms/85.htm| title=|World English Bible| target=|_top|&gt;WEB&lt;/a&gt;</v>
      </c>
      <c r="AK563" t="str">
        <f t="shared" si="2250"/>
        <v>&lt;/li&gt;&lt;li&gt;&lt;a href=|http://yltbible.com/psalms/85.htm| title=|Young's Literal Translation| target=|_top|&gt;YLT&lt;/a&gt;</v>
      </c>
      <c r="AL563" t="str">
        <f>CONCATENATE("&lt;a href=|http://",AL1191,"/psalms/85.htm","| ","title=|",AL1190,"| target=|_top|&gt;",AL1192,"&lt;/a&gt;")</f>
        <v>&lt;a href=|http://kjv.us/psalms/85.htm| title=|American King James Version| target=|_top|&gt;AKJ&lt;/a&gt;</v>
      </c>
      <c r="AM563" t="str">
        <f t="shared" ref="AM563:AN563" si="2251">CONCATENATE("&lt;/li&gt;&lt;li&gt;&lt;a href=|http://",AM1191,"/psalms/85.htm","| ","title=|",AM1190,"| target=|_top|&gt;",AM1192,"&lt;/a&gt;")</f>
        <v>&lt;/li&gt;&lt;li&gt;&lt;a href=|http://basicenglishbible.com/psalms/85.htm| title=|Bible in Basic English| target=|_top|&gt;BBE&lt;/a&gt;</v>
      </c>
      <c r="AN563" t="str">
        <f t="shared" si="2251"/>
        <v>&lt;/li&gt;&lt;li&gt;&lt;a href=|http://darbybible.com/psalms/85.htm| title=|Darby Bible Translation| target=|_top|&gt;DBY&lt;/a&gt;</v>
      </c>
      <c r="AO56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6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6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63" t="str">
        <f>CONCATENATE("&lt;/li&gt;&lt;li&gt;&lt;a href=|http://",AR1191,"/psalms/85.htm","| ","title=|",AR1190,"| target=|_top|&gt;",AR1192,"&lt;/a&gt;")</f>
        <v>&lt;/li&gt;&lt;li&gt;&lt;a href=|http://websterbible.com/psalms/85.htm| title=|Webster's Bible Translation| target=|_top|&gt;WBS&lt;/a&gt;</v>
      </c>
      <c r="AS56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63" t="str">
        <f>CONCATENATE("&lt;/li&gt;&lt;li&gt;&lt;a href=|http://",AT1191,"/psalms/85-1.htm","| ","title=|",AT1190,"| target=|_top|&gt;",AT1192,"&lt;/a&gt;")</f>
        <v>&lt;/li&gt;&lt;li&gt;&lt;a href=|http://biblebrowser.com/psalms/85-1.htm| title=|Split View| target=|_top|&gt;Split&lt;/a&gt;</v>
      </c>
      <c r="AU563" s="2" t="s">
        <v>1276</v>
      </c>
      <c r="AV563" t="s">
        <v>64</v>
      </c>
    </row>
    <row r="564" spans="1:48">
      <c r="A564" t="s">
        <v>622</v>
      </c>
      <c r="B564" t="s">
        <v>1068</v>
      </c>
      <c r="C564" t="s">
        <v>624</v>
      </c>
      <c r="D564" t="s">
        <v>1268</v>
      </c>
      <c r="E564" t="s">
        <v>1277</v>
      </c>
      <c r="F564" t="s">
        <v>1304</v>
      </c>
      <c r="G564" t="s">
        <v>1266</v>
      </c>
      <c r="H564" t="s">
        <v>1305</v>
      </c>
      <c r="I564" t="s">
        <v>1303</v>
      </c>
      <c r="J564" t="s">
        <v>1267</v>
      </c>
      <c r="K564" t="s">
        <v>1275</v>
      </c>
      <c r="L564" s="2" t="s">
        <v>1274</v>
      </c>
      <c r="M564" t="str">
        <f t="shared" ref="M564:AB564" si="2252">CONCATENATE("&lt;/li&gt;&lt;li&gt;&lt;a href=|http://",M1191,"/psalms/86.htm","| ","title=|",M1190,"| target=|_top|&gt;",M1192,"&lt;/a&gt;")</f>
        <v>&lt;/li&gt;&lt;li&gt;&lt;a href=|http://niv.scripturetext.com/psalms/86.htm| title=|New International Version| target=|_top|&gt;NIV&lt;/a&gt;</v>
      </c>
      <c r="N564" t="str">
        <f t="shared" si="2252"/>
        <v>&lt;/li&gt;&lt;li&gt;&lt;a href=|http://nlt.scripturetext.com/psalms/86.htm| title=|New Living Translation| target=|_top|&gt;NLT&lt;/a&gt;</v>
      </c>
      <c r="O564" t="str">
        <f t="shared" si="2252"/>
        <v>&lt;/li&gt;&lt;li&gt;&lt;a href=|http://nasb.scripturetext.com/psalms/86.htm| title=|New American Standard Bible| target=|_top|&gt;NAS&lt;/a&gt;</v>
      </c>
      <c r="P564" t="str">
        <f t="shared" si="2252"/>
        <v>&lt;/li&gt;&lt;li&gt;&lt;a href=|http://gwt.scripturetext.com/psalms/86.htm| title=|God's Word Translation| target=|_top|&gt;GWT&lt;/a&gt;</v>
      </c>
      <c r="Q564" t="str">
        <f t="shared" si="2252"/>
        <v>&lt;/li&gt;&lt;li&gt;&lt;a href=|http://kingjbible.com/psalms/86.htm| title=|King James Bible| target=|_top|&gt;KJV&lt;/a&gt;</v>
      </c>
      <c r="R564" t="str">
        <f t="shared" si="2252"/>
        <v>&lt;/li&gt;&lt;li&gt;&lt;a href=|http://asvbible.com/psalms/86.htm| title=|American Standard Version| target=|_top|&gt;ASV&lt;/a&gt;</v>
      </c>
      <c r="S564" t="str">
        <f t="shared" si="2252"/>
        <v>&lt;/li&gt;&lt;li&gt;&lt;a href=|http://drb.scripturetext.com/psalms/86.htm| title=|Douay-Rheims Bible| target=|_top|&gt;DRB&lt;/a&gt;</v>
      </c>
      <c r="T564" t="str">
        <f t="shared" si="2252"/>
        <v>&lt;/li&gt;&lt;li&gt;&lt;a href=|http://erv.scripturetext.com/psalms/86.htm| title=|English Revised Version| target=|_top|&gt;ERV&lt;/a&gt;</v>
      </c>
      <c r="V564" t="str">
        <f>CONCATENATE("&lt;/li&gt;&lt;li&gt;&lt;a href=|http://",V1191,"/psalms/86.htm","| ","title=|",V1190,"| target=|_top|&gt;",V1192,"&lt;/a&gt;")</f>
        <v>&lt;/li&gt;&lt;li&gt;&lt;a href=|http://study.interlinearbible.org/psalms/86.htm| title=|Hebrew Study Bible| target=|_top|&gt;Heb Study&lt;/a&gt;</v>
      </c>
      <c r="W564" t="str">
        <f t="shared" si="2252"/>
        <v>&lt;/li&gt;&lt;li&gt;&lt;a href=|http://apostolic.interlinearbible.org/psalms/86.htm| title=|Apostolic Bible Polyglot Interlinear| target=|_top|&gt;Polyglot&lt;/a&gt;</v>
      </c>
      <c r="X564" t="str">
        <f t="shared" si="2252"/>
        <v>&lt;/li&gt;&lt;li&gt;&lt;a href=|http://interlinearbible.org/psalms/86.htm| title=|Interlinear Bible| target=|_top|&gt;Interlin&lt;/a&gt;</v>
      </c>
      <c r="Y564" t="str">
        <f t="shared" ref="Y564" si="2253">CONCATENATE("&lt;/li&gt;&lt;li&gt;&lt;a href=|http://",Y1191,"/psalms/86.htm","| ","title=|",Y1190,"| target=|_top|&gt;",Y1192,"&lt;/a&gt;")</f>
        <v>&lt;/li&gt;&lt;li&gt;&lt;a href=|http://bibleoutline.org/psalms/86.htm| title=|Outline with People and Places List| target=|_top|&gt;Outline&lt;/a&gt;</v>
      </c>
      <c r="Z564" t="str">
        <f t="shared" si="2252"/>
        <v>&lt;/li&gt;&lt;li&gt;&lt;a href=|http://kjvs.scripturetext.com/psalms/86.htm| title=|King James Bible with Strong's Numbers| target=|_top|&gt;Strong's&lt;/a&gt;</v>
      </c>
      <c r="AA564" t="str">
        <f t="shared" si="2252"/>
        <v>&lt;/li&gt;&lt;li&gt;&lt;a href=|http://childrensbibleonline.com/psalms/86.htm| title=|The Children's Bible| target=|_top|&gt;Children's&lt;/a&gt;</v>
      </c>
      <c r="AB564" s="2" t="str">
        <f t="shared" si="2252"/>
        <v>&lt;/li&gt;&lt;li&gt;&lt;a href=|http://tsk.scripturetext.com/psalms/86.htm| title=|Treasury of Scripture Knowledge| target=|_top|&gt;TSK&lt;/a&gt;</v>
      </c>
      <c r="AC564" t="str">
        <f>CONCATENATE("&lt;a href=|http://",AC1191,"/psalms/86.htm","| ","title=|",AC1190,"| target=|_top|&gt;",AC1192,"&lt;/a&gt;")</f>
        <v>&lt;a href=|http://parallelbible.com/psalms/86.htm| title=|Parallel Chapters| target=|_top|&gt;PAR&lt;/a&gt;</v>
      </c>
      <c r="AD564" s="2" t="str">
        <f t="shared" ref="AD564:AK564" si="2254">CONCATENATE("&lt;/li&gt;&lt;li&gt;&lt;a href=|http://",AD1191,"/psalms/86.htm","| ","title=|",AD1190,"| target=|_top|&gt;",AD1192,"&lt;/a&gt;")</f>
        <v>&lt;/li&gt;&lt;li&gt;&lt;a href=|http://gsb.biblecommenter.com/psalms/86.htm| title=|Geneva Study Bible| target=|_top|&gt;GSB&lt;/a&gt;</v>
      </c>
      <c r="AE564" s="2" t="str">
        <f t="shared" si="2254"/>
        <v>&lt;/li&gt;&lt;li&gt;&lt;a href=|http://jfb.biblecommenter.com/psalms/86.htm| title=|Jamieson-Fausset-Brown Bible Commentary| target=|_top|&gt;JFB&lt;/a&gt;</v>
      </c>
      <c r="AF564" s="2" t="str">
        <f t="shared" si="2254"/>
        <v>&lt;/li&gt;&lt;li&gt;&lt;a href=|http://kjt.biblecommenter.com/psalms/86.htm| title=|King James Translators' Notes| target=|_top|&gt;KJT&lt;/a&gt;</v>
      </c>
      <c r="AG564" s="2" t="str">
        <f t="shared" si="2254"/>
        <v>&lt;/li&gt;&lt;li&gt;&lt;a href=|http://mhc.biblecommenter.com/psalms/86.htm| title=|Matthew Henry's Concise Commentary| target=|_top|&gt;MHC&lt;/a&gt;</v>
      </c>
      <c r="AH564" s="2" t="str">
        <f t="shared" si="2254"/>
        <v>&lt;/li&gt;&lt;li&gt;&lt;a href=|http://sco.biblecommenter.com/psalms/86.htm| title=|Scofield Reference Notes| target=|_top|&gt;SCO&lt;/a&gt;</v>
      </c>
      <c r="AI564" s="2" t="str">
        <f t="shared" si="2254"/>
        <v>&lt;/li&gt;&lt;li&gt;&lt;a href=|http://wes.biblecommenter.com/psalms/86.htm| title=|Wesley's Notes on the Bible| target=|_top|&gt;WES&lt;/a&gt;</v>
      </c>
      <c r="AJ564" t="str">
        <f t="shared" si="2254"/>
        <v>&lt;/li&gt;&lt;li&gt;&lt;a href=|http://worldebible.com/psalms/86.htm| title=|World English Bible| target=|_top|&gt;WEB&lt;/a&gt;</v>
      </c>
      <c r="AK564" t="str">
        <f t="shared" si="2254"/>
        <v>&lt;/li&gt;&lt;li&gt;&lt;a href=|http://yltbible.com/psalms/86.htm| title=|Young's Literal Translation| target=|_top|&gt;YLT&lt;/a&gt;</v>
      </c>
      <c r="AL564" t="str">
        <f>CONCATENATE("&lt;a href=|http://",AL1191,"/psalms/86.htm","| ","title=|",AL1190,"| target=|_top|&gt;",AL1192,"&lt;/a&gt;")</f>
        <v>&lt;a href=|http://kjv.us/psalms/86.htm| title=|American King James Version| target=|_top|&gt;AKJ&lt;/a&gt;</v>
      </c>
      <c r="AM564" t="str">
        <f t="shared" ref="AM564:AN564" si="2255">CONCATENATE("&lt;/li&gt;&lt;li&gt;&lt;a href=|http://",AM1191,"/psalms/86.htm","| ","title=|",AM1190,"| target=|_top|&gt;",AM1192,"&lt;/a&gt;")</f>
        <v>&lt;/li&gt;&lt;li&gt;&lt;a href=|http://basicenglishbible.com/psalms/86.htm| title=|Bible in Basic English| target=|_top|&gt;BBE&lt;/a&gt;</v>
      </c>
      <c r="AN564" t="str">
        <f t="shared" si="2255"/>
        <v>&lt;/li&gt;&lt;li&gt;&lt;a href=|http://darbybible.com/psalms/86.htm| title=|Darby Bible Translation| target=|_top|&gt;DBY&lt;/a&gt;</v>
      </c>
      <c r="AO56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6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6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64" t="str">
        <f>CONCATENATE("&lt;/li&gt;&lt;li&gt;&lt;a href=|http://",AR1191,"/psalms/86.htm","| ","title=|",AR1190,"| target=|_top|&gt;",AR1192,"&lt;/a&gt;")</f>
        <v>&lt;/li&gt;&lt;li&gt;&lt;a href=|http://websterbible.com/psalms/86.htm| title=|Webster's Bible Translation| target=|_top|&gt;WBS&lt;/a&gt;</v>
      </c>
      <c r="AS56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64" t="str">
        <f>CONCATENATE("&lt;/li&gt;&lt;li&gt;&lt;a href=|http://",AT1191,"/psalms/86-1.htm","| ","title=|",AT1190,"| target=|_top|&gt;",AT1192,"&lt;/a&gt;")</f>
        <v>&lt;/li&gt;&lt;li&gt;&lt;a href=|http://biblebrowser.com/psalms/86-1.htm| title=|Split View| target=|_top|&gt;Split&lt;/a&gt;</v>
      </c>
      <c r="AU564" s="2" t="s">
        <v>1276</v>
      </c>
      <c r="AV564" t="s">
        <v>64</v>
      </c>
    </row>
    <row r="565" spans="1:48">
      <c r="A565" t="s">
        <v>622</v>
      </c>
      <c r="B565" t="s">
        <v>1069</v>
      </c>
      <c r="C565" t="s">
        <v>624</v>
      </c>
      <c r="D565" t="s">
        <v>1268</v>
      </c>
      <c r="E565" t="s">
        <v>1277</v>
      </c>
      <c r="F565" t="s">
        <v>1304</v>
      </c>
      <c r="G565" t="s">
        <v>1266</v>
      </c>
      <c r="H565" t="s">
        <v>1305</v>
      </c>
      <c r="I565" t="s">
        <v>1303</v>
      </c>
      <c r="J565" t="s">
        <v>1267</v>
      </c>
      <c r="K565" t="s">
        <v>1275</v>
      </c>
      <c r="L565" s="2" t="s">
        <v>1274</v>
      </c>
      <c r="M565" t="str">
        <f t="shared" ref="M565:AB565" si="2256">CONCATENATE("&lt;/li&gt;&lt;li&gt;&lt;a href=|http://",M1191,"/psalms/87.htm","| ","title=|",M1190,"| target=|_top|&gt;",M1192,"&lt;/a&gt;")</f>
        <v>&lt;/li&gt;&lt;li&gt;&lt;a href=|http://niv.scripturetext.com/psalms/87.htm| title=|New International Version| target=|_top|&gt;NIV&lt;/a&gt;</v>
      </c>
      <c r="N565" t="str">
        <f t="shared" si="2256"/>
        <v>&lt;/li&gt;&lt;li&gt;&lt;a href=|http://nlt.scripturetext.com/psalms/87.htm| title=|New Living Translation| target=|_top|&gt;NLT&lt;/a&gt;</v>
      </c>
      <c r="O565" t="str">
        <f t="shared" si="2256"/>
        <v>&lt;/li&gt;&lt;li&gt;&lt;a href=|http://nasb.scripturetext.com/psalms/87.htm| title=|New American Standard Bible| target=|_top|&gt;NAS&lt;/a&gt;</v>
      </c>
      <c r="P565" t="str">
        <f t="shared" si="2256"/>
        <v>&lt;/li&gt;&lt;li&gt;&lt;a href=|http://gwt.scripturetext.com/psalms/87.htm| title=|God's Word Translation| target=|_top|&gt;GWT&lt;/a&gt;</v>
      </c>
      <c r="Q565" t="str">
        <f t="shared" si="2256"/>
        <v>&lt;/li&gt;&lt;li&gt;&lt;a href=|http://kingjbible.com/psalms/87.htm| title=|King James Bible| target=|_top|&gt;KJV&lt;/a&gt;</v>
      </c>
      <c r="R565" t="str">
        <f t="shared" si="2256"/>
        <v>&lt;/li&gt;&lt;li&gt;&lt;a href=|http://asvbible.com/psalms/87.htm| title=|American Standard Version| target=|_top|&gt;ASV&lt;/a&gt;</v>
      </c>
      <c r="S565" t="str">
        <f t="shared" si="2256"/>
        <v>&lt;/li&gt;&lt;li&gt;&lt;a href=|http://drb.scripturetext.com/psalms/87.htm| title=|Douay-Rheims Bible| target=|_top|&gt;DRB&lt;/a&gt;</v>
      </c>
      <c r="T565" t="str">
        <f t="shared" si="2256"/>
        <v>&lt;/li&gt;&lt;li&gt;&lt;a href=|http://erv.scripturetext.com/psalms/87.htm| title=|English Revised Version| target=|_top|&gt;ERV&lt;/a&gt;</v>
      </c>
      <c r="V565" t="str">
        <f>CONCATENATE("&lt;/li&gt;&lt;li&gt;&lt;a href=|http://",V1191,"/psalms/87.htm","| ","title=|",V1190,"| target=|_top|&gt;",V1192,"&lt;/a&gt;")</f>
        <v>&lt;/li&gt;&lt;li&gt;&lt;a href=|http://study.interlinearbible.org/psalms/87.htm| title=|Hebrew Study Bible| target=|_top|&gt;Heb Study&lt;/a&gt;</v>
      </c>
      <c r="W565" t="str">
        <f t="shared" si="2256"/>
        <v>&lt;/li&gt;&lt;li&gt;&lt;a href=|http://apostolic.interlinearbible.org/psalms/87.htm| title=|Apostolic Bible Polyglot Interlinear| target=|_top|&gt;Polyglot&lt;/a&gt;</v>
      </c>
      <c r="X565" t="str">
        <f t="shared" si="2256"/>
        <v>&lt;/li&gt;&lt;li&gt;&lt;a href=|http://interlinearbible.org/psalms/87.htm| title=|Interlinear Bible| target=|_top|&gt;Interlin&lt;/a&gt;</v>
      </c>
      <c r="Y565" t="str">
        <f t="shared" ref="Y565" si="2257">CONCATENATE("&lt;/li&gt;&lt;li&gt;&lt;a href=|http://",Y1191,"/psalms/87.htm","| ","title=|",Y1190,"| target=|_top|&gt;",Y1192,"&lt;/a&gt;")</f>
        <v>&lt;/li&gt;&lt;li&gt;&lt;a href=|http://bibleoutline.org/psalms/87.htm| title=|Outline with People and Places List| target=|_top|&gt;Outline&lt;/a&gt;</v>
      </c>
      <c r="Z565" t="str">
        <f t="shared" si="2256"/>
        <v>&lt;/li&gt;&lt;li&gt;&lt;a href=|http://kjvs.scripturetext.com/psalms/87.htm| title=|King James Bible with Strong's Numbers| target=|_top|&gt;Strong's&lt;/a&gt;</v>
      </c>
      <c r="AA565" t="str">
        <f t="shared" si="2256"/>
        <v>&lt;/li&gt;&lt;li&gt;&lt;a href=|http://childrensbibleonline.com/psalms/87.htm| title=|The Children's Bible| target=|_top|&gt;Children's&lt;/a&gt;</v>
      </c>
      <c r="AB565" s="2" t="str">
        <f t="shared" si="2256"/>
        <v>&lt;/li&gt;&lt;li&gt;&lt;a href=|http://tsk.scripturetext.com/psalms/87.htm| title=|Treasury of Scripture Knowledge| target=|_top|&gt;TSK&lt;/a&gt;</v>
      </c>
      <c r="AC565" t="str">
        <f>CONCATENATE("&lt;a href=|http://",AC1191,"/psalms/87.htm","| ","title=|",AC1190,"| target=|_top|&gt;",AC1192,"&lt;/a&gt;")</f>
        <v>&lt;a href=|http://parallelbible.com/psalms/87.htm| title=|Parallel Chapters| target=|_top|&gt;PAR&lt;/a&gt;</v>
      </c>
      <c r="AD565" s="2" t="str">
        <f t="shared" ref="AD565:AK565" si="2258">CONCATENATE("&lt;/li&gt;&lt;li&gt;&lt;a href=|http://",AD1191,"/psalms/87.htm","| ","title=|",AD1190,"| target=|_top|&gt;",AD1192,"&lt;/a&gt;")</f>
        <v>&lt;/li&gt;&lt;li&gt;&lt;a href=|http://gsb.biblecommenter.com/psalms/87.htm| title=|Geneva Study Bible| target=|_top|&gt;GSB&lt;/a&gt;</v>
      </c>
      <c r="AE565" s="2" t="str">
        <f t="shared" si="2258"/>
        <v>&lt;/li&gt;&lt;li&gt;&lt;a href=|http://jfb.biblecommenter.com/psalms/87.htm| title=|Jamieson-Fausset-Brown Bible Commentary| target=|_top|&gt;JFB&lt;/a&gt;</v>
      </c>
      <c r="AF565" s="2" t="str">
        <f t="shared" si="2258"/>
        <v>&lt;/li&gt;&lt;li&gt;&lt;a href=|http://kjt.biblecommenter.com/psalms/87.htm| title=|King James Translators' Notes| target=|_top|&gt;KJT&lt;/a&gt;</v>
      </c>
      <c r="AG565" s="2" t="str">
        <f t="shared" si="2258"/>
        <v>&lt;/li&gt;&lt;li&gt;&lt;a href=|http://mhc.biblecommenter.com/psalms/87.htm| title=|Matthew Henry's Concise Commentary| target=|_top|&gt;MHC&lt;/a&gt;</v>
      </c>
      <c r="AH565" s="2" t="str">
        <f t="shared" si="2258"/>
        <v>&lt;/li&gt;&lt;li&gt;&lt;a href=|http://sco.biblecommenter.com/psalms/87.htm| title=|Scofield Reference Notes| target=|_top|&gt;SCO&lt;/a&gt;</v>
      </c>
      <c r="AI565" s="2" t="str">
        <f t="shared" si="2258"/>
        <v>&lt;/li&gt;&lt;li&gt;&lt;a href=|http://wes.biblecommenter.com/psalms/87.htm| title=|Wesley's Notes on the Bible| target=|_top|&gt;WES&lt;/a&gt;</v>
      </c>
      <c r="AJ565" t="str">
        <f t="shared" si="2258"/>
        <v>&lt;/li&gt;&lt;li&gt;&lt;a href=|http://worldebible.com/psalms/87.htm| title=|World English Bible| target=|_top|&gt;WEB&lt;/a&gt;</v>
      </c>
      <c r="AK565" t="str">
        <f t="shared" si="2258"/>
        <v>&lt;/li&gt;&lt;li&gt;&lt;a href=|http://yltbible.com/psalms/87.htm| title=|Young's Literal Translation| target=|_top|&gt;YLT&lt;/a&gt;</v>
      </c>
      <c r="AL565" t="str">
        <f>CONCATENATE("&lt;a href=|http://",AL1191,"/psalms/87.htm","| ","title=|",AL1190,"| target=|_top|&gt;",AL1192,"&lt;/a&gt;")</f>
        <v>&lt;a href=|http://kjv.us/psalms/87.htm| title=|American King James Version| target=|_top|&gt;AKJ&lt;/a&gt;</v>
      </c>
      <c r="AM565" t="str">
        <f t="shared" ref="AM565:AN565" si="2259">CONCATENATE("&lt;/li&gt;&lt;li&gt;&lt;a href=|http://",AM1191,"/psalms/87.htm","| ","title=|",AM1190,"| target=|_top|&gt;",AM1192,"&lt;/a&gt;")</f>
        <v>&lt;/li&gt;&lt;li&gt;&lt;a href=|http://basicenglishbible.com/psalms/87.htm| title=|Bible in Basic English| target=|_top|&gt;BBE&lt;/a&gt;</v>
      </c>
      <c r="AN565" t="str">
        <f t="shared" si="2259"/>
        <v>&lt;/li&gt;&lt;li&gt;&lt;a href=|http://darbybible.com/psalms/87.htm| title=|Darby Bible Translation| target=|_top|&gt;DBY&lt;/a&gt;</v>
      </c>
      <c r="AO56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6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6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65" t="str">
        <f>CONCATENATE("&lt;/li&gt;&lt;li&gt;&lt;a href=|http://",AR1191,"/psalms/87.htm","| ","title=|",AR1190,"| target=|_top|&gt;",AR1192,"&lt;/a&gt;")</f>
        <v>&lt;/li&gt;&lt;li&gt;&lt;a href=|http://websterbible.com/psalms/87.htm| title=|Webster's Bible Translation| target=|_top|&gt;WBS&lt;/a&gt;</v>
      </c>
      <c r="AS56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65" t="str">
        <f>CONCATENATE("&lt;/li&gt;&lt;li&gt;&lt;a href=|http://",AT1191,"/psalms/87-1.htm","| ","title=|",AT1190,"| target=|_top|&gt;",AT1192,"&lt;/a&gt;")</f>
        <v>&lt;/li&gt;&lt;li&gt;&lt;a href=|http://biblebrowser.com/psalms/87-1.htm| title=|Split View| target=|_top|&gt;Split&lt;/a&gt;</v>
      </c>
      <c r="AU565" s="2" t="s">
        <v>1276</v>
      </c>
      <c r="AV565" t="s">
        <v>64</v>
      </c>
    </row>
    <row r="566" spans="1:48">
      <c r="A566" t="s">
        <v>622</v>
      </c>
      <c r="B566" t="s">
        <v>1070</v>
      </c>
      <c r="C566" t="s">
        <v>624</v>
      </c>
      <c r="D566" t="s">
        <v>1268</v>
      </c>
      <c r="E566" t="s">
        <v>1277</v>
      </c>
      <c r="F566" t="s">
        <v>1304</v>
      </c>
      <c r="G566" t="s">
        <v>1266</v>
      </c>
      <c r="H566" t="s">
        <v>1305</v>
      </c>
      <c r="I566" t="s">
        <v>1303</v>
      </c>
      <c r="J566" t="s">
        <v>1267</v>
      </c>
      <c r="K566" t="s">
        <v>1275</v>
      </c>
      <c r="L566" s="2" t="s">
        <v>1274</v>
      </c>
      <c r="M566" t="str">
        <f t="shared" ref="M566:AB566" si="2260">CONCATENATE("&lt;/li&gt;&lt;li&gt;&lt;a href=|http://",M1191,"/psalms/88.htm","| ","title=|",M1190,"| target=|_top|&gt;",M1192,"&lt;/a&gt;")</f>
        <v>&lt;/li&gt;&lt;li&gt;&lt;a href=|http://niv.scripturetext.com/psalms/88.htm| title=|New International Version| target=|_top|&gt;NIV&lt;/a&gt;</v>
      </c>
      <c r="N566" t="str">
        <f t="shared" si="2260"/>
        <v>&lt;/li&gt;&lt;li&gt;&lt;a href=|http://nlt.scripturetext.com/psalms/88.htm| title=|New Living Translation| target=|_top|&gt;NLT&lt;/a&gt;</v>
      </c>
      <c r="O566" t="str">
        <f t="shared" si="2260"/>
        <v>&lt;/li&gt;&lt;li&gt;&lt;a href=|http://nasb.scripturetext.com/psalms/88.htm| title=|New American Standard Bible| target=|_top|&gt;NAS&lt;/a&gt;</v>
      </c>
      <c r="P566" t="str">
        <f t="shared" si="2260"/>
        <v>&lt;/li&gt;&lt;li&gt;&lt;a href=|http://gwt.scripturetext.com/psalms/88.htm| title=|God's Word Translation| target=|_top|&gt;GWT&lt;/a&gt;</v>
      </c>
      <c r="Q566" t="str">
        <f t="shared" si="2260"/>
        <v>&lt;/li&gt;&lt;li&gt;&lt;a href=|http://kingjbible.com/psalms/88.htm| title=|King James Bible| target=|_top|&gt;KJV&lt;/a&gt;</v>
      </c>
      <c r="R566" t="str">
        <f t="shared" si="2260"/>
        <v>&lt;/li&gt;&lt;li&gt;&lt;a href=|http://asvbible.com/psalms/88.htm| title=|American Standard Version| target=|_top|&gt;ASV&lt;/a&gt;</v>
      </c>
      <c r="S566" t="str">
        <f t="shared" si="2260"/>
        <v>&lt;/li&gt;&lt;li&gt;&lt;a href=|http://drb.scripturetext.com/psalms/88.htm| title=|Douay-Rheims Bible| target=|_top|&gt;DRB&lt;/a&gt;</v>
      </c>
      <c r="T566" t="str">
        <f t="shared" si="2260"/>
        <v>&lt;/li&gt;&lt;li&gt;&lt;a href=|http://erv.scripturetext.com/psalms/88.htm| title=|English Revised Version| target=|_top|&gt;ERV&lt;/a&gt;</v>
      </c>
      <c r="V566" t="str">
        <f>CONCATENATE("&lt;/li&gt;&lt;li&gt;&lt;a href=|http://",V1191,"/psalms/88.htm","| ","title=|",V1190,"| target=|_top|&gt;",V1192,"&lt;/a&gt;")</f>
        <v>&lt;/li&gt;&lt;li&gt;&lt;a href=|http://study.interlinearbible.org/psalms/88.htm| title=|Hebrew Study Bible| target=|_top|&gt;Heb Study&lt;/a&gt;</v>
      </c>
      <c r="W566" t="str">
        <f t="shared" si="2260"/>
        <v>&lt;/li&gt;&lt;li&gt;&lt;a href=|http://apostolic.interlinearbible.org/psalms/88.htm| title=|Apostolic Bible Polyglot Interlinear| target=|_top|&gt;Polyglot&lt;/a&gt;</v>
      </c>
      <c r="X566" t="str">
        <f t="shared" si="2260"/>
        <v>&lt;/li&gt;&lt;li&gt;&lt;a href=|http://interlinearbible.org/psalms/88.htm| title=|Interlinear Bible| target=|_top|&gt;Interlin&lt;/a&gt;</v>
      </c>
      <c r="Y566" t="str">
        <f t="shared" ref="Y566" si="2261">CONCATENATE("&lt;/li&gt;&lt;li&gt;&lt;a href=|http://",Y1191,"/psalms/88.htm","| ","title=|",Y1190,"| target=|_top|&gt;",Y1192,"&lt;/a&gt;")</f>
        <v>&lt;/li&gt;&lt;li&gt;&lt;a href=|http://bibleoutline.org/psalms/88.htm| title=|Outline with People and Places List| target=|_top|&gt;Outline&lt;/a&gt;</v>
      </c>
      <c r="Z566" t="str">
        <f t="shared" si="2260"/>
        <v>&lt;/li&gt;&lt;li&gt;&lt;a href=|http://kjvs.scripturetext.com/psalms/88.htm| title=|King James Bible with Strong's Numbers| target=|_top|&gt;Strong's&lt;/a&gt;</v>
      </c>
      <c r="AA566" t="str">
        <f t="shared" si="2260"/>
        <v>&lt;/li&gt;&lt;li&gt;&lt;a href=|http://childrensbibleonline.com/psalms/88.htm| title=|The Children's Bible| target=|_top|&gt;Children's&lt;/a&gt;</v>
      </c>
      <c r="AB566" s="2" t="str">
        <f t="shared" si="2260"/>
        <v>&lt;/li&gt;&lt;li&gt;&lt;a href=|http://tsk.scripturetext.com/psalms/88.htm| title=|Treasury of Scripture Knowledge| target=|_top|&gt;TSK&lt;/a&gt;</v>
      </c>
      <c r="AC566" t="str">
        <f>CONCATENATE("&lt;a href=|http://",AC1191,"/psalms/88.htm","| ","title=|",AC1190,"| target=|_top|&gt;",AC1192,"&lt;/a&gt;")</f>
        <v>&lt;a href=|http://parallelbible.com/psalms/88.htm| title=|Parallel Chapters| target=|_top|&gt;PAR&lt;/a&gt;</v>
      </c>
      <c r="AD566" s="2" t="str">
        <f t="shared" ref="AD566:AK566" si="2262">CONCATENATE("&lt;/li&gt;&lt;li&gt;&lt;a href=|http://",AD1191,"/psalms/88.htm","| ","title=|",AD1190,"| target=|_top|&gt;",AD1192,"&lt;/a&gt;")</f>
        <v>&lt;/li&gt;&lt;li&gt;&lt;a href=|http://gsb.biblecommenter.com/psalms/88.htm| title=|Geneva Study Bible| target=|_top|&gt;GSB&lt;/a&gt;</v>
      </c>
      <c r="AE566" s="2" t="str">
        <f t="shared" si="2262"/>
        <v>&lt;/li&gt;&lt;li&gt;&lt;a href=|http://jfb.biblecommenter.com/psalms/88.htm| title=|Jamieson-Fausset-Brown Bible Commentary| target=|_top|&gt;JFB&lt;/a&gt;</v>
      </c>
      <c r="AF566" s="2" t="str">
        <f t="shared" si="2262"/>
        <v>&lt;/li&gt;&lt;li&gt;&lt;a href=|http://kjt.biblecommenter.com/psalms/88.htm| title=|King James Translators' Notes| target=|_top|&gt;KJT&lt;/a&gt;</v>
      </c>
      <c r="AG566" s="2" t="str">
        <f t="shared" si="2262"/>
        <v>&lt;/li&gt;&lt;li&gt;&lt;a href=|http://mhc.biblecommenter.com/psalms/88.htm| title=|Matthew Henry's Concise Commentary| target=|_top|&gt;MHC&lt;/a&gt;</v>
      </c>
      <c r="AH566" s="2" t="str">
        <f t="shared" si="2262"/>
        <v>&lt;/li&gt;&lt;li&gt;&lt;a href=|http://sco.biblecommenter.com/psalms/88.htm| title=|Scofield Reference Notes| target=|_top|&gt;SCO&lt;/a&gt;</v>
      </c>
      <c r="AI566" s="2" t="str">
        <f t="shared" si="2262"/>
        <v>&lt;/li&gt;&lt;li&gt;&lt;a href=|http://wes.biblecommenter.com/psalms/88.htm| title=|Wesley's Notes on the Bible| target=|_top|&gt;WES&lt;/a&gt;</v>
      </c>
      <c r="AJ566" t="str">
        <f t="shared" si="2262"/>
        <v>&lt;/li&gt;&lt;li&gt;&lt;a href=|http://worldebible.com/psalms/88.htm| title=|World English Bible| target=|_top|&gt;WEB&lt;/a&gt;</v>
      </c>
      <c r="AK566" t="str">
        <f t="shared" si="2262"/>
        <v>&lt;/li&gt;&lt;li&gt;&lt;a href=|http://yltbible.com/psalms/88.htm| title=|Young's Literal Translation| target=|_top|&gt;YLT&lt;/a&gt;</v>
      </c>
      <c r="AL566" t="str">
        <f>CONCATENATE("&lt;a href=|http://",AL1191,"/psalms/88.htm","| ","title=|",AL1190,"| target=|_top|&gt;",AL1192,"&lt;/a&gt;")</f>
        <v>&lt;a href=|http://kjv.us/psalms/88.htm| title=|American King James Version| target=|_top|&gt;AKJ&lt;/a&gt;</v>
      </c>
      <c r="AM566" t="str">
        <f t="shared" ref="AM566:AN566" si="2263">CONCATENATE("&lt;/li&gt;&lt;li&gt;&lt;a href=|http://",AM1191,"/psalms/88.htm","| ","title=|",AM1190,"| target=|_top|&gt;",AM1192,"&lt;/a&gt;")</f>
        <v>&lt;/li&gt;&lt;li&gt;&lt;a href=|http://basicenglishbible.com/psalms/88.htm| title=|Bible in Basic English| target=|_top|&gt;BBE&lt;/a&gt;</v>
      </c>
      <c r="AN566" t="str">
        <f t="shared" si="2263"/>
        <v>&lt;/li&gt;&lt;li&gt;&lt;a href=|http://darbybible.com/psalms/88.htm| title=|Darby Bible Translation| target=|_top|&gt;DBY&lt;/a&gt;</v>
      </c>
      <c r="AO56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6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6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66" t="str">
        <f>CONCATENATE("&lt;/li&gt;&lt;li&gt;&lt;a href=|http://",AR1191,"/psalms/88.htm","| ","title=|",AR1190,"| target=|_top|&gt;",AR1192,"&lt;/a&gt;")</f>
        <v>&lt;/li&gt;&lt;li&gt;&lt;a href=|http://websterbible.com/psalms/88.htm| title=|Webster's Bible Translation| target=|_top|&gt;WBS&lt;/a&gt;</v>
      </c>
      <c r="AS56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66" t="str">
        <f>CONCATENATE("&lt;/li&gt;&lt;li&gt;&lt;a href=|http://",AT1191,"/psalms/88-1.htm","| ","title=|",AT1190,"| target=|_top|&gt;",AT1192,"&lt;/a&gt;")</f>
        <v>&lt;/li&gt;&lt;li&gt;&lt;a href=|http://biblebrowser.com/psalms/88-1.htm| title=|Split View| target=|_top|&gt;Split&lt;/a&gt;</v>
      </c>
      <c r="AU566" s="2" t="s">
        <v>1276</v>
      </c>
      <c r="AV566" t="s">
        <v>64</v>
      </c>
    </row>
    <row r="567" spans="1:48">
      <c r="A567" t="s">
        <v>622</v>
      </c>
      <c r="B567" t="s">
        <v>1071</v>
      </c>
      <c r="C567" t="s">
        <v>624</v>
      </c>
      <c r="D567" t="s">
        <v>1268</v>
      </c>
      <c r="E567" t="s">
        <v>1277</v>
      </c>
      <c r="F567" t="s">
        <v>1304</v>
      </c>
      <c r="G567" t="s">
        <v>1266</v>
      </c>
      <c r="H567" t="s">
        <v>1305</v>
      </c>
      <c r="I567" t="s">
        <v>1303</v>
      </c>
      <c r="J567" t="s">
        <v>1267</v>
      </c>
      <c r="K567" t="s">
        <v>1275</v>
      </c>
      <c r="L567" s="2" t="s">
        <v>1274</v>
      </c>
      <c r="M567" t="str">
        <f t="shared" ref="M567:AB567" si="2264">CONCATENATE("&lt;/li&gt;&lt;li&gt;&lt;a href=|http://",M1191,"/psalms/89.htm","| ","title=|",M1190,"| target=|_top|&gt;",M1192,"&lt;/a&gt;")</f>
        <v>&lt;/li&gt;&lt;li&gt;&lt;a href=|http://niv.scripturetext.com/psalms/89.htm| title=|New International Version| target=|_top|&gt;NIV&lt;/a&gt;</v>
      </c>
      <c r="N567" t="str">
        <f t="shared" si="2264"/>
        <v>&lt;/li&gt;&lt;li&gt;&lt;a href=|http://nlt.scripturetext.com/psalms/89.htm| title=|New Living Translation| target=|_top|&gt;NLT&lt;/a&gt;</v>
      </c>
      <c r="O567" t="str">
        <f t="shared" si="2264"/>
        <v>&lt;/li&gt;&lt;li&gt;&lt;a href=|http://nasb.scripturetext.com/psalms/89.htm| title=|New American Standard Bible| target=|_top|&gt;NAS&lt;/a&gt;</v>
      </c>
      <c r="P567" t="str">
        <f t="shared" si="2264"/>
        <v>&lt;/li&gt;&lt;li&gt;&lt;a href=|http://gwt.scripturetext.com/psalms/89.htm| title=|God's Word Translation| target=|_top|&gt;GWT&lt;/a&gt;</v>
      </c>
      <c r="Q567" t="str">
        <f t="shared" si="2264"/>
        <v>&lt;/li&gt;&lt;li&gt;&lt;a href=|http://kingjbible.com/psalms/89.htm| title=|King James Bible| target=|_top|&gt;KJV&lt;/a&gt;</v>
      </c>
      <c r="R567" t="str">
        <f t="shared" si="2264"/>
        <v>&lt;/li&gt;&lt;li&gt;&lt;a href=|http://asvbible.com/psalms/89.htm| title=|American Standard Version| target=|_top|&gt;ASV&lt;/a&gt;</v>
      </c>
      <c r="S567" t="str">
        <f t="shared" si="2264"/>
        <v>&lt;/li&gt;&lt;li&gt;&lt;a href=|http://drb.scripturetext.com/psalms/89.htm| title=|Douay-Rheims Bible| target=|_top|&gt;DRB&lt;/a&gt;</v>
      </c>
      <c r="T567" t="str">
        <f t="shared" si="2264"/>
        <v>&lt;/li&gt;&lt;li&gt;&lt;a href=|http://erv.scripturetext.com/psalms/89.htm| title=|English Revised Version| target=|_top|&gt;ERV&lt;/a&gt;</v>
      </c>
      <c r="V567" t="str">
        <f>CONCATENATE("&lt;/li&gt;&lt;li&gt;&lt;a href=|http://",V1191,"/psalms/89.htm","| ","title=|",V1190,"| target=|_top|&gt;",V1192,"&lt;/a&gt;")</f>
        <v>&lt;/li&gt;&lt;li&gt;&lt;a href=|http://study.interlinearbible.org/psalms/89.htm| title=|Hebrew Study Bible| target=|_top|&gt;Heb Study&lt;/a&gt;</v>
      </c>
      <c r="W567" t="str">
        <f t="shared" si="2264"/>
        <v>&lt;/li&gt;&lt;li&gt;&lt;a href=|http://apostolic.interlinearbible.org/psalms/89.htm| title=|Apostolic Bible Polyglot Interlinear| target=|_top|&gt;Polyglot&lt;/a&gt;</v>
      </c>
      <c r="X567" t="str">
        <f t="shared" si="2264"/>
        <v>&lt;/li&gt;&lt;li&gt;&lt;a href=|http://interlinearbible.org/psalms/89.htm| title=|Interlinear Bible| target=|_top|&gt;Interlin&lt;/a&gt;</v>
      </c>
      <c r="Y567" t="str">
        <f t="shared" ref="Y567" si="2265">CONCATENATE("&lt;/li&gt;&lt;li&gt;&lt;a href=|http://",Y1191,"/psalms/89.htm","| ","title=|",Y1190,"| target=|_top|&gt;",Y1192,"&lt;/a&gt;")</f>
        <v>&lt;/li&gt;&lt;li&gt;&lt;a href=|http://bibleoutline.org/psalms/89.htm| title=|Outline with People and Places List| target=|_top|&gt;Outline&lt;/a&gt;</v>
      </c>
      <c r="Z567" t="str">
        <f t="shared" si="2264"/>
        <v>&lt;/li&gt;&lt;li&gt;&lt;a href=|http://kjvs.scripturetext.com/psalms/89.htm| title=|King James Bible with Strong's Numbers| target=|_top|&gt;Strong's&lt;/a&gt;</v>
      </c>
      <c r="AA567" t="str">
        <f t="shared" si="2264"/>
        <v>&lt;/li&gt;&lt;li&gt;&lt;a href=|http://childrensbibleonline.com/psalms/89.htm| title=|The Children's Bible| target=|_top|&gt;Children's&lt;/a&gt;</v>
      </c>
      <c r="AB567" s="2" t="str">
        <f t="shared" si="2264"/>
        <v>&lt;/li&gt;&lt;li&gt;&lt;a href=|http://tsk.scripturetext.com/psalms/89.htm| title=|Treasury of Scripture Knowledge| target=|_top|&gt;TSK&lt;/a&gt;</v>
      </c>
      <c r="AC567" t="str">
        <f>CONCATENATE("&lt;a href=|http://",AC1191,"/psalms/89.htm","| ","title=|",AC1190,"| target=|_top|&gt;",AC1192,"&lt;/a&gt;")</f>
        <v>&lt;a href=|http://parallelbible.com/psalms/89.htm| title=|Parallel Chapters| target=|_top|&gt;PAR&lt;/a&gt;</v>
      </c>
      <c r="AD567" s="2" t="str">
        <f t="shared" ref="AD567:AK567" si="2266">CONCATENATE("&lt;/li&gt;&lt;li&gt;&lt;a href=|http://",AD1191,"/psalms/89.htm","| ","title=|",AD1190,"| target=|_top|&gt;",AD1192,"&lt;/a&gt;")</f>
        <v>&lt;/li&gt;&lt;li&gt;&lt;a href=|http://gsb.biblecommenter.com/psalms/89.htm| title=|Geneva Study Bible| target=|_top|&gt;GSB&lt;/a&gt;</v>
      </c>
      <c r="AE567" s="2" t="str">
        <f t="shared" si="2266"/>
        <v>&lt;/li&gt;&lt;li&gt;&lt;a href=|http://jfb.biblecommenter.com/psalms/89.htm| title=|Jamieson-Fausset-Brown Bible Commentary| target=|_top|&gt;JFB&lt;/a&gt;</v>
      </c>
      <c r="AF567" s="2" t="str">
        <f t="shared" si="2266"/>
        <v>&lt;/li&gt;&lt;li&gt;&lt;a href=|http://kjt.biblecommenter.com/psalms/89.htm| title=|King James Translators' Notes| target=|_top|&gt;KJT&lt;/a&gt;</v>
      </c>
      <c r="AG567" s="2" t="str">
        <f t="shared" si="2266"/>
        <v>&lt;/li&gt;&lt;li&gt;&lt;a href=|http://mhc.biblecommenter.com/psalms/89.htm| title=|Matthew Henry's Concise Commentary| target=|_top|&gt;MHC&lt;/a&gt;</v>
      </c>
      <c r="AH567" s="2" t="str">
        <f t="shared" si="2266"/>
        <v>&lt;/li&gt;&lt;li&gt;&lt;a href=|http://sco.biblecommenter.com/psalms/89.htm| title=|Scofield Reference Notes| target=|_top|&gt;SCO&lt;/a&gt;</v>
      </c>
      <c r="AI567" s="2" t="str">
        <f t="shared" si="2266"/>
        <v>&lt;/li&gt;&lt;li&gt;&lt;a href=|http://wes.biblecommenter.com/psalms/89.htm| title=|Wesley's Notes on the Bible| target=|_top|&gt;WES&lt;/a&gt;</v>
      </c>
      <c r="AJ567" t="str">
        <f t="shared" si="2266"/>
        <v>&lt;/li&gt;&lt;li&gt;&lt;a href=|http://worldebible.com/psalms/89.htm| title=|World English Bible| target=|_top|&gt;WEB&lt;/a&gt;</v>
      </c>
      <c r="AK567" t="str">
        <f t="shared" si="2266"/>
        <v>&lt;/li&gt;&lt;li&gt;&lt;a href=|http://yltbible.com/psalms/89.htm| title=|Young's Literal Translation| target=|_top|&gt;YLT&lt;/a&gt;</v>
      </c>
      <c r="AL567" t="str">
        <f>CONCATENATE("&lt;a href=|http://",AL1191,"/psalms/89.htm","| ","title=|",AL1190,"| target=|_top|&gt;",AL1192,"&lt;/a&gt;")</f>
        <v>&lt;a href=|http://kjv.us/psalms/89.htm| title=|American King James Version| target=|_top|&gt;AKJ&lt;/a&gt;</v>
      </c>
      <c r="AM567" t="str">
        <f t="shared" ref="AM567:AN567" si="2267">CONCATENATE("&lt;/li&gt;&lt;li&gt;&lt;a href=|http://",AM1191,"/psalms/89.htm","| ","title=|",AM1190,"| target=|_top|&gt;",AM1192,"&lt;/a&gt;")</f>
        <v>&lt;/li&gt;&lt;li&gt;&lt;a href=|http://basicenglishbible.com/psalms/89.htm| title=|Bible in Basic English| target=|_top|&gt;BBE&lt;/a&gt;</v>
      </c>
      <c r="AN567" t="str">
        <f t="shared" si="2267"/>
        <v>&lt;/li&gt;&lt;li&gt;&lt;a href=|http://darbybible.com/psalms/89.htm| title=|Darby Bible Translation| target=|_top|&gt;DBY&lt;/a&gt;</v>
      </c>
      <c r="AO56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6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6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67" t="str">
        <f>CONCATENATE("&lt;/li&gt;&lt;li&gt;&lt;a href=|http://",AR1191,"/psalms/89.htm","| ","title=|",AR1190,"| target=|_top|&gt;",AR1192,"&lt;/a&gt;")</f>
        <v>&lt;/li&gt;&lt;li&gt;&lt;a href=|http://websterbible.com/psalms/89.htm| title=|Webster's Bible Translation| target=|_top|&gt;WBS&lt;/a&gt;</v>
      </c>
      <c r="AS56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67" t="str">
        <f>CONCATENATE("&lt;/li&gt;&lt;li&gt;&lt;a href=|http://",AT1191,"/psalms/89-1.htm","| ","title=|",AT1190,"| target=|_top|&gt;",AT1192,"&lt;/a&gt;")</f>
        <v>&lt;/li&gt;&lt;li&gt;&lt;a href=|http://biblebrowser.com/psalms/89-1.htm| title=|Split View| target=|_top|&gt;Split&lt;/a&gt;</v>
      </c>
      <c r="AU567" s="2" t="s">
        <v>1276</v>
      </c>
      <c r="AV567" t="s">
        <v>64</v>
      </c>
    </row>
    <row r="568" spans="1:48">
      <c r="A568" t="s">
        <v>622</v>
      </c>
      <c r="B568" t="s">
        <v>1072</v>
      </c>
      <c r="C568" t="s">
        <v>624</v>
      </c>
      <c r="D568" t="s">
        <v>1268</v>
      </c>
      <c r="E568" t="s">
        <v>1277</v>
      </c>
      <c r="F568" t="s">
        <v>1304</v>
      </c>
      <c r="G568" t="s">
        <v>1266</v>
      </c>
      <c r="H568" t="s">
        <v>1305</v>
      </c>
      <c r="I568" t="s">
        <v>1303</v>
      </c>
      <c r="J568" t="s">
        <v>1267</v>
      </c>
      <c r="K568" t="s">
        <v>1275</v>
      </c>
      <c r="L568" s="2" t="s">
        <v>1274</v>
      </c>
      <c r="M568" t="str">
        <f t="shared" ref="M568:AB568" si="2268">CONCATENATE("&lt;/li&gt;&lt;li&gt;&lt;a href=|http://",M1191,"/psalms/90.htm","| ","title=|",M1190,"| target=|_top|&gt;",M1192,"&lt;/a&gt;")</f>
        <v>&lt;/li&gt;&lt;li&gt;&lt;a href=|http://niv.scripturetext.com/psalms/90.htm| title=|New International Version| target=|_top|&gt;NIV&lt;/a&gt;</v>
      </c>
      <c r="N568" t="str">
        <f t="shared" si="2268"/>
        <v>&lt;/li&gt;&lt;li&gt;&lt;a href=|http://nlt.scripturetext.com/psalms/90.htm| title=|New Living Translation| target=|_top|&gt;NLT&lt;/a&gt;</v>
      </c>
      <c r="O568" t="str">
        <f t="shared" si="2268"/>
        <v>&lt;/li&gt;&lt;li&gt;&lt;a href=|http://nasb.scripturetext.com/psalms/90.htm| title=|New American Standard Bible| target=|_top|&gt;NAS&lt;/a&gt;</v>
      </c>
      <c r="P568" t="str">
        <f t="shared" si="2268"/>
        <v>&lt;/li&gt;&lt;li&gt;&lt;a href=|http://gwt.scripturetext.com/psalms/90.htm| title=|God's Word Translation| target=|_top|&gt;GWT&lt;/a&gt;</v>
      </c>
      <c r="Q568" t="str">
        <f t="shared" si="2268"/>
        <v>&lt;/li&gt;&lt;li&gt;&lt;a href=|http://kingjbible.com/psalms/90.htm| title=|King James Bible| target=|_top|&gt;KJV&lt;/a&gt;</v>
      </c>
      <c r="R568" t="str">
        <f t="shared" si="2268"/>
        <v>&lt;/li&gt;&lt;li&gt;&lt;a href=|http://asvbible.com/psalms/90.htm| title=|American Standard Version| target=|_top|&gt;ASV&lt;/a&gt;</v>
      </c>
      <c r="S568" t="str">
        <f t="shared" si="2268"/>
        <v>&lt;/li&gt;&lt;li&gt;&lt;a href=|http://drb.scripturetext.com/psalms/90.htm| title=|Douay-Rheims Bible| target=|_top|&gt;DRB&lt;/a&gt;</v>
      </c>
      <c r="T568" t="str">
        <f t="shared" si="2268"/>
        <v>&lt;/li&gt;&lt;li&gt;&lt;a href=|http://erv.scripturetext.com/psalms/90.htm| title=|English Revised Version| target=|_top|&gt;ERV&lt;/a&gt;</v>
      </c>
      <c r="V568" t="str">
        <f>CONCATENATE("&lt;/li&gt;&lt;li&gt;&lt;a href=|http://",V1191,"/psalms/90.htm","| ","title=|",V1190,"| target=|_top|&gt;",V1192,"&lt;/a&gt;")</f>
        <v>&lt;/li&gt;&lt;li&gt;&lt;a href=|http://study.interlinearbible.org/psalms/90.htm| title=|Hebrew Study Bible| target=|_top|&gt;Heb Study&lt;/a&gt;</v>
      </c>
      <c r="W568" t="str">
        <f t="shared" si="2268"/>
        <v>&lt;/li&gt;&lt;li&gt;&lt;a href=|http://apostolic.interlinearbible.org/psalms/90.htm| title=|Apostolic Bible Polyglot Interlinear| target=|_top|&gt;Polyglot&lt;/a&gt;</v>
      </c>
      <c r="X568" t="str">
        <f t="shared" si="2268"/>
        <v>&lt;/li&gt;&lt;li&gt;&lt;a href=|http://interlinearbible.org/psalms/90.htm| title=|Interlinear Bible| target=|_top|&gt;Interlin&lt;/a&gt;</v>
      </c>
      <c r="Y568" t="str">
        <f t="shared" ref="Y568" si="2269">CONCATENATE("&lt;/li&gt;&lt;li&gt;&lt;a href=|http://",Y1191,"/psalms/90.htm","| ","title=|",Y1190,"| target=|_top|&gt;",Y1192,"&lt;/a&gt;")</f>
        <v>&lt;/li&gt;&lt;li&gt;&lt;a href=|http://bibleoutline.org/psalms/90.htm| title=|Outline with People and Places List| target=|_top|&gt;Outline&lt;/a&gt;</v>
      </c>
      <c r="Z568" t="str">
        <f t="shared" si="2268"/>
        <v>&lt;/li&gt;&lt;li&gt;&lt;a href=|http://kjvs.scripturetext.com/psalms/90.htm| title=|King James Bible with Strong's Numbers| target=|_top|&gt;Strong's&lt;/a&gt;</v>
      </c>
      <c r="AA568" t="str">
        <f t="shared" si="2268"/>
        <v>&lt;/li&gt;&lt;li&gt;&lt;a href=|http://childrensbibleonline.com/psalms/90.htm| title=|The Children's Bible| target=|_top|&gt;Children's&lt;/a&gt;</v>
      </c>
      <c r="AB568" s="2" t="str">
        <f t="shared" si="2268"/>
        <v>&lt;/li&gt;&lt;li&gt;&lt;a href=|http://tsk.scripturetext.com/psalms/90.htm| title=|Treasury of Scripture Knowledge| target=|_top|&gt;TSK&lt;/a&gt;</v>
      </c>
      <c r="AC568" t="str">
        <f>CONCATENATE("&lt;a href=|http://",AC1191,"/psalms/90.htm","| ","title=|",AC1190,"| target=|_top|&gt;",AC1192,"&lt;/a&gt;")</f>
        <v>&lt;a href=|http://parallelbible.com/psalms/90.htm| title=|Parallel Chapters| target=|_top|&gt;PAR&lt;/a&gt;</v>
      </c>
      <c r="AD568" s="2" t="str">
        <f t="shared" ref="AD568:AK568" si="2270">CONCATENATE("&lt;/li&gt;&lt;li&gt;&lt;a href=|http://",AD1191,"/psalms/90.htm","| ","title=|",AD1190,"| target=|_top|&gt;",AD1192,"&lt;/a&gt;")</f>
        <v>&lt;/li&gt;&lt;li&gt;&lt;a href=|http://gsb.biblecommenter.com/psalms/90.htm| title=|Geneva Study Bible| target=|_top|&gt;GSB&lt;/a&gt;</v>
      </c>
      <c r="AE568" s="2" t="str">
        <f t="shared" si="2270"/>
        <v>&lt;/li&gt;&lt;li&gt;&lt;a href=|http://jfb.biblecommenter.com/psalms/90.htm| title=|Jamieson-Fausset-Brown Bible Commentary| target=|_top|&gt;JFB&lt;/a&gt;</v>
      </c>
      <c r="AF568" s="2" t="str">
        <f t="shared" si="2270"/>
        <v>&lt;/li&gt;&lt;li&gt;&lt;a href=|http://kjt.biblecommenter.com/psalms/90.htm| title=|King James Translators' Notes| target=|_top|&gt;KJT&lt;/a&gt;</v>
      </c>
      <c r="AG568" s="2" t="str">
        <f t="shared" si="2270"/>
        <v>&lt;/li&gt;&lt;li&gt;&lt;a href=|http://mhc.biblecommenter.com/psalms/90.htm| title=|Matthew Henry's Concise Commentary| target=|_top|&gt;MHC&lt;/a&gt;</v>
      </c>
      <c r="AH568" s="2" t="str">
        <f t="shared" si="2270"/>
        <v>&lt;/li&gt;&lt;li&gt;&lt;a href=|http://sco.biblecommenter.com/psalms/90.htm| title=|Scofield Reference Notes| target=|_top|&gt;SCO&lt;/a&gt;</v>
      </c>
      <c r="AI568" s="2" t="str">
        <f t="shared" si="2270"/>
        <v>&lt;/li&gt;&lt;li&gt;&lt;a href=|http://wes.biblecommenter.com/psalms/90.htm| title=|Wesley's Notes on the Bible| target=|_top|&gt;WES&lt;/a&gt;</v>
      </c>
      <c r="AJ568" t="str">
        <f t="shared" si="2270"/>
        <v>&lt;/li&gt;&lt;li&gt;&lt;a href=|http://worldebible.com/psalms/90.htm| title=|World English Bible| target=|_top|&gt;WEB&lt;/a&gt;</v>
      </c>
      <c r="AK568" t="str">
        <f t="shared" si="2270"/>
        <v>&lt;/li&gt;&lt;li&gt;&lt;a href=|http://yltbible.com/psalms/90.htm| title=|Young's Literal Translation| target=|_top|&gt;YLT&lt;/a&gt;</v>
      </c>
      <c r="AL568" t="str">
        <f>CONCATENATE("&lt;a href=|http://",AL1191,"/psalms/90.htm","| ","title=|",AL1190,"| target=|_top|&gt;",AL1192,"&lt;/a&gt;")</f>
        <v>&lt;a href=|http://kjv.us/psalms/90.htm| title=|American King James Version| target=|_top|&gt;AKJ&lt;/a&gt;</v>
      </c>
      <c r="AM568" t="str">
        <f t="shared" ref="AM568:AN568" si="2271">CONCATENATE("&lt;/li&gt;&lt;li&gt;&lt;a href=|http://",AM1191,"/psalms/90.htm","| ","title=|",AM1190,"| target=|_top|&gt;",AM1192,"&lt;/a&gt;")</f>
        <v>&lt;/li&gt;&lt;li&gt;&lt;a href=|http://basicenglishbible.com/psalms/90.htm| title=|Bible in Basic English| target=|_top|&gt;BBE&lt;/a&gt;</v>
      </c>
      <c r="AN568" t="str">
        <f t="shared" si="2271"/>
        <v>&lt;/li&gt;&lt;li&gt;&lt;a href=|http://darbybible.com/psalms/90.htm| title=|Darby Bible Translation| target=|_top|&gt;DBY&lt;/a&gt;</v>
      </c>
      <c r="AO56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6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6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68" t="str">
        <f>CONCATENATE("&lt;/li&gt;&lt;li&gt;&lt;a href=|http://",AR1191,"/psalms/90.htm","| ","title=|",AR1190,"| target=|_top|&gt;",AR1192,"&lt;/a&gt;")</f>
        <v>&lt;/li&gt;&lt;li&gt;&lt;a href=|http://websterbible.com/psalms/90.htm| title=|Webster's Bible Translation| target=|_top|&gt;WBS&lt;/a&gt;</v>
      </c>
      <c r="AS56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68" t="str">
        <f>CONCATENATE("&lt;/li&gt;&lt;li&gt;&lt;a href=|http://",AT1191,"/psalms/90-1.htm","| ","title=|",AT1190,"| target=|_top|&gt;",AT1192,"&lt;/a&gt;")</f>
        <v>&lt;/li&gt;&lt;li&gt;&lt;a href=|http://biblebrowser.com/psalms/90-1.htm| title=|Split View| target=|_top|&gt;Split&lt;/a&gt;</v>
      </c>
      <c r="AU568" s="2" t="s">
        <v>1276</v>
      </c>
      <c r="AV568" t="s">
        <v>64</v>
      </c>
    </row>
    <row r="569" spans="1:48">
      <c r="A569" t="s">
        <v>622</v>
      </c>
      <c r="B569" t="s">
        <v>1073</v>
      </c>
      <c r="C569" t="s">
        <v>624</v>
      </c>
      <c r="D569" t="s">
        <v>1268</v>
      </c>
      <c r="E569" t="s">
        <v>1277</v>
      </c>
      <c r="F569" t="s">
        <v>1304</v>
      </c>
      <c r="G569" t="s">
        <v>1266</v>
      </c>
      <c r="H569" t="s">
        <v>1305</v>
      </c>
      <c r="I569" t="s">
        <v>1303</v>
      </c>
      <c r="J569" t="s">
        <v>1267</v>
      </c>
      <c r="K569" t="s">
        <v>1275</v>
      </c>
      <c r="L569" s="2" t="s">
        <v>1274</v>
      </c>
      <c r="M569" t="str">
        <f t="shared" ref="M569:AB569" si="2272">CONCATENATE("&lt;/li&gt;&lt;li&gt;&lt;a href=|http://",M1191,"/psalms/91.htm","| ","title=|",M1190,"| target=|_top|&gt;",M1192,"&lt;/a&gt;")</f>
        <v>&lt;/li&gt;&lt;li&gt;&lt;a href=|http://niv.scripturetext.com/psalms/91.htm| title=|New International Version| target=|_top|&gt;NIV&lt;/a&gt;</v>
      </c>
      <c r="N569" t="str">
        <f t="shared" si="2272"/>
        <v>&lt;/li&gt;&lt;li&gt;&lt;a href=|http://nlt.scripturetext.com/psalms/91.htm| title=|New Living Translation| target=|_top|&gt;NLT&lt;/a&gt;</v>
      </c>
      <c r="O569" t="str">
        <f t="shared" si="2272"/>
        <v>&lt;/li&gt;&lt;li&gt;&lt;a href=|http://nasb.scripturetext.com/psalms/91.htm| title=|New American Standard Bible| target=|_top|&gt;NAS&lt;/a&gt;</v>
      </c>
      <c r="P569" t="str">
        <f t="shared" si="2272"/>
        <v>&lt;/li&gt;&lt;li&gt;&lt;a href=|http://gwt.scripturetext.com/psalms/91.htm| title=|God's Word Translation| target=|_top|&gt;GWT&lt;/a&gt;</v>
      </c>
      <c r="Q569" t="str">
        <f t="shared" si="2272"/>
        <v>&lt;/li&gt;&lt;li&gt;&lt;a href=|http://kingjbible.com/psalms/91.htm| title=|King James Bible| target=|_top|&gt;KJV&lt;/a&gt;</v>
      </c>
      <c r="R569" t="str">
        <f t="shared" si="2272"/>
        <v>&lt;/li&gt;&lt;li&gt;&lt;a href=|http://asvbible.com/psalms/91.htm| title=|American Standard Version| target=|_top|&gt;ASV&lt;/a&gt;</v>
      </c>
      <c r="S569" t="str">
        <f t="shared" si="2272"/>
        <v>&lt;/li&gt;&lt;li&gt;&lt;a href=|http://drb.scripturetext.com/psalms/91.htm| title=|Douay-Rheims Bible| target=|_top|&gt;DRB&lt;/a&gt;</v>
      </c>
      <c r="T569" t="str">
        <f t="shared" si="2272"/>
        <v>&lt;/li&gt;&lt;li&gt;&lt;a href=|http://erv.scripturetext.com/psalms/91.htm| title=|English Revised Version| target=|_top|&gt;ERV&lt;/a&gt;</v>
      </c>
      <c r="V569" t="str">
        <f>CONCATENATE("&lt;/li&gt;&lt;li&gt;&lt;a href=|http://",V1191,"/psalms/91.htm","| ","title=|",V1190,"| target=|_top|&gt;",V1192,"&lt;/a&gt;")</f>
        <v>&lt;/li&gt;&lt;li&gt;&lt;a href=|http://study.interlinearbible.org/psalms/91.htm| title=|Hebrew Study Bible| target=|_top|&gt;Heb Study&lt;/a&gt;</v>
      </c>
      <c r="W569" t="str">
        <f t="shared" si="2272"/>
        <v>&lt;/li&gt;&lt;li&gt;&lt;a href=|http://apostolic.interlinearbible.org/psalms/91.htm| title=|Apostolic Bible Polyglot Interlinear| target=|_top|&gt;Polyglot&lt;/a&gt;</v>
      </c>
      <c r="X569" t="str">
        <f t="shared" si="2272"/>
        <v>&lt;/li&gt;&lt;li&gt;&lt;a href=|http://interlinearbible.org/psalms/91.htm| title=|Interlinear Bible| target=|_top|&gt;Interlin&lt;/a&gt;</v>
      </c>
      <c r="Y569" t="str">
        <f t="shared" ref="Y569" si="2273">CONCATENATE("&lt;/li&gt;&lt;li&gt;&lt;a href=|http://",Y1191,"/psalms/91.htm","| ","title=|",Y1190,"| target=|_top|&gt;",Y1192,"&lt;/a&gt;")</f>
        <v>&lt;/li&gt;&lt;li&gt;&lt;a href=|http://bibleoutline.org/psalms/91.htm| title=|Outline with People and Places List| target=|_top|&gt;Outline&lt;/a&gt;</v>
      </c>
      <c r="Z569" t="str">
        <f t="shared" si="2272"/>
        <v>&lt;/li&gt;&lt;li&gt;&lt;a href=|http://kjvs.scripturetext.com/psalms/91.htm| title=|King James Bible with Strong's Numbers| target=|_top|&gt;Strong's&lt;/a&gt;</v>
      </c>
      <c r="AA569" t="str">
        <f t="shared" si="2272"/>
        <v>&lt;/li&gt;&lt;li&gt;&lt;a href=|http://childrensbibleonline.com/psalms/91.htm| title=|The Children's Bible| target=|_top|&gt;Children's&lt;/a&gt;</v>
      </c>
      <c r="AB569" s="2" t="str">
        <f t="shared" si="2272"/>
        <v>&lt;/li&gt;&lt;li&gt;&lt;a href=|http://tsk.scripturetext.com/psalms/91.htm| title=|Treasury of Scripture Knowledge| target=|_top|&gt;TSK&lt;/a&gt;</v>
      </c>
      <c r="AC569" t="str">
        <f>CONCATENATE("&lt;a href=|http://",AC1191,"/psalms/91.htm","| ","title=|",AC1190,"| target=|_top|&gt;",AC1192,"&lt;/a&gt;")</f>
        <v>&lt;a href=|http://parallelbible.com/psalms/91.htm| title=|Parallel Chapters| target=|_top|&gt;PAR&lt;/a&gt;</v>
      </c>
      <c r="AD569" s="2" t="str">
        <f t="shared" ref="AD569:AK569" si="2274">CONCATENATE("&lt;/li&gt;&lt;li&gt;&lt;a href=|http://",AD1191,"/psalms/91.htm","| ","title=|",AD1190,"| target=|_top|&gt;",AD1192,"&lt;/a&gt;")</f>
        <v>&lt;/li&gt;&lt;li&gt;&lt;a href=|http://gsb.biblecommenter.com/psalms/91.htm| title=|Geneva Study Bible| target=|_top|&gt;GSB&lt;/a&gt;</v>
      </c>
      <c r="AE569" s="2" t="str">
        <f t="shared" si="2274"/>
        <v>&lt;/li&gt;&lt;li&gt;&lt;a href=|http://jfb.biblecommenter.com/psalms/91.htm| title=|Jamieson-Fausset-Brown Bible Commentary| target=|_top|&gt;JFB&lt;/a&gt;</v>
      </c>
      <c r="AF569" s="2" t="str">
        <f t="shared" si="2274"/>
        <v>&lt;/li&gt;&lt;li&gt;&lt;a href=|http://kjt.biblecommenter.com/psalms/91.htm| title=|King James Translators' Notes| target=|_top|&gt;KJT&lt;/a&gt;</v>
      </c>
      <c r="AG569" s="2" t="str">
        <f t="shared" si="2274"/>
        <v>&lt;/li&gt;&lt;li&gt;&lt;a href=|http://mhc.biblecommenter.com/psalms/91.htm| title=|Matthew Henry's Concise Commentary| target=|_top|&gt;MHC&lt;/a&gt;</v>
      </c>
      <c r="AH569" s="2" t="str">
        <f t="shared" si="2274"/>
        <v>&lt;/li&gt;&lt;li&gt;&lt;a href=|http://sco.biblecommenter.com/psalms/91.htm| title=|Scofield Reference Notes| target=|_top|&gt;SCO&lt;/a&gt;</v>
      </c>
      <c r="AI569" s="2" t="str">
        <f t="shared" si="2274"/>
        <v>&lt;/li&gt;&lt;li&gt;&lt;a href=|http://wes.biblecommenter.com/psalms/91.htm| title=|Wesley's Notes on the Bible| target=|_top|&gt;WES&lt;/a&gt;</v>
      </c>
      <c r="AJ569" t="str">
        <f t="shared" si="2274"/>
        <v>&lt;/li&gt;&lt;li&gt;&lt;a href=|http://worldebible.com/psalms/91.htm| title=|World English Bible| target=|_top|&gt;WEB&lt;/a&gt;</v>
      </c>
      <c r="AK569" t="str">
        <f t="shared" si="2274"/>
        <v>&lt;/li&gt;&lt;li&gt;&lt;a href=|http://yltbible.com/psalms/91.htm| title=|Young's Literal Translation| target=|_top|&gt;YLT&lt;/a&gt;</v>
      </c>
      <c r="AL569" t="str">
        <f>CONCATENATE("&lt;a href=|http://",AL1191,"/psalms/91.htm","| ","title=|",AL1190,"| target=|_top|&gt;",AL1192,"&lt;/a&gt;")</f>
        <v>&lt;a href=|http://kjv.us/psalms/91.htm| title=|American King James Version| target=|_top|&gt;AKJ&lt;/a&gt;</v>
      </c>
      <c r="AM569" t="str">
        <f t="shared" ref="AM569:AN569" si="2275">CONCATENATE("&lt;/li&gt;&lt;li&gt;&lt;a href=|http://",AM1191,"/psalms/91.htm","| ","title=|",AM1190,"| target=|_top|&gt;",AM1192,"&lt;/a&gt;")</f>
        <v>&lt;/li&gt;&lt;li&gt;&lt;a href=|http://basicenglishbible.com/psalms/91.htm| title=|Bible in Basic English| target=|_top|&gt;BBE&lt;/a&gt;</v>
      </c>
      <c r="AN569" t="str">
        <f t="shared" si="2275"/>
        <v>&lt;/li&gt;&lt;li&gt;&lt;a href=|http://darbybible.com/psalms/91.htm| title=|Darby Bible Translation| target=|_top|&gt;DBY&lt;/a&gt;</v>
      </c>
      <c r="AO56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6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6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69" t="str">
        <f>CONCATENATE("&lt;/li&gt;&lt;li&gt;&lt;a href=|http://",AR1191,"/psalms/91.htm","| ","title=|",AR1190,"| target=|_top|&gt;",AR1192,"&lt;/a&gt;")</f>
        <v>&lt;/li&gt;&lt;li&gt;&lt;a href=|http://websterbible.com/psalms/91.htm| title=|Webster's Bible Translation| target=|_top|&gt;WBS&lt;/a&gt;</v>
      </c>
      <c r="AS56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69" t="str">
        <f>CONCATENATE("&lt;/li&gt;&lt;li&gt;&lt;a href=|http://",AT1191,"/psalms/91-1.htm","| ","title=|",AT1190,"| target=|_top|&gt;",AT1192,"&lt;/a&gt;")</f>
        <v>&lt;/li&gt;&lt;li&gt;&lt;a href=|http://biblebrowser.com/psalms/91-1.htm| title=|Split View| target=|_top|&gt;Split&lt;/a&gt;</v>
      </c>
      <c r="AU569" s="2" t="s">
        <v>1276</v>
      </c>
      <c r="AV569" t="s">
        <v>64</v>
      </c>
    </row>
    <row r="570" spans="1:48">
      <c r="A570" t="s">
        <v>622</v>
      </c>
      <c r="B570" t="s">
        <v>1074</v>
      </c>
      <c r="C570" t="s">
        <v>624</v>
      </c>
      <c r="D570" t="s">
        <v>1268</v>
      </c>
      <c r="E570" t="s">
        <v>1277</v>
      </c>
      <c r="F570" t="s">
        <v>1304</v>
      </c>
      <c r="G570" t="s">
        <v>1266</v>
      </c>
      <c r="H570" t="s">
        <v>1305</v>
      </c>
      <c r="I570" t="s">
        <v>1303</v>
      </c>
      <c r="J570" t="s">
        <v>1267</v>
      </c>
      <c r="K570" t="s">
        <v>1275</v>
      </c>
      <c r="L570" s="2" t="s">
        <v>1274</v>
      </c>
      <c r="M570" t="str">
        <f t="shared" ref="M570:AB570" si="2276">CONCATENATE("&lt;/li&gt;&lt;li&gt;&lt;a href=|http://",M1191,"/psalms/92.htm","| ","title=|",M1190,"| target=|_top|&gt;",M1192,"&lt;/a&gt;")</f>
        <v>&lt;/li&gt;&lt;li&gt;&lt;a href=|http://niv.scripturetext.com/psalms/92.htm| title=|New International Version| target=|_top|&gt;NIV&lt;/a&gt;</v>
      </c>
      <c r="N570" t="str">
        <f t="shared" si="2276"/>
        <v>&lt;/li&gt;&lt;li&gt;&lt;a href=|http://nlt.scripturetext.com/psalms/92.htm| title=|New Living Translation| target=|_top|&gt;NLT&lt;/a&gt;</v>
      </c>
      <c r="O570" t="str">
        <f t="shared" si="2276"/>
        <v>&lt;/li&gt;&lt;li&gt;&lt;a href=|http://nasb.scripturetext.com/psalms/92.htm| title=|New American Standard Bible| target=|_top|&gt;NAS&lt;/a&gt;</v>
      </c>
      <c r="P570" t="str">
        <f t="shared" si="2276"/>
        <v>&lt;/li&gt;&lt;li&gt;&lt;a href=|http://gwt.scripturetext.com/psalms/92.htm| title=|God's Word Translation| target=|_top|&gt;GWT&lt;/a&gt;</v>
      </c>
      <c r="Q570" t="str">
        <f t="shared" si="2276"/>
        <v>&lt;/li&gt;&lt;li&gt;&lt;a href=|http://kingjbible.com/psalms/92.htm| title=|King James Bible| target=|_top|&gt;KJV&lt;/a&gt;</v>
      </c>
      <c r="R570" t="str">
        <f t="shared" si="2276"/>
        <v>&lt;/li&gt;&lt;li&gt;&lt;a href=|http://asvbible.com/psalms/92.htm| title=|American Standard Version| target=|_top|&gt;ASV&lt;/a&gt;</v>
      </c>
      <c r="S570" t="str">
        <f t="shared" si="2276"/>
        <v>&lt;/li&gt;&lt;li&gt;&lt;a href=|http://drb.scripturetext.com/psalms/92.htm| title=|Douay-Rheims Bible| target=|_top|&gt;DRB&lt;/a&gt;</v>
      </c>
      <c r="T570" t="str">
        <f t="shared" si="2276"/>
        <v>&lt;/li&gt;&lt;li&gt;&lt;a href=|http://erv.scripturetext.com/psalms/92.htm| title=|English Revised Version| target=|_top|&gt;ERV&lt;/a&gt;</v>
      </c>
      <c r="V570" t="str">
        <f>CONCATENATE("&lt;/li&gt;&lt;li&gt;&lt;a href=|http://",V1191,"/psalms/92.htm","| ","title=|",V1190,"| target=|_top|&gt;",V1192,"&lt;/a&gt;")</f>
        <v>&lt;/li&gt;&lt;li&gt;&lt;a href=|http://study.interlinearbible.org/psalms/92.htm| title=|Hebrew Study Bible| target=|_top|&gt;Heb Study&lt;/a&gt;</v>
      </c>
      <c r="W570" t="str">
        <f t="shared" si="2276"/>
        <v>&lt;/li&gt;&lt;li&gt;&lt;a href=|http://apostolic.interlinearbible.org/psalms/92.htm| title=|Apostolic Bible Polyglot Interlinear| target=|_top|&gt;Polyglot&lt;/a&gt;</v>
      </c>
      <c r="X570" t="str">
        <f t="shared" si="2276"/>
        <v>&lt;/li&gt;&lt;li&gt;&lt;a href=|http://interlinearbible.org/psalms/92.htm| title=|Interlinear Bible| target=|_top|&gt;Interlin&lt;/a&gt;</v>
      </c>
      <c r="Y570" t="str">
        <f t="shared" ref="Y570" si="2277">CONCATENATE("&lt;/li&gt;&lt;li&gt;&lt;a href=|http://",Y1191,"/psalms/92.htm","| ","title=|",Y1190,"| target=|_top|&gt;",Y1192,"&lt;/a&gt;")</f>
        <v>&lt;/li&gt;&lt;li&gt;&lt;a href=|http://bibleoutline.org/psalms/92.htm| title=|Outline with People and Places List| target=|_top|&gt;Outline&lt;/a&gt;</v>
      </c>
      <c r="Z570" t="str">
        <f t="shared" si="2276"/>
        <v>&lt;/li&gt;&lt;li&gt;&lt;a href=|http://kjvs.scripturetext.com/psalms/92.htm| title=|King James Bible with Strong's Numbers| target=|_top|&gt;Strong's&lt;/a&gt;</v>
      </c>
      <c r="AA570" t="str">
        <f t="shared" si="2276"/>
        <v>&lt;/li&gt;&lt;li&gt;&lt;a href=|http://childrensbibleonline.com/psalms/92.htm| title=|The Children's Bible| target=|_top|&gt;Children's&lt;/a&gt;</v>
      </c>
      <c r="AB570" s="2" t="str">
        <f t="shared" si="2276"/>
        <v>&lt;/li&gt;&lt;li&gt;&lt;a href=|http://tsk.scripturetext.com/psalms/92.htm| title=|Treasury of Scripture Knowledge| target=|_top|&gt;TSK&lt;/a&gt;</v>
      </c>
      <c r="AC570" t="str">
        <f>CONCATENATE("&lt;a href=|http://",AC1191,"/psalms/92.htm","| ","title=|",AC1190,"| target=|_top|&gt;",AC1192,"&lt;/a&gt;")</f>
        <v>&lt;a href=|http://parallelbible.com/psalms/92.htm| title=|Parallel Chapters| target=|_top|&gt;PAR&lt;/a&gt;</v>
      </c>
      <c r="AD570" s="2" t="str">
        <f t="shared" ref="AD570:AK570" si="2278">CONCATENATE("&lt;/li&gt;&lt;li&gt;&lt;a href=|http://",AD1191,"/psalms/92.htm","| ","title=|",AD1190,"| target=|_top|&gt;",AD1192,"&lt;/a&gt;")</f>
        <v>&lt;/li&gt;&lt;li&gt;&lt;a href=|http://gsb.biblecommenter.com/psalms/92.htm| title=|Geneva Study Bible| target=|_top|&gt;GSB&lt;/a&gt;</v>
      </c>
      <c r="AE570" s="2" t="str">
        <f t="shared" si="2278"/>
        <v>&lt;/li&gt;&lt;li&gt;&lt;a href=|http://jfb.biblecommenter.com/psalms/92.htm| title=|Jamieson-Fausset-Brown Bible Commentary| target=|_top|&gt;JFB&lt;/a&gt;</v>
      </c>
      <c r="AF570" s="2" t="str">
        <f t="shared" si="2278"/>
        <v>&lt;/li&gt;&lt;li&gt;&lt;a href=|http://kjt.biblecommenter.com/psalms/92.htm| title=|King James Translators' Notes| target=|_top|&gt;KJT&lt;/a&gt;</v>
      </c>
      <c r="AG570" s="2" t="str">
        <f t="shared" si="2278"/>
        <v>&lt;/li&gt;&lt;li&gt;&lt;a href=|http://mhc.biblecommenter.com/psalms/92.htm| title=|Matthew Henry's Concise Commentary| target=|_top|&gt;MHC&lt;/a&gt;</v>
      </c>
      <c r="AH570" s="2" t="str">
        <f t="shared" si="2278"/>
        <v>&lt;/li&gt;&lt;li&gt;&lt;a href=|http://sco.biblecommenter.com/psalms/92.htm| title=|Scofield Reference Notes| target=|_top|&gt;SCO&lt;/a&gt;</v>
      </c>
      <c r="AI570" s="2" t="str">
        <f t="shared" si="2278"/>
        <v>&lt;/li&gt;&lt;li&gt;&lt;a href=|http://wes.biblecommenter.com/psalms/92.htm| title=|Wesley's Notes on the Bible| target=|_top|&gt;WES&lt;/a&gt;</v>
      </c>
      <c r="AJ570" t="str">
        <f t="shared" si="2278"/>
        <v>&lt;/li&gt;&lt;li&gt;&lt;a href=|http://worldebible.com/psalms/92.htm| title=|World English Bible| target=|_top|&gt;WEB&lt;/a&gt;</v>
      </c>
      <c r="AK570" t="str">
        <f t="shared" si="2278"/>
        <v>&lt;/li&gt;&lt;li&gt;&lt;a href=|http://yltbible.com/psalms/92.htm| title=|Young's Literal Translation| target=|_top|&gt;YLT&lt;/a&gt;</v>
      </c>
      <c r="AL570" t="str">
        <f>CONCATENATE("&lt;a href=|http://",AL1191,"/psalms/92.htm","| ","title=|",AL1190,"| target=|_top|&gt;",AL1192,"&lt;/a&gt;")</f>
        <v>&lt;a href=|http://kjv.us/psalms/92.htm| title=|American King James Version| target=|_top|&gt;AKJ&lt;/a&gt;</v>
      </c>
      <c r="AM570" t="str">
        <f t="shared" ref="AM570:AN570" si="2279">CONCATENATE("&lt;/li&gt;&lt;li&gt;&lt;a href=|http://",AM1191,"/psalms/92.htm","| ","title=|",AM1190,"| target=|_top|&gt;",AM1192,"&lt;/a&gt;")</f>
        <v>&lt;/li&gt;&lt;li&gt;&lt;a href=|http://basicenglishbible.com/psalms/92.htm| title=|Bible in Basic English| target=|_top|&gt;BBE&lt;/a&gt;</v>
      </c>
      <c r="AN570" t="str">
        <f t="shared" si="2279"/>
        <v>&lt;/li&gt;&lt;li&gt;&lt;a href=|http://darbybible.com/psalms/92.htm| title=|Darby Bible Translation| target=|_top|&gt;DBY&lt;/a&gt;</v>
      </c>
      <c r="AO57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7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7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70" t="str">
        <f>CONCATENATE("&lt;/li&gt;&lt;li&gt;&lt;a href=|http://",AR1191,"/psalms/92.htm","| ","title=|",AR1190,"| target=|_top|&gt;",AR1192,"&lt;/a&gt;")</f>
        <v>&lt;/li&gt;&lt;li&gt;&lt;a href=|http://websterbible.com/psalms/92.htm| title=|Webster's Bible Translation| target=|_top|&gt;WBS&lt;/a&gt;</v>
      </c>
      <c r="AS57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70" t="str">
        <f>CONCATENATE("&lt;/li&gt;&lt;li&gt;&lt;a href=|http://",AT1191,"/psalms/92-1.htm","| ","title=|",AT1190,"| target=|_top|&gt;",AT1192,"&lt;/a&gt;")</f>
        <v>&lt;/li&gt;&lt;li&gt;&lt;a href=|http://biblebrowser.com/psalms/92-1.htm| title=|Split View| target=|_top|&gt;Split&lt;/a&gt;</v>
      </c>
      <c r="AU570" s="2" t="s">
        <v>1276</v>
      </c>
      <c r="AV570" t="s">
        <v>64</v>
      </c>
    </row>
    <row r="571" spans="1:48">
      <c r="A571" t="s">
        <v>622</v>
      </c>
      <c r="B571" t="s">
        <v>1075</v>
      </c>
      <c r="C571" t="s">
        <v>624</v>
      </c>
      <c r="D571" t="s">
        <v>1268</v>
      </c>
      <c r="E571" t="s">
        <v>1277</v>
      </c>
      <c r="F571" t="s">
        <v>1304</v>
      </c>
      <c r="G571" t="s">
        <v>1266</v>
      </c>
      <c r="H571" t="s">
        <v>1305</v>
      </c>
      <c r="I571" t="s">
        <v>1303</v>
      </c>
      <c r="J571" t="s">
        <v>1267</v>
      </c>
      <c r="K571" t="s">
        <v>1275</v>
      </c>
      <c r="L571" s="2" t="s">
        <v>1274</v>
      </c>
      <c r="M571" t="str">
        <f t="shared" ref="M571:AB571" si="2280">CONCATENATE("&lt;/li&gt;&lt;li&gt;&lt;a href=|http://",M1191,"/psalms/93.htm","| ","title=|",M1190,"| target=|_top|&gt;",M1192,"&lt;/a&gt;")</f>
        <v>&lt;/li&gt;&lt;li&gt;&lt;a href=|http://niv.scripturetext.com/psalms/93.htm| title=|New International Version| target=|_top|&gt;NIV&lt;/a&gt;</v>
      </c>
      <c r="N571" t="str">
        <f t="shared" si="2280"/>
        <v>&lt;/li&gt;&lt;li&gt;&lt;a href=|http://nlt.scripturetext.com/psalms/93.htm| title=|New Living Translation| target=|_top|&gt;NLT&lt;/a&gt;</v>
      </c>
      <c r="O571" t="str">
        <f t="shared" si="2280"/>
        <v>&lt;/li&gt;&lt;li&gt;&lt;a href=|http://nasb.scripturetext.com/psalms/93.htm| title=|New American Standard Bible| target=|_top|&gt;NAS&lt;/a&gt;</v>
      </c>
      <c r="P571" t="str">
        <f t="shared" si="2280"/>
        <v>&lt;/li&gt;&lt;li&gt;&lt;a href=|http://gwt.scripturetext.com/psalms/93.htm| title=|God's Word Translation| target=|_top|&gt;GWT&lt;/a&gt;</v>
      </c>
      <c r="Q571" t="str">
        <f t="shared" si="2280"/>
        <v>&lt;/li&gt;&lt;li&gt;&lt;a href=|http://kingjbible.com/psalms/93.htm| title=|King James Bible| target=|_top|&gt;KJV&lt;/a&gt;</v>
      </c>
      <c r="R571" t="str">
        <f t="shared" si="2280"/>
        <v>&lt;/li&gt;&lt;li&gt;&lt;a href=|http://asvbible.com/psalms/93.htm| title=|American Standard Version| target=|_top|&gt;ASV&lt;/a&gt;</v>
      </c>
      <c r="S571" t="str">
        <f t="shared" si="2280"/>
        <v>&lt;/li&gt;&lt;li&gt;&lt;a href=|http://drb.scripturetext.com/psalms/93.htm| title=|Douay-Rheims Bible| target=|_top|&gt;DRB&lt;/a&gt;</v>
      </c>
      <c r="T571" t="str">
        <f t="shared" si="2280"/>
        <v>&lt;/li&gt;&lt;li&gt;&lt;a href=|http://erv.scripturetext.com/psalms/93.htm| title=|English Revised Version| target=|_top|&gt;ERV&lt;/a&gt;</v>
      </c>
      <c r="V571" t="str">
        <f>CONCATENATE("&lt;/li&gt;&lt;li&gt;&lt;a href=|http://",V1191,"/psalms/93.htm","| ","title=|",V1190,"| target=|_top|&gt;",V1192,"&lt;/a&gt;")</f>
        <v>&lt;/li&gt;&lt;li&gt;&lt;a href=|http://study.interlinearbible.org/psalms/93.htm| title=|Hebrew Study Bible| target=|_top|&gt;Heb Study&lt;/a&gt;</v>
      </c>
      <c r="W571" t="str">
        <f t="shared" si="2280"/>
        <v>&lt;/li&gt;&lt;li&gt;&lt;a href=|http://apostolic.interlinearbible.org/psalms/93.htm| title=|Apostolic Bible Polyglot Interlinear| target=|_top|&gt;Polyglot&lt;/a&gt;</v>
      </c>
      <c r="X571" t="str">
        <f t="shared" si="2280"/>
        <v>&lt;/li&gt;&lt;li&gt;&lt;a href=|http://interlinearbible.org/psalms/93.htm| title=|Interlinear Bible| target=|_top|&gt;Interlin&lt;/a&gt;</v>
      </c>
      <c r="Y571" t="str">
        <f t="shared" ref="Y571" si="2281">CONCATENATE("&lt;/li&gt;&lt;li&gt;&lt;a href=|http://",Y1191,"/psalms/93.htm","| ","title=|",Y1190,"| target=|_top|&gt;",Y1192,"&lt;/a&gt;")</f>
        <v>&lt;/li&gt;&lt;li&gt;&lt;a href=|http://bibleoutline.org/psalms/93.htm| title=|Outline with People and Places List| target=|_top|&gt;Outline&lt;/a&gt;</v>
      </c>
      <c r="Z571" t="str">
        <f t="shared" si="2280"/>
        <v>&lt;/li&gt;&lt;li&gt;&lt;a href=|http://kjvs.scripturetext.com/psalms/93.htm| title=|King James Bible with Strong's Numbers| target=|_top|&gt;Strong's&lt;/a&gt;</v>
      </c>
      <c r="AA571" t="str">
        <f t="shared" si="2280"/>
        <v>&lt;/li&gt;&lt;li&gt;&lt;a href=|http://childrensbibleonline.com/psalms/93.htm| title=|The Children's Bible| target=|_top|&gt;Children's&lt;/a&gt;</v>
      </c>
      <c r="AB571" s="2" t="str">
        <f t="shared" si="2280"/>
        <v>&lt;/li&gt;&lt;li&gt;&lt;a href=|http://tsk.scripturetext.com/psalms/93.htm| title=|Treasury of Scripture Knowledge| target=|_top|&gt;TSK&lt;/a&gt;</v>
      </c>
      <c r="AC571" t="str">
        <f>CONCATENATE("&lt;a href=|http://",AC1191,"/psalms/93.htm","| ","title=|",AC1190,"| target=|_top|&gt;",AC1192,"&lt;/a&gt;")</f>
        <v>&lt;a href=|http://parallelbible.com/psalms/93.htm| title=|Parallel Chapters| target=|_top|&gt;PAR&lt;/a&gt;</v>
      </c>
      <c r="AD571" s="2" t="str">
        <f t="shared" ref="AD571:AK571" si="2282">CONCATENATE("&lt;/li&gt;&lt;li&gt;&lt;a href=|http://",AD1191,"/psalms/93.htm","| ","title=|",AD1190,"| target=|_top|&gt;",AD1192,"&lt;/a&gt;")</f>
        <v>&lt;/li&gt;&lt;li&gt;&lt;a href=|http://gsb.biblecommenter.com/psalms/93.htm| title=|Geneva Study Bible| target=|_top|&gt;GSB&lt;/a&gt;</v>
      </c>
      <c r="AE571" s="2" t="str">
        <f t="shared" si="2282"/>
        <v>&lt;/li&gt;&lt;li&gt;&lt;a href=|http://jfb.biblecommenter.com/psalms/93.htm| title=|Jamieson-Fausset-Brown Bible Commentary| target=|_top|&gt;JFB&lt;/a&gt;</v>
      </c>
      <c r="AF571" s="2" t="str">
        <f t="shared" si="2282"/>
        <v>&lt;/li&gt;&lt;li&gt;&lt;a href=|http://kjt.biblecommenter.com/psalms/93.htm| title=|King James Translators' Notes| target=|_top|&gt;KJT&lt;/a&gt;</v>
      </c>
      <c r="AG571" s="2" t="str">
        <f t="shared" si="2282"/>
        <v>&lt;/li&gt;&lt;li&gt;&lt;a href=|http://mhc.biblecommenter.com/psalms/93.htm| title=|Matthew Henry's Concise Commentary| target=|_top|&gt;MHC&lt;/a&gt;</v>
      </c>
      <c r="AH571" s="2" t="str">
        <f t="shared" si="2282"/>
        <v>&lt;/li&gt;&lt;li&gt;&lt;a href=|http://sco.biblecommenter.com/psalms/93.htm| title=|Scofield Reference Notes| target=|_top|&gt;SCO&lt;/a&gt;</v>
      </c>
      <c r="AI571" s="2" t="str">
        <f t="shared" si="2282"/>
        <v>&lt;/li&gt;&lt;li&gt;&lt;a href=|http://wes.biblecommenter.com/psalms/93.htm| title=|Wesley's Notes on the Bible| target=|_top|&gt;WES&lt;/a&gt;</v>
      </c>
      <c r="AJ571" t="str">
        <f t="shared" si="2282"/>
        <v>&lt;/li&gt;&lt;li&gt;&lt;a href=|http://worldebible.com/psalms/93.htm| title=|World English Bible| target=|_top|&gt;WEB&lt;/a&gt;</v>
      </c>
      <c r="AK571" t="str">
        <f t="shared" si="2282"/>
        <v>&lt;/li&gt;&lt;li&gt;&lt;a href=|http://yltbible.com/psalms/93.htm| title=|Young's Literal Translation| target=|_top|&gt;YLT&lt;/a&gt;</v>
      </c>
      <c r="AL571" t="str">
        <f>CONCATENATE("&lt;a href=|http://",AL1191,"/psalms/93.htm","| ","title=|",AL1190,"| target=|_top|&gt;",AL1192,"&lt;/a&gt;")</f>
        <v>&lt;a href=|http://kjv.us/psalms/93.htm| title=|American King James Version| target=|_top|&gt;AKJ&lt;/a&gt;</v>
      </c>
      <c r="AM571" t="str">
        <f t="shared" ref="AM571:AN571" si="2283">CONCATENATE("&lt;/li&gt;&lt;li&gt;&lt;a href=|http://",AM1191,"/psalms/93.htm","| ","title=|",AM1190,"| target=|_top|&gt;",AM1192,"&lt;/a&gt;")</f>
        <v>&lt;/li&gt;&lt;li&gt;&lt;a href=|http://basicenglishbible.com/psalms/93.htm| title=|Bible in Basic English| target=|_top|&gt;BBE&lt;/a&gt;</v>
      </c>
      <c r="AN571" t="str">
        <f t="shared" si="2283"/>
        <v>&lt;/li&gt;&lt;li&gt;&lt;a href=|http://darbybible.com/psalms/93.htm| title=|Darby Bible Translation| target=|_top|&gt;DBY&lt;/a&gt;</v>
      </c>
      <c r="AO57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7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7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71" t="str">
        <f>CONCATENATE("&lt;/li&gt;&lt;li&gt;&lt;a href=|http://",AR1191,"/psalms/93.htm","| ","title=|",AR1190,"| target=|_top|&gt;",AR1192,"&lt;/a&gt;")</f>
        <v>&lt;/li&gt;&lt;li&gt;&lt;a href=|http://websterbible.com/psalms/93.htm| title=|Webster's Bible Translation| target=|_top|&gt;WBS&lt;/a&gt;</v>
      </c>
      <c r="AS57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71" t="str">
        <f>CONCATENATE("&lt;/li&gt;&lt;li&gt;&lt;a href=|http://",AT1191,"/psalms/93-1.htm","| ","title=|",AT1190,"| target=|_top|&gt;",AT1192,"&lt;/a&gt;")</f>
        <v>&lt;/li&gt;&lt;li&gt;&lt;a href=|http://biblebrowser.com/psalms/93-1.htm| title=|Split View| target=|_top|&gt;Split&lt;/a&gt;</v>
      </c>
      <c r="AU571" s="2" t="s">
        <v>1276</v>
      </c>
      <c r="AV571" t="s">
        <v>64</v>
      </c>
    </row>
    <row r="572" spans="1:48">
      <c r="A572" t="s">
        <v>622</v>
      </c>
      <c r="B572" t="s">
        <v>1076</v>
      </c>
      <c r="C572" t="s">
        <v>624</v>
      </c>
      <c r="D572" t="s">
        <v>1268</v>
      </c>
      <c r="E572" t="s">
        <v>1277</v>
      </c>
      <c r="F572" t="s">
        <v>1304</v>
      </c>
      <c r="G572" t="s">
        <v>1266</v>
      </c>
      <c r="H572" t="s">
        <v>1305</v>
      </c>
      <c r="I572" t="s">
        <v>1303</v>
      </c>
      <c r="J572" t="s">
        <v>1267</v>
      </c>
      <c r="K572" t="s">
        <v>1275</v>
      </c>
      <c r="L572" s="2" t="s">
        <v>1274</v>
      </c>
      <c r="M572" t="str">
        <f t="shared" ref="M572:AB572" si="2284">CONCATENATE("&lt;/li&gt;&lt;li&gt;&lt;a href=|http://",M1191,"/psalms/94.htm","| ","title=|",M1190,"| target=|_top|&gt;",M1192,"&lt;/a&gt;")</f>
        <v>&lt;/li&gt;&lt;li&gt;&lt;a href=|http://niv.scripturetext.com/psalms/94.htm| title=|New International Version| target=|_top|&gt;NIV&lt;/a&gt;</v>
      </c>
      <c r="N572" t="str">
        <f t="shared" si="2284"/>
        <v>&lt;/li&gt;&lt;li&gt;&lt;a href=|http://nlt.scripturetext.com/psalms/94.htm| title=|New Living Translation| target=|_top|&gt;NLT&lt;/a&gt;</v>
      </c>
      <c r="O572" t="str">
        <f t="shared" si="2284"/>
        <v>&lt;/li&gt;&lt;li&gt;&lt;a href=|http://nasb.scripturetext.com/psalms/94.htm| title=|New American Standard Bible| target=|_top|&gt;NAS&lt;/a&gt;</v>
      </c>
      <c r="P572" t="str">
        <f t="shared" si="2284"/>
        <v>&lt;/li&gt;&lt;li&gt;&lt;a href=|http://gwt.scripturetext.com/psalms/94.htm| title=|God's Word Translation| target=|_top|&gt;GWT&lt;/a&gt;</v>
      </c>
      <c r="Q572" t="str">
        <f t="shared" si="2284"/>
        <v>&lt;/li&gt;&lt;li&gt;&lt;a href=|http://kingjbible.com/psalms/94.htm| title=|King James Bible| target=|_top|&gt;KJV&lt;/a&gt;</v>
      </c>
      <c r="R572" t="str">
        <f t="shared" si="2284"/>
        <v>&lt;/li&gt;&lt;li&gt;&lt;a href=|http://asvbible.com/psalms/94.htm| title=|American Standard Version| target=|_top|&gt;ASV&lt;/a&gt;</v>
      </c>
      <c r="S572" t="str">
        <f t="shared" si="2284"/>
        <v>&lt;/li&gt;&lt;li&gt;&lt;a href=|http://drb.scripturetext.com/psalms/94.htm| title=|Douay-Rheims Bible| target=|_top|&gt;DRB&lt;/a&gt;</v>
      </c>
      <c r="T572" t="str">
        <f t="shared" si="2284"/>
        <v>&lt;/li&gt;&lt;li&gt;&lt;a href=|http://erv.scripturetext.com/psalms/94.htm| title=|English Revised Version| target=|_top|&gt;ERV&lt;/a&gt;</v>
      </c>
      <c r="V572" t="str">
        <f>CONCATENATE("&lt;/li&gt;&lt;li&gt;&lt;a href=|http://",V1191,"/psalms/94.htm","| ","title=|",V1190,"| target=|_top|&gt;",V1192,"&lt;/a&gt;")</f>
        <v>&lt;/li&gt;&lt;li&gt;&lt;a href=|http://study.interlinearbible.org/psalms/94.htm| title=|Hebrew Study Bible| target=|_top|&gt;Heb Study&lt;/a&gt;</v>
      </c>
      <c r="W572" t="str">
        <f t="shared" si="2284"/>
        <v>&lt;/li&gt;&lt;li&gt;&lt;a href=|http://apostolic.interlinearbible.org/psalms/94.htm| title=|Apostolic Bible Polyglot Interlinear| target=|_top|&gt;Polyglot&lt;/a&gt;</v>
      </c>
      <c r="X572" t="str">
        <f t="shared" si="2284"/>
        <v>&lt;/li&gt;&lt;li&gt;&lt;a href=|http://interlinearbible.org/psalms/94.htm| title=|Interlinear Bible| target=|_top|&gt;Interlin&lt;/a&gt;</v>
      </c>
      <c r="Y572" t="str">
        <f t="shared" ref="Y572" si="2285">CONCATENATE("&lt;/li&gt;&lt;li&gt;&lt;a href=|http://",Y1191,"/psalms/94.htm","| ","title=|",Y1190,"| target=|_top|&gt;",Y1192,"&lt;/a&gt;")</f>
        <v>&lt;/li&gt;&lt;li&gt;&lt;a href=|http://bibleoutline.org/psalms/94.htm| title=|Outline with People and Places List| target=|_top|&gt;Outline&lt;/a&gt;</v>
      </c>
      <c r="Z572" t="str">
        <f t="shared" si="2284"/>
        <v>&lt;/li&gt;&lt;li&gt;&lt;a href=|http://kjvs.scripturetext.com/psalms/94.htm| title=|King James Bible with Strong's Numbers| target=|_top|&gt;Strong's&lt;/a&gt;</v>
      </c>
      <c r="AA572" t="str">
        <f t="shared" si="2284"/>
        <v>&lt;/li&gt;&lt;li&gt;&lt;a href=|http://childrensbibleonline.com/psalms/94.htm| title=|The Children's Bible| target=|_top|&gt;Children's&lt;/a&gt;</v>
      </c>
      <c r="AB572" s="2" t="str">
        <f t="shared" si="2284"/>
        <v>&lt;/li&gt;&lt;li&gt;&lt;a href=|http://tsk.scripturetext.com/psalms/94.htm| title=|Treasury of Scripture Knowledge| target=|_top|&gt;TSK&lt;/a&gt;</v>
      </c>
      <c r="AC572" t="str">
        <f>CONCATENATE("&lt;a href=|http://",AC1191,"/psalms/94.htm","| ","title=|",AC1190,"| target=|_top|&gt;",AC1192,"&lt;/a&gt;")</f>
        <v>&lt;a href=|http://parallelbible.com/psalms/94.htm| title=|Parallel Chapters| target=|_top|&gt;PAR&lt;/a&gt;</v>
      </c>
      <c r="AD572" s="2" t="str">
        <f t="shared" ref="AD572:AK572" si="2286">CONCATENATE("&lt;/li&gt;&lt;li&gt;&lt;a href=|http://",AD1191,"/psalms/94.htm","| ","title=|",AD1190,"| target=|_top|&gt;",AD1192,"&lt;/a&gt;")</f>
        <v>&lt;/li&gt;&lt;li&gt;&lt;a href=|http://gsb.biblecommenter.com/psalms/94.htm| title=|Geneva Study Bible| target=|_top|&gt;GSB&lt;/a&gt;</v>
      </c>
      <c r="AE572" s="2" t="str">
        <f t="shared" si="2286"/>
        <v>&lt;/li&gt;&lt;li&gt;&lt;a href=|http://jfb.biblecommenter.com/psalms/94.htm| title=|Jamieson-Fausset-Brown Bible Commentary| target=|_top|&gt;JFB&lt;/a&gt;</v>
      </c>
      <c r="AF572" s="2" t="str">
        <f t="shared" si="2286"/>
        <v>&lt;/li&gt;&lt;li&gt;&lt;a href=|http://kjt.biblecommenter.com/psalms/94.htm| title=|King James Translators' Notes| target=|_top|&gt;KJT&lt;/a&gt;</v>
      </c>
      <c r="AG572" s="2" t="str">
        <f t="shared" si="2286"/>
        <v>&lt;/li&gt;&lt;li&gt;&lt;a href=|http://mhc.biblecommenter.com/psalms/94.htm| title=|Matthew Henry's Concise Commentary| target=|_top|&gt;MHC&lt;/a&gt;</v>
      </c>
      <c r="AH572" s="2" t="str">
        <f t="shared" si="2286"/>
        <v>&lt;/li&gt;&lt;li&gt;&lt;a href=|http://sco.biblecommenter.com/psalms/94.htm| title=|Scofield Reference Notes| target=|_top|&gt;SCO&lt;/a&gt;</v>
      </c>
      <c r="AI572" s="2" t="str">
        <f t="shared" si="2286"/>
        <v>&lt;/li&gt;&lt;li&gt;&lt;a href=|http://wes.biblecommenter.com/psalms/94.htm| title=|Wesley's Notes on the Bible| target=|_top|&gt;WES&lt;/a&gt;</v>
      </c>
      <c r="AJ572" t="str">
        <f t="shared" si="2286"/>
        <v>&lt;/li&gt;&lt;li&gt;&lt;a href=|http://worldebible.com/psalms/94.htm| title=|World English Bible| target=|_top|&gt;WEB&lt;/a&gt;</v>
      </c>
      <c r="AK572" t="str">
        <f t="shared" si="2286"/>
        <v>&lt;/li&gt;&lt;li&gt;&lt;a href=|http://yltbible.com/psalms/94.htm| title=|Young's Literal Translation| target=|_top|&gt;YLT&lt;/a&gt;</v>
      </c>
      <c r="AL572" t="str">
        <f>CONCATENATE("&lt;a href=|http://",AL1191,"/psalms/94.htm","| ","title=|",AL1190,"| target=|_top|&gt;",AL1192,"&lt;/a&gt;")</f>
        <v>&lt;a href=|http://kjv.us/psalms/94.htm| title=|American King James Version| target=|_top|&gt;AKJ&lt;/a&gt;</v>
      </c>
      <c r="AM572" t="str">
        <f t="shared" ref="AM572:AN572" si="2287">CONCATENATE("&lt;/li&gt;&lt;li&gt;&lt;a href=|http://",AM1191,"/psalms/94.htm","| ","title=|",AM1190,"| target=|_top|&gt;",AM1192,"&lt;/a&gt;")</f>
        <v>&lt;/li&gt;&lt;li&gt;&lt;a href=|http://basicenglishbible.com/psalms/94.htm| title=|Bible in Basic English| target=|_top|&gt;BBE&lt;/a&gt;</v>
      </c>
      <c r="AN572" t="str">
        <f t="shared" si="2287"/>
        <v>&lt;/li&gt;&lt;li&gt;&lt;a href=|http://darbybible.com/psalms/94.htm| title=|Darby Bible Translation| target=|_top|&gt;DBY&lt;/a&gt;</v>
      </c>
      <c r="AO57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7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7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72" t="str">
        <f>CONCATENATE("&lt;/li&gt;&lt;li&gt;&lt;a href=|http://",AR1191,"/psalms/94.htm","| ","title=|",AR1190,"| target=|_top|&gt;",AR1192,"&lt;/a&gt;")</f>
        <v>&lt;/li&gt;&lt;li&gt;&lt;a href=|http://websterbible.com/psalms/94.htm| title=|Webster's Bible Translation| target=|_top|&gt;WBS&lt;/a&gt;</v>
      </c>
      <c r="AS57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72" t="str">
        <f>CONCATENATE("&lt;/li&gt;&lt;li&gt;&lt;a href=|http://",AT1191,"/psalms/94-1.htm","| ","title=|",AT1190,"| target=|_top|&gt;",AT1192,"&lt;/a&gt;")</f>
        <v>&lt;/li&gt;&lt;li&gt;&lt;a href=|http://biblebrowser.com/psalms/94-1.htm| title=|Split View| target=|_top|&gt;Split&lt;/a&gt;</v>
      </c>
      <c r="AU572" s="2" t="s">
        <v>1276</v>
      </c>
      <c r="AV572" t="s">
        <v>64</v>
      </c>
    </row>
    <row r="573" spans="1:48">
      <c r="A573" t="s">
        <v>622</v>
      </c>
      <c r="B573" t="s">
        <v>1077</v>
      </c>
      <c r="C573" t="s">
        <v>624</v>
      </c>
      <c r="D573" t="s">
        <v>1268</v>
      </c>
      <c r="E573" t="s">
        <v>1277</v>
      </c>
      <c r="F573" t="s">
        <v>1304</v>
      </c>
      <c r="G573" t="s">
        <v>1266</v>
      </c>
      <c r="H573" t="s">
        <v>1305</v>
      </c>
      <c r="I573" t="s">
        <v>1303</v>
      </c>
      <c r="J573" t="s">
        <v>1267</v>
      </c>
      <c r="K573" t="s">
        <v>1275</v>
      </c>
      <c r="L573" s="2" t="s">
        <v>1274</v>
      </c>
      <c r="M573" t="str">
        <f t="shared" ref="M573:AB573" si="2288">CONCATENATE("&lt;/li&gt;&lt;li&gt;&lt;a href=|http://",M1191,"/psalms/95.htm","| ","title=|",M1190,"| target=|_top|&gt;",M1192,"&lt;/a&gt;")</f>
        <v>&lt;/li&gt;&lt;li&gt;&lt;a href=|http://niv.scripturetext.com/psalms/95.htm| title=|New International Version| target=|_top|&gt;NIV&lt;/a&gt;</v>
      </c>
      <c r="N573" t="str">
        <f t="shared" si="2288"/>
        <v>&lt;/li&gt;&lt;li&gt;&lt;a href=|http://nlt.scripturetext.com/psalms/95.htm| title=|New Living Translation| target=|_top|&gt;NLT&lt;/a&gt;</v>
      </c>
      <c r="O573" t="str">
        <f t="shared" si="2288"/>
        <v>&lt;/li&gt;&lt;li&gt;&lt;a href=|http://nasb.scripturetext.com/psalms/95.htm| title=|New American Standard Bible| target=|_top|&gt;NAS&lt;/a&gt;</v>
      </c>
      <c r="P573" t="str">
        <f t="shared" si="2288"/>
        <v>&lt;/li&gt;&lt;li&gt;&lt;a href=|http://gwt.scripturetext.com/psalms/95.htm| title=|God's Word Translation| target=|_top|&gt;GWT&lt;/a&gt;</v>
      </c>
      <c r="Q573" t="str">
        <f t="shared" si="2288"/>
        <v>&lt;/li&gt;&lt;li&gt;&lt;a href=|http://kingjbible.com/psalms/95.htm| title=|King James Bible| target=|_top|&gt;KJV&lt;/a&gt;</v>
      </c>
      <c r="R573" t="str">
        <f t="shared" si="2288"/>
        <v>&lt;/li&gt;&lt;li&gt;&lt;a href=|http://asvbible.com/psalms/95.htm| title=|American Standard Version| target=|_top|&gt;ASV&lt;/a&gt;</v>
      </c>
      <c r="S573" t="str">
        <f t="shared" si="2288"/>
        <v>&lt;/li&gt;&lt;li&gt;&lt;a href=|http://drb.scripturetext.com/psalms/95.htm| title=|Douay-Rheims Bible| target=|_top|&gt;DRB&lt;/a&gt;</v>
      </c>
      <c r="T573" t="str">
        <f t="shared" si="2288"/>
        <v>&lt;/li&gt;&lt;li&gt;&lt;a href=|http://erv.scripturetext.com/psalms/95.htm| title=|English Revised Version| target=|_top|&gt;ERV&lt;/a&gt;</v>
      </c>
      <c r="V573" t="str">
        <f>CONCATENATE("&lt;/li&gt;&lt;li&gt;&lt;a href=|http://",V1191,"/psalms/95.htm","| ","title=|",V1190,"| target=|_top|&gt;",V1192,"&lt;/a&gt;")</f>
        <v>&lt;/li&gt;&lt;li&gt;&lt;a href=|http://study.interlinearbible.org/psalms/95.htm| title=|Hebrew Study Bible| target=|_top|&gt;Heb Study&lt;/a&gt;</v>
      </c>
      <c r="W573" t="str">
        <f t="shared" si="2288"/>
        <v>&lt;/li&gt;&lt;li&gt;&lt;a href=|http://apostolic.interlinearbible.org/psalms/95.htm| title=|Apostolic Bible Polyglot Interlinear| target=|_top|&gt;Polyglot&lt;/a&gt;</v>
      </c>
      <c r="X573" t="str">
        <f t="shared" si="2288"/>
        <v>&lt;/li&gt;&lt;li&gt;&lt;a href=|http://interlinearbible.org/psalms/95.htm| title=|Interlinear Bible| target=|_top|&gt;Interlin&lt;/a&gt;</v>
      </c>
      <c r="Y573" t="str">
        <f t="shared" ref="Y573" si="2289">CONCATENATE("&lt;/li&gt;&lt;li&gt;&lt;a href=|http://",Y1191,"/psalms/95.htm","| ","title=|",Y1190,"| target=|_top|&gt;",Y1192,"&lt;/a&gt;")</f>
        <v>&lt;/li&gt;&lt;li&gt;&lt;a href=|http://bibleoutline.org/psalms/95.htm| title=|Outline with People and Places List| target=|_top|&gt;Outline&lt;/a&gt;</v>
      </c>
      <c r="Z573" t="str">
        <f t="shared" si="2288"/>
        <v>&lt;/li&gt;&lt;li&gt;&lt;a href=|http://kjvs.scripturetext.com/psalms/95.htm| title=|King James Bible with Strong's Numbers| target=|_top|&gt;Strong's&lt;/a&gt;</v>
      </c>
      <c r="AA573" t="str">
        <f t="shared" si="2288"/>
        <v>&lt;/li&gt;&lt;li&gt;&lt;a href=|http://childrensbibleonline.com/psalms/95.htm| title=|The Children's Bible| target=|_top|&gt;Children's&lt;/a&gt;</v>
      </c>
      <c r="AB573" s="2" t="str">
        <f t="shared" si="2288"/>
        <v>&lt;/li&gt;&lt;li&gt;&lt;a href=|http://tsk.scripturetext.com/psalms/95.htm| title=|Treasury of Scripture Knowledge| target=|_top|&gt;TSK&lt;/a&gt;</v>
      </c>
      <c r="AC573" t="str">
        <f>CONCATENATE("&lt;a href=|http://",AC1191,"/psalms/95.htm","| ","title=|",AC1190,"| target=|_top|&gt;",AC1192,"&lt;/a&gt;")</f>
        <v>&lt;a href=|http://parallelbible.com/psalms/95.htm| title=|Parallel Chapters| target=|_top|&gt;PAR&lt;/a&gt;</v>
      </c>
      <c r="AD573" s="2" t="str">
        <f t="shared" ref="AD573:AK573" si="2290">CONCATENATE("&lt;/li&gt;&lt;li&gt;&lt;a href=|http://",AD1191,"/psalms/95.htm","| ","title=|",AD1190,"| target=|_top|&gt;",AD1192,"&lt;/a&gt;")</f>
        <v>&lt;/li&gt;&lt;li&gt;&lt;a href=|http://gsb.biblecommenter.com/psalms/95.htm| title=|Geneva Study Bible| target=|_top|&gt;GSB&lt;/a&gt;</v>
      </c>
      <c r="AE573" s="2" t="str">
        <f t="shared" si="2290"/>
        <v>&lt;/li&gt;&lt;li&gt;&lt;a href=|http://jfb.biblecommenter.com/psalms/95.htm| title=|Jamieson-Fausset-Brown Bible Commentary| target=|_top|&gt;JFB&lt;/a&gt;</v>
      </c>
      <c r="AF573" s="2" t="str">
        <f t="shared" si="2290"/>
        <v>&lt;/li&gt;&lt;li&gt;&lt;a href=|http://kjt.biblecommenter.com/psalms/95.htm| title=|King James Translators' Notes| target=|_top|&gt;KJT&lt;/a&gt;</v>
      </c>
      <c r="AG573" s="2" t="str">
        <f t="shared" si="2290"/>
        <v>&lt;/li&gt;&lt;li&gt;&lt;a href=|http://mhc.biblecommenter.com/psalms/95.htm| title=|Matthew Henry's Concise Commentary| target=|_top|&gt;MHC&lt;/a&gt;</v>
      </c>
      <c r="AH573" s="2" t="str">
        <f t="shared" si="2290"/>
        <v>&lt;/li&gt;&lt;li&gt;&lt;a href=|http://sco.biblecommenter.com/psalms/95.htm| title=|Scofield Reference Notes| target=|_top|&gt;SCO&lt;/a&gt;</v>
      </c>
      <c r="AI573" s="2" t="str">
        <f t="shared" si="2290"/>
        <v>&lt;/li&gt;&lt;li&gt;&lt;a href=|http://wes.biblecommenter.com/psalms/95.htm| title=|Wesley's Notes on the Bible| target=|_top|&gt;WES&lt;/a&gt;</v>
      </c>
      <c r="AJ573" t="str">
        <f t="shared" si="2290"/>
        <v>&lt;/li&gt;&lt;li&gt;&lt;a href=|http://worldebible.com/psalms/95.htm| title=|World English Bible| target=|_top|&gt;WEB&lt;/a&gt;</v>
      </c>
      <c r="AK573" t="str">
        <f t="shared" si="2290"/>
        <v>&lt;/li&gt;&lt;li&gt;&lt;a href=|http://yltbible.com/psalms/95.htm| title=|Young's Literal Translation| target=|_top|&gt;YLT&lt;/a&gt;</v>
      </c>
      <c r="AL573" t="str">
        <f>CONCATENATE("&lt;a href=|http://",AL1191,"/psalms/95.htm","| ","title=|",AL1190,"| target=|_top|&gt;",AL1192,"&lt;/a&gt;")</f>
        <v>&lt;a href=|http://kjv.us/psalms/95.htm| title=|American King James Version| target=|_top|&gt;AKJ&lt;/a&gt;</v>
      </c>
      <c r="AM573" t="str">
        <f t="shared" ref="AM573:AN573" si="2291">CONCATENATE("&lt;/li&gt;&lt;li&gt;&lt;a href=|http://",AM1191,"/psalms/95.htm","| ","title=|",AM1190,"| target=|_top|&gt;",AM1192,"&lt;/a&gt;")</f>
        <v>&lt;/li&gt;&lt;li&gt;&lt;a href=|http://basicenglishbible.com/psalms/95.htm| title=|Bible in Basic English| target=|_top|&gt;BBE&lt;/a&gt;</v>
      </c>
      <c r="AN573" t="str">
        <f t="shared" si="2291"/>
        <v>&lt;/li&gt;&lt;li&gt;&lt;a href=|http://darbybible.com/psalms/95.htm| title=|Darby Bible Translation| target=|_top|&gt;DBY&lt;/a&gt;</v>
      </c>
      <c r="AO57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7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7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73" t="str">
        <f>CONCATENATE("&lt;/li&gt;&lt;li&gt;&lt;a href=|http://",AR1191,"/psalms/95.htm","| ","title=|",AR1190,"| target=|_top|&gt;",AR1192,"&lt;/a&gt;")</f>
        <v>&lt;/li&gt;&lt;li&gt;&lt;a href=|http://websterbible.com/psalms/95.htm| title=|Webster's Bible Translation| target=|_top|&gt;WBS&lt;/a&gt;</v>
      </c>
      <c r="AS57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73" t="str">
        <f>CONCATENATE("&lt;/li&gt;&lt;li&gt;&lt;a href=|http://",AT1191,"/psalms/95-1.htm","| ","title=|",AT1190,"| target=|_top|&gt;",AT1192,"&lt;/a&gt;")</f>
        <v>&lt;/li&gt;&lt;li&gt;&lt;a href=|http://biblebrowser.com/psalms/95-1.htm| title=|Split View| target=|_top|&gt;Split&lt;/a&gt;</v>
      </c>
      <c r="AU573" s="2" t="s">
        <v>1276</v>
      </c>
      <c r="AV573" t="s">
        <v>64</v>
      </c>
    </row>
    <row r="574" spans="1:48">
      <c r="A574" t="s">
        <v>622</v>
      </c>
      <c r="B574" t="s">
        <v>1078</v>
      </c>
      <c r="C574" t="s">
        <v>624</v>
      </c>
      <c r="D574" t="s">
        <v>1268</v>
      </c>
      <c r="E574" t="s">
        <v>1277</v>
      </c>
      <c r="F574" t="s">
        <v>1304</v>
      </c>
      <c r="G574" t="s">
        <v>1266</v>
      </c>
      <c r="H574" t="s">
        <v>1305</v>
      </c>
      <c r="I574" t="s">
        <v>1303</v>
      </c>
      <c r="J574" t="s">
        <v>1267</v>
      </c>
      <c r="K574" t="s">
        <v>1275</v>
      </c>
      <c r="L574" s="2" t="s">
        <v>1274</v>
      </c>
      <c r="M574" t="str">
        <f t="shared" ref="M574:AB574" si="2292">CONCATENATE("&lt;/li&gt;&lt;li&gt;&lt;a href=|http://",M1191,"/psalms/96.htm","| ","title=|",M1190,"| target=|_top|&gt;",M1192,"&lt;/a&gt;")</f>
        <v>&lt;/li&gt;&lt;li&gt;&lt;a href=|http://niv.scripturetext.com/psalms/96.htm| title=|New International Version| target=|_top|&gt;NIV&lt;/a&gt;</v>
      </c>
      <c r="N574" t="str">
        <f t="shared" si="2292"/>
        <v>&lt;/li&gt;&lt;li&gt;&lt;a href=|http://nlt.scripturetext.com/psalms/96.htm| title=|New Living Translation| target=|_top|&gt;NLT&lt;/a&gt;</v>
      </c>
      <c r="O574" t="str">
        <f t="shared" si="2292"/>
        <v>&lt;/li&gt;&lt;li&gt;&lt;a href=|http://nasb.scripturetext.com/psalms/96.htm| title=|New American Standard Bible| target=|_top|&gt;NAS&lt;/a&gt;</v>
      </c>
      <c r="P574" t="str">
        <f t="shared" si="2292"/>
        <v>&lt;/li&gt;&lt;li&gt;&lt;a href=|http://gwt.scripturetext.com/psalms/96.htm| title=|God's Word Translation| target=|_top|&gt;GWT&lt;/a&gt;</v>
      </c>
      <c r="Q574" t="str">
        <f t="shared" si="2292"/>
        <v>&lt;/li&gt;&lt;li&gt;&lt;a href=|http://kingjbible.com/psalms/96.htm| title=|King James Bible| target=|_top|&gt;KJV&lt;/a&gt;</v>
      </c>
      <c r="R574" t="str">
        <f t="shared" si="2292"/>
        <v>&lt;/li&gt;&lt;li&gt;&lt;a href=|http://asvbible.com/psalms/96.htm| title=|American Standard Version| target=|_top|&gt;ASV&lt;/a&gt;</v>
      </c>
      <c r="S574" t="str">
        <f t="shared" si="2292"/>
        <v>&lt;/li&gt;&lt;li&gt;&lt;a href=|http://drb.scripturetext.com/psalms/96.htm| title=|Douay-Rheims Bible| target=|_top|&gt;DRB&lt;/a&gt;</v>
      </c>
      <c r="T574" t="str">
        <f t="shared" si="2292"/>
        <v>&lt;/li&gt;&lt;li&gt;&lt;a href=|http://erv.scripturetext.com/psalms/96.htm| title=|English Revised Version| target=|_top|&gt;ERV&lt;/a&gt;</v>
      </c>
      <c r="V574" t="str">
        <f>CONCATENATE("&lt;/li&gt;&lt;li&gt;&lt;a href=|http://",V1191,"/psalms/96.htm","| ","title=|",V1190,"| target=|_top|&gt;",V1192,"&lt;/a&gt;")</f>
        <v>&lt;/li&gt;&lt;li&gt;&lt;a href=|http://study.interlinearbible.org/psalms/96.htm| title=|Hebrew Study Bible| target=|_top|&gt;Heb Study&lt;/a&gt;</v>
      </c>
      <c r="W574" t="str">
        <f t="shared" si="2292"/>
        <v>&lt;/li&gt;&lt;li&gt;&lt;a href=|http://apostolic.interlinearbible.org/psalms/96.htm| title=|Apostolic Bible Polyglot Interlinear| target=|_top|&gt;Polyglot&lt;/a&gt;</v>
      </c>
      <c r="X574" t="str">
        <f t="shared" si="2292"/>
        <v>&lt;/li&gt;&lt;li&gt;&lt;a href=|http://interlinearbible.org/psalms/96.htm| title=|Interlinear Bible| target=|_top|&gt;Interlin&lt;/a&gt;</v>
      </c>
      <c r="Y574" t="str">
        <f t="shared" ref="Y574" si="2293">CONCATENATE("&lt;/li&gt;&lt;li&gt;&lt;a href=|http://",Y1191,"/psalms/96.htm","| ","title=|",Y1190,"| target=|_top|&gt;",Y1192,"&lt;/a&gt;")</f>
        <v>&lt;/li&gt;&lt;li&gt;&lt;a href=|http://bibleoutline.org/psalms/96.htm| title=|Outline with People and Places List| target=|_top|&gt;Outline&lt;/a&gt;</v>
      </c>
      <c r="Z574" t="str">
        <f t="shared" si="2292"/>
        <v>&lt;/li&gt;&lt;li&gt;&lt;a href=|http://kjvs.scripturetext.com/psalms/96.htm| title=|King James Bible with Strong's Numbers| target=|_top|&gt;Strong's&lt;/a&gt;</v>
      </c>
      <c r="AA574" t="str">
        <f t="shared" si="2292"/>
        <v>&lt;/li&gt;&lt;li&gt;&lt;a href=|http://childrensbibleonline.com/psalms/96.htm| title=|The Children's Bible| target=|_top|&gt;Children's&lt;/a&gt;</v>
      </c>
      <c r="AB574" s="2" t="str">
        <f t="shared" si="2292"/>
        <v>&lt;/li&gt;&lt;li&gt;&lt;a href=|http://tsk.scripturetext.com/psalms/96.htm| title=|Treasury of Scripture Knowledge| target=|_top|&gt;TSK&lt;/a&gt;</v>
      </c>
      <c r="AC574" t="str">
        <f>CONCATENATE("&lt;a href=|http://",AC1191,"/psalms/96.htm","| ","title=|",AC1190,"| target=|_top|&gt;",AC1192,"&lt;/a&gt;")</f>
        <v>&lt;a href=|http://parallelbible.com/psalms/96.htm| title=|Parallel Chapters| target=|_top|&gt;PAR&lt;/a&gt;</v>
      </c>
      <c r="AD574" s="2" t="str">
        <f t="shared" ref="AD574:AK574" si="2294">CONCATENATE("&lt;/li&gt;&lt;li&gt;&lt;a href=|http://",AD1191,"/psalms/96.htm","| ","title=|",AD1190,"| target=|_top|&gt;",AD1192,"&lt;/a&gt;")</f>
        <v>&lt;/li&gt;&lt;li&gt;&lt;a href=|http://gsb.biblecommenter.com/psalms/96.htm| title=|Geneva Study Bible| target=|_top|&gt;GSB&lt;/a&gt;</v>
      </c>
      <c r="AE574" s="2" t="str">
        <f t="shared" si="2294"/>
        <v>&lt;/li&gt;&lt;li&gt;&lt;a href=|http://jfb.biblecommenter.com/psalms/96.htm| title=|Jamieson-Fausset-Brown Bible Commentary| target=|_top|&gt;JFB&lt;/a&gt;</v>
      </c>
      <c r="AF574" s="2" t="str">
        <f t="shared" si="2294"/>
        <v>&lt;/li&gt;&lt;li&gt;&lt;a href=|http://kjt.biblecommenter.com/psalms/96.htm| title=|King James Translators' Notes| target=|_top|&gt;KJT&lt;/a&gt;</v>
      </c>
      <c r="AG574" s="2" t="str">
        <f t="shared" si="2294"/>
        <v>&lt;/li&gt;&lt;li&gt;&lt;a href=|http://mhc.biblecommenter.com/psalms/96.htm| title=|Matthew Henry's Concise Commentary| target=|_top|&gt;MHC&lt;/a&gt;</v>
      </c>
      <c r="AH574" s="2" t="str">
        <f t="shared" si="2294"/>
        <v>&lt;/li&gt;&lt;li&gt;&lt;a href=|http://sco.biblecommenter.com/psalms/96.htm| title=|Scofield Reference Notes| target=|_top|&gt;SCO&lt;/a&gt;</v>
      </c>
      <c r="AI574" s="2" t="str">
        <f t="shared" si="2294"/>
        <v>&lt;/li&gt;&lt;li&gt;&lt;a href=|http://wes.biblecommenter.com/psalms/96.htm| title=|Wesley's Notes on the Bible| target=|_top|&gt;WES&lt;/a&gt;</v>
      </c>
      <c r="AJ574" t="str">
        <f t="shared" si="2294"/>
        <v>&lt;/li&gt;&lt;li&gt;&lt;a href=|http://worldebible.com/psalms/96.htm| title=|World English Bible| target=|_top|&gt;WEB&lt;/a&gt;</v>
      </c>
      <c r="AK574" t="str">
        <f t="shared" si="2294"/>
        <v>&lt;/li&gt;&lt;li&gt;&lt;a href=|http://yltbible.com/psalms/96.htm| title=|Young's Literal Translation| target=|_top|&gt;YLT&lt;/a&gt;</v>
      </c>
      <c r="AL574" t="str">
        <f>CONCATENATE("&lt;a href=|http://",AL1191,"/psalms/96.htm","| ","title=|",AL1190,"| target=|_top|&gt;",AL1192,"&lt;/a&gt;")</f>
        <v>&lt;a href=|http://kjv.us/psalms/96.htm| title=|American King James Version| target=|_top|&gt;AKJ&lt;/a&gt;</v>
      </c>
      <c r="AM574" t="str">
        <f t="shared" ref="AM574:AN574" si="2295">CONCATENATE("&lt;/li&gt;&lt;li&gt;&lt;a href=|http://",AM1191,"/psalms/96.htm","| ","title=|",AM1190,"| target=|_top|&gt;",AM1192,"&lt;/a&gt;")</f>
        <v>&lt;/li&gt;&lt;li&gt;&lt;a href=|http://basicenglishbible.com/psalms/96.htm| title=|Bible in Basic English| target=|_top|&gt;BBE&lt;/a&gt;</v>
      </c>
      <c r="AN574" t="str">
        <f t="shared" si="2295"/>
        <v>&lt;/li&gt;&lt;li&gt;&lt;a href=|http://darbybible.com/psalms/96.htm| title=|Darby Bible Translation| target=|_top|&gt;DBY&lt;/a&gt;</v>
      </c>
      <c r="AO57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7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7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74" t="str">
        <f>CONCATENATE("&lt;/li&gt;&lt;li&gt;&lt;a href=|http://",AR1191,"/psalms/96.htm","| ","title=|",AR1190,"| target=|_top|&gt;",AR1192,"&lt;/a&gt;")</f>
        <v>&lt;/li&gt;&lt;li&gt;&lt;a href=|http://websterbible.com/psalms/96.htm| title=|Webster's Bible Translation| target=|_top|&gt;WBS&lt;/a&gt;</v>
      </c>
      <c r="AS57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74" t="str">
        <f>CONCATENATE("&lt;/li&gt;&lt;li&gt;&lt;a href=|http://",AT1191,"/psalms/96-1.htm","| ","title=|",AT1190,"| target=|_top|&gt;",AT1192,"&lt;/a&gt;")</f>
        <v>&lt;/li&gt;&lt;li&gt;&lt;a href=|http://biblebrowser.com/psalms/96-1.htm| title=|Split View| target=|_top|&gt;Split&lt;/a&gt;</v>
      </c>
      <c r="AU574" s="2" t="s">
        <v>1276</v>
      </c>
      <c r="AV574" t="s">
        <v>64</v>
      </c>
    </row>
    <row r="575" spans="1:48">
      <c r="A575" t="s">
        <v>622</v>
      </c>
      <c r="B575" t="s">
        <v>1079</v>
      </c>
      <c r="C575" t="s">
        <v>624</v>
      </c>
      <c r="D575" t="s">
        <v>1268</v>
      </c>
      <c r="E575" t="s">
        <v>1277</v>
      </c>
      <c r="F575" t="s">
        <v>1304</v>
      </c>
      <c r="G575" t="s">
        <v>1266</v>
      </c>
      <c r="H575" t="s">
        <v>1305</v>
      </c>
      <c r="I575" t="s">
        <v>1303</v>
      </c>
      <c r="J575" t="s">
        <v>1267</v>
      </c>
      <c r="K575" t="s">
        <v>1275</v>
      </c>
      <c r="L575" s="2" t="s">
        <v>1274</v>
      </c>
      <c r="M575" t="str">
        <f t="shared" ref="M575:AB575" si="2296">CONCATENATE("&lt;/li&gt;&lt;li&gt;&lt;a href=|http://",M1191,"/psalms/97.htm","| ","title=|",M1190,"| target=|_top|&gt;",M1192,"&lt;/a&gt;")</f>
        <v>&lt;/li&gt;&lt;li&gt;&lt;a href=|http://niv.scripturetext.com/psalms/97.htm| title=|New International Version| target=|_top|&gt;NIV&lt;/a&gt;</v>
      </c>
      <c r="N575" t="str">
        <f t="shared" si="2296"/>
        <v>&lt;/li&gt;&lt;li&gt;&lt;a href=|http://nlt.scripturetext.com/psalms/97.htm| title=|New Living Translation| target=|_top|&gt;NLT&lt;/a&gt;</v>
      </c>
      <c r="O575" t="str">
        <f t="shared" si="2296"/>
        <v>&lt;/li&gt;&lt;li&gt;&lt;a href=|http://nasb.scripturetext.com/psalms/97.htm| title=|New American Standard Bible| target=|_top|&gt;NAS&lt;/a&gt;</v>
      </c>
      <c r="P575" t="str">
        <f t="shared" si="2296"/>
        <v>&lt;/li&gt;&lt;li&gt;&lt;a href=|http://gwt.scripturetext.com/psalms/97.htm| title=|God's Word Translation| target=|_top|&gt;GWT&lt;/a&gt;</v>
      </c>
      <c r="Q575" t="str">
        <f t="shared" si="2296"/>
        <v>&lt;/li&gt;&lt;li&gt;&lt;a href=|http://kingjbible.com/psalms/97.htm| title=|King James Bible| target=|_top|&gt;KJV&lt;/a&gt;</v>
      </c>
      <c r="R575" t="str">
        <f t="shared" si="2296"/>
        <v>&lt;/li&gt;&lt;li&gt;&lt;a href=|http://asvbible.com/psalms/97.htm| title=|American Standard Version| target=|_top|&gt;ASV&lt;/a&gt;</v>
      </c>
      <c r="S575" t="str">
        <f t="shared" si="2296"/>
        <v>&lt;/li&gt;&lt;li&gt;&lt;a href=|http://drb.scripturetext.com/psalms/97.htm| title=|Douay-Rheims Bible| target=|_top|&gt;DRB&lt;/a&gt;</v>
      </c>
      <c r="T575" t="str">
        <f t="shared" si="2296"/>
        <v>&lt;/li&gt;&lt;li&gt;&lt;a href=|http://erv.scripturetext.com/psalms/97.htm| title=|English Revised Version| target=|_top|&gt;ERV&lt;/a&gt;</v>
      </c>
      <c r="V575" t="str">
        <f>CONCATENATE("&lt;/li&gt;&lt;li&gt;&lt;a href=|http://",V1191,"/psalms/97.htm","| ","title=|",V1190,"| target=|_top|&gt;",V1192,"&lt;/a&gt;")</f>
        <v>&lt;/li&gt;&lt;li&gt;&lt;a href=|http://study.interlinearbible.org/psalms/97.htm| title=|Hebrew Study Bible| target=|_top|&gt;Heb Study&lt;/a&gt;</v>
      </c>
      <c r="W575" t="str">
        <f t="shared" si="2296"/>
        <v>&lt;/li&gt;&lt;li&gt;&lt;a href=|http://apostolic.interlinearbible.org/psalms/97.htm| title=|Apostolic Bible Polyglot Interlinear| target=|_top|&gt;Polyglot&lt;/a&gt;</v>
      </c>
      <c r="X575" t="str">
        <f t="shared" si="2296"/>
        <v>&lt;/li&gt;&lt;li&gt;&lt;a href=|http://interlinearbible.org/psalms/97.htm| title=|Interlinear Bible| target=|_top|&gt;Interlin&lt;/a&gt;</v>
      </c>
      <c r="Y575" t="str">
        <f t="shared" ref="Y575" si="2297">CONCATENATE("&lt;/li&gt;&lt;li&gt;&lt;a href=|http://",Y1191,"/psalms/97.htm","| ","title=|",Y1190,"| target=|_top|&gt;",Y1192,"&lt;/a&gt;")</f>
        <v>&lt;/li&gt;&lt;li&gt;&lt;a href=|http://bibleoutline.org/psalms/97.htm| title=|Outline with People and Places List| target=|_top|&gt;Outline&lt;/a&gt;</v>
      </c>
      <c r="Z575" t="str">
        <f t="shared" si="2296"/>
        <v>&lt;/li&gt;&lt;li&gt;&lt;a href=|http://kjvs.scripturetext.com/psalms/97.htm| title=|King James Bible with Strong's Numbers| target=|_top|&gt;Strong's&lt;/a&gt;</v>
      </c>
      <c r="AA575" t="str">
        <f t="shared" si="2296"/>
        <v>&lt;/li&gt;&lt;li&gt;&lt;a href=|http://childrensbibleonline.com/psalms/97.htm| title=|The Children's Bible| target=|_top|&gt;Children's&lt;/a&gt;</v>
      </c>
      <c r="AB575" s="2" t="str">
        <f t="shared" si="2296"/>
        <v>&lt;/li&gt;&lt;li&gt;&lt;a href=|http://tsk.scripturetext.com/psalms/97.htm| title=|Treasury of Scripture Knowledge| target=|_top|&gt;TSK&lt;/a&gt;</v>
      </c>
      <c r="AC575" t="str">
        <f>CONCATENATE("&lt;a href=|http://",AC1191,"/psalms/97.htm","| ","title=|",AC1190,"| target=|_top|&gt;",AC1192,"&lt;/a&gt;")</f>
        <v>&lt;a href=|http://parallelbible.com/psalms/97.htm| title=|Parallel Chapters| target=|_top|&gt;PAR&lt;/a&gt;</v>
      </c>
      <c r="AD575" s="2" t="str">
        <f t="shared" ref="AD575:AK575" si="2298">CONCATENATE("&lt;/li&gt;&lt;li&gt;&lt;a href=|http://",AD1191,"/psalms/97.htm","| ","title=|",AD1190,"| target=|_top|&gt;",AD1192,"&lt;/a&gt;")</f>
        <v>&lt;/li&gt;&lt;li&gt;&lt;a href=|http://gsb.biblecommenter.com/psalms/97.htm| title=|Geneva Study Bible| target=|_top|&gt;GSB&lt;/a&gt;</v>
      </c>
      <c r="AE575" s="2" t="str">
        <f t="shared" si="2298"/>
        <v>&lt;/li&gt;&lt;li&gt;&lt;a href=|http://jfb.biblecommenter.com/psalms/97.htm| title=|Jamieson-Fausset-Brown Bible Commentary| target=|_top|&gt;JFB&lt;/a&gt;</v>
      </c>
      <c r="AF575" s="2" t="str">
        <f t="shared" si="2298"/>
        <v>&lt;/li&gt;&lt;li&gt;&lt;a href=|http://kjt.biblecommenter.com/psalms/97.htm| title=|King James Translators' Notes| target=|_top|&gt;KJT&lt;/a&gt;</v>
      </c>
      <c r="AG575" s="2" t="str">
        <f t="shared" si="2298"/>
        <v>&lt;/li&gt;&lt;li&gt;&lt;a href=|http://mhc.biblecommenter.com/psalms/97.htm| title=|Matthew Henry's Concise Commentary| target=|_top|&gt;MHC&lt;/a&gt;</v>
      </c>
      <c r="AH575" s="2" t="str">
        <f t="shared" si="2298"/>
        <v>&lt;/li&gt;&lt;li&gt;&lt;a href=|http://sco.biblecommenter.com/psalms/97.htm| title=|Scofield Reference Notes| target=|_top|&gt;SCO&lt;/a&gt;</v>
      </c>
      <c r="AI575" s="2" t="str">
        <f t="shared" si="2298"/>
        <v>&lt;/li&gt;&lt;li&gt;&lt;a href=|http://wes.biblecommenter.com/psalms/97.htm| title=|Wesley's Notes on the Bible| target=|_top|&gt;WES&lt;/a&gt;</v>
      </c>
      <c r="AJ575" t="str">
        <f t="shared" si="2298"/>
        <v>&lt;/li&gt;&lt;li&gt;&lt;a href=|http://worldebible.com/psalms/97.htm| title=|World English Bible| target=|_top|&gt;WEB&lt;/a&gt;</v>
      </c>
      <c r="AK575" t="str">
        <f t="shared" si="2298"/>
        <v>&lt;/li&gt;&lt;li&gt;&lt;a href=|http://yltbible.com/psalms/97.htm| title=|Young's Literal Translation| target=|_top|&gt;YLT&lt;/a&gt;</v>
      </c>
      <c r="AL575" t="str">
        <f>CONCATENATE("&lt;a href=|http://",AL1191,"/psalms/97.htm","| ","title=|",AL1190,"| target=|_top|&gt;",AL1192,"&lt;/a&gt;")</f>
        <v>&lt;a href=|http://kjv.us/psalms/97.htm| title=|American King James Version| target=|_top|&gt;AKJ&lt;/a&gt;</v>
      </c>
      <c r="AM575" t="str">
        <f t="shared" ref="AM575:AN575" si="2299">CONCATENATE("&lt;/li&gt;&lt;li&gt;&lt;a href=|http://",AM1191,"/psalms/97.htm","| ","title=|",AM1190,"| target=|_top|&gt;",AM1192,"&lt;/a&gt;")</f>
        <v>&lt;/li&gt;&lt;li&gt;&lt;a href=|http://basicenglishbible.com/psalms/97.htm| title=|Bible in Basic English| target=|_top|&gt;BBE&lt;/a&gt;</v>
      </c>
      <c r="AN575" t="str">
        <f t="shared" si="2299"/>
        <v>&lt;/li&gt;&lt;li&gt;&lt;a href=|http://darbybible.com/psalms/97.htm| title=|Darby Bible Translation| target=|_top|&gt;DBY&lt;/a&gt;</v>
      </c>
      <c r="AO57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7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7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75" t="str">
        <f>CONCATENATE("&lt;/li&gt;&lt;li&gt;&lt;a href=|http://",AR1191,"/psalms/97.htm","| ","title=|",AR1190,"| target=|_top|&gt;",AR1192,"&lt;/a&gt;")</f>
        <v>&lt;/li&gt;&lt;li&gt;&lt;a href=|http://websterbible.com/psalms/97.htm| title=|Webster's Bible Translation| target=|_top|&gt;WBS&lt;/a&gt;</v>
      </c>
      <c r="AS57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75" t="str">
        <f>CONCATENATE("&lt;/li&gt;&lt;li&gt;&lt;a href=|http://",AT1191,"/psalms/97-1.htm","| ","title=|",AT1190,"| target=|_top|&gt;",AT1192,"&lt;/a&gt;")</f>
        <v>&lt;/li&gt;&lt;li&gt;&lt;a href=|http://biblebrowser.com/psalms/97-1.htm| title=|Split View| target=|_top|&gt;Split&lt;/a&gt;</v>
      </c>
      <c r="AU575" s="2" t="s">
        <v>1276</v>
      </c>
      <c r="AV575" t="s">
        <v>64</v>
      </c>
    </row>
    <row r="576" spans="1:48">
      <c r="A576" t="s">
        <v>622</v>
      </c>
      <c r="B576" t="s">
        <v>1080</v>
      </c>
      <c r="C576" t="s">
        <v>624</v>
      </c>
      <c r="D576" t="s">
        <v>1268</v>
      </c>
      <c r="E576" t="s">
        <v>1277</v>
      </c>
      <c r="F576" t="s">
        <v>1304</v>
      </c>
      <c r="G576" t="s">
        <v>1266</v>
      </c>
      <c r="H576" t="s">
        <v>1305</v>
      </c>
      <c r="I576" t="s">
        <v>1303</v>
      </c>
      <c r="J576" t="s">
        <v>1267</v>
      </c>
      <c r="K576" t="s">
        <v>1275</v>
      </c>
      <c r="L576" s="2" t="s">
        <v>1274</v>
      </c>
      <c r="M576" t="str">
        <f t="shared" ref="M576:AB576" si="2300">CONCATENATE("&lt;/li&gt;&lt;li&gt;&lt;a href=|http://",M1191,"/psalms/98.htm","| ","title=|",M1190,"| target=|_top|&gt;",M1192,"&lt;/a&gt;")</f>
        <v>&lt;/li&gt;&lt;li&gt;&lt;a href=|http://niv.scripturetext.com/psalms/98.htm| title=|New International Version| target=|_top|&gt;NIV&lt;/a&gt;</v>
      </c>
      <c r="N576" t="str">
        <f t="shared" si="2300"/>
        <v>&lt;/li&gt;&lt;li&gt;&lt;a href=|http://nlt.scripturetext.com/psalms/98.htm| title=|New Living Translation| target=|_top|&gt;NLT&lt;/a&gt;</v>
      </c>
      <c r="O576" t="str">
        <f t="shared" si="2300"/>
        <v>&lt;/li&gt;&lt;li&gt;&lt;a href=|http://nasb.scripturetext.com/psalms/98.htm| title=|New American Standard Bible| target=|_top|&gt;NAS&lt;/a&gt;</v>
      </c>
      <c r="P576" t="str">
        <f t="shared" si="2300"/>
        <v>&lt;/li&gt;&lt;li&gt;&lt;a href=|http://gwt.scripturetext.com/psalms/98.htm| title=|God's Word Translation| target=|_top|&gt;GWT&lt;/a&gt;</v>
      </c>
      <c r="Q576" t="str">
        <f t="shared" si="2300"/>
        <v>&lt;/li&gt;&lt;li&gt;&lt;a href=|http://kingjbible.com/psalms/98.htm| title=|King James Bible| target=|_top|&gt;KJV&lt;/a&gt;</v>
      </c>
      <c r="R576" t="str">
        <f t="shared" si="2300"/>
        <v>&lt;/li&gt;&lt;li&gt;&lt;a href=|http://asvbible.com/psalms/98.htm| title=|American Standard Version| target=|_top|&gt;ASV&lt;/a&gt;</v>
      </c>
      <c r="S576" t="str">
        <f t="shared" si="2300"/>
        <v>&lt;/li&gt;&lt;li&gt;&lt;a href=|http://drb.scripturetext.com/psalms/98.htm| title=|Douay-Rheims Bible| target=|_top|&gt;DRB&lt;/a&gt;</v>
      </c>
      <c r="T576" t="str">
        <f t="shared" si="2300"/>
        <v>&lt;/li&gt;&lt;li&gt;&lt;a href=|http://erv.scripturetext.com/psalms/98.htm| title=|English Revised Version| target=|_top|&gt;ERV&lt;/a&gt;</v>
      </c>
      <c r="V576" t="str">
        <f>CONCATENATE("&lt;/li&gt;&lt;li&gt;&lt;a href=|http://",V1191,"/psalms/98.htm","| ","title=|",V1190,"| target=|_top|&gt;",V1192,"&lt;/a&gt;")</f>
        <v>&lt;/li&gt;&lt;li&gt;&lt;a href=|http://study.interlinearbible.org/psalms/98.htm| title=|Hebrew Study Bible| target=|_top|&gt;Heb Study&lt;/a&gt;</v>
      </c>
      <c r="W576" t="str">
        <f t="shared" si="2300"/>
        <v>&lt;/li&gt;&lt;li&gt;&lt;a href=|http://apostolic.interlinearbible.org/psalms/98.htm| title=|Apostolic Bible Polyglot Interlinear| target=|_top|&gt;Polyglot&lt;/a&gt;</v>
      </c>
      <c r="X576" t="str">
        <f t="shared" si="2300"/>
        <v>&lt;/li&gt;&lt;li&gt;&lt;a href=|http://interlinearbible.org/psalms/98.htm| title=|Interlinear Bible| target=|_top|&gt;Interlin&lt;/a&gt;</v>
      </c>
      <c r="Y576" t="str">
        <f t="shared" ref="Y576" si="2301">CONCATENATE("&lt;/li&gt;&lt;li&gt;&lt;a href=|http://",Y1191,"/psalms/98.htm","| ","title=|",Y1190,"| target=|_top|&gt;",Y1192,"&lt;/a&gt;")</f>
        <v>&lt;/li&gt;&lt;li&gt;&lt;a href=|http://bibleoutline.org/psalms/98.htm| title=|Outline with People and Places List| target=|_top|&gt;Outline&lt;/a&gt;</v>
      </c>
      <c r="Z576" t="str">
        <f t="shared" si="2300"/>
        <v>&lt;/li&gt;&lt;li&gt;&lt;a href=|http://kjvs.scripturetext.com/psalms/98.htm| title=|King James Bible with Strong's Numbers| target=|_top|&gt;Strong's&lt;/a&gt;</v>
      </c>
      <c r="AA576" t="str">
        <f t="shared" si="2300"/>
        <v>&lt;/li&gt;&lt;li&gt;&lt;a href=|http://childrensbibleonline.com/psalms/98.htm| title=|The Children's Bible| target=|_top|&gt;Children's&lt;/a&gt;</v>
      </c>
      <c r="AB576" s="2" t="str">
        <f t="shared" si="2300"/>
        <v>&lt;/li&gt;&lt;li&gt;&lt;a href=|http://tsk.scripturetext.com/psalms/98.htm| title=|Treasury of Scripture Knowledge| target=|_top|&gt;TSK&lt;/a&gt;</v>
      </c>
      <c r="AC576" t="str">
        <f>CONCATENATE("&lt;a href=|http://",AC1191,"/psalms/98.htm","| ","title=|",AC1190,"| target=|_top|&gt;",AC1192,"&lt;/a&gt;")</f>
        <v>&lt;a href=|http://parallelbible.com/psalms/98.htm| title=|Parallel Chapters| target=|_top|&gt;PAR&lt;/a&gt;</v>
      </c>
      <c r="AD576" s="2" t="str">
        <f t="shared" ref="AD576:AK576" si="2302">CONCATENATE("&lt;/li&gt;&lt;li&gt;&lt;a href=|http://",AD1191,"/psalms/98.htm","| ","title=|",AD1190,"| target=|_top|&gt;",AD1192,"&lt;/a&gt;")</f>
        <v>&lt;/li&gt;&lt;li&gt;&lt;a href=|http://gsb.biblecommenter.com/psalms/98.htm| title=|Geneva Study Bible| target=|_top|&gt;GSB&lt;/a&gt;</v>
      </c>
      <c r="AE576" s="2" t="str">
        <f t="shared" si="2302"/>
        <v>&lt;/li&gt;&lt;li&gt;&lt;a href=|http://jfb.biblecommenter.com/psalms/98.htm| title=|Jamieson-Fausset-Brown Bible Commentary| target=|_top|&gt;JFB&lt;/a&gt;</v>
      </c>
      <c r="AF576" s="2" t="str">
        <f t="shared" si="2302"/>
        <v>&lt;/li&gt;&lt;li&gt;&lt;a href=|http://kjt.biblecommenter.com/psalms/98.htm| title=|King James Translators' Notes| target=|_top|&gt;KJT&lt;/a&gt;</v>
      </c>
      <c r="AG576" s="2" t="str">
        <f t="shared" si="2302"/>
        <v>&lt;/li&gt;&lt;li&gt;&lt;a href=|http://mhc.biblecommenter.com/psalms/98.htm| title=|Matthew Henry's Concise Commentary| target=|_top|&gt;MHC&lt;/a&gt;</v>
      </c>
      <c r="AH576" s="2" t="str">
        <f t="shared" si="2302"/>
        <v>&lt;/li&gt;&lt;li&gt;&lt;a href=|http://sco.biblecommenter.com/psalms/98.htm| title=|Scofield Reference Notes| target=|_top|&gt;SCO&lt;/a&gt;</v>
      </c>
      <c r="AI576" s="2" t="str">
        <f t="shared" si="2302"/>
        <v>&lt;/li&gt;&lt;li&gt;&lt;a href=|http://wes.biblecommenter.com/psalms/98.htm| title=|Wesley's Notes on the Bible| target=|_top|&gt;WES&lt;/a&gt;</v>
      </c>
      <c r="AJ576" t="str">
        <f t="shared" si="2302"/>
        <v>&lt;/li&gt;&lt;li&gt;&lt;a href=|http://worldebible.com/psalms/98.htm| title=|World English Bible| target=|_top|&gt;WEB&lt;/a&gt;</v>
      </c>
      <c r="AK576" t="str">
        <f t="shared" si="2302"/>
        <v>&lt;/li&gt;&lt;li&gt;&lt;a href=|http://yltbible.com/psalms/98.htm| title=|Young's Literal Translation| target=|_top|&gt;YLT&lt;/a&gt;</v>
      </c>
      <c r="AL576" t="str">
        <f>CONCATENATE("&lt;a href=|http://",AL1191,"/psalms/98.htm","| ","title=|",AL1190,"| target=|_top|&gt;",AL1192,"&lt;/a&gt;")</f>
        <v>&lt;a href=|http://kjv.us/psalms/98.htm| title=|American King James Version| target=|_top|&gt;AKJ&lt;/a&gt;</v>
      </c>
      <c r="AM576" t="str">
        <f t="shared" ref="AM576:AN576" si="2303">CONCATENATE("&lt;/li&gt;&lt;li&gt;&lt;a href=|http://",AM1191,"/psalms/98.htm","| ","title=|",AM1190,"| target=|_top|&gt;",AM1192,"&lt;/a&gt;")</f>
        <v>&lt;/li&gt;&lt;li&gt;&lt;a href=|http://basicenglishbible.com/psalms/98.htm| title=|Bible in Basic English| target=|_top|&gt;BBE&lt;/a&gt;</v>
      </c>
      <c r="AN576" t="str">
        <f t="shared" si="2303"/>
        <v>&lt;/li&gt;&lt;li&gt;&lt;a href=|http://darbybible.com/psalms/98.htm| title=|Darby Bible Translation| target=|_top|&gt;DBY&lt;/a&gt;</v>
      </c>
      <c r="AO57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7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7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76" t="str">
        <f>CONCATENATE("&lt;/li&gt;&lt;li&gt;&lt;a href=|http://",AR1191,"/psalms/98.htm","| ","title=|",AR1190,"| target=|_top|&gt;",AR1192,"&lt;/a&gt;")</f>
        <v>&lt;/li&gt;&lt;li&gt;&lt;a href=|http://websterbible.com/psalms/98.htm| title=|Webster's Bible Translation| target=|_top|&gt;WBS&lt;/a&gt;</v>
      </c>
      <c r="AS57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76" t="str">
        <f>CONCATENATE("&lt;/li&gt;&lt;li&gt;&lt;a href=|http://",AT1191,"/psalms/98-1.htm","| ","title=|",AT1190,"| target=|_top|&gt;",AT1192,"&lt;/a&gt;")</f>
        <v>&lt;/li&gt;&lt;li&gt;&lt;a href=|http://biblebrowser.com/psalms/98-1.htm| title=|Split View| target=|_top|&gt;Split&lt;/a&gt;</v>
      </c>
      <c r="AU576" s="2" t="s">
        <v>1276</v>
      </c>
      <c r="AV576" t="s">
        <v>64</v>
      </c>
    </row>
    <row r="577" spans="1:48">
      <c r="A577" t="s">
        <v>622</v>
      </c>
      <c r="B577" t="s">
        <v>1081</v>
      </c>
      <c r="C577" t="s">
        <v>624</v>
      </c>
      <c r="D577" t="s">
        <v>1268</v>
      </c>
      <c r="E577" t="s">
        <v>1277</v>
      </c>
      <c r="F577" t="s">
        <v>1304</v>
      </c>
      <c r="G577" t="s">
        <v>1266</v>
      </c>
      <c r="H577" t="s">
        <v>1305</v>
      </c>
      <c r="I577" t="s">
        <v>1303</v>
      </c>
      <c r="J577" t="s">
        <v>1267</v>
      </c>
      <c r="K577" t="s">
        <v>1275</v>
      </c>
      <c r="L577" s="2" t="s">
        <v>1274</v>
      </c>
      <c r="M577" t="str">
        <f t="shared" ref="M577:AB577" si="2304">CONCATENATE("&lt;/li&gt;&lt;li&gt;&lt;a href=|http://",M1191,"/psalms/99.htm","| ","title=|",M1190,"| target=|_top|&gt;",M1192,"&lt;/a&gt;")</f>
        <v>&lt;/li&gt;&lt;li&gt;&lt;a href=|http://niv.scripturetext.com/psalms/99.htm| title=|New International Version| target=|_top|&gt;NIV&lt;/a&gt;</v>
      </c>
      <c r="N577" t="str">
        <f t="shared" si="2304"/>
        <v>&lt;/li&gt;&lt;li&gt;&lt;a href=|http://nlt.scripturetext.com/psalms/99.htm| title=|New Living Translation| target=|_top|&gt;NLT&lt;/a&gt;</v>
      </c>
      <c r="O577" t="str">
        <f t="shared" si="2304"/>
        <v>&lt;/li&gt;&lt;li&gt;&lt;a href=|http://nasb.scripturetext.com/psalms/99.htm| title=|New American Standard Bible| target=|_top|&gt;NAS&lt;/a&gt;</v>
      </c>
      <c r="P577" t="str">
        <f t="shared" si="2304"/>
        <v>&lt;/li&gt;&lt;li&gt;&lt;a href=|http://gwt.scripturetext.com/psalms/99.htm| title=|God's Word Translation| target=|_top|&gt;GWT&lt;/a&gt;</v>
      </c>
      <c r="Q577" t="str">
        <f t="shared" si="2304"/>
        <v>&lt;/li&gt;&lt;li&gt;&lt;a href=|http://kingjbible.com/psalms/99.htm| title=|King James Bible| target=|_top|&gt;KJV&lt;/a&gt;</v>
      </c>
      <c r="R577" t="str">
        <f t="shared" si="2304"/>
        <v>&lt;/li&gt;&lt;li&gt;&lt;a href=|http://asvbible.com/psalms/99.htm| title=|American Standard Version| target=|_top|&gt;ASV&lt;/a&gt;</v>
      </c>
      <c r="S577" t="str">
        <f t="shared" si="2304"/>
        <v>&lt;/li&gt;&lt;li&gt;&lt;a href=|http://drb.scripturetext.com/psalms/99.htm| title=|Douay-Rheims Bible| target=|_top|&gt;DRB&lt;/a&gt;</v>
      </c>
      <c r="T577" t="str">
        <f t="shared" si="2304"/>
        <v>&lt;/li&gt;&lt;li&gt;&lt;a href=|http://erv.scripturetext.com/psalms/99.htm| title=|English Revised Version| target=|_top|&gt;ERV&lt;/a&gt;</v>
      </c>
      <c r="V577" t="str">
        <f>CONCATENATE("&lt;/li&gt;&lt;li&gt;&lt;a href=|http://",V1191,"/psalms/99.htm","| ","title=|",V1190,"| target=|_top|&gt;",V1192,"&lt;/a&gt;")</f>
        <v>&lt;/li&gt;&lt;li&gt;&lt;a href=|http://study.interlinearbible.org/psalms/99.htm| title=|Hebrew Study Bible| target=|_top|&gt;Heb Study&lt;/a&gt;</v>
      </c>
      <c r="W577" t="str">
        <f t="shared" si="2304"/>
        <v>&lt;/li&gt;&lt;li&gt;&lt;a href=|http://apostolic.interlinearbible.org/psalms/99.htm| title=|Apostolic Bible Polyglot Interlinear| target=|_top|&gt;Polyglot&lt;/a&gt;</v>
      </c>
      <c r="X577" t="str">
        <f t="shared" si="2304"/>
        <v>&lt;/li&gt;&lt;li&gt;&lt;a href=|http://interlinearbible.org/psalms/99.htm| title=|Interlinear Bible| target=|_top|&gt;Interlin&lt;/a&gt;</v>
      </c>
      <c r="Y577" t="str">
        <f t="shared" ref="Y577" si="2305">CONCATENATE("&lt;/li&gt;&lt;li&gt;&lt;a href=|http://",Y1191,"/psalms/99.htm","| ","title=|",Y1190,"| target=|_top|&gt;",Y1192,"&lt;/a&gt;")</f>
        <v>&lt;/li&gt;&lt;li&gt;&lt;a href=|http://bibleoutline.org/psalms/99.htm| title=|Outline with People and Places List| target=|_top|&gt;Outline&lt;/a&gt;</v>
      </c>
      <c r="Z577" t="str">
        <f t="shared" si="2304"/>
        <v>&lt;/li&gt;&lt;li&gt;&lt;a href=|http://kjvs.scripturetext.com/psalms/99.htm| title=|King James Bible with Strong's Numbers| target=|_top|&gt;Strong's&lt;/a&gt;</v>
      </c>
      <c r="AA577" t="str">
        <f t="shared" si="2304"/>
        <v>&lt;/li&gt;&lt;li&gt;&lt;a href=|http://childrensbibleonline.com/psalms/99.htm| title=|The Children's Bible| target=|_top|&gt;Children's&lt;/a&gt;</v>
      </c>
      <c r="AB577" s="2" t="str">
        <f t="shared" si="2304"/>
        <v>&lt;/li&gt;&lt;li&gt;&lt;a href=|http://tsk.scripturetext.com/psalms/99.htm| title=|Treasury of Scripture Knowledge| target=|_top|&gt;TSK&lt;/a&gt;</v>
      </c>
      <c r="AC577" t="str">
        <f>CONCATENATE("&lt;a href=|http://",AC1191,"/psalms/99.htm","| ","title=|",AC1190,"| target=|_top|&gt;",AC1192,"&lt;/a&gt;")</f>
        <v>&lt;a href=|http://parallelbible.com/psalms/99.htm| title=|Parallel Chapters| target=|_top|&gt;PAR&lt;/a&gt;</v>
      </c>
      <c r="AD577" s="2" t="str">
        <f t="shared" ref="AD577:AK577" si="2306">CONCATENATE("&lt;/li&gt;&lt;li&gt;&lt;a href=|http://",AD1191,"/psalms/99.htm","| ","title=|",AD1190,"| target=|_top|&gt;",AD1192,"&lt;/a&gt;")</f>
        <v>&lt;/li&gt;&lt;li&gt;&lt;a href=|http://gsb.biblecommenter.com/psalms/99.htm| title=|Geneva Study Bible| target=|_top|&gt;GSB&lt;/a&gt;</v>
      </c>
      <c r="AE577" s="2" t="str">
        <f t="shared" si="2306"/>
        <v>&lt;/li&gt;&lt;li&gt;&lt;a href=|http://jfb.biblecommenter.com/psalms/99.htm| title=|Jamieson-Fausset-Brown Bible Commentary| target=|_top|&gt;JFB&lt;/a&gt;</v>
      </c>
      <c r="AF577" s="2" t="str">
        <f t="shared" si="2306"/>
        <v>&lt;/li&gt;&lt;li&gt;&lt;a href=|http://kjt.biblecommenter.com/psalms/99.htm| title=|King James Translators' Notes| target=|_top|&gt;KJT&lt;/a&gt;</v>
      </c>
      <c r="AG577" s="2" t="str">
        <f t="shared" si="2306"/>
        <v>&lt;/li&gt;&lt;li&gt;&lt;a href=|http://mhc.biblecommenter.com/psalms/99.htm| title=|Matthew Henry's Concise Commentary| target=|_top|&gt;MHC&lt;/a&gt;</v>
      </c>
      <c r="AH577" s="2" t="str">
        <f t="shared" si="2306"/>
        <v>&lt;/li&gt;&lt;li&gt;&lt;a href=|http://sco.biblecommenter.com/psalms/99.htm| title=|Scofield Reference Notes| target=|_top|&gt;SCO&lt;/a&gt;</v>
      </c>
      <c r="AI577" s="2" t="str">
        <f t="shared" si="2306"/>
        <v>&lt;/li&gt;&lt;li&gt;&lt;a href=|http://wes.biblecommenter.com/psalms/99.htm| title=|Wesley's Notes on the Bible| target=|_top|&gt;WES&lt;/a&gt;</v>
      </c>
      <c r="AJ577" t="str">
        <f t="shared" si="2306"/>
        <v>&lt;/li&gt;&lt;li&gt;&lt;a href=|http://worldebible.com/psalms/99.htm| title=|World English Bible| target=|_top|&gt;WEB&lt;/a&gt;</v>
      </c>
      <c r="AK577" t="str">
        <f t="shared" si="2306"/>
        <v>&lt;/li&gt;&lt;li&gt;&lt;a href=|http://yltbible.com/psalms/99.htm| title=|Young's Literal Translation| target=|_top|&gt;YLT&lt;/a&gt;</v>
      </c>
      <c r="AL577" t="str">
        <f>CONCATENATE("&lt;a href=|http://",AL1191,"/psalms/99.htm","| ","title=|",AL1190,"| target=|_top|&gt;",AL1192,"&lt;/a&gt;")</f>
        <v>&lt;a href=|http://kjv.us/psalms/99.htm| title=|American King James Version| target=|_top|&gt;AKJ&lt;/a&gt;</v>
      </c>
      <c r="AM577" t="str">
        <f t="shared" ref="AM577:AN577" si="2307">CONCATENATE("&lt;/li&gt;&lt;li&gt;&lt;a href=|http://",AM1191,"/psalms/99.htm","| ","title=|",AM1190,"| target=|_top|&gt;",AM1192,"&lt;/a&gt;")</f>
        <v>&lt;/li&gt;&lt;li&gt;&lt;a href=|http://basicenglishbible.com/psalms/99.htm| title=|Bible in Basic English| target=|_top|&gt;BBE&lt;/a&gt;</v>
      </c>
      <c r="AN577" t="str">
        <f t="shared" si="2307"/>
        <v>&lt;/li&gt;&lt;li&gt;&lt;a href=|http://darbybible.com/psalms/99.htm| title=|Darby Bible Translation| target=|_top|&gt;DBY&lt;/a&gt;</v>
      </c>
      <c r="AO57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7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7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77" t="str">
        <f>CONCATENATE("&lt;/li&gt;&lt;li&gt;&lt;a href=|http://",AR1191,"/psalms/99.htm","| ","title=|",AR1190,"| target=|_top|&gt;",AR1192,"&lt;/a&gt;")</f>
        <v>&lt;/li&gt;&lt;li&gt;&lt;a href=|http://websterbible.com/psalms/99.htm| title=|Webster's Bible Translation| target=|_top|&gt;WBS&lt;/a&gt;</v>
      </c>
      <c r="AS57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77" t="str">
        <f>CONCATENATE("&lt;/li&gt;&lt;li&gt;&lt;a href=|http://",AT1191,"/psalms/99-1.htm","| ","title=|",AT1190,"| target=|_top|&gt;",AT1192,"&lt;/a&gt;")</f>
        <v>&lt;/li&gt;&lt;li&gt;&lt;a href=|http://biblebrowser.com/psalms/99-1.htm| title=|Split View| target=|_top|&gt;Split&lt;/a&gt;</v>
      </c>
      <c r="AU577" s="2" t="s">
        <v>1276</v>
      </c>
      <c r="AV577" t="s">
        <v>64</v>
      </c>
    </row>
    <row r="578" spans="1:48">
      <c r="A578" t="s">
        <v>622</v>
      </c>
      <c r="B578" t="s">
        <v>1082</v>
      </c>
      <c r="C578" t="s">
        <v>624</v>
      </c>
      <c r="D578" t="s">
        <v>1268</v>
      </c>
      <c r="E578" t="s">
        <v>1277</v>
      </c>
      <c r="F578" t="s">
        <v>1304</v>
      </c>
      <c r="G578" t="s">
        <v>1266</v>
      </c>
      <c r="H578" t="s">
        <v>1305</v>
      </c>
      <c r="I578" t="s">
        <v>1303</v>
      </c>
      <c r="J578" t="s">
        <v>1267</v>
      </c>
      <c r="K578" t="s">
        <v>1275</v>
      </c>
      <c r="L578" s="2" t="s">
        <v>1274</v>
      </c>
      <c r="M578" t="str">
        <f t="shared" ref="M578:AB578" si="2308">CONCATENATE("&lt;/li&gt;&lt;li&gt;&lt;a href=|http://",M1191,"/psalms/100.htm","| ","title=|",M1190,"| target=|_top|&gt;",M1192,"&lt;/a&gt;")</f>
        <v>&lt;/li&gt;&lt;li&gt;&lt;a href=|http://niv.scripturetext.com/psalms/100.htm| title=|New International Version| target=|_top|&gt;NIV&lt;/a&gt;</v>
      </c>
      <c r="N578" t="str">
        <f t="shared" si="2308"/>
        <v>&lt;/li&gt;&lt;li&gt;&lt;a href=|http://nlt.scripturetext.com/psalms/100.htm| title=|New Living Translation| target=|_top|&gt;NLT&lt;/a&gt;</v>
      </c>
      <c r="O578" t="str">
        <f t="shared" si="2308"/>
        <v>&lt;/li&gt;&lt;li&gt;&lt;a href=|http://nasb.scripturetext.com/psalms/100.htm| title=|New American Standard Bible| target=|_top|&gt;NAS&lt;/a&gt;</v>
      </c>
      <c r="P578" t="str">
        <f t="shared" si="2308"/>
        <v>&lt;/li&gt;&lt;li&gt;&lt;a href=|http://gwt.scripturetext.com/psalms/100.htm| title=|God's Word Translation| target=|_top|&gt;GWT&lt;/a&gt;</v>
      </c>
      <c r="Q578" t="str">
        <f t="shared" si="2308"/>
        <v>&lt;/li&gt;&lt;li&gt;&lt;a href=|http://kingjbible.com/psalms/100.htm| title=|King James Bible| target=|_top|&gt;KJV&lt;/a&gt;</v>
      </c>
      <c r="R578" t="str">
        <f t="shared" si="2308"/>
        <v>&lt;/li&gt;&lt;li&gt;&lt;a href=|http://asvbible.com/psalms/100.htm| title=|American Standard Version| target=|_top|&gt;ASV&lt;/a&gt;</v>
      </c>
      <c r="S578" t="str">
        <f t="shared" si="2308"/>
        <v>&lt;/li&gt;&lt;li&gt;&lt;a href=|http://drb.scripturetext.com/psalms/100.htm| title=|Douay-Rheims Bible| target=|_top|&gt;DRB&lt;/a&gt;</v>
      </c>
      <c r="T578" t="str">
        <f t="shared" si="2308"/>
        <v>&lt;/li&gt;&lt;li&gt;&lt;a href=|http://erv.scripturetext.com/psalms/100.htm| title=|English Revised Version| target=|_top|&gt;ERV&lt;/a&gt;</v>
      </c>
      <c r="V578" t="str">
        <f>CONCATENATE("&lt;/li&gt;&lt;li&gt;&lt;a href=|http://",V1191,"/psalms/100.htm","| ","title=|",V1190,"| target=|_top|&gt;",V1192,"&lt;/a&gt;")</f>
        <v>&lt;/li&gt;&lt;li&gt;&lt;a href=|http://study.interlinearbible.org/psalms/100.htm| title=|Hebrew Study Bible| target=|_top|&gt;Heb Study&lt;/a&gt;</v>
      </c>
      <c r="W578" t="str">
        <f t="shared" si="2308"/>
        <v>&lt;/li&gt;&lt;li&gt;&lt;a href=|http://apostolic.interlinearbible.org/psalms/100.htm| title=|Apostolic Bible Polyglot Interlinear| target=|_top|&gt;Polyglot&lt;/a&gt;</v>
      </c>
      <c r="X578" t="str">
        <f t="shared" si="2308"/>
        <v>&lt;/li&gt;&lt;li&gt;&lt;a href=|http://interlinearbible.org/psalms/100.htm| title=|Interlinear Bible| target=|_top|&gt;Interlin&lt;/a&gt;</v>
      </c>
      <c r="Y578" t="str">
        <f t="shared" ref="Y578" si="2309">CONCATENATE("&lt;/li&gt;&lt;li&gt;&lt;a href=|http://",Y1191,"/psalms/100.htm","| ","title=|",Y1190,"| target=|_top|&gt;",Y1192,"&lt;/a&gt;")</f>
        <v>&lt;/li&gt;&lt;li&gt;&lt;a href=|http://bibleoutline.org/psalms/100.htm| title=|Outline with People and Places List| target=|_top|&gt;Outline&lt;/a&gt;</v>
      </c>
      <c r="Z578" t="str">
        <f t="shared" si="2308"/>
        <v>&lt;/li&gt;&lt;li&gt;&lt;a href=|http://kjvs.scripturetext.com/psalms/100.htm| title=|King James Bible with Strong's Numbers| target=|_top|&gt;Strong's&lt;/a&gt;</v>
      </c>
      <c r="AA578" t="str">
        <f t="shared" si="2308"/>
        <v>&lt;/li&gt;&lt;li&gt;&lt;a href=|http://childrensbibleonline.com/psalms/100.htm| title=|The Children's Bible| target=|_top|&gt;Children's&lt;/a&gt;</v>
      </c>
      <c r="AB578" s="2" t="str">
        <f t="shared" si="2308"/>
        <v>&lt;/li&gt;&lt;li&gt;&lt;a href=|http://tsk.scripturetext.com/psalms/100.htm| title=|Treasury of Scripture Knowledge| target=|_top|&gt;TSK&lt;/a&gt;</v>
      </c>
      <c r="AC578" t="str">
        <f>CONCATENATE("&lt;a href=|http://",AC1191,"/psalms/100.htm","| ","title=|",AC1190,"| target=|_top|&gt;",AC1192,"&lt;/a&gt;")</f>
        <v>&lt;a href=|http://parallelbible.com/psalms/100.htm| title=|Parallel Chapters| target=|_top|&gt;PAR&lt;/a&gt;</v>
      </c>
      <c r="AD578" s="2" t="str">
        <f t="shared" ref="AD578:AK578" si="2310">CONCATENATE("&lt;/li&gt;&lt;li&gt;&lt;a href=|http://",AD1191,"/psalms/100.htm","| ","title=|",AD1190,"| target=|_top|&gt;",AD1192,"&lt;/a&gt;")</f>
        <v>&lt;/li&gt;&lt;li&gt;&lt;a href=|http://gsb.biblecommenter.com/psalms/100.htm| title=|Geneva Study Bible| target=|_top|&gt;GSB&lt;/a&gt;</v>
      </c>
      <c r="AE578" s="2" t="str">
        <f t="shared" si="2310"/>
        <v>&lt;/li&gt;&lt;li&gt;&lt;a href=|http://jfb.biblecommenter.com/psalms/100.htm| title=|Jamieson-Fausset-Brown Bible Commentary| target=|_top|&gt;JFB&lt;/a&gt;</v>
      </c>
      <c r="AF578" s="2" t="str">
        <f t="shared" si="2310"/>
        <v>&lt;/li&gt;&lt;li&gt;&lt;a href=|http://kjt.biblecommenter.com/psalms/100.htm| title=|King James Translators' Notes| target=|_top|&gt;KJT&lt;/a&gt;</v>
      </c>
      <c r="AG578" s="2" t="str">
        <f t="shared" si="2310"/>
        <v>&lt;/li&gt;&lt;li&gt;&lt;a href=|http://mhc.biblecommenter.com/psalms/100.htm| title=|Matthew Henry's Concise Commentary| target=|_top|&gt;MHC&lt;/a&gt;</v>
      </c>
      <c r="AH578" s="2" t="str">
        <f t="shared" si="2310"/>
        <v>&lt;/li&gt;&lt;li&gt;&lt;a href=|http://sco.biblecommenter.com/psalms/100.htm| title=|Scofield Reference Notes| target=|_top|&gt;SCO&lt;/a&gt;</v>
      </c>
      <c r="AI578" s="2" t="str">
        <f t="shared" si="2310"/>
        <v>&lt;/li&gt;&lt;li&gt;&lt;a href=|http://wes.biblecommenter.com/psalms/100.htm| title=|Wesley's Notes on the Bible| target=|_top|&gt;WES&lt;/a&gt;</v>
      </c>
      <c r="AJ578" t="str">
        <f t="shared" si="2310"/>
        <v>&lt;/li&gt;&lt;li&gt;&lt;a href=|http://worldebible.com/psalms/100.htm| title=|World English Bible| target=|_top|&gt;WEB&lt;/a&gt;</v>
      </c>
      <c r="AK578" t="str">
        <f t="shared" si="2310"/>
        <v>&lt;/li&gt;&lt;li&gt;&lt;a href=|http://yltbible.com/psalms/100.htm| title=|Young's Literal Translation| target=|_top|&gt;YLT&lt;/a&gt;</v>
      </c>
      <c r="AL578" t="str">
        <f>CONCATENATE("&lt;a href=|http://",AL1191,"/psalms/100.htm","| ","title=|",AL1190,"| target=|_top|&gt;",AL1192,"&lt;/a&gt;")</f>
        <v>&lt;a href=|http://kjv.us/psalms/100.htm| title=|American King James Version| target=|_top|&gt;AKJ&lt;/a&gt;</v>
      </c>
      <c r="AM578" t="str">
        <f t="shared" ref="AM578:AN578" si="2311">CONCATENATE("&lt;/li&gt;&lt;li&gt;&lt;a href=|http://",AM1191,"/psalms/100.htm","| ","title=|",AM1190,"| target=|_top|&gt;",AM1192,"&lt;/a&gt;")</f>
        <v>&lt;/li&gt;&lt;li&gt;&lt;a href=|http://basicenglishbible.com/psalms/100.htm| title=|Bible in Basic English| target=|_top|&gt;BBE&lt;/a&gt;</v>
      </c>
      <c r="AN578" t="str">
        <f t="shared" si="2311"/>
        <v>&lt;/li&gt;&lt;li&gt;&lt;a href=|http://darbybible.com/psalms/100.htm| title=|Darby Bible Translation| target=|_top|&gt;DBY&lt;/a&gt;</v>
      </c>
      <c r="AO57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7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7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78" t="str">
        <f>CONCATENATE("&lt;/li&gt;&lt;li&gt;&lt;a href=|http://",AR1191,"/psalms/100.htm","| ","title=|",AR1190,"| target=|_top|&gt;",AR1192,"&lt;/a&gt;")</f>
        <v>&lt;/li&gt;&lt;li&gt;&lt;a href=|http://websterbible.com/psalms/100.htm| title=|Webster's Bible Translation| target=|_top|&gt;WBS&lt;/a&gt;</v>
      </c>
      <c r="AS57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78" t="str">
        <f>CONCATENATE("&lt;/li&gt;&lt;li&gt;&lt;a href=|http://",AT1191,"/psalms/100-1.htm","| ","title=|",AT1190,"| target=|_top|&gt;",AT1192,"&lt;/a&gt;")</f>
        <v>&lt;/li&gt;&lt;li&gt;&lt;a href=|http://biblebrowser.com/psalms/100-1.htm| title=|Split View| target=|_top|&gt;Split&lt;/a&gt;</v>
      </c>
      <c r="AU578" s="2" t="s">
        <v>1276</v>
      </c>
      <c r="AV578" t="s">
        <v>64</v>
      </c>
    </row>
    <row r="579" spans="1:48">
      <c r="A579" t="s">
        <v>622</v>
      </c>
      <c r="B579" t="s">
        <v>1083</v>
      </c>
      <c r="C579" t="s">
        <v>624</v>
      </c>
      <c r="D579" t="s">
        <v>1268</v>
      </c>
      <c r="E579" t="s">
        <v>1277</v>
      </c>
      <c r="F579" t="s">
        <v>1304</v>
      </c>
      <c r="G579" t="s">
        <v>1266</v>
      </c>
      <c r="H579" t="s">
        <v>1305</v>
      </c>
      <c r="I579" t="s">
        <v>1303</v>
      </c>
      <c r="J579" t="s">
        <v>1267</v>
      </c>
      <c r="K579" t="s">
        <v>1275</v>
      </c>
      <c r="L579" s="2" t="s">
        <v>1274</v>
      </c>
      <c r="M579" t="str">
        <f t="shared" ref="M579:AB579" si="2312">CONCATENATE("&lt;/li&gt;&lt;li&gt;&lt;a href=|http://",M1191,"/psalms/101.htm","| ","title=|",M1190,"| target=|_top|&gt;",M1192,"&lt;/a&gt;")</f>
        <v>&lt;/li&gt;&lt;li&gt;&lt;a href=|http://niv.scripturetext.com/psalms/101.htm| title=|New International Version| target=|_top|&gt;NIV&lt;/a&gt;</v>
      </c>
      <c r="N579" t="str">
        <f t="shared" si="2312"/>
        <v>&lt;/li&gt;&lt;li&gt;&lt;a href=|http://nlt.scripturetext.com/psalms/101.htm| title=|New Living Translation| target=|_top|&gt;NLT&lt;/a&gt;</v>
      </c>
      <c r="O579" t="str">
        <f t="shared" si="2312"/>
        <v>&lt;/li&gt;&lt;li&gt;&lt;a href=|http://nasb.scripturetext.com/psalms/101.htm| title=|New American Standard Bible| target=|_top|&gt;NAS&lt;/a&gt;</v>
      </c>
      <c r="P579" t="str">
        <f t="shared" si="2312"/>
        <v>&lt;/li&gt;&lt;li&gt;&lt;a href=|http://gwt.scripturetext.com/psalms/101.htm| title=|God's Word Translation| target=|_top|&gt;GWT&lt;/a&gt;</v>
      </c>
      <c r="Q579" t="str">
        <f t="shared" si="2312"/>
        <v>&lt;/li&gt;&lt;li&gt;&lt;a href=|http://kingjbible.com/psalms/101.htm| title=|King James Bible| target=|_top|&gt;KJV&lt;/a&gt;</v>
      </c>
      <c r="R579" t="str">
        <f t="shared" si="2312"/>
        <v>&lt;/li&gt;&lt;li&gt;&lt;a href=|http://asvbible.com/psalms/101.htm| title=|American Standard Version| target=|_top|&gt;ASV&lt;/a&gt;</v>
      </c>
      <c r="S579" t="str">
        <f t="shared" si="2312"/>
        <v>&lt;/li&gt;&lt;li&gt;&lt;a href=|http://drb.scripturetext.com/psalms/101.htm| title=|Douay-Rheims Bible| target=|_top|&gt;DRB&lt;/a&gt;</v>
      </c>
      <c r="T579" t="str">
        <f t="shared" si="2312"/>
        <v>&lt;/li&gt;&lt;li&gt;&lt;a href=|http://erv.scripturetext.com/psalms/101.htm| title=|English Revised Version| target=|_top|&gt;ERV&lt;/a&gt;</v>
      </c>
      <c r="V579" t="str">
        <f>CONCATENATE("&lt;/li&gt;&lt;li&gt;&lt;a href=|http://",V1191,"/psalms/101.htm","| ","title=|",V1190,"| target=|_top|&gt;",V1192,"&lt;/a&gt;")</f>
        <v>&lt;/li&gt;&lt;li&gt;&lt;a href=|http://study.interlinearbible.org/psalms/101.htm| title=|Hebrew Study Bible| target=|_top|&gt;Heb Study&lt;/a&gt;</v>
      </c>
      <c r="W579" t="str">
        <f t="shared" si="2312"/>
        <v>&lt;/li&gt;&lt;li&gt;&lt;a href=|http://apostolic.interlinearbible.org/psalms/101.htm| title=|Apostolic Bible Polyglot Interlinear| target=|_top|&gt;Polyglot&lt;/a&gt;</v>
      </c>
      <c r="X579" t="str">
        <f t="shared" si="2312"/>
        <v>&lt;/li&gt;&lt;li&gt;&lt;a href=|http://interlinearbible.org/psalms/101.htm| title=|Interlinear Bible| target=|_top|&gt;Interlin&lt;/a&gt;</v>
      </c>
      <c r="Y579" t="str">
        <f t="shared" ref="Y579" si="2313">CONCATENATE("&lt;/li&gt;&lt;li&gt;&lt;a href=|http://",Y1191,"/psalms/101.htm","| ","title=|",Y1190,"| target=|_top|&gt;",Y1192,"&lt;/a&gt;")</f>
        <v>&lt;/li&gt;&lt;li&gt;&lt;a href=|http://bibleoutline.org/psalms/101.htm| title=|Outline with People and Places List| target=|_top|&gt;Outline&lt;/a&gt;</v>
      </c>
      <c r="Z579" t="str">
        <f t="shared" si="2312"/>
        <v>&lt;/li&gt;&lt;li&gt;&lt;a href=|http://kjvs.scripturetext.com/psalms/101.htm| title=|King James Bible with Strong's Numbers| target=|_top|&gt;Strong's&lt;/a&gt;</v>
      </c>
      <c r="AA579" t="str">
        <f t="shared" si="2312"/>
        <v>&lt;/li&gt;&lt;li&gt;&lt;a href=|http://childrensbibleonline.com/psalms/101.htm| title=|The Children's Bible| target=|_top|&gt;Children's&lt;/a&gt;</v>
      </c>
      <c r="AB579" s="2" t="str">
        <f t="shared" si="2312"/>
        <v>&lt;/li&gt;&lt;li&gt;&lt;a href=|http://tsk.scripturetext.com/psalms/101.htm| title=|Treasury of Scripture Knowledge| target=|_top|&gt;TSK&lt;/a&gt;</v>
      </c>
      <c r="AC579" t="str">
        <f>CONCATENATE("&lt;a href=|http://",AC1191,"/psalms/101.htm","| ","title=|",AC1190,"| target=|_top|&gt;",AC1192,"&lt;/a&gt;")</f>
        <v>&lt;a href=|http://parallelbible.com/psalms/101.htm| title=|Parallel Chapters| target=|_top|&gt;PAR&lt;/a&gt;</v>
      </c>
      <c r="AD579" s="2" t="str">
        <f t="shared" ref="AD579:AK579" si="2314">CONCATENATE("&lt;/li&gt;&lt;li&gt;&lt;a href=|http://",AD1191,"/psalms/101.htm","| ","title=|",AD1190,"| target=|_top|&gt;",AD1192,"&lt;/a&gt;")</f>
        <v>&lt;/li&gt;&lt;li&gt;&lt;a href=|http://gsb.biblecommenter.com/psalms/101.htm| title=|Geneva Study Bible| target=|_top|&gt;GSB&lt;/a&gt;</v>
      </c>
      <c r="AE579" s="2" t="str">
        <f t="shared" si="2314"/>
        <v>&lt;/li&gt;&lt;li&gt;&lt;a href=|http://jfb.biblecommenter.com/psalms/101.htm| title=|Jamieson-Fausset-Brown Bible Commentary| target=|_top|&gt;JFB&lt;/a&gt;</v>
      </c>
      <c r="AF579" s="2" t="str">
        <f t="shared" si="2314"/>
        <v>&lt;/li&gt;&lt;li&gt;&lt;a href=|http://kjt.biblecommenter.com/psalms/101.htm| title=|King James Translators' Notes| target=|_top|&gt;KJT&lt;/a&gt;</v>
      </c>
      <c r="AG579" s="2" t="str">
        <f t="shared" si="2314"/>
        <v>&lt;/li&gt;&lt;li&gt;&lt;a href=|http://mhc.biblecommenter.com/psalms/101.htm| title=|Matthew Henry's Concise Commentary| target=|_top|&gt;MHC&lt;/a&gt;</v>
      </c>
      <c r="AH579" s="2" t="str">
        <f t="shared" si="2314"/>
        <v>&lt;/li&gt;&lt;li&gt;&lt;a href=|http://sco.biblecommenter.com/psalms/101.htm| title=|Scofield Reference Notes| target=|_top|&gt;SCO&lt;/a&gt;</v>
      </c>
      <c r="AI579" s="2" t="str">
        <f t="shared" si="2314"/>
        <v>&lt;/li&gt;&lt;li&gt;&lt;a href=|http://wes.biblecommenter.com/psalms/101.htm| title=|Wesley's Notes on the Bible| target=|_top|&gt;WES&lt;/a&gt;</v>
      </c>
      <c r="AJ579" t="str">
        <f t="shared" si="2314"/>
        <v>&lt;/li&gt;&lt;li&gt;&lt;a href=|http://worldebible.com/psalms/101.htm| title=|World English Bible| target=|_top|&gt;WEB&lt;/a&gt;</v>
      </c>
      <c r="AK579" t="str">
        <f t="shared" si="2314"/>
        <v>&lt;/li&gt;&lt;li&gt;&lt;a href=|http://yltbible.com/psalms/101.htm| title=|Young's Literal Translation| target=|_top|&gt;YLT&lt;/a&gt;</v>
      </c>
      <c r="AL579" t="str">
        <f>CONCATENATE("&lt;a href=|http://",AL1191,"/psalms/101.htm","| ","title=|",AL1190,"| target=|_top|&gt;",AL1192,"&lt;/a&gt;")</f>
        <v>&lt;a href=|http://kjv.us/psalms/101.htm| title=|American King James Version| target=|_top|&gt;AKJ&lt;/a&gt;</v>
      </c>
      <c r="AM579" t="str">
        <f t="shared" ref="AM579:AN579" si="2315">CONCATENATE("&lt;/li&gt;&lt;li&gt;&lt;a href=|http://",AM1191,"/psalms/101.htm","| ","title=|",AM1190,"| target=|_top|&gt;",AM1192,"&lt;/a&gt;")</f>
        <v>&lt;/li&gt;&lt;li&gt;&lt;a href=|http://basicenglishbible.com/psalms/101.htm| title=|Bible in Basic English| target=|_top|&gt;BBE&lt;/a&gt;</v>
      </c>
      <c r="AN579" t="str">
        <f t="shared" si="2315"/>
        <v>&lt;/li&gt;&lt;li&gt;&lt;a href=|http://darbybible.com/psalms/101.htm| title=|Darby Bible Translation| target=|_top|&gt;DBY&lt;/a&gt;</v>
      </c>
      <c r="AO57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7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7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79" t="str">
        <f>CONCATENATE("&lt;/li&gt;&lt;li&gt;&lt;a href=|http://",AR1191,"/psalms/101.htm","| ","title=|",AR1190,"| target=|_top|&gt;",AR1192,"&lt;/a&gt;")</f>
        <v>&lt;/li&gt;&lt;li&gt;&lt;a href=|http://websterbible.com/psalms/101.htm| title=|Webster's Bible Translation| target=|_top|&gt;WBS&lt;/a&gt;</v>
      </c>
      <c r="AS57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79" t="str">
        <f>CONCATENATE("&lt;/li&gt;&lt;li&gt;&lt;a href=|http://",AT1191,"/psalms/101-1.htm","| ","title=|",AT1190,"| target=|_top|&gt;",AT1192,"&lt;/a&gt;")</f>
        <v>&lt;/li&gt;&lt;li&gt;&lt;a href=|http://biblebrowser.com/psalms/101-1.htm| title=|Split View| target=|_top|&gt;Split&lt;/a&gt;</v>
      </c>
      <c r="AU579" s="2" t="s">
        <v>1276</v>
      </c>
      <c r="AV579" t="s">
        <v>64</v>
      </c>
    </row>
    <row r="580" spans="1:48">
      <c r="A580" t="s">
        <v>622</v>
      </c>
      <c r="B580" t="s">
        <v>1084</v>
      </c>
      <c r="C580" t="s">
        <v>624</v>
      </c>
      <c r="D580" t="s">
        <v>1268</v>
      </c>
      <c r="E580" t="s">
        <v>1277</v>
      </c>
      <c r="F580" t="s">
        <v>1304</v>
      </c>
      <c r="G580" t="s">
        <v>1266</v>
      </c>
      <c r="H580" t="s">
        <v>1305</v>
      </c>
      <c r="I580" t="s">
        <v>1303</v>
      </c>
      <c r="J580" t="s">
        <v>1267</v>
      </c>
      <c r="K580" t="s">
        <v>1275</v>
      </c>
      <c r="L580" s="2" t="s">
        <v>1274</v>
      </c>
      <c r="M580" t="str">
        <f t="shared" ref="M580:AB580" si="2316">CONCATENATE("&lt;/li&gt;&lt;li&gt;&lt;a href=|http://",M1191,"/psalms/102.htm","| ","title=|",M1190,"| target=|_top|&gt;",M1192,"&lt;/a&gt;")</f>
        <v>&lt;/li&gt;&lt;li&gt;&lt;a href=|http://niv.scripturetext.com/psalms/102.htm| title=|New International Version| target=|_top|&gt;NIV&lt;/a&gt;</v>
      </c>
      <c r="N580" t="str">
        <f t="shared" si="2316"/>
        <v>&lt;/li&gt;&lt;li&gt;&lt;a href=|http://nlt.scripturetext.com/psalms/102.htm| title=|New Living Translation| target=|_top|&gt;NLT&lt;/a&gt;</v>
      </c>
      <c r="O580" t="str">
        <f t="shared" si="2316"/>
        <v>&lt;/li&gt;&lt;li&gt;&lt;a href=|http://nasb.scripturetext.com/psalms/102.htm| title=|New American Standard Bible| target=|_top|&gt;NAS&lt;/a&gt;</v>
      </c>
      <c r="P580" t="str">
        <f t="shared" si="2316"/>
        <v>&lt;/li&gt;&lt;li&gt;&lt;a href=|http://gwt.scripturetext.com/psalms/102.htm| title=|God's Word Translation| target=|_top|&gt;GWT&lt;/a&gt;</v>
      </c>
      <c r="Q580" t="str">
        <f t="shared" si="2316"/>
        <v>&lt;/li&gt;&lt;li&gt;&lt;a href=|http://kingjbible.com/psalms/102.htm| title=|King James Bible| target=|_top|&gt;KJV&lt;/a&gt;</v>
      </c>
      <c r="R580" t="str">
        <f t="shared" si="2316"/>
        <v>&lt;/li&gt;&lt;li&gt;&lt;a href=|http://asvbible.com/psalms/102.htm| title=|American Standard Version| target=|_top|&gt;ASV&lt;/a&gt;</v>
      </c>
      <c r="S580" t="str">
        <f t="shared" si="2316"/>
        <v>&lt;/li&gt;&lt;li&gt;&lt;a href=|http://drb.scripturetext.com/psalms/102.htm| title=|Douay-Rheims Bible| target=|_top|&gt;DRB&lt;/a&gt;</v>
      </c>
      <c r="T580" t="str">
        <f t="shared" si="2316"/>
        <v>&lt;/li&gt;&lt;li&gt;&lt;a href=|http://erv.scripturetext.com/psalms/102.htm| title=|English Revised Version| target=|_top|&gt;ERV&lt;/a&gt;</v>
      </c>
      <c r="V580" t="str">
        <f>CONCATENATE("&lt;/li&gt;&lt;li&gt;&lt;a href=|http://",V1191,"/psalms/102.htm","| ","title=|",V1190,"| target=|_top|&gt;",V1192,"&lt;/a&gt;")</f>
        <v>&lt;/li&gt;&lt;li&gt;&lt;a href=|http://study.interlinearbible.org/psalms/102.htm| title=|Hebrew Study Bible| target=|_top|&gt;Heb Study&lt;/a&gt;</v>
      </c>
      <c r="W580" t="str">
        <f t="shared" si="2316"/>
        <v>&lt;/li&gt;&lt;li&gt;&lt;a href=|http://apostolic.interlinearbible.org/psalms/102.htm| title=|Apostolic Bible Polyglot Interlinear| target=|_top|&gt;Polyglot&lt;/a&gt;</v>
      </c>
      <c r="X580" t="str">
        <f t="shared" si="2316"/>
        <v>&lt;/li&gt;&lt;li&gt;&lt;a href=|http://interlinearbible.org/psalms/102.htm| title=|Interlinear Bible| target=|_top|&gt;Interlin&lt;/a&gt;</v>
      </c>
      <c r="Y580" t="str">
        <f t="shared" ref="Y580" si="2317">CONCATENATE("&lt;/li&gt;&lt;li&gt;&lt;a href=|http://",Y1191,"/psalms/102.htm","| ","title=|",Y1190,"| target=|_top|&gt;",Y1192,"&lt;/a&gt;")</f>
        <v>&lt;/li&gt;&lt;li&gt;&lt;a href=|http://bibleoutline.org/psalms/102.htm| title=|Outline with People and Places List| target=|_top|&gt;Outline&lt;/a&gt;</v>
      </c>
      <c r="Z580" t="str">
        <f t="shared" si="2316"/>
        <v>&lt;/li&gt;&lt;li&gt;&lt;a href=|http://kjvs.scripturetext.com/psalms/102.htm| title=|King James Bible with Strong's Numbers| target=|_top|&gt;Strong's&lt;/a&gt;</v>
      </c>
      <c r="AA580" t="str">
        <f t="shared" si="2316"/>
        <v>&lt;/li&gt;&lt;li&gt;&lt;a href=|http://childrensbibleonline.com/psalms/102.htm| title=|The Children's Bible| target=|_top|&gt;Children's&lt;/a&gt;</v>
      </c>
      <c r="AB580" s="2" t="str">
        <f t="shared" si="2316"/>
        <v>&lt;/li&gt;&lt;li&gt;&lt;a href=|http://tsk.scripturetext.com/psalms/102.htm| title=|Treasury of Scripture Knowledge| target=|_top|&gt;TSK&lt;/a&gt;</v>
      </c>
      <c r="AC580" t="str">
        <f>CONCATENATE("&lt;a href=|http://",AC1191,"/psalms/102.htm","| ","title=|",AC1190,"| target=|_top|&gt;",AC1192,"&lt;/a&gt;")</f>
        <v>&lt;a href=|http://parallelbible.com/psalms/102.htm| title=|Parallel Chapters| target=|_top|&gt;PAR&lt;/a&gt;</v>
      </c>
      <c r="AD580" s="2" t="str">
        <f t="shared" ref="AD580:AK580" si="2318">CONCATENATE("&lt;/li&gt;&lt;li&gt;&lt;a href=|http://",AD1191,"/psalms/102.htm","| ","title=|",AD1190,"| target=|_top|&gt;",AD1192,"&lt;/a&gt;")</f>
        <v>&lt;/li&gt;&lt;li&gt;&lt;a href=|http://gsb.biblecommenter.com/psalms/102.htm| title=|Geneva Study Bible| target=|_top|&gt;GSB&lt;/a&gt;</v>
      </c>
      <c r="AE580" s="2" t="str">
        <f t="shared" si="2318"/>
        <v>&lt;/li&gt;&lt;li&gt;&lt;a href=|http://jfb.biblecommenter.com/psalms/102.htm| title=|Jamieson-Fausset-Brown Bible Commentary| target=|_top|&gt;JFB&lt;/a&gt;</v>
      </c>
      <c r="AF580" s="2" t="str">
        <f t="shared" si="2318"/>
        <v>&lt;/li&gt;&lt;li&gt;&lt;a href=|http://kjt.biblecommenter.com/psalms/102.htm| title=|King James Translators' Notes| target=|_top|&gt;KJT&lt;/a&gt;</v>
      </c>
      <c r="AG580" s="2" t="str">
        <f t="shared" si="2318"/>
        <v>&lt;/li&gt;&lt;li&gt;&lt;a href=|http://mhc.biblecommenter.com/psalms/102.htm| title=|Matthew Henry's Concise Commentary| target=|_top|&gt;MHC&lt;/a&gt;</v>
      </c>
      <c r="AH580" s="2" t="str">
        <f t="shared" si="2318"/>
        <v>&lt;/li&gt;&lt;li&gt;&lt;a href=|http://sco.biblecommenter.com/psalms/102.htm| title=|Scofield Reference Notes| target=|_top|&gt;SCO&lt;/a&gt;</v>
      </c>
      <c r="AI580" s="2" t="str">
        <f t="shared" si="2318"/>
        <v>&lt;/li&gt;&lt;li&gt;&lt;a href=|http://wes.biblecommenter.com/psalms/102.htm| title=|Wesley's Notes on the Bible| target=|_top|&gt;WES&lt;/a&gt;</v>
      </c>
      <c r="AJ580" t="str">
        <f t="shared" si="2318"/>
        <v>&lt;/li&gt;&lt;li&gt;&lt;a href=|http://worldebible.com/psalms/102.htm| title=|World English Bible| target=|_top|&gt;WEB&lt;/a&gt;</v>
      </c>
      <c r="AK580" t="str">
        <f t="shared" si="2318"/>
        <v>&lt;/li&gt;&lt;li&gt;&lt;a href=|http://yltbible.com/psalms/102.htm| title=|Young's Literal Translation| target=|_top|&gt;YLT&lt;/a&gt;</v>
      </c>
      <c r="AL580" t="str">
        <f>CONCATENATE("&lt;a href=|http://",AL1191,"/psalms/102.htm","| ","title=|",AL1190,"| target=|_top|&gt;",AL1192,"&lt;/a&gt;")</f>
        <v>&lt;a href=|http://kjv.us/psalms/102.htm| title=|American King James Version| target=|_top|&gt;AKJ&lt;/a&gt;</v>
      </c>
      <c r="AM580" t="str">
        <f t="shared" ref="AM580:AN580" si="2319">CONCATENATE("&lt;/li&gt;&lt;li&gt;&lt;a href=|http://",AM1191,"/psalms/102.htm","| ","title=|",AM1190,"| target=|_top|&gt;",AM1192,"&lt;/a&gt;")</f>
        <v>&lt;/li&gt;&lt;li&gt;&lt;a href=|http://basicenglishbible.com/psalms/102.htm| title=|Bible in Basic English| target=|_top|&gt;BBE&lt;/a&gt;</v>
      </c>
      <c r="AN580" t="str">
        <f t="shared" si="2319"/>
        <v>&lt;/li&gt;&lt;li&gt;&lt;a href=|http://darbybible.com/psalms/102.htm| title=|Darby Bible Translation| target=|_top|&gt;DBY&lt;/a&gt;</v>
      </c>
      <c r="AO58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8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8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80" t="str">
        <f>CONCATENATE("&lt;/li&gt;&lt;li&gt;&lt;a href=|http://",AR1191,"/psalms/102.htm","| ","title=|",AR1190,"| target=|_top|&gt;",AR1192,"&lt;/a&gt;")</f>
        <v>&lt;/li&gt;&lt;li&gt;&lt;a href=|http://websterbible.com/psalms/102.htm| title=|Webster's Bible Translation| target=|_top|&gt;WBS&lt;/a&gt;</v>
      </c>
      <c r="AS58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80" t="str">
        <f>CONCATENATE("&lt;/li&gt;&lt;li&gt;&lt;a href=|http://",AT1191,"/psalms/102-1.htm","| ","title=|",AT1190,"| target=|_top|&gt;",AT1192,"&lt;/a&gt;")</f>
        <v>&lt;/li&gt;&lt;li&gt;&lt;a href=|http://biblebrowser.com/psalms/102-1.htm| title=|Split View| target=|_top|&gt;Split&lt;/a&gt;</v>
      </c>
      <c r="AU580" s="2" t="s">
        <v>1276</v>
      </c>
      <c r="AV580" t="s">
        <v>64</v>
      </c>
    </row>
    <row r="581" spans="1:48">
      <c r="A581" t="s">
        <v>622</v>
      </c>
      <c r="B581" t="s">
        <v>1085</v>
      </c>
      <c r="C581" t="s">
        <v>624</v>
      </c>
      <c r="D581" t="s">
        <v>1268</v>
      </c>
      <c r="E581" t="s">
        <v>1277</v>
      </c>
      <c r="F581" t="s">
        <v>1304</v>
      </c>
      <c r="G581" t="s">
        <v>1266</v>
      </c>
      <c r="H581" t="s">
        <v>1305</v>
      </c>
      <c r="I581" t="s">
        <v>1303</v>
      </c>
      <c r="J581" t="s">
        <v>1267</v>
      </c>
      <c r="K581" t="s">
        <v>1275</v>
      </c>
      <c r="L581" s="2" t="s">
        <v>1274</v>
      </c>
      <c r="M581" t="str">
        <f t="shared" ref="M581:AB581" si="2320">CONCATENATE("&lt;/li&gt;&lt;li&gt;&lt;a href=|http://",M1191,"/psalms/103.htm","| ","title=|",M1190,"| target=|_top|&gt;",M1192,"&lt;/a&gt;")</f>
        <v>&lt;/li&gt;&lt;li&gt;&lt;a href=|http://niv.scripturetext.com/psalms/103.htm| title=|New International Version| target=|_top|&gt;NIV&lt;/a&gt;</v>
      </c>
      <c r="N581" t="str">
        <f t="shared" si="2320"/>
        <v>&lt;/li&gt;&lt;li&gt;&lt;a href=|http://nlt.scripturetext.com/psalms/103.htm| title=|New Living Translation| target=|_top|&gt;NLT&lt;/a&gt;</v>
      </c>
      <c r="O581" t="str">
        <f t="shared" si="2320"/>
        <v>&lt;/li&gt;&lt;li&gt;&lt;a href=|http://nasb.scripturetext.com/psalms/103.htm| title=|New American Standard Bible| target=|_top|&gt;NAS&lt;/a&gt;</v>
      </c>
      <c r="P581" t="str">
        <f t="shared" si="2320"/>
        <v>&lt;/li&gt;&lt;li&gt;&lt;a href=|http://gwt.scripturetext.com/psalms/103.htm| title=|God's Word Translation| target=|_top|&gt;GWT&lt;/a&gt;</v>
      </c>
      <c r="Q581" t="str">
        <f t="shared" si="2320"/>
        <v>&lt;/li&gt;&lt;li&gt;&lt;a href=|http://kingjbible.com/psalms/103.htm| title=|King James Bible| target=|_top|&gt;KJV&lt;/a&gt;</v>
      </c>
      <c r="R581" t="str">
        <f t="shared" si="2320"/>
        <v>&lt;/li&gt;&lt;li&gt;&lt;a href=|http://asvbible.com/psalms/103.htm| title=|American Standard Version| target=|_top|&gt;ASV&lt;/a&gt;</v>
      </c>
      <c r="S581" t="str">
        <f t="shared" si="2320"/>
        <v>&lt;/li&gt;&lt;li&gt;&lt;a href=|http://drb.scripturetext.com/psalms/103.htm| title=|Douay-Rheims Bible| target=|_top|&gt;DRB&lt;/a&gt;</v>
      </c>
      <c r="T581" t="str">
        <f t="shared" si="2320"/>
        <v>&lt;/li&gt;&lt;li&gt;&lt;a href=|http://erv.scripturetext.com/psalms/103.htm| title=|English Revised Version| target=|_top|&gt;ERV&lt;/a&gt;</v>
      </c>
      <c r="V581" t="str">
        <f>CONCATENATE("&lt;/li&gt;&lt;li&gt;&lt;a href=|http://",V1191,"/psalms/103.htm","| ","title=|",V1190,"| target=|_top|&gt;",V1192,"&lt;/a&gt;")</f>
        <v>&lt;/li&gt;&lt;li&gt;&lt;a href=|http://study.interlinearbible.org/psalms/103.htm| title=|Hebrew Study Bible| target=|_top|&gt;Heb Study&lt;/a&gt;</v>
      </c>
      <c r="W581" t="str">
        <f t="shared" si="2320"/>
        <v>&lt;/li&gt;&lt;li&gt;&lt;a href=|http://apostolic.interlinearbible.org/psalms/103.htm| title=|Apostolic Bible Polyglot Interlinear| target=|_top|&gt;Polyglot&lt;/a&gt;</v>
      </c>
      <c r="X581" t="str">
        <f t="shared" si="2320"/>
        <v>&lt;/li&gt;&lt;li&gt;&lt;a href=|http://interlinearbible.org/psalms/103.htm| title=|Interlinear Bible| target=|_top|&gt;Interlin&lt;/a&gt;</v>
      </c>
      <c r="Y581" t="str">
        <f t="shared" ref="Y581" si="2321">CONCATENATE("&lt;/li&gt;&lt;li&gt;&lt;a href=|http://",Y1191,"/psalms/103.htm","| ","title=|",Y1190,"| target=|_top|&gt;",Y1192,"&lt;/a&gt;")</f>
        <v>&lt;/li&gt;&lt;li&gt;&lt;a href=|http://bibleoutline.org/psalms/103.htm| title=|Outline with People and Places List| target=|_top|&gt;Outline&lt;/a&gt;</v>
      </c>
      <c r="Z581" t="str">
        <f t="shared" si="2320"/>
        <v>&lt;/li&gt;&lt;li&gt;&lt;a href=|http://kjvs.scripturetext.com/psalms/103.htm| title=|King James Bible with Strong's Numbers| target=|_top|&gt;Strong's&lt;/a&gt;</v>
      </c>
      <c r="AA581" t="str">
        <f t="shared" si="2320"/>
        <v>&lt;/li&gt;&lt;li&gt;&lt;a href=|http://childrensbibleonline.com/psalms/103.htm| title=|The Children's Bible| target=|_top|&gt;Children's&lt;/a&gt;</v>
      </c>
      <c r="AB581" s="2" t="str">
        <f t="shared" si="2320"/>
        <v>&lt;/li&gt;&lt;li&gt;&lt;a href=|http://tsk.scripturetext.com/psalms/103.htm| title=|Treasury of Scripture Knowledge| target=|_top|&gt;TSK&lt;/a&gt;</v>
      </c>
      <c r="AC581" t="str">
        <f>CONCATENATE("&lt;a href=|http://",AC1191,"/psalms/103.htm","| ","title=|",AC1190,"| target=|_top|&gt;",AC1192,"&lt;/a&gt;")</f>
        <v>&lt;a href=|http://parallelbible.com/psalms/103.htm| title=|Parallel Chapters| target=|_top|&gt;PAR&lt;/a&gt;</v>
      </c>
      <c r="AD581" s="2" t="str">
        <f t="shared" ref="AD581:AK581" si="2322">CONCATENATE("&lt;/li&gt;&lt;li&gt;&lt;a href=|http://",AD1191,"/psalms/103.htm","| ","title=|",AD1190,"| target=|_top|&gt;",AD1192,"&lt;/a&gt;")</f>
        <v>&lt;/li&gt;&lt;li&gt;&lt;a href=|http://gsb.biblecommenter.com/psalms/103.htm| title=|Geneva Study Bible| target=|_top|&gt;GSB&lt;/a&gt;</v>
      </c>
      <c r="AE581" s="2" t="str">
        <f t="shared" si="2322"/>
        <v>&lt;/li&gt;&lt;li&gt;&lt;a href=|http://jfb.biblecommenter.com/psalms/103.htm| title=|Jamieson-Fausset-Brown Bible Commentary| target=|_top|&gt;JFB&lt;/a&gt;</v>
      </c>
      <c r="AF581" s="2" t="str">
        <f t="shared" si="2322"/>
        <v>&lt;/li&gt;&lt;li&gt;&lt;a href=|http://kjt.biblecommenter.com/psalms/103.htm| title=|King James Translators' Notes| target=|_top|&gt;KJT&lt;/a&gt;</v>
      </c>
      <c r="AG581" s="2" t="str">
        <f t="shared" si="2322"/>
        <v>&lt;/li&gt;&lt;li&gt;&lt;a href=|http://mhc.biblecommenter.com/psalms/103.htm| title=|Matthew Henry's Concise Commentary| target=|_top|&gt;MHC&lt;/a&gt;</v>
      </c>
      <c r="AH581" s="2" t="str">
        <f t="shared" si="2322"/>
        <v>&lt;/li&gt;&lt;li&gt;&lt;a href=|http://sco.biblecommenter.com/psalms/103.htm| title=|Scofield Reference Notes| target=|_top|&gt;SCO&lt;/a&gt;</v>
      </c>
      <c r="AI581" s="2" t="str">
        <f t="shared" si="2322"/>
        <v>&lt;/li&gt;&lt;li&gt;&lt;a href=|http://wes.biblecommenter.com/psalms/103.htm| title=|Wesley's Notes on the Bible| target=|_top|&gt;WES&lt;/a&gt;</v>
      </c>
      <c r="AJ581" t="str">
        <f t="shared" si="2322"/>
        <v>&lt;/li&gt;&lt;li&gt;&lt;a href=|http://worldebible.com/psalms/103.htm| title=|World English Bible| target=|_top|&gt;WEB&lt;/a&gt;</v>
      </c>
      <c r="AK581" t="str">
        <f t="shared" si="2322"/>
        <v>&lt;/li&gt;&lt;li&gt;&lt;a href=|http://yltbible.com/psalms/103.htm| title=|Young's Literal Translation| target=|_top|&gt;YLT&lt;/a&gt;</v>
      </c>
      <c r="AL581" t="str">
        <f>CONCATENATE("&lt;a href=|http://",AL1191,"/psalms/103.htm","| ","title=|",AL1190,"| target=|_top|&gt;",AL1192,"&lt;/a&gt;")</f>
        <v>&lt;a href=|http://kjv.us/psalms/103.htm| title=|American King James Version| target=|_top|&gt;AKJ&lt;/a&gt;</v>
      </c>
      <c r="AM581" t="str">
        <f t="shared" ref="AM581:AN581" si="2323">CONCATENATE("&lt;/li&gt;&lt;li&gt;&lt;a href=|http://",AM1191,"/psalms/103.htm","| ","title=|",AM1190,"| target=|_top|&gt;",AM1192,"&lt;/a&gt;")</f>
        <v>&lt;/li&gt;&lt;li&gt;&lt;a href=|http://basicenglishbible.com/psalms/103.htm| title=|Bible in Basic English| target=|_top|&gt;BBE&lt;/a&gt;</v>
      </c>
      <c r="AN581" t="str">
        <f t="shared" si="2323"/>
        <v>&lt;/li&gt;&lt;li&gt;&lt;a href=|http://darbybible.com/psalms/103.htm| title=|Darby Bible Translation| target=|_top|&gt;DBY&lt;/a&gt;</v>
      </c>
      <c r="AO58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8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8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81" t="str">
        <f>CONCATENATE("&lt;/li&gt;&lt;li&gt;&lt;a href=|http://",AR1191,"/psalms/103.htm","| ","title=|",AR1190,"| target=|_top|&gt;",AR1192,"&lt;/a&gt;")</f>
        <v>&lt;/li&gt;&lt;li&gt;&lt;a href=|http://websterbible.com/psalms/103.htm| title=|Webster's Bible Translation| target=|_top|&gt;WBS&lt;/a&gt;</v>
      </c>
      <c r="AS58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81" t="str">
        <f>CONCATENATE("&lt;/li&gt;&lt;li&gt;&lt;a href=|http://",AT1191,"/psalms/103-1.htm","| ","title=|",AT1190,"| target=|_top|&gt;",AT1192,"&lt;/a&gt;")</f>
        <v>&lt;/li&gt;&lt;li&gt;&lt;a href=|http://biblebrowser.com/psalms/103-1.htm| title=|Split View| target=|_top|&gt;Split&lt;/a&gt;</v>
      </c>
      <c r="AU581" s="2" t="s">
        <v>1276</v>
      </c>
      <c r="AV581" t="s">
        <v>64</v>
      </c>
    </row>
    <row r="582" spans="1:48">
      <c r="A582" t="s">
        <v>622</v>
      </c>
      <c r="B582" t="s">
        <v>1086</v>
      </c>
      <c r="C582" t="s">
        <v>624</v>
      </c>
      <c r="D582" t="s">
        <v>1268</v>
      </c>
      <c r="E582" t="s">
        <v>1277</v>
      </c>
      <c r="F582" t="s">
        <v>1304</v>
      </c>
      <c r="G582" t="s">
        <v>1266</v>
      </c>
      <c r="H582" t="s">
        <v>1305</v>
      </c>
      <c r="I582" t="s">
        <v>1303</v>
      </c>
      <c r="J582" t="s">
        <v>1267</v>
      </c>
      <c r="K582" t="s">
        <v>1275</v>
      </c>
      <c r="L582" s="2" t="s">
        <v>1274</v>
      </c>
      <c r="M582" t="str">
        <f t="shared" ref="M582:AB582" si="2324">CONCATENATE("&lt;/li&gt;&lt;li&gt;&lt;a href=|http://",M1191,"/psalms/104.htm","| ","title=|",M1190,"| target=|_top|&gt;",M1192,"&lt;/a&gt;")</f>
        <v>&lt;/li&gt;&lt;li&gt;&lt;a href=|http://niv.scripturetext.com/psalms/104.htm| title=|New International Version| target=|_top|&gt;NIV&lt;/a&gt;</v>
      </c>
      <c r="N582" t="str">
        <f t="shared" si="2324"/>
        <v>&lt;/li&gt;&lt;li&gt;&lt;a href=|http://nlt.scripturetext.com/psalms/104.htm| title=|New Living Translation| target=|_top|&gt;NLT&lt;/a&gt;</v>
      </c>
      <c r="O582" t="str">
        <f t="shared" si="2324"/>
        <v>&lt;/li&gt;&lt;li&gt;&lt;a href=|http://nasb.scripturetext.com/psalms/104.htm| title=|New American Standard Bible| target=|_top|&gt;NAS&lt;/a&gt;</v>
      </c>
      <c r="P582" t="str">
        <f t="shared" si="2324"/>
        <v>&lt;/li&gt;&lt;li&gt;&lt;a href=|http://gwt.scripturetext.com/psalms/104.htm| title=|God's Word Translation| target=|_top|&gt;GWT&lt;/a&gt;</v>
      </c>
      <c r="Q582" t="str">
        <f t="shared" si="2324"/>
        <v>&lt;/li&gt;&lt;li&gt;&lt;a href=|http://kingjbible.com/psalms/104.htm| title=|King James Bible| target=|_top|&gt;KJV&lt;/a&gt;</v>
      </c>
      <c r="R582" t="str">
        <f t="shared" si="2324"/>
        <v>&lt;/li&gt;&lt;li&gt;&lt;a href=|http://asvbible.com/psalms/104.htm| title=|American Standard Version| target=|_top|&gt;ASV&lt;/a&gt;</v>
      </c>
      <c r="S582" t="str">
        <f t="shared" si="2324"/>
        <v>&lt;/li&gt;&lt;li&gt;&lt;a href=|http://drb.scripturetext.com/psalms/104.htm| title=|Douay-Rheims Bible| target=|_top|&gt;DRB&lt;/a&gt;</v>
      </c>
      <c r="T582" t="str">
        <f t="shared" si="2324"/>
        <v>&lt;/li&gt;&lt;li&gt;&lt;a href=|http://erv.scripturetext.com/psalms/104.htm| title=|English Revised Version| target=|_top|&gt;ERV&lt;/a&gt;</v>
      </c>
      <c r="V582" t="str">
        <f>CONCATENATE("&lt;/li&gt;&lt;li&gt;&lt;a href=|http://",V1191,"/psalms/104.htm","| ","title=|",V1190,"| target=|_top|&gt;",V1192,"&lt;/a&gt;")</f>
        <v>&lt;/li&gt;&lt;li&gt;&lt;a href=|http://study.interlinearbible.org/psalms/104.htm| title=|Hebrew Study Bible| target=|_top|&gt;Heb Study&lt;/a&gt;</v>
      </c>
      <c r="W582" t="str">
        <f t="shared" si="2324"/>
        <v>&lt;/li&gt;&lt;li&gt;&lt;a href=|http://apostolic.interlinearbible.org/psalms/104.htm| title=|Apostolic Bible Polyglot Interlinear| target=|_top|&gt;Polyglot&lt;/a&gt;</v>
      </c>
      <c r="X582" t="str">
        <f t="shared" si="2324"/>
        <v>&lt;/li&gt;&lt;li&gt;&lt;a href=|http://interlinearbible.org/psalms/104.htm| title=|Interlinear Bible| target=|_top|&gt;Interlin&lt;/a&gt;</v>
      </c>
      <c r="Y582" t="str">
        <f t="shared" ref="Y582" si="2325">CONCATENATE("&lt;/li&gt;&lt;li&gt;&lt;a href=|http://",Y1191,"/psalms/104.htm","| ","title=|",Y1190,"| target=|_top|&gt;",Y1192,"&lt;/a&gt;")</f>
        <v>&lt;/li&gt;&lt;li&gt;&lt;a href=|http://bibleoutline.org/psalms/104.htm| title=|Outline with People and Places List| target=|_top|&gt;Outline&lt;/a&gt;</v>
      </c>
      <c r="Z582" t="str">
        <f t="shared" si="2324"/>
        <v>&lt;/li&gt;&lt;li&gt;&lt;a href=|http://kjvs.scripturetext.com/psalms/104.htm| title=|King James Bible with Strong's Numbers| target=|_top|&gt;Strong's&lt;/a&gt;</v>
      </c>
      <c r="AA582" t="str">
        <f t="shared" si="2324"/>
        <v>&lt;/li&gt;&lt;li&gt;&lt;a href=|http://childrensbibleonline.com/psalms/104.htm| title=|The Children's Bible| target=|_top|&gt;Children's&lt;/a&gt;</v>
      </c>
      <c r="AB582" s="2" t="str">
        <f t="shared" si="2324"/>
        <v>&lt;/li&gt;&lt;li&gt;&lt;a href=|http://tsk.scripturetext.com/psalms/104.htm| title=|Treasury of Scripture Knowledge| target=|_top|&gt;TSK&lt;/a&gt;</v>
      </c>
      <c r="AC582" t="str">
        <f>CONCATENATE("&lt;a href=|http://",AC1191,"/psalms/104.htm","| ","title=|",AC1190,"| target=|_top|&gt;",AC1192,"&lt;/a&gt;")</f>
        <v>&lt;a href=|http://parallelbible.com/psalms/104.htm| title=|Parallel Chapters| target=|_top|&gt;PAR&lt;/a&gt;</v>
      </c>
      <c r="AD582" s="2" t="str">
        <f t="shared" ref="AD582:AK582" si="2326">CONCATENATE("&lt;/li&gt;&lt;li&gt;&lt;a href=|http://",AD1191,"/psalms/104.htm","| ","title=|",AD1190,"| target=|_top|&gt;",AD1192,"&lt;/a&gt;")</f>
        <v>&lt;/li&gt;&lt;li&gt;&lt;a href=|http://gsb.biblecommenter.com/psalms/104.htm| title=|Geneva Study Bible| target=|_top|&gt;GSB&lt;/a&gt;</v>
      </c>
      <c r="AE582" s="2" t="str">
        <f t="shared" si="2326"/>
        <v>&lt;/li&gt;&lt;li&gt;&lt;a href=|http://jfb.biblecommenter.com/psalms/104.htm| title=|Jamieson-Fausset-Brown Bible Commentary| target=|_top|&gt;JFB&lt;/a&gt;</v>
      </c>
      <c r="AF582" s="2" t="str">
        <f t="shared" si="2326"/>
        <v>&lt;/li&gt;&lt;li&gt;&lt;a href=|http://kjt.biblecommenter.com/psalms/104.htm| title=|King James Translators' Notes| target=|_top|&gt;KJT&lt;/a&gt;</v>
      </c>
      <c r="AG582" s="2" t="str">
        <f t="shared" si="2326"/>
        <v>&lt;/li&gt;&lt;li&gt;&lt;a href=|http://mhc.biblecommenter.com/psalms/104.htm| title=|Matthew Henry's Concise Commentary| target=|_top|&gt;MHC&lt;/a&gt;</v>
      </c>
      <c r="AH582" s="2" t="str">
        <f t="shared" si="2326"/>
        <v>&lt;/li&gt;&lt;li&gt;&lt;a href=|http://sco.biblecommenter.com/psalms/104.htm| title=|Scofield Reference Notes| target=|_top|&gt;SCO&lt;/a&gt;</v>
      </c>
      <c r="AI582" s="2" t="str">
        <f t="shared" si="2326"/>
        <v>&lt;/li&gt;&lt;li&gt;&lt;a href=|http://wes.biblecommenter.com/psalms/104.htm| title=|Wesley's Notes on the Bible| target=|_top|&gt;WES&lt;/a&gt;</v>
      </c>
      <c r="AJ582" t="str">
        <f t="shared" si="2326"/>
        <v>&lt;/li&gt;&lt;li&gt;&lt;a href=|http://worldebible.com/psalms/104.htm| title=|World English Bible| target=|_top|&gt;WEB&lt;/a&gt;</v>
      </c>
      <c r="AK582" t="str">
        <f t="shared" si="2326"/>
        <v>&lt;/li&gt;&lt;li&gt;&lt;a href=|http://yltbible.com/psalms/104.htm| title=|Young's Literal Translation| target=|_top|&gt;YLT&lt;/a&gt;</v>
      </c>
      <c r="AL582" t="str">
        <f>CONCATENATE("&lt;a href=|http://",AL1191,"/psalms/104.htm","| ","title=|",AL1190,"| target=|_top|&gt;",AL1192,"&lt;/a&gt;")</f>
        <v>&lt;a href=|http://kjv.us/psalms/104.htm| title=|American King James Version| target=|_top|&gt;AKJ&lt;/a&gt;</v>
      </c>
      <c r="AM582" t="str">
        <f t="shared" ref="AM582:AN582" si="2327">CONCATENATE("&lt;/li&gt;&lt;li&gt;&lt;a href=|http://",AM1191,"/psalms/104.htm","| ","title=|",AM1190,"| target=|_top|&gt;",AM1192,"&lt;/a&gt;")</f>
        <v>&lt;/li&gt;&lt;li&gt;&lt;a href=|http://basicenglishbible.com/psalms/104.htm| title=|Bible in Basic English| target=|_top|&gt;BBE&lt;/a&gt;</v>
      </c>
      <c r="AN582" t="str">
        <f t="shared" si="2327"/>
        <v>&lt;/li&gt;&lt;li&gt;&lt;a href=|http://darbybible.com/psalms/104.htm| title=|Darby Bible Translation| target=|_top|&gt;DBY&lt;/a&gt;</v>
      </c>
      <c r="AO58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8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8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82" t="str">
        <f>CONCATENATE("&lt;/li&gt;&lt;li&gt;&lt;a href=|http://",AR1191,"/psalms/104.htm","| ","title=|",AR1190,"| target=|_top|&gt;",AR1192,"&lt;/a&gt;")</f>
        <v>&lt;/li&gt;&lt;li&gt;&lt;a href=|http://websterbible.com/psalms/104.htm| title=|Webster's Bible Translation| target=|_top|&gt;WBS&lt;/a&gt;</v>
      </c>
      <c r="AS58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82" t="str">
        <f>CONCATENATE("&lt;/li&gt;&lt;li&gt;&lt;a href=|http://",AT1191,"/psalms/104-1.htm","| ","title=|",AT1190,"| target=|_top|&gt;",AT1192,"&lt;/a&gt;")</f>
        <v>&lt;/li&gt;&lt;li&gt;&lt;a href=|http://biblebrowser.com/psalms/104-1.htm| title=|Split View| target=|_top|&gt;Split&lt;/a&gt;</v>
      </c>
      <c r="AU582" s="2" t="s">
        <v>1276</v>
      </c>
      <c r="AV582" t="s">
        <v>64</v>
      </c>
    </row>
    <row r="583" spans="1:48">
      <c r="A583" t="s">
        <v>622</v>
      </c>
      <c r="B583" t="s">
        <v>1087</v>
      </c>
      <c r="C583" t="s">
        <v>624</v>
      </c>
      <c r="D583" t="s">
        <v>1268</v>
      </c>
      <c r="E583" t="s">
        <v>1277</v>
      </c>
      <c r="F583" t="s">
        <v>1304</v>
      </c>
      <c r="G583" t="s">
        <v>1266</v>
      </c>
      <c r="H583" t="s">
        <v>1305</v>
      </c>
      <c r="I583" t="s">
        <v>1303</v>
      </c>
      <c r="J583" t="s">
        <v>1267</v>
      </c>
      <c r="K583" t="s">
        <v>1275</v>
      </c>
      <c r="L583" s="2" t="s">
        <v>1274</v>
      </c>
      <c r="M583" t="str">
        <f t="shared" ref="M583:AB583" si="2328">CONCATENATE("&lt;/li&gt;&lt;li&gt;&lt;a href=|http://",M1191,"/psalms/105.htm","| ","title=|",M1190,"| target=|_top|&gt;",M1192,"&lt;/a&gt;")</f>
        <v>&lt;/li&gt;&lt;li&gt;&lt;a href=|http://niv.scripturetext.com/psalms/105.htm| title=|New International Version| target=|_top|&gt;NIV&lt;/a&gt;</v>
      </c>
      <c r="N583" t="str">
        <f t="shared" si="2328"/>
        <v>&lt;/li&gt;&lt;li&gt;&lt;a href=|http://nlt.scripturetext.com/psalms/105.htm| title=|New Living Translation| target=|_top|&gt;NLT&lt;/a&gt;</v>
      </c>
      <c r="O583" t="str">
        <f t="shared" si="2328"/>
        <v>&lt;/li&gt;&lt;li&gt;&lt;a href=|http://nasb.scripturetext.com/psalms/105.htm| title=|New American Standard Bible| target=|_top|&gt;NAS&lt;/a&gt;</v>
      </c>
      <c r="P583" t="str">
        <f t="shared" si="2328"/>
        <v>&lt;/li&gt;&lt;li&gt;&lt;a href=|http://gwt.scripturetext.com/psalms/105.htm| title=|God's Word Translation| target=|_top|&gt;GWT&lt;/a&gt;</v>
      </c>
      <c r="Q583" t="str">
        <f t="shared" si="2328"/>
        <v>&lt;/li&gt;&lt;li&gt;&lt;a href=|http://kingjbible.com/psalms/105.htm| title=|King James Bible| target=|_top|&gt;KJV&lt;/a&gt;</v>
      </c>
      <c r="R583" t="str">
        <f t="shared" si="2328"/>
        <v>&lt;/li&gt;&lt;li&gt;&lt;a href=|http://asvbible.com/psalms/105.htm| title=|American Standard Version| target=|_top|&gt;ASV&lt;/a&gt;</v>
      </c>
      <c r="S583" t="str">
        <f t="shared" si="2328"/>
        <v>&lt;/li&gt;&lt;li&gt;&lt;a href=|http://drb.scripturetext.com/psalms/105.htm| title=|Douay-Rheims Bible| target=|_top|&gt;DRB&lt;/a&gt;</v>
      </c>
      <c r="T583" t="str">
        <f t="shared" si="2328"/>
        <v>&lt;/li&gt;&lt;li&gt;&lt;a href=|http://erv.scripturetext.com/psalms/105.htm| title=|English Revised Version| target=|_top|&gt;ERV&lt;/a&gt;</v>
      </c>
      <c r="V583" t="str">
        <f>CONCATENATE("&lt;/li&gt;&lt;li&gt;&lt;a href=|http://",V1191,"/psalms/105.htm","| ","title=|",V1190,"| target=|_top|&gt;",V1192,"&lt;/a&gt;")</f>
        <v>&lt;/li&gt;&lt;li&gt;&lt;a href=|http://study.interlinearbible.org/psalms/105.htm| title=|Hebrew Study Bible| target=|_top|&gt;Heb Study&lt;/a&gt;</v>
      </c>
      <c r="W583" t="str">
        <f t="shared" si="2328"/>
        <v>&lt;/li&gt;&lt;li&gt;&lt;a href=|http://apostolic.interlinearbible.org/psalms/105.htm| title=|Apostolic Bible Polyglot Interlinear| target=|_top|&gt;Polyglot&lt;/a&gt;</v>
      </c>
      <c r="X583" t="str">
        <f t="shared" si="2328"/>
        <v>&lt;/li&gt;&lt;li&gt;&lt;a href=|http://interlinearbible.org/psalms/105.htm| title=|Interlinear Bible| target=|_top|&gt;Interlin&lt;/a&gt;</v>
      </c>
      <c r="Y583" t="str">
        <f t="shared" ref="Y583" si="2329">CONCATENATE("&lt;/li&gt;&lt;li&gt;&lt;a href=|http://",Y1191,"/psalms/105.htm","| ","title=|",Y1190,"| target=|_top|&gt;",Y1192,"&lt;/a&gt;")</f>
        <v>&lt;/li&gt;&lt;li&gt;&lt;a href=|http://bibleoutline.org/psalms/105.htm| title=|Outline with People and Places List| target=|_top|&gt;Outline&lt;/a&gt;</v>
      </c>
      <c r="Z583" t="str">
        <f t="shared" si="2328"/>
        <v>&lt;/li&gt;&lt;li&gt;&lt;a href=|http://kjvs.scripturetext.com/psalms/105.htm| title=|King James Bible with Strong's Numbers| target=|_top|&gt;Strong's&lt;/a&gt;</v>
      </c>
      <c r="AA583" t="str">
        <f t="shared" si="2328"/>
        <v>&lt;/li&gt;&lt;li&gt;&lt;a href=|http://childrensbibleonline.com/psalms/105.htm| title=|The Children's Bible| target=|_top|&gt;Children's&lt;/a&gt;</v>
      </c>
      <c r="AB583" s="2" t="str">
        <f t="shared" si="2328"/>
        <v>&lt;/li&gt;&lt;li&gt;&lt;a href=|http://tsk.scripturetext.com/psalms/105.htm| title=|Treasury of Scripture Knowledge| target=|_top|&gt;TSK&lt;/a&gt;</v>
      </c>
      <c r="AC583" t="str">
        <f>CONCATENATE("&lt;a href=|http://",AC1191,"/psalms/105.htm","| ","title=|",AC1190,"| target=|_top|&gt;",AC1192,"&lt;/a&gt;")</f>
        <v>&lt;a href=|http://parallelbible.com/psalms/105.htm| title=|Parallel Chapters| target=|_top|&gt;PAR&lt;/a&gt;</v>
      </c>
      <c r="AD583" s="2" t="str">
        <f t="shared" ref="AD583:AK583" si="2330">CONCATENATE("&lt;/li&gt;&lt;li&gt;&lt;a href=|http://",AD1191,"/psalms/105.htm","| ","title=|",AD1190,"| target=|_top|&gt;",AD1192,"&lt;/a&gt;")</f>
        <v>&lt;/li&gt;&lt;li&gt;&lt;a href=|http://gsb.biblecommenter.com/psalms/105.htm| title=|Geneva Study Bible| target=|_top|&gt;GSB&lt;/a&gt;</v>
      </c>
      <c r="AE583" s="2" t="str">
        <f t="shared" si="2330"/>
        <v>&lt;/li&gt;&lt;li&gt;&lt;a href=|http://jfb.biblecommenter.com/psalms/105.htm| title=|Jamieson-Fausset-Brown Bible Commentary| target=|_top|&gt;JFB&lt;/a&gt;</v>
      </c>
      <c r="AF583" s="2" t="str">
        <f t="shared" si="2330"/>
        <v>&lt;/li&gt;&lt;li&gt;&lt;a href=|http://kjt.biblecommenter.com/psalms/105.htm| title=|King James Translators' Notes| target=|_top|&gt;KJT&lt;/a&gt;</v>
      </c>
      <c r="AG583" s="2" t="str">
        <f t="shared" si="2330"/>
        <v>&lt;/li&gt;&lt;li&gt;&lt;a href=|http://mhc.biblecommenter.com/psalms/105.htm| title=|Matthew Henry's Concise Commentary| target=|_top|&gt;MHC&lt;/a&gt;</v>
      </c>
      <c r="AH583" s="2" t="str">
        <f t="shared" si="2330"/>
        <v>&lt;/li&gt;&lt;li&gt;&lt;a href=|http://sco.biblecommenter.com/psalms/105.htm| title=|Scofield Reference Notes| target=|_top|&gt;SCO&lt;/a&gt;</v>
      </c>
      <c r="AI583" s="2" t="str">
        <f t="shared" si="2330"/>
        <v>&lt;/li&gt;&lt;li&gt;&lt;a href=|http://wes.biblecommenter.com/psalms/105.htm| title=|Wesley's Notes on the Bible| target=|_top|&gt;WES&lt;/a&gt;</v>
      </c>
      <c r="AJ583" t="str">
        <f t="shared" si="2330"/>
        <v>&lt;/li&gt;&lt;li&gt;&lt;a href=|http://worldebible.com/psalms/105.htm| title=|World English Bible| target=|_top|&gt;WEB&lt;/a&gt;</v>
      </c>
      <c r="AK583" t="str">
        <f t="shared" si="2330"/>
        <v>&lt;/li&gt;&lt;li&gt;&lt;a href=|http://yltbible.com/psalms/105.htm| title=|Young's Literal Translation| target=|_top|&gt;YLT&lt;/a&gt;</v>
      </c>
      <c r="AL583" t="str">
        <f>CONCATENATE("&lt;a href=|http://",AL1191,"/psalms/105.htm","| ","title=|",AL1190,"| target=|_top|&gt;",AL1192,"&lt;/a&gt;")</f>
        <v>&lt;a href=|http://kjv.us/psalms/105.htm| title=|American King James Version| target=|_top|&gt;AKJ&lt;/a&gt;</v>
      </c>
      <c r="AM583" t="str">
        <f t="shared" ref="AM583:AN583" si="2331">CONCATENATE("&lt;/li&gt;&lt;li&gt;&lt;a href=|http://",AM1191,"/psalms/105.htm","| ","title=|",AM1190,"| target=|_top|&gt;",AM1192,"&lt;/a&gt;")</f>
        <v>&lt;/li&gt;&lt;li&gt;&lt;a href=|http://basicenglishbible.com/psalms/105.htm| title=|Bible in Basic English| target=|_top|&gt;BBE&lt;/a&gt;</v>
      </c>
      <c r="AN583" t="str">
        <f t="shared" si="2331"/>
        <v>&lt;/li&gt;&lt;li&gt;&lt;a href=|http://darbybible.com/psalms/105.htm| title=|Darby Bible Translation| target=|_top|&gt;DBY&lt;/a&gt;</v>
      </c>
      <c r="AO58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8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8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83" t="str">
        <f>CONCATENATE("&lt;/li&gt;&lt;li&gt;&lt;a href=|http://",AR1191,"/psalms/105.htm","| ","title=|",AR1190,"| target=|_top|&gt;",AR1192,"&lt;/a&gt;")</f>
        <v>&lt;/li&gt;&lt;li&gt;&lt;a href=|http://websterbible.com/psalms/105.htm| title=|Webster's Bible Translation| target=|_top|&gt;WBS&lt;/a&gt;</v>
      </c>
      <c r="AS58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83" t="str">
        <f>CONCATENATE("&lt;/li&gt;&lt;li&gt;&lt;a href=|http://",AT1191,"/psalms/105-1.htm","| ","title=|",AT1190,"| target=|_top|&gt;",AT1192,"&lt;/a&gt;")</f>
        <v>&lt;/li&gt;&lt;li&gt;&lt;a href=|http://biblebrowser.com/psalms/105-1.htm| title=|Split View| target=|_top|&gt;Split&lt;/a&gt;</v>
      </c>
      <c r="AU583" s="2" t="s">
        <v>1276</v>
      </c>
      <c r="AV583" t="s">
        <v>64</v>
      </c>
    </row>
    <row r="584" spans="1:48">
      <c r="A584" t="s">
        <v>622</v>
      </c>
      <c r="B584" t="s">
        <v>1088</v>
      </c>
      <c r="C584" t="s">
        <v>624</v>
      </c>
      <c r="D584" t="s">
        <v>1268</v>
      </c>
      <c r="E584" t="s">
        <v>1277</v>
      </c>
      <c r="F584" t="s">
        <v>1304</v>
      </c>
      <c r="G584" t="s">
        <v>1266</v>
      </c>
      <c r="H584" t="s">
        <v>1305</v>
      </c>
      <c r="I584" t="s">
        <v>1303</v>
      </c>
      <c r="J584" t="s">
        <v>1267</v>
      </c>
      <c r="K584" t="s">
        <v>1275</v>
      </c>
      <c r="L584" s="2" t="s">
        <v>1274</v>
      </c>
      <c r="M584" t="str">
        <f t="shared" ref="M584:AB584" si="2332">CONCATENATE("&lt;/li&gt;&lt;li&gt;&lt;a href=|http://",M1191,"/psalms/106.htm","| ","title=|",M1190,"| target=|_top|&gt;",M1192,"&lt;/a&gt;")</f>
        <v>&lt;/li&gt;&lt;li&gt;&lt;a href=|http://niv.scripturetext.com/psalms/106.htm| title=|New International Version| target=|_top|&gt;NIV&lt;/a&gt;</v>
      </c>
      <c r="N584" t="str">
        <f t="shared" si="2332"/>
        <v>&lt;/li&gt;&lt;li&gt;&lt;a href=|http://nlt.scripturetext.com/psalms/106.htm| title=|New Living Translation| target=|_top|&gt;NLT&lt;/a&gt;</v>
      </c>
      <c r="O584" t="str">
        <f t="shared" si="2332"/>
        <v>&lt;/li&gt;&lt;li&gt;&lt;a href=|http://nasb.scripturetext.com/psalms/106.htm| title=|New American Standard Bible| target=|_top|&gt;NAS&lt;/a&gt;</v>
      </c>
      <c r="P584" t="str">
        <f t="shared" si="2332"/>
        <v>&lt;/li&gt;&lt;li&gt;&lt;a href=|http://gwt.scripturetext.com/psalms/106.htm| title=|God's Word Translation| target=|_top|&gt;GWT&lt;/a&gt;</v>
      </c>
      <c r="Q584" t="str">
        <f t="shared" si="2332"/>
        <v>&lt;/li&gt;&lt;li&gt;&lt;a href=|http://kingjbible.com/psalms/106.htm| title=|King James Bible| target=|_top|&gt;KJV&lt;/a&gt;</v>
      </c>
      <c r="R584" t="str">
        <f t="shared" si="2332"/>
        <v>&lt;/li&gt;&lt;li&gt;&lt;a href=|http://asvbible.com/psalms/106.htm| title=|American Standard Version| target=|_top|&gt;ASV&lt;/a&gt;</v>
      </c>
      <c r="S584" t="str">
        <f t="shared" si="2332"/>
        <v>&lt;/li&gt;&lt;li&gt;&lt;a href=|http://drb.scripturetext.com/psalms/106.htm| title=|Douay-Rheims Bible| target=|_top|&gt;DRB&lt;/a&gt;</v>
      </c>
      <c r="T584" t="str">
        <f t="shared" si="2332"/>
        <v>&lt;/li&gt;&lt;li&gt;&lt;a href=|http://erv.scripturetext.com/psalms/106.htm| title=|English Revised Version| target=|_top|&gt;ERV&lt;/a&gt;</v>
      </c>
      <c r="V584" t="str">
        <f>CONCATENATE("&lt;/li&gt;&lt;li&gt;&lt;a href=|http://",V1191,"/psalms/106.htm","| ","title=|",V1190,"| target=|_top|&gt;",V1192,"&lt;/a&gt;")</f>
        <v>&lt;/li&gt;&lt;li&gt;&lt;a href=|http://study.interlinearbible.org/psalms/106.htm| title=|Hebrew Study Bible| target=|_top|&gt;Heb Study&lt;/a&gt;</v>
      </c>
      <c r="W584" t="str">
        <f t="shared" si="2332"/>
        <v>&lt;/li&gt;&lt;li&gt;&lt;a href=|http://apostolic.interlinearbible.org/psalms/106.htm| title=|Apostolic Bible Polyglot Interlinear| target=|_top|&gt;Polyglot&lt;/a&gt;</v>
      </c>
      <c r="X584" t="str">
        <f t="shared" si="2332"/>
        <v>&lt;/li&gt;&lt;li&gt;&lt;a href=|http://interlinearbible.org/psalms/106.htm| title=|Interlinear Bible| target=|_top|&gt;Interlin&lt;/a&gt;</v>
      </c>
      <c r="Y584" t="str">
        <f t="shared" ref="Y584" si="2333">CONCATENATE("&lt;/li&gt;&lt;li&gt;&lt;a href=|http://",Y1191,"/psalms/106.htm","| ","title=|",Y1190,"| target=|_top|&gt;",Y1192,"&lt;/a&gt;")</f>
        <v>&lt;/li&gt;&lt;li&gt;&lt;a href=|http://bibleoutline.org/psalms/106.htm| title=|Outline with People and Places List| target=|_top|&gt;Outline&lt;/a&gt;</v>
      </c>
      <c r="Z584" t="str">
        <f t="shared" si="2332"/>
        <v>&lt;/li&gt;&lt;li&gt;&lt;a href=|http://kjvs.scripturetext.com/psalms/106.htm| title=|King James Bible with Strong's Numbers| target=|_top|&gt;Strong's&lt;/a&gt;</v>
      </c>
      <c r="AA584" t="str">
        <f t="shared" si="2332"/>
        <v>&lt;/li&gt;&lt;li&gt;&lt;a href=|http://childrensbibleonline.com/psalms/106.htm| title=|The Children's Bible| target=|_top|&gt;Children's&lt;/a&gt;</v>
      </c>
      <c r="AB584" s="2" t="str">
        <f t="shared" si="2332"/>
        <v>&lt;/li&gt;&lt;li&gt;&lt;a href=|http://tsk.scripturetext.com/psalms/106.htm| title=|Treasury of Scripture Knowledge| target=|_top|&gt;TSK&lt;/a&gt;</v>
      </c>
      <c r="AC584" t="str">
        <f>CONCATENATE("&lt;a href=|http://",AC1191,"/psalms/106.htm","| ","title=|",AC1190,"| target=|_top|&gt;",AC1192,"&lt;/a&gt;")</f>
        <v>&lt;a href=|http://parallelbible.com/psalms/106.htm| title=|Parallel Chapters| target=|_top|&gt;PAR&lt;/a&gt;</v>
      </c>
      <c r="AD584" s="2" t="str">
        <f t="shared" ref="AD584:AK584" si="2334">CONCATENATE("&lt;/li&gt;&lt;li&gt;&lt;a href=|http://",AD1191,"/psalms/106.htm","| ","title=|",AD1190,"| target=|_top|&gt;",AD1192,"&lt;/a&gt;")</f>
        <v>&lt;/li&gt;&lt;li&gt;&lt;a href=|http://gsb.biblecommenter.com/psalms/106.htm| title=|Geneva Study Bible| target=|_top|&gt;GSB&lt;/a&gt;</v>
      </c>
      <c r="AE584" s="2" t="str">
        <f t="shared" si="2334"/>
        <v>&lt;/li&gt;&lt;li&gt;&lt;a href=|http://jfb.biblecommenter.com/psalms/106.htm| title=|Jamieson-Fausset-Brown Bible Commentary| target=|_top|&gt;JFB&lt;/a&gt;</v>
      </c>
      <c r="AF584" s="2" t="str">
        <f t="shared" si="2334"/>
        <v>&lt;/li&gt;&lt;li&gt;&lt;a href=|http://kjt.biblecommenter.com/psalms/106.htm| title=|King James Translators' Notes| target=|_top|&gt;KJT&lt;/a&gt;</v>
      </c>
      <c r="AG584" s="2" t="str">
        <f t="shared" si="2334"/>
        <v>&lt;/li&gt;&lt;li&gt;&lt;a href=|http://mhc.biblecommenter.com/psalms/106.htm| title=|Matthew Henry's Concise Commentary| target=|_top|&gt;MHC&lt;/a&gt;</v>
      </c>
      <c r="AH584" s="2" t="str">
        <f t="shared" si="2334"/>
        <v>&lt;/li&gt;&lt;li&gt;&lt;a href=|http://sco.biblecommenter.com/psalms/106.htm| title=|Scofield Reference Notes| target=|_top|&gt;SCO&lt;/a&gt;</v>
      </c>
      <c r="AI584" s="2" t="str">
        <f t="shared" si="2334"/>
        <v>&lt;/li&gt;&lt;li&gt;&lt;a href=|http://wes.biblecommenter.com/psalms/106.htm| title=|Wesley's Notes on the Bible| target=|_top|&gt;WES&lt;/a&gt;</v>
      </c>
      <c r="AJ584" t="str">
        <f t="shared" si="2334"/>
        <v>&lt;/li&gt;&lt;li&gt;&lt;a href=|http://worldebible.com/psalms/106.htm| title=|World English Bible| target=|_top|&gt;WEB&lt;/a&gt;</v>
      </c>
      <c r="AK584" t="str">
        <f t="shared" si="2334"/>
        <v>&lt;/li&gt;&lt;li&gt;&lt;a href=|http://yltbible.com/psalms/106.htm| title=|Young's Literal Translation| target=|_top|&gt;YLT&lt;/a&gt;</v>
      </c>
      <c r="AL584" t="str">
        <f>CONCATENATE("&lt;a href=|http://",AL1191,"/psalms/106.htm","| ","title=|",AL1190,"| target=|_top|&gt;",AL1192,"&lt;/a&gt;")</f>
        <v>&lt;a href=|http://kjv.us/psalms/106.htm| title=|American King James Version| target=|_top|&gt;AKJ&lt;/a&gt;</v>
      </c>
      <c r="AM584" t="str">
        <f t="shared" ref="AM584:AN584" si="2335">CONCATENATE("&lt;/li&gt;&lt;li&gt;&lt;a href=|http://",AM1191,"/psalms/106.htm","| ","title=|",AM1190,"| target=|_top|&gt;",AM1192,"&lt;/a&gt;")</f>
        <v>&lt;/li&gt;&lt;li&gt;&lt;a href=|http://basicenglishbible.com/psalms/106.htm| title=|Bible in Basic English| target=|_top|&gt;BBE&lt;/a&gt;</v>
      </c>
      <c r="AN584" t="str">
        <f t="shared" si="2335"/>
        <v>&lt;/li&gt;&lt;li&gt;&lt;a href=|http://darbybible.com/psalms/106.htm| title=|Darby Bible Translation| target=|_top|&gt;DBY&lt;/a&gt;</v>
      </c>
      <c r="AO58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8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8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84" t="str">
        <f>CONCATENATE("&lt;/li&gt;&lt;li&gt;&lt;a href=|http://",AR1191,"/psalms/106.htm","| ","title=|",AR1190,"| target=|_top|&gt;",AR1192,"&lt;/a&gt;")</f>
        <v>&lt;/li&gt;&lt;li&gt;&lt;a href=|http://websterbible.com/psalms/106.htm| title=|Webster's Bible Translation| target=|_top|&gt;WBS&lt;/a&gt;</v>
      </c>
      <c r="AS58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84" t="str">
        <f>CONCATENATE("&lt;/li&gt;&lt;li&gt;&lt;a href=|http://",AT1191,"/psalms/106-1.htm","| ","title=|",AT1190,"| target=|_top|&gt;",AT1192,"&lt;/a&gt;")</f>
        <v>&lt;/li&gt;&lt;li&gt;&lt;a href=|http://biblebrowser.com/psalms/106-1.htm| title=|Split View| target=|_top|&gt;Split&lt;/a&gt;</v>
      </c>
      <c r="AU584" s="2" t="s">
        <v>1276</v>
      </c>
      <c r="AV584" t="s">
        <v>64</v>
      </c>
    </row>
    <row r="585" spans="1:48">
      <c r="A585" t="s">
        <v>622</v>
      </c>
      <c r="B585" t="s">
        <v>1089</v>
      </c>
      <c r="C585" t="s">
        <v>624</v>
      </c>
      <c r="D585" t="s">
        <v>1268</v>
      </c>
      <c r="E585" t="s">
        <v>1277</v>
      </c>
      <c r="F585" t="s">
        <v>1304</v>
      </c>
      <c r="G585" t="s">
        <v>1266</v>
      </c>
      <c r="H585" t="s">
        <v>1305</v>
      </c>
      <c r="I585" t="s">
        <v>1303</v>
      </c>
      <c r="J585" t="s">
        <v>1267</v>
      </c>
      <c r="K585" t="s">
        <v>1275</v>
      </c>
      <c r="L585" s="2" t="s">
        <v>1274</v>
      </c>
      <c r="M585" t="str">
        <f t="shared" ref="M585:AB585" si="2336">CONCATENATE("&lt;/li&gt;&lt;li&gt;&lt;a href=|http://",M1191,"/psalms/107.htm","| ","title=|",M1190,"| target=|_top|&gt;",M1192,"&lt;/a&gt;")</f>
        <v>&lt;/li&gt;&lt;li&gt;&lt;a href=|http://niv.scripturetext.com/psalms/107.htm| title=|New International Version| target=|_top|&gt;NIV&lt;/a&gt;</v>
      </c>
      <c r="N585" t="str">
        <f t="shared" si="2336"/>
        <v>&lt;/li&gt;&lt;li&gt;&lt;a href=|http://nlt.scripturetext.com/psalms/107.htm| title=|New Living Translation| target=|_top|&gt;NLT&lt;/a&gt;</v>
      </c>
      <c r="O585" t="str">
        <f t="shared" si="2336"/>
        <v>&lt;/li&gt;&lt;li&gt;&lt;a href=|http://nasb.scripturetext.com/psalms/107.htm| title=|New American Standard Bible| target=|_top|&gt;NAS&lt;/a&gt;</v>
      </c>
      <c r="P585" t="str">
        <f t="shared" si="2336"/>
        <v>&lt;/li&gt;&lt;li&gt;&lt;a href=|http://gwt.scripturetext.com/psalms/107.htm| title=|God's Word Translation| target=|_top|&gt;GWT&lt;/a&gt;</v>
      </c>
      <c r="Q585" t="str">
        <f t="shared" si="2336"/>
        <v>&lt;/li&gt;&lt;li&gt;&lt;a href=|http://kingjbible.com/psalms/107.htm| title=|King James Bible| target=|_top|&gt;KJV&lt;/a&gt;</v>
      </c>
      <c r="R585" t="str">
        <f t="shared" si="2336"/>
        <v>&lt;/li&gt;&lt;li&gt;&lt;a href=|http://asvbible.com/psalms/107.htm| title=|American Standard Version| target=|_top|&gt;ASV&lt;/a&gt;</v>
      </c>
      <c r="S585" t="str">
        <f t="shared" si="2336"/>
        <v>&lt;/li&gt;&lt;li&gt;&lt;a href=|http://drb.scripturetext.com/psalms/107.htm| title=|Douay-Rheims Bible| target=|_top|&gt;DRB&lt;/a&gt;</v>
      </c>
      <c r="T585" t="str">
        <f t="shared" si="2336"/>
        <v>&lt;/li&gt;&lt;li&gt;&lt;a href=|http://erv.scripturetext.com/psalms/107.htm| title=|English Revised Version| target=|_top|&gt;ERV&lt;/a&gt;</v>
      </c>
      <c r="V585" t="str">
        <f>CONCATENATE("&lt;/li&gt;&lt;li&gt;&lt;a href=|http://",V1191,"/psalms/107.htm","| ","title=|",V1190,"| target=|_top|&gt;",V1192,"&lt;/a&gt;")</f>
        <v>&lt;/li&gt;&lt;li&gt;&lt;a href=|http://study.interlinearbible.org/psalms/107.htm| title=|Hebrew Study Bible| target=|_top|&gt;Heb Study&lt;/a&gt;</v>
      </c>
      <c r="W585" t="str">
        <f t="shared" si="2336"/>
        <v>&lt;/li&gt;&lt;li&gt;&lt;a href=|http://apostolic.interlinearbible.org/psalms/107.htm| title=|Apostolic Bible Polyglot Interlinear| target=|_top|&gt;Polyglot&lt;/a&gt;</v>
      </c>
      <c r="X585" t="str">
        <f t="shared" si="2336"/>
        <v>&lt;/li&gt;&lt;li&gt;&lt;a href=|http://interlinearbible.org/psalms/107.htm| title=|Interlinear Bible| target=|_top|&gt;Interlin&lt;/a&gt;</v>
      </c>
      <c r="Y585" t="str">
        <f t="shared" ref="Y585" si="2337">CONCATENATE("&lt;/li&gt;&lt;li&gt;&lt;a href=|http://",Y1191,"/psalms/107.htm","| ","title=|",Y1190,"| target=|_top|&gt;",Y1192,"&lt;/a&gt;")</f>
        <v>&lt;/li&gt;&lt;li&gt;&lt;a href=|http://bibleoutline.org/psalms/107.htm| title=|Outline with People and Places List| target=|_top|&gt;Outline&lt;/a&gt;</v>
      </c>
      <c r="Z585" t="str">
        <f t="shared" si="2336"/>
        <v>&lt;/li&gt;&lt;li&gt;&lt;a href=|http://kjvs.scripturetext.com/psalms/107.htm| title=|King James Bible with Strong's Numbers| target=|_top|&gt;Strong's&lt;/a&gt;</v>
      </c>
      <c r="AA585" t="str">
        <f t="shared" si="2336"/>
        <v>&lt;/li&gt;&lt;li&gt;&lt;a href=|http://childrensbibleonline.com/psalms/107.htm| title=|The Children's Bible| target=|_top|&gt;Children's&lt;/a&gt;</v>
      </c>
      <c r="AB585" s="2" t="str">
        <f t="shared" si="2336"/>
        <v>&lt;/li&gt;&lt;li&gt;&lt;a href=|http://tsk.scripturetext.com/psalms/107.htm| title=|Treasury of Scripture Knowledge| target=|_top|&gt;TSK&lt;/a&gt;</v>
      </c>
      <c r="AC585" t="str">
        <f>CONCATENATE("&lt;a href=|http://",AC1191,"/psalms/107.htm","| ","title=|",AC1190,"| target=|_top|&gt;",AC1192,"&lt;/a&gt;")</f>
        <v>&lt;a href=|http://parallelbible.com/psalms/107.htm| title=|Parallel Chapters| target=|_top|&gt;PAR&lt;/a&gt;</v>
      </c>
      <c r="AD585" s="2" t="str">
        <f t="shared" ref="AD585:AK585" si="2338">CONCATENATE("&lt;/li&gt;&lt;li&gt;&lt;a href=|http://",AD1191,"/psalms/107.htm","| ","title=|",AD1190,"| target=|_top|&gt;",AD1192,"&lt;/a&gt;")</f>
        <v>&lt;/li&gt;&lt;li&gt;&lt;a href=|http://gsb.biblecommenter.com/psalms/107.htm| title=|Geneva Study Bible| target=|_top|&gt;GSB&lt;/a&gt;</v>
      </c>
      <c r="AE585" s="2" t="str">
        <f t="shared" si="2338"/>
        <v>&lt;/li&gt;&lt;li&gt;&lt;a href=|http://jfb.biblecommenter.com/psalms/107.htm| title=|Jamieson-Fausset-Brown Bible Commentary| target=|_top|&gt;JFB&lt;/a&gt;</v>
      </c>
      <c r="AF585" s="2" t="str">
        <f t="shared" si="2338"/>
        <v>&lt;/li&gt;&lt;li&gt;&lt;a href=|http://kjt.biblecommenter.com/psalms/107.htm| title=|King James Translators' Notes| target=|_top|&gt;KJT&lt;/a&gt;</v>
      </c>
      <c r="AG585" s="2" t="str">
        <f t="shared" si="2338"/>
        <v>&lt;/li&gt;&lt;li&gt;&lt;a href=|http://mhc.biblecommenter.com/psalms/107.htm| title=|Matthew Henry's Concise Commentary| target=|_top|&gt;MHC&lt;/a&gt;</v>
      </c>
      <c r="AH585" s="2" t="str">
        <f t="shared" si="2338"/>
        <v>&lt;/li&gt;&lt;li&gt;&lt;a href=|http://sco.biblecommenter.com/psalms/107.htm| title=|Scofield Reference Notes| target=|_top|&gt;SCO&lt;/a&gt;</v>
      </c>
      <c r="AI585" s="2" t="str">
        <f t="shared" si="2338"/>
        <v>&lt;/li&gt;&lt;li&gt;&lt;a href=|http://wes.biblecommenter.com/psalms/107.htm| title=|Wesley's Notes on the Bible| target=|_top|&gt;WES&lt;/a&gt;</v>
      </c>
      <c r="AJ585" t="str">
        <f t="shared" si="2338"/>
        <v>&lt;/li&gt;&lt;li&gt;&lt;a href=|http://worldebible.com/psalms/107.htm| title=|World English Bible| target=|_top|&gt;WEB&lt;/a&gt;</v>
      </c>
      <c r="AK585" t="str">
        <f t="shared" si="2338"/>
        <v>&lt;/li&gt;&lt;li&gt;&lt;a href=|http://yltbible.com/psalms/107.htm| title=|Young's Literal Translation| target=|_top|&gt;YLT&lt;/a&gt;</v>
      </c>
      <c r="AL585" t="str">
        <f>CONCATENATE("&lt;a href=|http://",AL1191,"/psalms/107.htm","| ","title=|",AL1190,"| target=|_top|&gt;",AL1192,"&lt;/a&gt;")</f>
        <v>&lt;a href=|http://kjv.us/psalms/107.htm| title=|American King James Version| target=|_top|&gt;AKJ&lt;/a&gt;</v>
      </c>
      <c r="AM585" t="str">
        <f t="shared" ref="AM585:AN585" si="2339">CONCATENATE("&lt;/li&gt;&lt;li&gt;&lt;a href=|http://",AM1191,"/psalms/107.htm","| ","title=|",AM1190,"| target=|_top|&gt;",AM1192,"&lt;/a&gt;")</f>
        <v>&lt;/li&gt;&lt;li&gt;&lt;a href=|http://basicenglishbible.com/psalms/107.htm| title=|Bible in Basic English| target=|_top|&gt;BBE&lt;/a&gt;</v>
      </c>
      <c r="AN585" t="str">
        <f t="shared" si="2339"/>
        <v>&lt;/li&gt;&lt;li&gt;&lt;a href=|http://darbybible.com/psalms/107.htm| title=|Darby Bible Translation| target=|_top|&gt;DBY&lt;/a&gt;</v>
      </c>
      <c r="AO58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8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8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85" t="str">
        <f>CONCATENATE("&lt;/li&gt;&lt;li&gt;&lt;a href=|http://",AR1191,"/psalms/107.htm","| ","title=|",AR1190,"| target=|_top|&gt;",AR1192,"&lt;/a&gt;")</f>
        <v>&lt;/li&gt;&lt;li&gt;&lt;a href=|http://websterbible.com/psalms/107.htm| title=|Webster's Bible Translation| target=|_top|&gt;WBS&lt;/a&gt;</v>
      </c>
      <c r="AS58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85" t="str">
        <f>CONCATENATE("&lt;/li&gt;&lt;li&gt;&lt;a href=|http://",AT1191,"/psalms/107-1.htm","| ","title=|",AT1190,"| target=|_top|&gt;",AT1192,"&lt;/a&gt;")</f>
        <v>&lt;/li&gt;&lt;li&gt;&lt;a href=|http://biblebrowser.com/psalms/107-1.htm| title=|Split View| target=|_top|&gt;Split&lt;/a&gt;</v>
      </c>
      <c r="AU585" s="2" t="s">
        <v>1276</v>
      </c>
      <c r="AV585" t="s">
        <v>64</v>
      </c>
    </row>
    <row r="586" spans="1:48">
      <c r="A586" t="s">
        <v>622</v>
      </c>
      <c r="B586" t="s">
        <v>1090</v>
      </c>
      <c r="C586" t="s">
        <v>624</v>
      </c>
      <c r="D586" t="s">
        <v>1268</v>
      </c>
      <c r="E586" t="s">
        <v>1277</v>
      </c>
      <c r="F586" t="s">
        <v>1304</v>
      </c>
      <c r="G586" t="s">
        <v>1266</v>
      </c>
      <c r="H586" t="s">
        <v>1305</v>
      </c>
      <c r="I586" t="s">
        <v>1303</v>
      </c>
      <c r="J586" t="s">
        <v>1267</v>
      </c>
      <c r="K586" t="s">
        <v>1275</v>
      </c>
      <c r="L586" s="2" t="s">
        <v>1274</v>
      </c>
      <c r="M586" t="str">
        <f t="shared" ref="M586:AB586" si="2340">CONCATENATE("&lt;/li&gt;&lt;li&gt;&lt;a href=|http://",M1191,"/psalms/108.htm","| ","title=|",M1190,"| target=|_top|&gt;",M1192,"&lt;/a&gt;")</f>
        <v>&lt;/li&gt;&lt;li&gt;&lt;a href=|http://niv.scripturetext.com/psalms/108.htm| title=|New International Version| target=|_top|&gt;NIV&lt;/a&gt;</v>
      </c>
      <c r="N586" t="str">
        <f t="shared" si="2340"/>
        <v>&lt;/li&gt;&lt;li&gt;&lt;a href=|http://nlt.scripturetext.com/psalms/108.htm| title=|New Living Translation| target=|_top|&gt;NLT&lt;/a&gt;</v>
      </c>
      <c r="O586" t="str">
        <f t="shared" si="2340"/>
        <v>&lt;/li&gt;&lt;li&gt;&lt;a href=|http://nasb.scripturetext.com/psalms/108.htm| title=|New American Standard Bible| target=|_top|&gt;NAS&lt;/a&gt;</v>
      </c>
      <c r="P586" t="str">
        <f t="shared" si="2340"/>
        <v>&lt;/li&gt;&lt;li&gt;&lt;a href=|http://gwt.scripturetext.com/psalms/108.htm| title=|God's Word Translation| target=|_top|&gt;GWT&lt;/a&gt;</v>
      </c>
      <c r="Q586" t="str">
        <f t="shared" si="2340"/>
        <v>&lt;/li&gt;&lt;li&gt;&lt;a href=|http://kingjbible.com/psalms/108.htm| title=|King James Bible| target=|_top|&gt;KJV&lt;/a&gt;</v>
      </c>
      <c r="R586" t="str">
        <f t="shared" si="2340"/>
        <v>&lt;/li&gt;&lt;li&gt;&lt;a href=|http://asvbible.com/psalms/108.htm| title=|American Standard Version| target=|_top|&gt;ASV&lt;/a&gt;</v>
      </c>
      <c r="S586" t="str">
        <f t="shared" si="2340"/>
        <v>&lt;/li&gt;&lt;li&gt;&lt;a href=|http://drb.scripturetext.com/psalms/108.htm| title=|Douay-Rheims Bible| target=|_top|&gt;DRB&lt;/a&gt;</v>
      </c>
      <c r="T586" t="str">
        <f t="shared" si="2340"/>
        <v>&lt;/li&gt;&lt;li&gt;&lt;a href=|http://erv.scripturetext.com/psalms/108.htm| title=|English Revised Version| target=|_top|&gt;ERV&lt;/a&gt;</v>
      </c>
      <c r="V586" t="str">
        <f>CONCATENATE("&lt;/li&gt;&lt;li&gt;&lt;a href=|http://",V1191,"/psalms/108.htm","| ","title=|",V1190,"| target=|_top|&gt;",V1192,"&lt;/a&gt;")</f>
        <v>&lt;/li&gt;&lt;li&gt;&lt;a href=|http://study.interlinearbible.org/psalms/108.htm| title=|Hebrew Study Bible| target=|_top|&gt;Heb Study&lt;/a&gt;</v>
      </c>
      <c r="W586" t="str">
        <f t="shared" si="2340"/>
        <v>&lt;/li&gt;&lt;li&gt;&lt;a href=|http://apostolic.interlinearbible.org/psalms/108.htm| title=|Apostolic Bible Polyglot Interlinear| target=|_top|&gt;Polyglot&lt;/a&gt;</v>
      </c>
      <c r="X586" t="str">
        <f t="shared" si="2340"/>
        <v>&lt;/li&gt;&lt;li&gt;&lt;a href=|http://interlinearbible.org/psalms/108.htm| title=|Interlinear Bible| target=|_top|&gt;Interlin&lt;/a&gt;</v>
      </c>
      <c r="Y586" t="str">
        <f t="shared" ref="Y586" si="2341">CONCATENATE("&lt;/li&gt;&lt;li&gt;&lt;a href=|http://",Y1191,"/psalms/108.htm","| ","title=|",Y1190,"| target=|_top|&gt;",Y1192,"&lt;/a&gt;")</f>
        <v>&lt;/li&gt;&lt;li&gt;&lt;a href=|http://bibleoutline.org/psalms/108.htm| title=|Outline with People and Places List| target=|_top|&gt;Outline&lt;/a&gt;</v>
      </c>
      <c r="Z586" t="str">
        <f t="shared" si="2340"/>
        <v>&lt;/li&gt;&lt;li&gt;&lt;a href=|http://kjvs.scripturetext.com/psalms/108.htm| title=|King James Bible with Strong's Numbers| target=|_top|&gt;Strong's&lt;/a&gt;</v>
      </c>
      <c r="AA586" t="str">
        <f t="shared" si="2340"/>
        <v>&lt;/li&gt;&lt;li&gt;&lt;a href=|http://childrensbibleonline.com/psalms/108.htm| title=|The Children's Bible| target=|_top|&gt;Children's&lt;/a&gt;</v>
      </c>
      <c r="AB586" s="2" t="str">
        <f t="shared" si="2340"/>
        <v>&lt;/li&gt;&lt;li&gt;&lt;a href=|http://tsk.scripturetext.com/psalms/108.htm| title=|Treasury of Scripture Knowledge| target=|_top|&gt;TSK&lt;/a&gt;</v>
      </c>
      <c r="AC586" t="str">
        <f>CONCATENATE("&lt;a href=|http://",AC1191,"/psalms/108.htm","| ","title=|",AC1190,"| target=|_top|&gt;",AC1192,"&lt;/a&gt;")</f>
        <v>&lt;a href=|http://parallelbible.com/psalms/108.htm| title=|Parallel Chapters| target=|_top|&gt;PAR&lt;/a&gt;</v>
      </c>
      <c r="AD586" s="2" t="str">
        <f t="shared" ref="AD586:AK586" si="2342">CONCATENATE("&lt;/li&gt;&lt;li&gt;&lt;a href=|http://",AD1191,"/psalms/108.htm","| ","title=|",AD1190,"| target=|_top|&gt;",AD1192,"&lt;/a&gt;")</f>
        <v>&lt;/li&gt;&lt;li&gt;&lt;a href=|http://gsb.biblecommenter.com/psalms/108.htm| title=|Geneva Study Bible| target=|_top|&gt;GSB&lt;/a&gt;</v>
      </c>
      <c r="AE586" s="2" t="str">
        <f t="shared" si="2342"/>
        <v>&lt;/li&gt;&lt;li&gt;&lt;a href=|http://jfb.biblecommenter.com/psalms/108.htm| title=|Jamieson-Fausset-Brown Bible Commentary| target=|_top|&gt;JFB&lt;/a&gt;</v>
      </c>
      <c r="AF586" s="2" t="str">
        <f t="shared" si="2342"/>
        <v>&lt;/li&gt;&lt;li&gt;&lt;a href=|http://kjt.biblecommenter.com/psalms/108.htm| title=|King James Translators' Notes| target=|_top|&gt;KJT&lt;/a&gt;</v>
      </c>
      <c r="AG586" s="2" t="str">
        <f t="shared" si="2342"/>
        <v>&lt;/li&gt;&lt;li&gt;&lt;a href=|http://mhc.biblecommenter.com/psalms/108.htm| title=|Matthew Henry's Concise Commentary| target=|_top|&gt;MHC&lt;/a&gt;</v>
      </c>
      <c r="AH586" s="2" t="str">
        <f t="shared" si="2342"/>
        <v>&lt;/li&gt;&lt;li&gt;&lt;a href=|http://sco.biblecommenter.com/psalms/108.htm| title=|Scofield Reference Notes| target=|_top|&gt;SCO&lt;/a&gt;</v>
      </c>
      <c r="AI586" s="2" t="str">
        <f t="shared" si="2342"/>
        <v>&lt;/li&gt;&lt;li&gt;&lt;a href=|http://wes.biblecommenter.com/psalms/108.htm| title=|Wesley's Notes on the Bible| target=|_top|&gt;WES&lt;/a&gt;</v>
      </c>
      <c r="AJ586" t="str">
        <f t="shared" si="2342"/>
        <v>&lt;/li&gt;&lt;li&gt;&lt;a href=|http://worldebible.com/psalms/108.htm| title=|World English Bible| target=|_top|&gt;WEB&lt;/a&gt;</v>
      </c>
      <c r="AK586" t="str">
        <f t="shared" si="2342"/>
        <v>&lt;/li&gt;&lt;li&gt;&lt;a href=|http://yltbible.com/psalms/108.htm| title=|Young's Literal Translation| target=|_top|&gt;YLT&lt;/a&gt;</v>
      </c>
      <c r="AL586" t="str">
        <f>CONCATENATE("&lt;a href=|http://",AL1191,"/psalms/108.htm","| ","title=|",AL1190,"| target=|_top|&gt;",AL1192,"&lt;/a&gt;")</f>
        <v>&lt;a href=|http://kjv.us/psalms/108.htm| title=|American King James Version| target=|_top|&gt;AKJ&lt;/a&gt;</v>
      </c>
      <c r="AM586" t="str">
        <f t="shared" ref="AM586:AN586" si="2343">CONCATENATE("&lt;/li&gt;&lt;li&gt;&lt;a href=|http://",AM1191,"/psalms/108.htm","| ","title=|",AM1190,"| target=|_top|&gt;",AM1192,"&lt;/a&gt;")</f>
        <v>&lt;/li&gt;&lt;li&gt;&lt;a href=|http://basicenglishbible.com/psalms/108.htm| title=|Bible in Basic English| target=|_top|&gt;BBE&lt;/a&gt;</v>
      </c>
      <c r="AN586" t="str">
        <f t="shared" si="2343"/>
        <v>&lt;/li&gt;&lt;li&gt;&lt;a href=|http://darbybible.com/psalms/108.htm| title=|Darby Bible Translation| target=|_top|&gt;DBY&lt;/a&gt;</v>
      </c>
      <c r="AO58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8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8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86" t="str">
        <f>CONCATENATE("&lt;/li&gt;&lt;li&gt;&lt;a href=|http://",AR1191,"/psalms/108.htm","| ","title=|",AR1190,"| target=|_top|&gt;",AR1192,"&lt;/a&gt;")</f>
        <v>&lt;/li&gt;&lt;li&gt;&lt;a href=|http://websterbible.com/psalms/108.htm| title=|Webster's Bible Translation| target=|_top|&gt;WBS&lt;/a&gt;</v>
      </c>
      <c r="AS58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86" t="str">
        <f>CONCATENATE("&lt;/li&gt;&lt;li&gt;&lt;a href=|http://",AT1191,"/psalms/108-1.htm","| ","title=|",AT1190,"| target=|_top|&gt;",AT1192,"&lt;/a&gt;")</f>
        <v>&lt;/li&gt;&lt;li&gt;&lt;a href=|http://biblebrowser.com/psalms/108-1.htm| title=|Split View| target=|_top|&gt;Split&lt;/a&gt;</v>
      </c>
      <c r="AU586" s="2" t="s">
        <v>1276</v>
      </c>
      <c r="AV586" t="s">
        <v>64</v>
      </c>
    </row>
    <row r="587" spans="1:48">
      <c r="A587" t="s">
        <v>622</v>
      </c>
      <c r="B587" t="s">
        <v>1091</v>
      </c>
      <c r="C587" t="s">
        <v>624</v>
      </c>
      <c r="D587" t="s">
        <v>1268</v>
      </c>
      <c r="E587" t="s">
        <v>1277</v>
      </c>
      <c r="F587" t="s">
        <v>1304</v>
      </c>
      <c r="G587" t="s">
        <v>1266</v>
      </c>
      <c r="H587" t="s">
        <v>1305</v>
      </c>
      <c r="I587" t="s">
        <v>1303</v>
      </c>
      <c r="J587" t="s">
        <v>1267</v>
      </c>
      <c r="K587" t="s">
        <v>1275</v>
      </c>
      <c r="L587" s="2" t="s">
        <v>1274</v>
      </c>
      <c r="M587" t="str">
        <f t="shared" ref="M587:AB587" si="2344">CONCATENATE("&lt;/li&gt;&lt;li&gt;&lt;a href=|http://",M1191,"/psalms/109.htm","| ","title=|",M1190,"| target=|_top|&gt;",M1192,"&lt;/a&gt;")</f>
        <v>&lt;/li&gt;&lt;li&gt;&lt;a href=|http://niv.scripturetext.com/psalms/109.htm| title=|New International Version| target=|_top|&gt;NIV&lt;/a&gt;</v>
      </c>
      <c r="N587" t="str">
        <f t="shared" si="2344"/>
        <v>&lt;/li&gt;&lt;li&gt;&lt;a href=|http://nlt.scripturetext.com/psalms/109.htm| title=|New Living Translation| target=|_top|&gt;NLT&lt;/a&gt;</v>
      </c>
      <c r="O587" t="str">
        <f t="shared" si="2344"/>
        <v>&lt;/li&gt;&lt;li&gt;&lt;a href=|http://nasb.scripturetext.com/psalms/109.htm| title=|New American Standard Bible| target=|_top|&gt;NAS&lt;/a&gt;</v>
      </c>
      <c r="P587" t="str">
        <f t="shared" si="2344"/>
        <v>&lt;/li&gt;&lt;li&gt;&lt;a href=|http://gwt.scripturetext.com/psalms/109.htm| title=|God's Word Translation| target=|_top|&gt;GWT&lt;/a&gt;</v>
      </c>
      <c r="Q587" t="str">
        <f t="shared" si="2344"/>
        <v>&lt;/li&gt;&lt;li&gt;&lt;a href=|http://kingjbible.com/psalms/109.htm| title=|King James Bible| target=|_top|&gt;KJV&lt;/a&gt;</v>
      </c>
      <c r="R587" t="str">
        <f t="shared" si="2344"/>
        <v>&lt;/li&gt;&lt;li&gt;&lt;a href=|http://asvbible.com/psalms/109.htm| title=|American Standard Version| target=|_top|&gt;ASV&lt;/a&gt;</v>
      </c>
      <c r="S587" t="str">
        <f t="shared" si="2344"/>
        <v>&lt;/li&gt;&lt;li&gt;&lt;a href=|http://drb.scripturetext.com/psalms/109.htm| title=|Douay-Rheims Bible| target=|_top|&gt;DRB&lt;/a&gt;</v>
      </c>
      <c r="T587" t="str">
        <f t="shared" si="2344"/>
        <v>&lt;/li&gt;&lt;li&gt;&lt;a href=|http://erv.scripturetext.com/psalms/109.htm| title=|English Revised Version| target=|_top|&gt;ERV&lt;/a&gt;</v>
      </c>
      <c r="V587" t="str">
        <f>CONCATENATE("&lt;/li&gt;&lt;li&gt;&lt;a href=|http://",V1191,"/psalms/109.htm","| ","title=|",V1190,"| target=|_top|&gt;",V1192,"&lt;/a&gt;")</f>
        <v>&lt;/li&gt;&lt;li&gt;&lt;a href=|http://study.interlinearbible.org/psalms/109.htm| title=|Hebrew Study Bible| target=|_top|&gt;Heb Study&lt;/a&gt;</v>
      </c>
      <c r="W587" t="str">
        <f t="shared" si="2344"/>
        <v>&lt;/li&gt;&lt;li&gt;&lt;a href=|http://apostolic.interlinearbible.org/psalms/109.htm| title=|Apostolic Bible Polyglot Interlinear| target=|_top|&gt;Polyglot&lt;/a&gt;</v>
      </c>
      <c r="X587" t="str">
        <f t="shared" si="2344"/>
        <v>&lt;/li&gt;&lt;li&gt;&lt;a href=|http://interlinearbible.org/psalms/109.htm| title=|Interlinear Bible| target=|_top|&gt;Interlin&lt;/a&gt;</v>
      </c>
      <c r="Y587" t="str">
        <f t="shared" ref="Y587" si="2345">CONCATENATE("&lt;/li&gt;&lt;li&gt;&lt;a href=|http://",Y1191,"/psalms/109.htm","| ","title=|",Y1190,"| target=|_top|&gt;",Y1192,"&lt;/a&gt;")</f>
        <v>&lt;/li&gt;&lt;li&gt;&lt;a href=|http://bibleoutline.org/psalms/109.htm| title=|Outline with People and Places List| target=|_top|&gt;Outline&lt;/a&gt;</v>
      </c>
      <c r="Z587" t="str">
        <f t="shared" si="2344"/>
        <v>&lt;/li&gt;&lt;li&gt;&lt;a href=|http://kjvs.scripturetext.com/psalms/109.htm| title=|King James Bible with Strong's Numbers| target=|_top|&gt;Strong's&lt;/a&gt;</v>
      </c>
      <c r="AA587" t="str">
        <f t="shared" si="2344"/>
        <v>&lt;/li&gt;&lt;li&gt;&lt;a href=|http://childrensbibleonline.com/psalms/109.htm| title=|The Children's Bible| target=|_top|&gt;Children's&lt;/a&gt;</v>
      </c>
      <c r="AB587" s="2" t="str">
        <f t="shared" si="2344"/>
        <v>&lt;/li&gt;&lt;li&gt;&lt;a href=|http://tsk.scripturetext.com/psalms/109.htm| title=|Treasury of Scripture Knowledge| target=|_top|&gt;TSK&lt;/a&gt;</v>
      </c>
      <c r="AC587" t="str">
        <f>CONCATENATE("&lt;a href=|http://",AC1191,"/psalms/109.htm","| ","title=|",AC1190,"| target=|_top|&gt;",AC1192,"&lt;/a&gt;")</f>
        <v>&lt;a href=|http://parallelbible.com/psalms/109.htm| title=|Parallel Chapters| target=|_top|&gt;PAR&lt;/a&gt;</v>
      </c>
      <c r="AD587" s="2" t="str">
        <f t="shared" ref="AD587:AK587" si="2346">CONCATENATE("&lt;/li&gt;&lt;li&gt;&lt;a href=|http://",AD1191,"/psalms/109.htm","| ","title=|",AD1190,"| target=|_top|&gt;",AD1192,"&lt;/a&gt;")</f>
        <v>&lt;/li&gt;&lt;li&gt;&lt;a href=|http://gsb.biblecommenter.com/psalms/109.htm| title=|Geneva Study Bible| target=|_top|&gt;GSB&lt;/a&gt;</v>
      </c>
      <c r="AE587" s="2" t="str">
        <f t="shared" si="2346"/>
        <v>&lt;/li&gt;&lt;li&gt;&lt;a href=|http://jfb.biblecommenter.com/psalms/109.htm| title=|Jamieson-Fausset-Brown Bible Commentary| target=|_top|&gt;JFB&lt;/a&gt;</v>
      </c>
      <c r="AF587" s="2" t="str">
        <f t="shared" si="2346"/>
        <v>&lt;/li&gt;&lt;li&gt;&lt;a href=|http://kjt.biblecommenter.com/psalms/109.htm| title=|King James Translators' Notes| target=|_top|&gt;KJT&lt;/a&gt;</v>
      </c>
      <c r="AG587" s="2" t="str">
        <f t="shared" si="2346"/>
        <v>&lt;/li&gt;&lt;li&gt;&lt;a href=|http://mhc.biblecommenter.com/psalms/109.htm| title=|Matthew Henry's Concise Commentary| target=|_top|&gt;MHC&lt;/a&gt;</v>
      </c>
      <c r="AH587" s="2" t="str">
        <f t="shared" si="2346"/>
        <v>&lt;/li&gt;&lt;li&gt;&lt;a href=|http://sco.biblecommenter.com/psalms/109.htm| title=|Scofield Reference Notes| target=|_top|&gt;SCO&lt;/a&gt;</v>
      </c>
      <c r="AI587" s="2" t="str">
        <f t="shared" si="2346"/>
        <v>&lt;/li&gt;&lt;li&gt;&lt;a href=|http://wes.biblecommenter.com/psalms/109.htm| title=|Wesley's Notes on the Bible| target=|_top|&gt;WES&lt;/a&gt;</v>
      </c>
      <c r="AJ587" t="str">
        <f t="shared" si="2346"/>
        <v>&lt;/li&gt;&lt;li&gt;&lt;a href=|http://worldebible.com/psalms/109.htm| title=|World English Bible| target=|_top|&gt;WEB&lt;/a&gt;</v>
      </c>
      <c r="AK587" t="str">
        <f t="shared" si="2346"/>
        <v>&lt;/li&gt;&lt;li&gt;&lt;a href=|http://yltbible.com/psalms/109.htm| title=|Young's Literal Translation| target=|_top|&gt;YLT&lt;/a&gt;</v>
      </c>
      <c r="AL587" t="str">
        <f>CONCATENATE("&lt;a href=|http://",AL1191,"/psalms/109.htm","| ","title=|",AL1190,"| target=|_top|&gt;",AL1192,"&lt;/a&gt;")</f>
        <v>&lt;a href=|http://kjv.us/psalms/109.htm| title=|American King James Version| target=|_top|&gt;AKJ&lt;/a&gt;</v>
      </c>
      <c r="AM587" t="str">
        <f t="shared" ref="AM587:AN587" si="2347">CONCATENATE("&lt;/li&gt;&lt;li&gt;&lt;a href=|http://",AM1191,"/psalms/109.htm","| ","title=|",AM1190,"| target=|_top|&gt;",AM1192,"&lt;/a&gt;")</f>
        <v>&lt;/li&gt;&lt;li&gt;&lt;a href=|http://basicenglishbible.com/psalms/109.htm| title=|Bible in Basic English| target=|_top|&gt;BBE&lt;/a&gt;</v>
      </c>
      <c r="AN587" t="str">
        <f t="shared" si="2347"/>
        <v>&lt;/li&gt;&lt;li&gt;&lt;a href=|http://darbybible.com/psalms/109.htm| title=|Darby Bible Translation| target=|_top|&gt;DBY&lt;/a&gt;</v>
      </c>
      <c r="AO58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8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8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87" t="str">
        <f>CONCATENATE("&lt;/li&gt;&lt;li&gt;&lt;a href=|http://",AR1191,"/psalms/109.htm","| ","title=|",AR1190,"| target=|_top|&gt;",AR1192,"&lt;/a&gt;")</f>
        <v>&lt;/li&gt;&lt;li&gt;&lt;a href=|http://websterbible.com/psalms/109.htm| title=|Webster's Bible Translation| target=|_top|&gt;WBS&lt;/a&gt;</v>
      </c>
      <c r="AS58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87" t="str">
        <f>CONCATENATE("&lt;/li&gt;&lt;li&gt;&lt;a href=|http://",AT1191,"/psalms/109-1.htm","| ","title=|",AT1190,"| target=|_top|&gt;",AT1192,"&lt;/a&gt;")</f>
        <v>&lt;/li&gt;&lt;li&gt;&lt;a href=|http://biblebrowser.com/psalms/109-1.htm| title=|Split View| target=|_top|&gt;Split&lt;/a&gt;</v>
      </c>
      <c r="AU587" s="2" t="s">
        <v>1276</v>
      </c>
      <c r="AV587" t="s">
        <v>64</v>
      </c>
    </row>
    <row r="588" spans="1:48">
      <c r="A588" t="s">
        <v>622</v>
      </c>
      <c r="B588" t="s">
        <v>1092</v>
      </c>
      <c r="C588" t="s">
        <v>624</v>
      </c>
      <c r="D588" t="s">
        <v>1268</v>
      </c>
      <c r="E588" t="s">
        <v>1277</v>
      </c>
      <c r="F588" t="s">
        <v>1304</v>
      </c>
      <c r="G588" t="s">
        <v>1266</v>
      </c>
      <c r="H588" t="s">
        <v>1305</v>
      </c>
      <c r="I588" t="s">
        <v>1303</v>
      </c>
      <c r="J588" t="s">
        <v>1267</v>
      </c>
      <c r="K588" t="s">
        <v>1275</v>
      </c>
      <c r="L588" s="2" t="s">
        <v>1274</v>
      </c>
      <c r="M588" t="str">
        <f t="shared" ref="M588:AB588" si="2348">CONCATENATE("&lt;/li&gt;&lt;li&gt;&lt;a href=|http://",M1191,"/psalms/110.htm","| ","title=|",M1190,"| target=|_top|&gt;",M1192,"&lt;/a&gt;")</f>
        <v>&lt;/li&gt;&lt;li&gt;&lt;a href=|http://niv.scripturetext.com/psalms/110.htm| title=|New International Version| target=|_top|&gt;NIV&lt;/a&gt;</v>
      </c>
      <c r="N588" t="str">
        <f t="shared" si="2348"/>
        <v>&lt;/li&gt;&lt;li&gt;&lt;a href=|http://nlt.scripturetext.com/psalms/110.htm| title=|New Living Translation| target=|_top|&gt;NLT&lt;/a&gt;</v>
      </c>
      <c r="O588" t="str">
        <f t="shared" si="2348"/>
        <v>&lt;/li&gt;&lt;li&gt;&lt;a href=|http://nasb.scripturetext.com/psalms/110.htm| title=|New American Standard Bible| target=|_top|&gt;NAS&lt;/a&gt;</v>
      </c>
      <c r="P588" t="str">
        <f t="shared" si="2348"/>
        <v>&lt;/li&gt;&lt;li&gt;&lt;a href=|http://gwt.scripturetext.com/psalms/110.htm| title=|God's Word Translation| target=|_top|&gt;GWT&lt;/a&gt;</v>
      </c>
      <c r="Q588" t="str">
        <f t="shared" si="2348"/>
        <v>&lt;/li&gt;&lt;li&gt;&lt;a href=|http://kingjbible.com/psalms/110.htm| title=|King James Bible| target=|_top|&gt;KJV&lt;/a&gt;</v>
      </c>
      <c r="R588" t="str">
        <f t="shared" si="2348"/>
        <v>&lt;/li&gt;&lt;li&gt;&lt;a href=|http://asvbible.com/psalms/110.htm| title=|American Standard Version| target=|_top|&gt;ASV&lt;/a&gt;</v>
      </c>
      <c r="S588" t="str">
        <f t="shared" si="2348"/>
        <v>&lt;/li&gt;&lt;li&gt;&lt;a href=|http://drb.scripturetext.com/psalms/110.htm| title=|Douay-Rheims Bible| target=|_top|&gt;DRB&lt;/a&gt;</v>
      </c>
      <c r="T588" t="str">
        <f t="shared" si="2348"/>
        <v>&lt;/li&gt;&lt;li&gt;&lt;a href=|http://erv.scripturetext.com/psalms/110.htm| title=|English Revised Version| target=|_top|&gt;ERV&lt;/a&gt;</v>
      </c>
      <c r="V588" t="str">
        <f>CONCATENATE("&lt;/li&gt;&lt;li&gt;&lt;a href=|http://",V1191,"/psalms/110.htm","| ","title=|",V1190,"| target=|_top|&gt;",V1192,"&lt;/a&gt;")</f>
        <v>&lt;/li&gt;&lt;li&gt;&lt;a href=|http://study.interlinearbible.org/psalms/110.htm| title=|Hebrew Study Bible| target=|_top|&gt;Heb Study&lt;/a&gt;</v>
      </c>
      <c r="W588" t="str">
        <f t="shared" si="2348"/>
        <v>&lt;/li&gt;&lt;li&gt;&lt;a href=|http://apostolic.interlinearbible.org/psalms/110.htm| title=|Apostolic Bible Polyglot Interlinear| target=|_top|&gt;Polyglot&lt;/a&gt;</v>
      </c>
      <c r="X588" t="str">
        <f t="shared" si="2348"/>
        <v>&lt;/li&gt;&lt;li&gt;&lt;a href=|http://interlinearbible.org/psalms/110.htm| title=|Interlinear Bible| target=|_top|&gt;Interlin&lt;/a&gt;</v>
      </c>
      <c r="Y588" t="str">
        <f t="shared" ref="Y588" si="2349">CONCATENATE("&lt;/li&gt;&lt;li&gt;&lt;a href=|http://",Y1191,"/psalms/110.htm","| ","title=|",Y1190,"| target=|_top|&gt;",Y1192,"&lt;/a&gt;")</f>
        <v>&lt;/li&gt;&lt;li&gt;&lt;a href=|http://bibleoutline.org/psalms/110.htm| title=|Outline with People and Places List| target=|_top|&gt;Outline&lt;/a&gt;</v>
      </c>
      <c r="Z588" t="str">
        <f t="shared" si="2348"/>
        <v>&lt;/li&gt;&lt;li&gt;&lt;a href=|http://kjvs.scripturetext.com/psalms/110.htm| title=|King James Bible with Strong's Numbers| target=|_top|&gt;Strong's&lt;/a&gt;</v>
      </c>
      <c r="AA588" t="str">
        <f t="shared" si="2348"/>
        <v>&lt;/li&gt;&lt;li&gt;&lt;a href=|http://childrensbibleonline.com/psalms/110.htm| title=|The Children's Bible| target=|_top|&gt;Children's&lt;/a&gt;</v>
      </c>
      <c r="AB588" s="2" t="str">
        <f t="shared" si="2348"/>
        <v>&lt;/li&gt;&lt;li&gt;&lt;a href=|http://tsk.scripturetext.com/psalms/110.htm| title=|Treasury of Scripture Knowledge| target=|_top|&gt;TSK&lt;/a&gt;</v>
      </c>
      <c r="AC588" t="str">
        <f>CONCATENATE("&lt;a href=|http://",AC1191,"/psalms/110.htm","| ","title=|",AC1190,"| target=|_top|&gt;",AC1192,"&lt;/a&gt;")</f>
        <v>&lt;a href=|http://parallelbible.com/psalms/110.htm| title=|Parallel Chapters| target=|_top|&gt;PAR&lt;/a&gt;</v>
      </c>
      <c r="AD588" s="2" t="str">
        <f t="shared" ref="AD588:AK588" si="2350">CONCATENATE("&lt;/li&gt;&lt;li&gt;&lt;a href=|http://",AD1191,"/psalms/110.htm","| ","title=|",AD1190,"| target=|_top|&gt;",AD1192,"&lt;/a&gt;")</f>
        <v>&lt;/li&gt;&lt;li&gt;&lt;a href=|http://gsb.biblecommenter.com/psalms/110.htm| title=|Geneva Study Bible| target=|_top|&gt;GSB&lt;/a&gt;</v>
      </c>
      <c r="AE588" s="2" t="str">
        <f t="shared" si="2350"/>
        <v>&lt;/li&gt;&lt;li&gt;&lt;a href=|http://jfb.biblecommenter.com/psalms/110.htm| title=|Jamieson-Fausset-Brown Bible Commentary| target=|_top|&gt;JFB&lt;/a&gt;</v>
      </c>
      <c r="AF588" s="2" t="str">
        <f t="shared" si="2350"/>
        <v>&lt;/li&gt;&lt;li&gt;&lt;a href=|http://kjt.biblecommenter.com/psalms/110.htm| title=|King James Translators' Notes| target=|_top|&gt;KJT&lt;/a&gt;</v>
      </c>
      <c r="AG588" s="2" t="str">
        <f t="shared" si="2350"/>
        <v>&lt;/li&gt;&lt;li&gt;&lt;a href=|http://mhc.biblecommenter.com/psalms/110.htm| title=|Matthew Henry's Concise Commentary| target=|_top|&gt;MHC&lt;/a&gt;</v>
      </c>
      <c r="AH588" s="2" t="str">
        <f t="shared" si="2350"/>
        <v>&lt;/li&gt;&lt;li&gt;&lt;a href=|http://sco.biblecommenter.com/psalms/110.htm| title=|Scofield Reference Notes| target=|_top|&gt;SCO&lt;/a&gt;</v>
      </c>
      <c r="AI588" s="2" t="str">
        <f t="shared" si="2350"/>
        <v>&lt;/li&gt;&lt;li&gt;&lt;a href=|http://wes.biblecommenter.com/psalms/110.htm| title=|Wesley's Notes on the Bible| target=|_top|&gt;WES&lt;/a&gt;</v>
      </c>
      <c r="AJ588" t="str">
        <f t="shared" si="2350"/>
        <v>&lt;/li&gt;&lt;li&gt;&lt;a href=|http://worldebible.com/psalms/110.htm| title=|World English Bible| target=|_top|&gt;WEB&lt;/a&gt;</v>
      </c>
      <c r="AK588" t="str">
        <f t="shared" si="2350"/>
        <v>&lt;/li&gt;&lt;li&gt;&lt;a href=|http://yltbible.com/psalms/110.htm| title=|Young's Literal Translation| target=|_top|&gt;YLT&lt;/a&gt;</v>
      </c>
      <c r="AL588" t="str">
        <f>CONCATENATE("&lt;a href=|http://",AL1191,"/psalms/110.htm","| ","title=|",AL1190,"| target=|_top|&gt;",AL1192,"&lt;/a&gt;")</f>
        <v>&lt;a href=|http://kjv.us/psalms/110.htm| title=|American King James Version| target=|_top|&gt;AKJ&lt;/a&gt;</v>
      </c>
      <c r="AM588" t="str">
        <f t="shared" ref="AM588:AN588" si="2351">CONCATENATE("&lt;/li&gt;&lt;li&gt;&lt;a href=|http://",AM1191,"/psalms/110.htm","| ","title=|",AM1190,"| target=|_top|&gt;",AM1192,"&lt;/a&gt;")</f>
        <v>&lt;/li&gt;&lt;li&gt;&lt;a href=|http://basicenglishbible.com/psalms/110.htm| title=|Bible in Basic English| target=|_top|&gt;BBE&lt;/a&gt;</v>
      </c>
      <c r="AN588" t="str">
        <f t="shared" si="2351"/>
        <v>&lt;/li&gt;&lt;li&gt;&lt;a href=|http://darbybible.com/psalms/110.htm| title=|Darby Bible Translation| target=|_top|&gt;DBY&lt;/a&gt;</v>
      </c>
      <c r="AO58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8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8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88" t="str">
        <f>CONCATENATE("&lt;/li&gt;&lt;li&gt;&lt;a href=|http://",AR1191,"/psalms/110.htm","| ","title=|",AR1190,"| target=|_top|&gt;",AR1192,"&lt;/a&gt;")</f>
        <v>&lt;/li&gt;&lt;li&gt;&lt;a href=|http://websterbible.com/psalms/110.htm| title=|Webster's Bible Translation| target=|_top|&gt;WBS&lt;/a&gt;</v>
      </c>
      <c r="AS58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88" t="str">
        <f>CONCATENATE("&lt;/li&gt;&lt;li&gt;&lt;a href=|http://",AT1191,"/psalms/110-1.htm","| ","title=|",AT1190,"| target=|_top|&gt;",AT1192,"&lt;/a&gt;")</f>
        <v>&lt;/li&gt;&lt;li&gt;&lt;a href=|http://biblebrowser.com/psalms/110-1.htm| title=|Split View| target=|_top|&gt;Split&lt;/a&gt;</v>
      </c>
      <c r="AU588" s="2" t="s">
        <v>1276</v>
      </c>
      <c r="AV588" t="s">
        <v>64</v>
      </c>
    </row>
    <row r="589" spans="1:48">
      <c r="A589" t="s">
        <v>622</v>
      </c>
      <c r="B589" t="s">
        <v>1093</v>
      </c>
      <c r="C589" t="s">
        <v>624</v>
      </c>
      <c r="D589" t="s">
        <v>1268</v>
      </c>
      <c r="E589" t="s">
        <v>1277</v>
      </c>
      <c r="F589" t="s">
        <v>1304</v>
      </c>
      <c r="G589" t="s">
        <v>1266</v>
      </c>
      <c r="H589" t="s">
        <v>1305</v>
      </c>
      <c r="I589" t="s">
        <v>1303</v>
      </c>
      <c r="J589" t="s">
        <v>1267</v>
      </c>
      <c r="K589" t="s">
        <v>1275</v>
      </c>
      <c r="L589" s="2" t="s">
        <v>1274</v>
      </c>
      <c r="M589" t="str">
        <f t="shared" ref="M589:AB589" si="2352">CONCATENATE("&lt;/li&gt;&lt;li&gt;&lt;a href=|http://",M1191,"/psalms/111.htm","| ","title=|",M1190,"| target=|_top|&gt;",M1192,"&lt;/a&gt;")</f>
        <v>&lt;/li&gt;&lt;li&gt;&lt;a href=|http://niv.scripturetext.com/psalms/111.htm| title=|New International Version| target=|_top|&gt;NIV&lt;/a&gt;</v>
      </c>
      <c r="N589" t="str">
        <f t="shared" si="2352"/>
        <v>&lt;/li&gt;&lt;li&gt;&lt;a href=|http://nlt.scripturetext.com/psalms/111.htm| title=|New Living Translation| target=|_top|&gt;NLT&lt;/a&gt;</v>
      </c>
      <c r="O589" t="str">
        <f t="shared" si="2352"/>
        <v>&lt;/li&gt;&lt;li&gt;&lt;a href=|http://nasb.scripturetext.com/psalms/111.htm| title=|New American Standard Bible| target=|_top|&gt;NAS&lt;/a&gt;</v>
      </c>
      <c r="P589" t="str">
        <f t="shared" si="2352"/>
        <v>&lt;/li&gt;&lt;li&gt;&lt;a href=|http://gwt.scripturetext.com/psalms/111.htm| title=|God's Word Translation| target=|_top|&gt;GWT&lt;/a&gt;</v>
      </c>
      <c r="Q589" t="str">
        <f t="shared" si="2352"/>
        <v>&lt;/li&gt;&lt;li&gt;&lt;a href=|http://kingjbible.com/psalms/111.htm| title=|King James Bible| target=|_top|&gt;KJV&lt;/a&gt;</v>
      </c>
      <c r="R589" t="str">
        <f t="shared" si="2352"/>
        <v>&lt;/li&gt;&lt;li&gt;&lt;a href=|http://asvbible.com/psalms/111.htm| title=|American Standard Version| target=|_top|&gt;ASV&lt;/a&gt;</v>
      </c>
      <c r="S589" t="str">
        <f t="shared" si="2352"/>
        <v>&lt;/li&gt;&lt;li&gt;&lt;a href=|http://drb.scripturetext.com/psalms/111.htm| title=|Douay-Rheims Bible| target=|_top|&gt;DRB&lt;/a&gt;</v>
      </c>
      <c r="T589" t="str">
        <f t="shared" si="2352"/>
        <v>&lt;/li&gt;&lt;li&gt;&lt;a href=|http://erv.scripturetext.com/psalms/111.htm| title=|English Revised Version| target=|_top|&gt;ERV&lt;/a&gt;</v>
      </c>
      <c r="V589" t="str">
        <f>CONCATENATE("&lt;/li&gt;&lt;li&gt;&lt;a href=|http://",V1191,"/psalms/111.htm","| ","title=|",V1190,"| target=|_top|&gt;",V1192,"&lt;/a&gt;")</f>
        <v>&lt;/li&gt;&lt;li&gt;&lt;a href=|http://study.interlinearbible.org/psalms/111.htm| title=|Hebrew Study Bible| target=|_top|&gt;Heb Study&lt;/a&gt;</v>
      </c>
      <c r="W589" t="str">
        <f t="shared" si="2352"/>
        <v>&lt;/li&gt;&lt;li&gt;&lt;a href=|http://apostolic.interlinearbible.org/psalms/111.htm| title=|Apostolic Bible Polyglot Interlinear| target=|_top|&gt;Polyglot&lt;/a&gt;</v>
      </c>
      <c r="X589" t="str">
        <f t="shared" si="2352"/>
        <v>&lt;/li&gt;&lt;li&gt;&lt;a href=|http://interlinearbible.org/psalms/111.htm| title=|Interlinear Bible| target=|_top|&gt;Interlin&lt;/a&gt;</v>
      </c>
      <c r="Y589" t="str">
        <f t="shared" ref="Y589" si="2353">CONCATENATE("&lt;/li&gt;&lt;li&gt;&lt;a href=|http://",Y1191,"/psalms/111.htm","| ","title=|",Y1190,"| target=|_top|&gt;",Y1192,"&lt;/a&gt;")</f>
        <v>&lt;/li&gt;&lt;li&gt;&lt;a href=|http://bibleoutline.org/psalms/111.htm| title=|Outline with People and Places List| target=|_top|&gt;Outline&lt;/a&gt;</v>
      </c>
      <c r="Z589" t="str">
        <f t="shared" si="2352"/>
        <v>&lt;/li&gt;&lt;li&gt;&lt;a href=|http://kjvs.scripturetext.com/psalms/111.htm| title=|King James Bible with Strong's Numbers| target=|_top|&gt;Strong's&lt;/a&gt;</v>
      </c>
      <c r="AA589" t="str">
        <f t="shared" si="2352"/>
        <v>&lt;/li&gt;&lt;li&gt;&lt;a href=|http://childrensbibleonline.com/psalms/111.htm| title=|The Children's Bible| target=|_top|&gt;Children's&lt;/a&gt;</v>
      </c>
      <c r="AB589" s="2" t="str">
        <f t="shared" si="2352"/>
        <v>&lt;/li&gt;&lt;li&gt;&lt;a href=|http://tsk.scripturetext.com/psalms/111.htm| title=|Treasury of Scripture Knowledge| target=|_top|&gt;TSK&lt;/a&gt;</v>
      </c>
      <c r="AC589" t="str">
        <f>CONCATENATE("&lt;a href=|http://",AC1191,"/psalms/111.htm","| ","title=|",AC1190,"| target=|_top|&gt;",AC1192,"&lt;/a&gt;")</f>
        <v>&lt;a href=|http://parallelbible.com/psalms/111.htm| title=|Parallel Chapters| target=|_top|&gt;PAR&lt;/a&gt;</v>
      </c>
      <c r="AD589" s="2" t="str">
        <f t="shared" ref="AD589:AK589" si="2354">CONCATENATE("&lt;/li&gt;&lt;li&gt;&lt;a href=|http://",AD1191,"/psalms/111.htm","| ","title=|",AD1190,"| target=|_top|&gt;",AD1192,"&lt;/a&gt;")</f>
        <v>&lt;/li&gt;&lt;li&gt;&lt;a href=|http://gsb.biblecommenter.com/psalms/111.htm| title=|Geneva Study Bible| target=|_top|&gt;GSB&lt;/a&gt;</v>
      </c>
      <c r="AE589" s="2" t="str">
        <f t="shared" si="2354"/>
        <v>&lt;/li&gt;&lt;li&gt;&lt;a href=|http://jfb.biblecommenter.com/psalms/111.htm| title=|Jamieson-Fausset-Brown Bible Commentary| target=|_top|&gt;JFB&lt;/a&gt;</v>
      </c>
      <c r="AF589" s="2" t="str">
        <f t="shared" si="2354"/>
        <v>&lt;/li&gt;&lt;li&gt;&lt;a href=|http://kjt.biblecommenter.com/psalms/111.htm| title=|King James Translators' Notes| target=|_top|&gt;KJT&lt;/a&gt;</v>
      </c>
      <c r="AG589" s="2" t="str">
        <f t="shared" si="2354"/>
        <v>&lt;/li&gt;&lt;li&gt;&lt;a href=|http://mhc.biblecommenter.com/psalms/111.htm| title=|Matthew Henry's Concise Commentary| target=|_top|&gt;MHC&lt;/a&gt;</v>
      </c>
      <c r="AH589" s="2" t="str">
        <f t="shared" si="2354"/>
        <v>&lt;/li&gt;&lt;li&gt;&lt;a href=|http://sco.biblecommenter.com/psalms/111.htm| title=|Scofield Reference Notes| target=|_top|&gt;SCO&lt;/a&gt;</v>
      </c>
      <c r="AI589" s="2" t="str">
        <f t="shared" si="2354"/>
        <v>&lt;/li&gt;&lt;li&gt;&lt;a href=|http://wes.biblecommenter.com/psalms/111.htm| title=|Wesley's Notes on the Bible| target=|_top|&gt;WES&lt;/a&gt;</v>
      </c>
      <c r="AJ589" t="str">
        <f t="shared" si="2354"/>
        <v>&lt;/li&gt;&lt;li&gt;&lt;a href=|http://worldebible.com/psalms/111.htm| title=|World English Bible| target=|_top|&gt;WEB&lt;/a&gt;</v>
      </c>
      <c r="AK589" t="str">
        <f t="shared" si="2354"/>
        <v>&lt;/li&gt;&lt;li&gt;&lt;a href=|http://yltbible.com/psalms/111.htm| title=|Young's Literal Translation| target=|_top|&gt;YLT&lt;/a&gt;</v>
      </c>
      <c r="AL589" t="str">
        <f>CONCATENATE("&lt;a href=|http://",AL1191,"/psalms/111.htm","| ","title=|",AL1190,"| target=|_top|&gt;",AL1192,"&lt;/a&gt;")</f>
        <v>&lt;a href=|http://kjv.us/psalms/111.htm| title=|American King James Version| target=|_top|&gt;AKJ&lt;/a&gt;</v>
      </c>
      <c r="AM589" t="str">
        <f t="shared" ref="AM589:AN589" si="2355">CONCATENATE("&lt;/li&gt;&lt;li&gt;&lt;a href=|http://",AM1191,"/psalms/111.htm","| ","title=|",AM1190,"| target=|_top|&gt;",AM1192,"&lt;/a&gt;")</f>
        <v>&lt;/li&gt;&lt;li&gt;&lt;a href=|http://basicenglishbible.com/psalms/111.htm| title=|Bible in Basic English| target=|_top|&gt;BBE&lt;/a&gt;</v>
      </c>
      <c r="AN589" t="str">
        <f t="shared" si="2355"/>
        <v>&lt;/li&gt;&lt;li&gt;&lt;a href=|http://darbybible.com/psalms/111.htm| title=|Darby Bible Translation| target=|_top|&gt;DBY&lt;/a&gt;</v>
      </c>
      <c r="AO58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8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8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89" t="str">
        <f>CONCATENATE("&lt;/li&gt;&lt;li&gt;&lt;a href=|http://",AR1191,"/psalms/111.htm","| ","title=|",AR1190,"| target=|_top|&gt;",AR1192,"&lt;/a&gt;")</f>
        <v>&lt;/li&gt;&lt;li&gt;&lt;a href=|http://websterbible.com/psalms/111.htm| title=|Webster's Bible Translation| target=|_top|&gt;WBS&lt;/a&gt;</v>
      </c>
      <c r="AS58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89" t="str">
        <f>CONCATENATE("&lt;/li&gt;&lt;li&gt;&lt;a href=|http://",AT1191,"/psalms/111-1.htm","| ","title=|",AT1190,"| target=|_top|&gt;",AT1192,"&lt;/a&gt;")</f>
        <v>&lt;/li&gt;&lt;li&gt;&lt;a href=|http://biblebrowser.com/psalms/111-1.htm| title=|Split View| target=|_top|&gt;Split&lt;/a&gt;</v>
      </c>
      <c r="AU589" s="2" t="s">
        <v>1276</v>
      </c>
      <c r="AV589" t="s">
        <v>64</v>
      </c>
    </row>
    <row r="590" spans="1:48">
      <c r="A590" t="s">
        <v>622</v>
      </c>
      <c r="B590" t="s">
        <v>1094</v>
      </c>
      <c r="C590" t="s">
        <v>624</v>
      </c>
      <c r="D590" t="s">
        <v>1268</v>
      </c>
      <c r="E590" t="s">
        <v>1277</v>
      </c>
      <c r="F590" t="s">
        <v>1304</v>
      </c>
      <c r="G590" t="s">
        <v>1266</v>
      </c>
      <c r="H590" t="s">
        <v>1305</v>
      </c>
      <c r="I590" t="s">
        <v>1303</v>
      </c>
      <c r="J590" t="s">
        <v>1267</v>
      </c>
      <c r="K590" t="s">
        <v>1275</v>
      </c>
      <c r="L590" s="2" t="s">
        <v>1274</v>
      </c>
      <c r="M590" t="str">
        <f t="shared" ref="M590:AB590" si="2356">CONCATENATE("&lt;/li&gt;&lt;li&gt;&lt;a href=|http://",M1191,"/psalms/112.htm","| ","title=|",M1190,"| target=|_top|&gt;",M1192,"&lt;/a&gt;")</f>
        <v>&lt;/li&gt;&lt;li&gt;&lt;a href=|http://niv.scripturetext.com/psalms/112.htm| title=|New International Version| target=|_top|&gt;NIV&lt;/a&gt;</v>
      </c>
      <c r="N590" t="str">
        <f t="shared" si="2356"/>
        <v>&lt;/li&gt;&lt;li&gt;&lt;a href=|http://nlt.scripturetext.com/psalms/112.htm| title=|New Living Translation| target=|_top|&gt;NLT&lt;/a&gt;</v>
      </c>
      <c r="O590" t="str">
        <f t="shared" si="2356"/>
        <v>&lt;/li&gt;&lt;li&gt;&lt;a href=|http://nasb.scripturetext.com/psalms/112.htm| title=|New American Standard Bible| target=|_top|&gt;NAS&lt;/a&gt;</v>
      </c>
      <c r="P590" t="str">
        <f t="shared" si="2356"/>
        <v>&lt;/li&gt;&lt;li&gt;&lt;a href=|http://gwt.scripturetext.com/psalms/112.htm| title=|God's Word Translation| target=|_top|&gt;GWT&lt;/a&gt;</v>
      </c>
      <c r="Q590" t="str">
        <f t="shared" si="2356"/>
        <v>&lt;/li&gt;&lt;li&gt;&lt;a href=|http://kingjbible.com/psalms/112.htm| title=|King James Bible| target=|_top|&gt;KJV&lt;/a&gt;</v>
      </c>
      <c r="R590" t="str">
        <f t="shared" si="2356"/>
        <v>&lt;/li&gt;&lt;li&gt;&lt;a href=|http://asvbible.com/psalms/112.htm| title=|American Standard Version| target=|_top|&gt;ASV&lt;/a&gt;</v>
      </c>
      <c r="S590" t="str">
        <f t="shared" si="2356"/>
        <v>&lt;/li&gt;&lt;li&gt;&lt;a href=|http://drb.scripturetext.com/psalms/112.htm| title=|Douay-Rheims Bible| target=|_top|&gt;DRB&lt;/a&gt;</v>
      </c>
      <c r="T590" t="str">
        <f t="shared" si="2356"/>
        <v>&lt;/li&gt;&lt;li&gt;&lt;a href=|http://erv.scripturetext.com/psalms/112.htm| title=|English Revised Version| target=|_top|&gt;ERV&lt;/a&gt;</v>
      </c>
      <c r="V590" t="str">
        <f>CONCATENATE("&lt;/li&gt;&lt;li&gt;&lt;a href=|http://",V1191,"/psalms/112.htm","| ","title=|",V1190,"| target=|_top|&gt;",V1192,"&lt;/a&gt;")</f>
        <v>&lt;/li&gt;&lt;li&gt;&lt;a href=|http://study.interlinearbible.org/psalms/112.htm| title=|Hebrew Study Bible| target=|_top|&gt;Heb Study&lt;/a&gt;</v>
      </c>
      <c r="W590" t="str">
        <f t="shared" si="2356"/>
        <v>&lt;/li&gt;&lt;li&gt;&lt;a href=|http://apostolic.interlinearbible.org/psalms/112.htm| title=|Apostolic Bible Polyglot Interlinear| target=|_top|&gt;Polyglot&lt;/a&gt;</v>
      </c>
      <c r="X590" t="str">
        <f t="shared" si="2356"/>
        <v>&lt;/li&gt;&lt;li&gt;&lt;a href=|http://interlinearbible.org/psalms/112.htm| title=|Interlinear Bible| target=|_top|&gt;Interlin&lt;/a&gt;</v>
      </c>
      <c r="Y590" t="str">
        <f t="shared" ref="Y590" si="2357">CONCATENATE("&lt;/li&gt;&lt;li&gt;&lt;a href=|http://",Y1191,"/psalms/112.htm","| ","title=|",Y1190,"| target=|_top|&gt;",Y1192,"&lt;/a&gt;")</f>
        <v>&lt;/li&gt;&lt;li&gt;&lt;a href=|http://bibleoutline.org/psalms/112.htm| title=|Outline with People and Places List| target=|_top|&gt;Outline&lt;/a&gt;</v>
      </c>
      <c r="Z590" t="str">
        <f t="shared" si="2356"/>
        <v>&lt;/li&gt;&lt;li&gt;&lt;a href=|http://kjvs.scripturetext.com/psalms/112.htm| title=|King James Bible with Strong's Numbers| target=|_top|&gt;Strong's&lt;/a&gt;</v>
      </c>
      <c r="AA590" t="str">
        <f t="shared" si="2356"/>
        <v>&lt;/li&gt;&lt;li&gt;&lt;a href=|http://childrensbibleonline.com/psalms/112.htm| title=|The Children's Bible| target=|_top|&gt;Children's&lt;/a&gt;</v>
      </c>
      <c r="AB590" s="2" t="str">
        <f t="shared" si="2356"/>
        <v>&lt;/li&gt;&lt;li&gt;&lt;a href=|http://tsk.scripturetext.com/psalms/112.htm| title=|Treasury of Scripture Knowledge| target=|_top|&gt;TSK&lt;/a&gt;</v>
      </c>
      <c r="AC590" t="str">
        <f>CONCATENATE("&lt;a href=|http://",AC1191,"/psalms/112.htm","| ","title=|",AC1190,"| target=|_top|&gt;",AC1192,"&lt;/a&gt;")</f>
        <v>&lt;a href=|http://parallelbible.com/psalms/112.htm| title=|Parallel Chapters| target=|_top|&gt;PAR&lt;/a&gt;</v>
      </c>
      <c r="AD590" s="2" t="str">
        <f t="shared" ref="AD590:AK590" si="2358">CONCATENATE("&lt;/li&gt;&lt;li&gt;&lt;a href=|http://",AD1191,"/psalms/112.htm","| ","title=|",AD1190,"| target=|_top|&gt;",AD1192,"&lt;/a&gt;")</f>
        <v>&lt;/li&gt;&lt;li&gt;&lt;a href=|http://gsb.biblecommenter.com/psalms/112.htm| title=|Geneva Study Bible| target=|_top|&gt;GSB&lt;/a&gt;</v>
      </c>
      <c r="AE590" s="2" t="str">
        <f t="shared" si="2358"/>
        <v>&lt;/li&gt;&lt;li&gt;&lt;a href=|http://jfb.biblecommenter.com/psalms/112.htm| title=|Jamieson-Fausset-Brown Bible Commentary| target=|_top|&gt;JFB&lt;/a&gt;</v>
      </c>
      <c r="AF590" s="2" t="str">
        <f t="shared" si="2358"/>
        <v>&lt;/li&gt;&lt;li&gt;&lt;a href=|http://kjt.biblecommenter.com/psalms/112.htm| title=|King James Translators' Notes| target=|_top|&gt;KJT&lt;/a&gt;</v>
      </c>
      <c r="AG590" s="2" t="str">
        <f t="shared" si="2358"/>
        <v>&lt;/li&gt;&lt;li&gt;&lt;a href=|http://mhc.biblecommenter.com/psalms/112.htm| title=|Matthew Henry's Concise Commentary| target=|_top|&gt;MHC&lt;/a&gt;</v>
      </c>
      <c r="AH590" s="2" t="str">
        <f t="shared" si="2358"/>
        <v>&lt;/li&gt;&lt;li&gt;&lt;a href=|http://sco.biblecommenter.com/psalms/112.htm| title=|Scofield Reference Notes| target=|_top|&gt;SCO&lt;/a&gt;</v>
      </c>
      <c r="AI590" s="2" t="str">
        <f t="shared" si="2358"/>
        <v>&lt;/li&gt;&lt;li&gt;&lt;a href=|http://wes.biblecommenter.com/psalms/112.htm| title=|Wesley's Notes on the Bible| target=|_top|&gt;WES&lt;/a&gt;</v>
      </c>
      <c r="AJ590" t="str">
        <f t="shared" si="2358"/>
        <v>&lt;/li&gt;&lt;li&gt;&lt;a href=|http://worldebible.com/psalms/112.htm| title=|World English Bible| target=|_top|&gt;WEB&lt;/a&gt;</v>
      </c>
      <c r="AK590" t="str">
        <f t="shared" si="2358"/>
        <v>&lt;/li&gt;&lt;li&gt;&lt;a href=|http://yltbible.com/psalms/112.htm| title=|Young's Literal Translation| target=|_top|&gt;YLT&lt;/a&gt;</v>
      </c>
      <c r="AL590" t="str">
        <f>CONCATENATE("&lt;a href=|http://",AL1191,"/psalms/112.htm","| ","title=|",AL1190,"| target=|_top|&gt;",AL1192,"&lt;/a&gt;")</f>
        <v>&lt;a href=|http://kjv.us/psalms/112.htm| title=|American King James Version| target=|_top|&gt;AKJ&lt;/a&gt;</v>
      </c>
      <c r="AM590" t="str">
        <f t="shared" ref="AM590:AN590" si="2359">CONCATENATE("&lt;/li&gt;&lt;li&gt;&lt;a href=|http://",AM1191,"/psalms/112.htm","| ","title=|",AM1190,"| target=|_top|&gt;",AM1192,"&lt;/a&gt;")</f>
        <v>&lt;/li&gt;&lt;li&gt;&lt;a href=|http://basicenglishbible.com/psalms/112.htm| title=|Bible in Basic English| target=|_top|&gt;BBE&lt;/a&gt;</v>
      </c>
      <c r="AN590" t="str">
        <f t="shared" si="2359"/>
        <v>&lt;/li&gt;&lt;li&gt;&lt;a href=|http://darbybible.com/psalms/112.htm| title=|Darby Bible Translation| target=|_top|&gt;DBY&lt;/a&gt;</v>
      </c>
      <c r="AO59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9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9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90" t="str">
        <f>CONCATENATE("&lt;/li&gt;&lt;li&gt;&lt;a href=|http://",AR1191,"/psalms/112.htm","| ","title=|",AR1190,"| target=|_top|&gt;",AR1192,"&lt;/a&gt;")</f>
        <v>&lt;/li&gt;&lt;li&gt;&lt;a href=|http://websterbible.com/psalms/112.htm| title=|Webster's Bible Translation| target=|_top|&gt;WBS&lt;/a&gt;</v>
      </c>
      <c r="AS59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90" t="str">
        <f>CONCATENATE("&lt;/li&gt;&lt;li&gt;&lt;a href=|http://",AT1191,"/psalms/112-1.htm","| ","title=|",AT1190,"| target=|_top|&gt;",AT1192,"&lt;/a&gt;")</f>
        <v>&lt;/li&gt;&lt;li&gt;&lt;a href=|http://biblebrowser.com/psalms/112-1.htm| title=|Split View| target=|_top|&gt;Split&lt;/a&gt;</v>
      </c>
      <c r="AU590" s="2" t="s">
        <v>1276</v>
      </c>
      <c r="AV590" t="s">
        <v>64</v>
      </c>
    </row>
    <row r="591" spans="1:48">
      <c r="A591" t="s">
        <v>622</v>
      </c>
      <c r="B591" t="s">
        <v>1095</v>
      </c>
      <c r="C591" t="s">
        <v>624</v>
      </c>
      <c r="D591" t="s">
        <v>1268</v>
      </c>
      <c r="E591" t="s">
        <v>1277</v>
      </c>
      <c r="F591" t="s">
        <v>1304</v>
      </c>
      <c r="G591" t="s">
        <v>1266</v>
      </c>
      <c r="H591" t="s">
        <v>1305</v>
      </c>
      <c r="I591" t="s">
        <v>1303</v>
      </c>
      <c r="J591" t="s">
        <v>1267</v>
      </c>
      <c r="K591" t="s">
        <v>1275</v>
      </c>
      <c r="L591" s="2" t="s">
        <v>1274</v>
      </c>
      <c r="M591" t="str">
        <f t="shared" ref="M591:AB591" si="2360">CONCATENATE("&lt;/li&gt;&lt;li&gt;&lt;a href=|http://",M1191,"/psalms/113.htm","| ","title=|",M1190,"| target=|_top|&gt;",M1192,"&lt;/a&gt;")</f>
        <v>&lt;/li&gt;&lt;li&gt;&lt;a href=|http://niv.scripturetext.com/psalms/113.htm| title=|New International Version| target=|_top|&gt;NIV&lt;/a&gt;</v>
      </c>
      <c r="N591" t="str">
        <f t="shared" si="2360"/>
        <v>&lt;/li&gt;&lt;li&gt;&lt;a href=|http://nlt.scripturetext.com/psalms/113.htm| title=|New Living Translation| target=|_top|&gt;NLT&lt;/a&gt;</v>
      </c>
      <c r="O591" t="str">
        <f t="shared" si="2360"/>
        <v>&lt;/li&gt;&lt;li&gt;&lt;a href=|http://nasb.scripturetext.com/psalms/113.htm| title=|New American Standard Bible| target=|_top|&gt;NAS&lt;/a&gt;</v>
      </c>
      <c r="P591" t="str">
        <f t="shared" si="2360"/>
        <v>&lt;/li&gt;&lt;li&gt;&lt;a href=|http://gwt.scripturetext.com/psalms/113.htm| title=|God's Word Translation| target=|_top|&gt;GWT&lt;/a&gt;</v>
      </c>
      <c r="Q591" t="str">
        <f t="shared" si="2360"/>
        <v>&lt;/li&gt;&lt;li&gt;&lt;a href=|http://kingjbible.com/psalms/113.htm| title=|King James Bible| target=|_top|&gt;KJV&lt;/a&gt;</v>
      </c>
      <c r="R591" t="str">
        <f t="shared" si="2360"/>
        <v>&lt;/li&gt;&lt;li&gt;&lt;a href=|http://asvbible.com/psalms/113.htm| title=|American Standard Version| target=|_top|&gt;ASV&lt;/a&gt;</v>
      </c>
      <c r="S591" t="str">
        <f t="shared" si="2360"/>
        <v>&lt;/li&gt;&lt;li&gt;&lt;a href=|http://drb.scripturetext.com/psalms/113.htm| title=|Douay-Rheims Bible| target=|_top|&gt;DRB&lt;/a&gt;</v>
      </c>
      <c r="T591" t="str">
        <f t="shared" si="2360"/>
        <v>&lt;/li&gt;&lt;li&gt;&lt;a href=|http://erv.scripturetext.com/psalms/113.htm| title=|English Revised Version| target=|_top|&gt;ERV&lt;/a&gt;</v>
      </c>
      <c r="V591" t="str">
        <f>CONCATENATE("&lt;/li&gt;&lt;li&gt;&lt;a href=|http://",V1191,"/psalms/113.htm","| ","title=|",V1190,"| target=|_top|&gt;",V1192,"&lt;/a&gt;")</f>
        <v>&lt;/li&gt;&lt;li&gt;&lt;a href=|http://study.interlinearbible.org/psalms/113.htm| title=|Hebrew Study Bible| target=|_top|&gt;Heb Study&lt;/a&gt;</v>
      </c>
      <c r="W591" t="str">
        <f t="shared" si="2360"/>
        <v>&lt;/li&gt;&lt;li&gt;&lt;a href=|http://apostolic.interlinearbible.org/psalms/113.htm| title=|Apostolic Bible Polyglot Interlinear| target=|_top|&gt;Polyglot&lt;/a&gt;</v>
      </c>
      <c r="X591" t="str">
        <f t="shared" si="2360"/>
        <v>&lt;/li&gt;&lt;li&gt;&lt;a href=|http://interlinearbible.org/psalms/113.htm| title=|Interlinear Bible| target=|_top|&gt;Interlin&lt;/a&gt;</v>
      </c>
      <c r="Y591" t="str">
        <f t="shared" ref="Y591" si="2361">CONCATENATE("&lt;/li&gt;&lt;li&gt;&lt;a href=|http://",Y1191,"/psalms/113.htm","| ","title=|",Y1190,"| target=|_top|&gt;",Y1192,"&lt;/a&gt;")</f>
        <v>&lt;/li&gt;&lt;li&gt;&lt;a href=|http://bibleoutline.org/psalms/113.htm| title=|Outline with People and Places List| target=|_top|&gt;Outline&lt;/a&gt;</v>
      </c>
      <c r="Z591" t="str">
        <f t="shared" si="2360"/>
        <v>&lt;/li&gt;&lt;li&gt;&lt;a href=|http://kjvs.scripturetext.com/psalms/113.htm| title=|King James Bible with Strong's Numbers| target=|_top|&gt;Strong's&lt;/a&gt;</v>
      </c>
      <c r="AA591" t="str">
        <f t="shared" si="2360"/>
        <v>&lt;/li&gt;&lt;li&gt;&lt;a href=|http://childrensbibleonline.com/psalms/113.htm| title=|The Children's Bible| target=|_top|&gt;Children's&lt;/a&gt;</v>
      </c>
      <c r="AB591" s="2" t="str">
        <f t="shared" si="2360"/>
        <v>&lt;/li&gt;&lt;li&gt;&lt;a href=|http://tsk.scripturetext.com/psalms/113.htm| title=|Treasury of Scripture Knowledge| target=|_top|&gt;TSK&lt;/a&gt;</v>
      </c>
      <c r="AC591" t="str">
        <f>CONCATENATE("&lt;a href=|http://",AC1191,"/psalms/113.htm","| ","title=|",AC1190,"| target=|_top|&gt;",AC1192,"&lt;/a&gt;")</f>
        <v>&lt;a href=|http://parallelbible.com/psalms/113.htm| title=|Parallel Chapters| target=|_top|&gt;PAR&lt;/a&gt;</v>
      </c>
      <c r="AD591" s="2" t="str">
        <f t="shared" ref="AD591:AK591" si="2362">CONCATENATE("&lt;/li&gt;&lt;li&gt;&lt;a href=|http://",AD1191,"/psalms/113.htm","| ","title=|",AD1190,"| target=|_top|&gt;",AD1192,"&lt;/a&gt;")</f>
        <v>&lt;/li&gt;&lt;li&gt;&lt;a href=|http://gsb.biblecommenter.com/psalms/113.htm| title=|Geneva Study Bible| target=|_top|&gt;GSB&lt;/a&gt;</v>
      </c>
      <c r="AE591" s="2" t="str">
        <f t="shared" si="2362"/>
        <v>&lt;/li&gt;&lt;li&gt;&lt;a href=|http://jfb.biblecommenter.com/psalms/113.htm| title=|Jamieson-Fausset-Brown Bible Commentary| target=|_top|&gt;JFB&lt;/a&gt;</v>
      </c>
      <c r="AF591" s="2" t="str">
        <f t="shared" si="2362"/>
        <v>&lt;/li&gt;&lt;li&gt;&lt;a href=|http://kjt.biblecommenter.com/psalms/113.htm| title=|King James Translators' Notes| target=|_top|&gt;KJT&lt;/a&gt;</v>
      </c>
      <c r="AG591" s="2" t="str">
        <f t="shared" si="2362"/>
        <v>&lt;/li&gt;&lt;li&gt;&lt;a href=|http://mhc.biblecommenter.com/psalms/113.htm| title=|Matthew Henry's Concise Commentary| target=|_top|&gt;MHC&lt;/a&gt;</v>
      </c>
      <c r="AH591" s="2" t="str">
        <f t="shared" si="2362"/>
        <v>&lt;/li&gt;&lt;li&gt;&lt;a href=|http://sco.biblecommenter.com/psalms/113.htm| title=|Scofield Reference Notes| target=|_top|&gt;SCO&lt;/a&gt;</v>
      </c>
      <c r="AI591" s="2" t="str">
        <f t="shared" si="2362"/>
        <v>&lt;/li&gt;&lt;li&gt;&lt;a href=|http://wes.biblecommenter.com/psalms/113.htm| title=|Wesley's Notes on the Bible| target=|_top|&gt;WES&lt;/a&gt;</v>
      </c>
      <c r="AJ591" t="str">
        <f t="shared" si="2362"/>
        <v>&lt;/li&gt;&lt;li&gt;&lt;a href=|http://worldebible.com/psalms/113.htm| title=|World English Bible| target=|_top|&gt;WEB&lt;/a&gt;</v>
      </c>
      <c r="AK591" t="str">
        <f t="shared" si="2362"/>
        <v>&lt;/li&gt;&lt;li&gt;&lt;a href=|http://yltbible.com/psalms/113.htm| title=|Young's Literal Translation| target=|_top|&gt;YLT&lt;/a&gt;</v>
      </c>
      <c r="AL591" t="str">
        <f>CONCATENATE("&lt;a href=|http://",AL1191,"/psalms/113.htm","| ","title=|",AL1190,"| target=|_top|&gt;",AL1192,"&lt;/a&gt;")</f>
        <v>&lt;a href=|http://kjv.us/psalms/113.htm| title=|American King James Version| target=|_top|&gt;AKJ&lt;/a&gt;</v>
      </c>
      <c r="AM591" t="str">
        <f t="shared" ref="AM591:AN591" si="2363">CONCATENATE("&lt;/li&gt;&lt;li&gt;&lt;a href=|http://",AM1191,"/psalms/113.htm","| ","title=|",AM1190,"| target=|_top|&gt;",AM1192,"&lt;/a&gt;")</f>
        <v>&lt;/li&gt;&lt;li&gt;&lt;a href=|http://basicenglishbible.com/psalms/113.htm| title=|Bible in Basic English| target=|_top|&gt;BBE&lt;/a&gt;</v>
      </c>
      <c r="AN591" t="str">
        <f t="shared" si="2363"/>
        <v>&lt;/li&gt;&lt;li&gt;&lt;a href=|http://darbybible.com/psalms/113.htm| title=|Darby Bible Translation| target=|_top|&gt;DBY&lt;/a&gt;</v>
      </c>
      <c r="AO59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9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9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91" t="str">
        <f>CONCATENATE("&lt;/li&gt;&lt;li&gt;&lt;a href=|http://",AR1191,"/psalms/113.htm","| ","title=|",AR1190,"| target=|_top|&gt;",AR1192,"&lt;/a&gt;")</f>
        <v>&lt;/li&gt;&lt;li&gt;&lt;a href=|http://websterbible.com/psalms/113.htm| title=|Webster's Bible Translation| target=|_top|&gt;WBS&lt;/a&gt;</v>
      </c>
      <c r="AS59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91" t="str">
        <f>CONCATENATE("&lt;/li&gt;&lt;li&gt;&lt;a href=|http://",AT1191,"/psalms/113-1.htm","| ","title=|",AT1190,"| target=|_top|&gt;",AT1192,"&lt;/a&gt;")</f>
        <v>&lt;/li&gt;&lt;li&gt;&lt;a href=|http://biblebrowser.com/psalms/113-1.htm| title=|Split View| target=|_top|&gt;Split&lt;/a&gt;</v>
      </c>
      <c r="AU591" s="2" t="s">
        <v>1276</v>
      </c>
      <c r="AV591" t="s">
        <v>64</v>
      </c>
    </row>
    <row r="592" spans="1:48">
      <c r="A592" t="s">
        <v>622</v>
      </c>
      <c r="B592" t="s">
        <v>1096</v>
      </c>
      <c r="C592" t="s">
        <v>624</v>
      </c>
      <c r="D592" t="s">
        <v>1268</v>
      </c>
      <c r="E592" t="s">
        <v>1277</v>
      </c>
      <c r="F592" t="s">
        <v>1304</v>
      </c>
      <c r="G592" t="s">
        <v>1266</v>
      </c>
      <c r="H592" t="s">
        <v>1305</v>
      </c>
      <c r="I592" t="s">
        <v>1303</v>
      </c>
      <c r="J592" t="s">
        <v>1267</v>
      </c>
      <c r="K592" t="s">
        <v>1275</v>
      </c>
      <c r="L592" s="2" t="s">
        <v>1274</v>
      </c>
      <c r="M592" t="str">
        <f t="shared" ref="M592:AB592" si="2364">CONCATENATE("&lt;/li&gt;&lt;li&gt;&lt;a href=|http://",M1191,"/psalms/114.htm","| ","title=|",M1190,"| target=|_top|&gt;",M1192,"&lt;/a&gt;")</f>
        <v>&lt;/li&gt;&lt;li&gt;&lt;a href=|http://niv.scripturetext.com/psalms/114.htm| title=|New International Version| target=|_top|&gt;NIV&lt;/a&gt;</v>
      </c>
      <c r="N592" t="str">
        <f t="shared" si="2364"/>
        <v>&lt;/li&gt;&lt;li&gt;&lt;a href=|http://nlt.scripturetext.com/psalms/114.htm| title=|New Living Translation| target=|_top|&gt;NLT&lt;/a&gt;</v>
      </c>
      <c r="O592" t="str">
        <f t="shared" si="2364"/>
        <v>&lt;/li&gt;&lt;li&gt;&lt;a href=|http://nasb.scripturetext.com/psalms/114.htm| title=|New American Standard Bible| target=|_top|&gt;NAS&lt;/a&gt;</v>
      </c>
      <c r="P592" t="str">
        <f t="shared" si="2364"/>
        <v>&lt;/li&gt;&lt;li&gt;&lt;a href=|http://gwt.scripturetext.com/psalms/114.htm| title=|God's Word Translation| target=|_top|&gt;GWT&lt;/a&gt;</v>
      </c>
      <c r="Q592" t="str">
        <f t="shared" si="2364"/>
        <v>&lt;/li&gt;&lt;li&gt;&lt;a href=|http://kingjbible.com/psalms/114.htm| title=|King James Bible| target=|_top|&gt;KJV&lt;/a&gt;</v>
      </c>
      <c r="R592" t="str">
        <f t="shared" si="2364"/>
        <v>&lt;/li&gt;&lt;li&gt;&lt;a href=|http://asvbible.com/psalms/114.htm| title=|American Standard Version| target=|_top|&gt;ASV&lt;/a&gt;</v>
      </c>
      <c r="S592" t="str">
        <f t="shared" si="2364"/>
        <v>&lt;/li&gt;&lt;li&gt;&lt;a href=|http://drb.scripturetext.com/psalms/114.htm| title=|Douay-Rheims Bible| target=|_top|&gt;DRB&lt;/a&gt;</v>
      </c>
      <c r="T592" t="str">
        <f t="shared" si="2364"/>
        <v>&lt;/li&gt;&lt;li&gt;&lt;a href=|http://erv.scripturetext.com/psalms/114.htm| title=|English Revised Version| target=|_top|&gt;ERV&lt;/a&gt;</v>
      </c>
      <c r="V592" t="str">
        <f>CONCATENATE("&lt;/li&gt;&lt;li&gt;&lt;a href=|http://",V1191,"/psalms/114.htm","| ","title=|",V1190,"| target=|_top|&gt;",V1192,"&lt;/a&gt;")</f>
        <v>&lt;/li&gt;&lt;li&gt;&lt;a href=|http://study.interlinearbible.org/psalms/114.htm| title=|Hebrew Study Bible| target=|_top|&gt;Heb Study&lt;/a&gt;</v>
      </c>
      <c r="W592" t="str">
        <f t="shared" si="2364"/>
        <v>&lt;/li&gt;&lt;li&gt;&lt;a href=|http://apostolic.interlinearbible.org/psalms/114.htm| title=|Apostolic Bible Polyglot Interlinear| target=|_top|&gt;Polyglot&lt;/a&gt;</v>
      </c>
      <c r="X592" t="str">
        <f t="shared" si="2364"/>
        <v>&lt;/li&gt;&lt;li&gt;&lt;a href=|http://interlinearbible.org/psalms/114.htm| title=|Interlinear Bible| target=|_top|&gt;Interlin&lt;/a&gt;</v>
      </c>
      <c r="Y592" t="str">
        <f t="shared" ref="Y592" si="2365">CONCATENATE("&lt;/li&gt;&lt;li&gt;&lt;a href=|http://",Y1191,"/psalms/114.htm","| ","title=|",Y1190,"| target=|_top|&gt;",Y1192,"&lt;/a&gt;")</f>
        <v>&lt;/li&gt;&lt;li&gt;&lt;a href=|http://bibleoutline.org/psalms/114.htm| title=|Outline with People and Places List| target=|_top|&gt;Outline&lt;/a&gt;</v>
      </c>
      <c r="Z592" t="str">
        <f t="shared" si="2364"/>
        <v>&lt;/li&gt;&lt;li&gt;&lt;a href=|http://kjvs.scripturetext.com/psalms/114.htm| title=|King James Bible with Strong's Numbers| target=|_top|&gt;Strong's&lt;/a&gt;</v>
      </c>
      <c r="AA592" t="str">
        <f t="shared" si="2364"/>
        <v>&lt;/li&gt;&lt;li&gt;&lt;a href=|http://childrensbibleonline.com/psalms/114.htm| title=|The Children's Bible| target=|_top|&gt;Children's&lt;/a&gt;</v>
      </c>
      <c r="AB592" s="2" t="str">
        <f t="shared" si="2364"/>
        <v>&lt;/li&gt;&lt;li&gt;&lt;a href=|http://tsk.scripturetext.com/psalms/114.htm| title=|Treasury of Scripture Knowledge| target=|_top|&gt;TSK&lt;/a&gt;</v>
      </c>
      <c r="AC592" t="str">
        <f>CONCATENATE("&lt;a href=|http://",AC1191,"/psalms/114.htm","| ","title=|",AC1190,"| target=|_top|&gt;",AC1192,"&lt;/a&gt;")</f>
        <v>&lt;a href=|http://parallelbible.com/psalms/114.htm| title=|Parallel Chapters| target=|_top|&gt;PAR&lt;/a&gt;</v>
      </c>
      <c r="AD592" s="2" t="str">
        <f t="shared" ref="AD592:AK592" si="2366">CONCATENATE("&lt;/li&gt;&lt;li&gt;&lt;a href=|http://",AD1191,"/psalms/114.htm","| ","title=|",AD1190,"| target=|_top|&gt;",AD1192,"&lt;/a&gt;")</f>
        <v>&lt;/li&gt;&lt;li&gt;&lt;a href=|http://gsb.biblecommenter.com/psalms/114.htm| title=|Geneva Study Bible| target=|_top|&gt;GSB&lt;/a&gt;</v>
      </c>
      <c r="AE592" s="2" t="str">
        <f t="shared" si="2366"/>
        <v>&lt;/li&gt;&lt;li&gt;&lt;a href=|http://jfb.biblecommenter.com/psalms/114.htm| title=|Jamieson-Fausset-Brown Bible Commentary| target=|_top|&gt;JFB&lt;/a&gt;</v>
      </c>
      <c r="AF592" s="2" t="str">
        <f t="shared" si="2366"/>
        <v>&lt;/li&gt;&lt;li&gt;&lt;a href=|http://kjt.biblecommenter.com/psalms/114.htm| title=|King James Translators' Notes| target=|_top|&gt;KJT&lt;/a&gt;</v>
      </c>
      <c r="AG592" s="2" t="str">
        <f t="shared" si="2366"/>
        <v>&lt;/li&gt;&lt;li&gt;&lt;a href=|http://mhc.biblecommenter.com/psalms/114.htm| title=|Matthew Henry's Concise Commentary| target=|_top|&gt;MHC&lt;/a&gt;</v>
      </c>
      <c r="AH592" s="2" t="str">
        <f t="shared" si="2366"/>
        <v>&lt;/li&gt;&lt;li&gt;&lt;a href=|http://sco.biblecommenter.com/psalms/114.htm| title=|Scofield Reference Notes| target=|_top|&gt;SCO&lt;/a&gt;</v>
      </c>
      <c r="AI592" s="2" t="str">
        <f t="shared" si="2366"/>
        <v>&lt;/li&gt;&lt;li&gt;&lt;a href=|http://wes.biblecommenter.com/psalms/114.htm| title=|Wesley's Notes on the Bible| target=|_top|&gt;WES&lt;/a&gt;</v>
      </c>
      <c r="AJ592" t="str">
        <f t="shared" si="2366"/>
        <v>&lt;/li&gt;&lt;li&gt;&lt;a href=|http://worldebible.com/psalms/114.htm| title=|World English Bible| target=|_top|&gt;WEB&lt;/a&gt;</v>
      </c>
      <c r="AK592" t="str">
        <f t="shared" si="2366"/>
        <v>&lt;/li&gt;&lt;li&gt;&lt;a href=|http://yltbible.com/psalms/114.htm| title=|Young's Literal Translation| target=|_top|&gt;YLT&lt;/a&gt;</v>
      </c>
      <c r="AL592" t="str">
        <f>CONCATENATE("&lt;a href=|http://",AL1191,"/psalms/114.htm","| ","title=|",AL1190,"| target=|_top|&gt;",AL1192,"&lt;/a&gt;")</f>
        <v>&lt;a href=|http://kjv.us/psalms/114.htm| title=|American King James Version| target=|_top|&gt;AKJ&lt;/a&gt;</v>
      </c>
      <c r="AM592" t="str">
        <f t="shared" ref="AM592:AN592" si="2367">CONCATENATE("&lt;/li&gt;&lt;li&gt;&lt;a href=|http://",AM1191,"/psalms/114.htm","| ","title=|",AM1190,"| target=|_top|&gt;",AM1192,"&lt;/a&gt;")</f>
        <v>&lt;/li&gt;&lt;li&gt;&lt;a href=|http://basicenglishbible.com/psalms/114.htm| title=|Bible in Basic English| target=|_top|&gt;BBE&lt;/a&gt;</v>
      </c>
      <c r="AN592" t="str">
        <f t="shared" si="2367"/>
        <v>&lt;/li&gt;&lt;li&gt;&lt;a href=|http://darbybible.com/psalms/114.htm| title=|Darby Bible Translation| target=|_top|&gt;DBY&lt;/a&gt;</v>
      </c>
      <c r="AO59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9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9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92" t="str">
        <f>CONCATENATE("&lt;/li&gt;&lt;li&gt;&lt;a href=|http://",AR1191,"/psalms/114.htm","| ","title=|",AR1190,"| target=|_top|&gt;",AR1192,"&lt;/a&gt;")</f>
        <v>&lt;/li&gt;&lt;li&gt;&lt;a href=|http://websterbible.com/psalms/114.htm| title=|Webster's Bible Translation| target=|_top|&gt;WBS&lt;/a&gt;</v>
      </c>
      <c r="AS59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92" t="str">
        <f>CONCATENATE("&lt;/li&gt;&lt;li&gt;&lt;a href=|http://",AT1191,"/psalms/114-1.htm","| ","title=|",AT1190,"| target=|_top|&gt;",AT1192,"&lt;/a&gt;")</f>
        <v>&lt;/li&gt;&lt;li&gt;&lt;a href=|http://biblebrowser.com/psalms/114-1.htm| title=|Split View| target=|_top|&gt;Split&lt;/a&gt;</v>
      </c>
      <c r="AU592" s="2" t="s">
        <v>1276</v>
      </c>
      <c r="AV592" t="s">
        <v>64</v>
      </c>
    </row>
    <row r="593" spans="1:48">
      <c r="A593" t="s">
        <v>622</v>
      </c>
      <c r="B593" t="s">
        <v>1097</v>
      </c>
      <c r="C593" t="s">
        <v>624</v>
      </c>
      <c r="D593" t="s">
        <v>1268</v>
      </c>
      <c r="E593" t="s">
        <v>1277</v>
      </c>
      <c r="F593" t="s">
        <v>1304</v>
      </c>
      <c r="G593" t="s">
        <v>1266</v>
      </c>
      <c r="H593" t="s">
        <v>1305</v>
      </c>
      <c r="I593" t="s">
        <v>1303</v>
      </c>
      <c r="J593" t="s">
        <v>1267</v>
      </c>
      <c r="K593" t="s">
        <v>1275</v>
      </c>
      <c r="L593" s="2" t="s">
        <v>1274</v>
      </c>
      <c r="M593" t="str">
        <f t="shared" ref="M593:AB593" si="2368">CONCATENATE("&lt;/li&gt;&lt;li&gt;&lt;a href=|http://",M1191,"/psalms/115.htm","| ","title=|",M1190,"| target=|_top|&gt;",M1192,"&lt;/a&gt;")</f>
        <v>&lt;/li&gt;&lt;li&gt;&lt;a href=|http://niv.scripturetext.com/psalms/115.htm| title=|New International Version| target=|_top|&gt;NIV&lt;/a&gt;</v>
      </c>
      <c r="N593" t="str">
        <f t="shared" si="2368"/>
        <v>&lt;/li&gt;&lt;li&gt;&lt;a href=|http://nlt.scripturetext.com/psalms/115.htm| title=|New Living Translation| target=|_top|&gt;NLT&lt;/a&gt;</v>
      </c>
      <c r="O593" t="str">
        <f t="shared" si="2368"/>
        <v>&lt;/li&gt;&lt;li&gt;&lt;a href=|http://nasb.scripturetext.com/psalms/115.htm| title=|New American Standard Bible| target=|_top|&gt;NAS&lt;/a&gt;</v>
      </c>
      <c r="P593" t="str">
        <f t="shared" si="2368"/>
        <v>&lt;/li&gt;&lt;li&gt;&lt;a href=|http://gwt.scripturetext.com/psalms/115.htm| title=|God's Word Translation| target=|_top|&gt;GWT&lt;/a&gt;</v>
      </c>
      <c r="Q593" t="str">
        <f t="shared" si="2368"/>
        <v>&lt;/li&gt;&lt;li&gt;&lt;a href=|http://kingjbible.com/psalms/115.htm| title=|King James Bible| target=|_top|&gt;KJV&lt;/a&gt;</v>
      </c>
      <c r="R593" t="str">
        <f t="shared" si="2368"/>
        <v>&lt;/li&gt;&lt;li&gt;&lt;a href=|http://asvbible.com/psalms/115.htm| title=|American Standard Version| target=|_top|&gt;ASV&lt;/a&gt;</v>
      </c>
      <c r="S593" t="str">
        <f t="shared" si="2368"/>
        <v>&lt;/li&gt;&lt;li&gt;&lt;a href=|http://drb.scripturetext.com/psalms/115.htm| title=|Douay-Rheims Bible| target=|_top|&gt;DRB&lt;/a&gt;</v>
      </c>
      <c r="T593" t="str">
        <f t="shared" si="2368"/>
        <v>&lt;/li&gt;&lt;li&gt;&lt;a href=|http://erv.scripturetext.com/psalms/115.htm| title=|English Revised Version| target=|_top|&gt;ERV&lt;/a&gt;</v>
      </c>
      <c r="V593" t="str">
        <f>CONCATENATE("&lt;/li&gt;&lt;li&gt;&lt;a href=|http://",V1191,"/psalms/115.htm","| ","title=|",V1190,"| target=|_top|&gt;",V1192,"&lt;/a&gt;")</f>
        <v>&lt;/li&gt;&lt;li&gt;&lt;a href=|http://study.interlinearbible.org/psalms/115.htm| title=|Hebrew Study Bible| target=|_top|&gt;Heb Study&lt;/a&gt;</v>
      </c>
      <c r="W593" t="str">
        <f t="shared" si="2368"/>
        <v>&lt;/li&gt;&lt;li&gt;&lt;a href=|http://apostolic.interlinearbible.org/psalms/115.htm| title=|Apostolic Bible Polyglot Interlinear| target=|_top|&gt;Polyglot&lt;/a&gt;</v>
      </c>
      <c r="X593" t="str">
        <f t="shared" si="2368"/>
        <v>&lt;/li&gt;&lt;li&gt;&lt;a href=|http://interlinearbible.org/psalms/115.htm| title=|Interlinear Bible| target=|_top|&gt;Interlin&lt;/a&gt;</v>
      </c>
      <c r="Y593" t="str">
        <f t="shared" ref="Y593" si="2369">CONCATENATE("&lt;/li&gt;&lt;li&gt;&lt;a href=|http://",Y1191,"/psalms/115.htm","| ","title=|",Y1190,"| target=|_top|&gt;",Y1192,"&lt;/a&gt;")</f>
        <v>&lt;/li&gt;&lt;li&gt;&lt;a href=|http://bibleoutline.org/psalms/115.htm| title=|Outline with People and Places List| target=|_top|&gt;Outline&lt;/a&gt;</v>
      </c>
      <c r="Z593" t="str">
        <f t="shared" si="2368"/>
        <v>&lt;/li&gt;&lt;li&gt;&lt;a href=|http://kjvs.scripturetext.com/psalms/115.htm| title=|King James Bible with Strong's Numbers| target=|_top|&gt;Strong's&lt;/a&gt;</v>
      </c>
      <c r="AA593" t="str">
        <f t="shared" si="2368"/>
        <v>&lt;/li&gt;&lt;li&gt;&lt;a href=|http://childrensbibleonline.com/psalms/115.htm| title=|The Children's Bible| target=|_top|&gt;Children's&lt;/a&gt;</v>
      </c>
      <c r="AB593" s="2" t="str">
        <f t="shared" si="2368"/>
        <v>&lt;/li&gt;&lt;li&gt;&lt;a href=|http://tsk.scripturetext.com/psalms/115.htm| title=|Treasury of Scripture Knowledge| target=|_top|&gt;TSK&lt;/a&gt;</v>
      </c>
      <c r="AC593" t="str">
        <f>CONCATENATE("&lt;a href=|http://",AC1191,"/psalms/115.htm","| ","title=|",AC1190,"| target=|_top|&gt;",AC1192,"&lt;/a&gt;")</f>
        <v>&lt;a href=|http://parallelbible.com/psalms/115.htm| title=|Parallel Chapters| target=|_top|&gt;PAR&lt;/a&gt;</v>
      </c>
      <c r="AD593" s="2" t="str">
        <f t="shared" ref="AD593:AK593" si="2370">CONCATENATE("&lt;/li&gt;&lt;li&gt;&lt;a href=|http://",AD1191,"/psalms/115.htm","| ","title=|",AD1190,"| target=|_top|&gt;",AD1192,"&lt;/a&gt;")</f>
        <v>&lt;/li&gt;&lt;li&gt;&lt;a href=|http://gsb.biblecommenter.com/psalms/115.htm| title=|Geneva Study Bible| target=|_top|&gt;GSB&lt;/a&gt;</v>
      </c>
      <c r="AE593" s="2" t="str">
        <f t="shared" si="2370"/>
        <v>&lt;/li&gt;&lt;li&gt;&lt;a href=|http://jfb.biblecommenter.com/psalms/115.htm| title=|Jamieson-Fausset-Brown Bible Commentary| target=|_top|&gt;JFB&lt;/a&gt;</v>
      </c>
      <c r="AF593" s="2" t="str">
        <f t="shared" si="2370"/>
        <v>&lt;/li&gt;&lt;li&gt;&lt;a href=|http://kjt.biblecommenter.com/psalms/115.htm| title=|King James Translators' Notes| target=|_top|&gt;KJT&lt;/a&gt;</v>
      </c>
      <c r="AG593" s="2" t="str">
        <f t="shared" si="2370"/>
        <v>&lt;/li&gt;&lt;li&gt;&lt;a href=|http://mhc.biblecommenter.com/psalms/115.htm| title=|Matthew Henry's Concise Commentary| target=|_top|&gt;MHC&lt;/a&gt;</v>
      </c>
      <c r="AH593" s="2" t="str">
        <f t="shared" si="2370"/>
        <v>&lt;/li&gt;&lt;li&gt;&lt;a href=|http://sco.biblecommenter.com/psalms/115.htm| title=|Scofield Reference Notes| target=|_top|&gt;SCO&lt;/a&gt;</v>
      </c>
      <c r="AI593" s="2" t="str">
        <f t="shared" si="2370"/>
        <v>&lt;/li&gt;&lt;li&gt;&lt;a href=|http://wes.biblecommenter.com/psalms/115.htm| title=|Wesley's Notes on the Bible| target=|_top|&gt;WES&lt;/a&gt;</v>
      </c>
      <c r="AJ593" t="str">
        <f t="shared" si="2370"/>
        <v>&lt;/li&gt;&lt;li&gt;&lt;a href=|http://worldebible.com/psalms/115.htm| title=|World English Bible| target=|_top|&gt;WEB&lt;/a&gt;</v>
      </c>
      <c r="AK593" t="str">
        <f t="shared" si="2370"/>
        <v>&lt;/li&gt;&lt;li&gt;&lt;a href=|http://yltbible.com/psalms/115.htm| title=|Young's Literal Translation| target=|_top|&gt;YLT&lt;/a&gt;</v>
      </c>
      <c r="AL593" t="str">
        <f>CONCATENATE("&lt;a href=|http://",AL1191,"/psalms/115.htm","| ","title=|",AL1190,"| target=|_top|&gt;",AL1192,"&lt;/a&gt;")</f>
        <v>&lt;a href=|http://kjv.us/psalms/115.htm| title=|American King James Version| target=|_top|&gt;AKJ&lt;/a&gt;</v>
      </c>
      <c r="AM593" t="str">
        <f t="shared" ref="AM593:AN593" si="2371">CONCATENATE("&lt;/li&gt;&lt;li&gt;&lt;a href=|http://",AM1191,"/psalms/115.htm","| ","title=|",AM1190,"| target=|_top|&gt;",AM1192,"&lt;/a&gt;")</f>
        <v>&lt;/li&gt;&lt;li&gt;&lt;a href=|http://basicenglishbible.com/psalms/115.htm| title=|Bible in Basic English| target=|_top|&gt;BBE&lt;/a&gt;</v>
      </c>
      <c r="AN593" t="str">
        <f t="shared" si="2371"/>
        <v>&lt;/li&gt;&lt;li&gt;&lt;a href=|http://darbybible.com/psalms/115.htm| title=|Darby Bible Translation| target=|_top|&gt;DBY&lt;/a&gt;</v>
      </c>
      <c r="AO59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9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9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93" t="str">
        <f>CONCATENATE("&lt;/li&gt;&lt;li&gt;&lt;a href=|http://",AR1191,"/psalms/115.htm","| ","title=|",AR1190,"| target=|_top|&gt;",AR1192,"&lt;/a&gt;")</f>
        <v>&lt;/li&gt;&lt;li&gt;&lt;a href=|http://websterbible.com/psalms/115.htm| title=|Webster's Bible Translation| target=|_top|&gt;WBS&lt;/a&gt;</v>
      </c>
      <c r="AS59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93" t="str">
        <f>CONCATENATE("&lt;/li&gt;&lt;li&gt;&lt;a href=|http://",AT1191,"/psalms/115-1.htm","| ","title=|",AT1190,"| target=|_top|&gt;",AT1192,"&lt;/a&gt;")</f>
        <v>&lt;/li&gt;&lt;li&gt;&lt;a href=|http://biblebrowser.com/psalms/115-1.htm| title=|Split View| target=|_top|&gt;Split&lt;/a&gt;</v>
      </c>
      <c r="AU593" s="2" t="s">
        <v>1276</v>
      </c>
      <c r="AV593" t="s">
        <v>64</v>
      </c>
    </row>
    <row r="594" spans="1:48">
      <c r="A594" t="s">
        <v>622</v>
      </c>
      <c r="B594" t="s">
        <v>1098</v>
      </c>
      <c r="C594" t="s">
        <v>624</v>
      </c>
      <c r="D594" t="s">
        <v>1268</v>
      </c>
      <c r="E594" t="s">
        <v>1277</v>
      </c>
      <c r="F594" t="s">
        <v>1304</v>
      </c>
      <c r="G594" t="s">
        <v>1266</v>
      </c>
      <c r="H594" t="s">
        <v>1305</v>
      </c>
      <c r="I594" t="s">
        <v>1303</v>
      </c>
      <c r="J594" t="s">
        <v>1267</v>
      </c>
      <c r="K594" t="s">
        <v>1275</v>
      </c>
      <c r="L594" s="2" t="s">
        <v>1274</v>
      </c>
      <c r="M594" t="str">
        <f t="shared" ref="M594:AB594" si="2372">CONCATENATE("&lt;/li&gt;&lt;li&gt;&lt;a href=|http://",M1191,"/psalms/116.htm","| ","title=|",M1190,"| target=|_top|&gt;",M1192,"&lt;/a&gt;")</f>
        <v>&lt;/li&gt;&lt;li&gt;&lt;a href=|http://niv.scripturetext.com/psalms/116.htm| title=|New International Version| target=|_top|&gt;NIV&lt;/a&gt;</v>
      </c>
      <c r="N594" t="str">
        <f t="shared" si="2372"/>
        <v>&lt;/li&gt;&lt;li&gt;&lt;a href=|http://nlt.scripturetext.com/psalms/116.htm| title=|New Living Translation| target=|_top|&gt;NLT&lt;/a&gt;</v>
      </c>
      <c r="O594" t="str">
        <f t="shared" si="2372"/>
        <v>&lt;/li&gt;&lt;li&gt;&lt;a href=|http://nasb.scripturetext.com/psalms/116.htm| title=|New American Standard Bible| target=|_top|&gt;NAS&lt;/a&gt;</v>
      </c>
      <c r="P594" t="str">
        <f t="shared" si="2372"/>
        <v>&lt;/li&gt;&lt;li&gt;&lt;a href=|http://gwt.scripturetext.com/psalms/116.htm| title=|God's Word Translation| target=|_top|&gt;GWT&lt;/a&gt;</v>
      </c>
      <c r="Q594" t="str">
        <f t="shared" si="2372"/>
        <v>&lt;/li&gt;&lt;li&gt;&lt;a href=|http://kingjbible.com/psalms/116.htm| title=|King James Bible| target=|_top|&gt;KJV&lt;/a&gt;</v>
      </c>
      <c r="R594" t="str">
        <f t="shared" si="2372"/>
        <v>&lt;/li&gt;&lt;li&gt;&lt;a href=|http://asvbible.com/psalms/116.htm| title=|American Standard Version| target=|_top|&gt;ASV&lt;/a&gt;</v>
      </c>
      <c r="S594" t="str">
        <f t="shared" si="2372"/>
        <v>&lt;/li&gt;&lt;li&gt;&lt;a href=|http://drb.scripturetext.com/psalms/116.htm| title=|Douay-Rheims Bible| target=|_top|&gt;DRB&lt;/a&gt;</v>
      </c>
      <c r="T594" t="str">
        <f t="shared" si="2372"/>
        <v>&lt;/li&gt;&lt;li&gt;&lt;a href=|http://erv.scripturetext.com/psalms/116.htm| title=|English Revised Version| target=|_top|&gt;ERV&lt;/a&gt;</v>
      </c>
      <c r="V594" t="str">
        <f>CONCATENATE("&lt;/li&gt;&lt;li&gt;&lt;a href=|http://",V1191,"/psalms/116.htm","| ","title=|",V1190,"| target=|_top|&gt;",V1192,"&lt;/a&gt;")</f>
        <v>&lt;/li&gt;&lt;li&gt;&lt;a href=|http://study.interlinearbible.org/psalms/116.htm| title=|Hebrew Study Bible| target=|_top|&gt;Heb Study&lt;/a&gt;</v>
      </c>
      <c r="W594" t="str">
        <f t="shared" si="2372"/>
        <v>&lt;/li&gt;&lt;li&gt;&lt;a href=|http://apostolic.interlinearbible.org/psalms/116.htm| title=|Apostolic Bible Polyglot Interlinear| target=|_top|&gt;Polyglot&lt;/a&gt;</v>
      </c>
      <c r="X594" t="str">
        <f t="shared" si="2372"/>
        <v>&lt;/li&gt;&lt;li&gt;&lt;a href=|http://interlinearbible.org/psalms/116.htm| title=|Interlinear Bible| target=|_top|&gt;Interlin&lt;/a&gt;</v>
      </c>
      <c r="Y594" t="str">
        <f t="shared" ref="Y594" si="2373">CONCATENATE("&lt;/li&gt;&lt;li&gt;&lt;a href=|http://",Y1191,"/psalms/116.htm","| ","title=|",Y1190,"| target=|_top|&gt;",Y1192,"&lt;/a&gt;")</f>
        <v>&lt;/li&gt;&lt;li&gt;&lt;a href=|http://bibleoutline.org/psalms/116.htm| title=|Outline with People and Places List| target=|_top|&gt;Outline&lt;/a&gt;</v>
      </c>
      <c r="Z594" t="str">
        <f t="shared" si="2372"/>
        <v>&lt;/li&gt;&lt;li&gt;&lt;a href=|http://kjvs.scripturetext.com/psalms/116.htm| title=|King James Bible with Strong's Numbers| target=|_top|&gt;Strong's&lt;/a&gt;</v>
      </c>
      <c r="AA594" t="str">
        <f t="shared" si="2372"/>
        <v>&lt;/li&gt;&lt;li&gt;&lt;a href=|http://childrensbibleonline.com/psalms/116.htm| title=|The Children's Bible| target=|_top|&gt;Children's&lt;/a&gt;</v>
      </c>
      <c r="AB594" s="2" t="str">
        <f t="shared" si="2372"/>
        <v>&lt;/li&gt;&lt;li&gt;&lt;a href=|http://tsk.scripturetext.com/psalms/116.htm| title=|Treasury of Scripture Knowledge| target=|_top|&gt;TSK&lt;/a&gt;</v>
      </c>
      <c r="AC594" t="str">
        <f>CONCATENATE("&lt;a href=|http://",AC1191,"/psalms/116.htm","| ","title=|",AC1190,"| target=|_top|&gt;",AC1192,"&lt;/a&gt;")</f>
        <v>&lt;a href=|http://parallelbible.com/psalms/116.htm| title=|Parallel Chapters| target=|_top|&gt;PAR&lt;/a&gt;</v>
      </c>
      <c r="AD594" s="2" t="str">
        <f t="shared" ref="AD594:AK594" si="2374">CONCATENATE("&lt;/li&gt;&lt;li&gt;&lt;a href=|http://",AD1191,"/psalms/116.htm","| ","title=|",AD1190,"| target=|_top|&gt;",AD1192,"&lt;/a&gt;")</f>
        <v>&lt;/li&gt;&lt;li&gt;&lt;a href=|http://gsb.biblecommenter.com/psalms/116.htm| title=|Geneva Study Bible| target=|_top|&gt;GSB&lt;/a&gt;</v>
      </c>
      <c r="AE594" s="2" t="str">
        <f t="shared" si="2374"/>
        <v>&lt;/li&gt;&lt;li&gt;&lt;a href=|http://jfb.biblecommenter.com/psalms/116.htm| title=|Jamieson-Fausset-Brown Bible Commentary| target=|_top|&gt;JFB&lt;/a&gt;</v>
      </c>
      <c r="AF594" s="2" t="str">
        <f t="shared" si="2374"/>
        <v>&lt;/li&gt;&lt;li&gt;&lt;a href=|http://kjt.biblecommenter.com/psalms/116.htm| title=|King James Translators' Notes| target=|_top|&gt;KJT&lt;/a&gt;</v>
      </c>
      <c r="AG594" s="2" t="str">
        <f t="shared" si="2374"/>
        <v>&lt;/li&gt;&lt;li&gt;&lt;a href=|http://mhc.biblecommenter.com/psalms/116.htm| title=|Matthew Henry's Concise Commentary| target=|_top|&gt;MHC&lt;/a&gt;</v>
      </c>
      <c r="AH594" s="2" t="str">
        <f t="shared" si="2374"/>
        <v>&lt;/li&gt;&lt;li&gt;&lt;a href=|http://sco.biblecommenter.com/psalms/116.htm| title=|Scofield Reference Notes| target=|_top|&gt;SCO&lt;/a&gt;</v>
      </c>
      <c r="AI594" s="2" t="str">
        <f t="shared" si="2374"/>
        <v>&lt;/li&gt;&lt;li&gt;&lt;a href=|http://wes.biblecommenter.com/psalms/116.htm| title=|Wesley's Notes on the Bible| target=|_top|&gt;WES&lt;/a&gt;</v>
      </c>
      <c r="AJ594" t="str">
        <f t="shared" si="2374"/>
        <v>&lt;/li&gt;&lt;li&gt;&lt;a href=|http://worldebible.com/psalms/116.htm| title=|World English Bible| target=|_top|&gt;WEB&lt;/a&gt;</v>
      </c>
      <c r="AK594" t="str">
        <f t="shared" si="2374"/>
        <v>&lt;/li&gt;&lt;li&gt;&lt;a href=|http://yltbible.com/psalms/116.htm| title=|Young's Literal Translation| target=|_top|&gt;YLT&lt;/a&gt;</v>
      </c>
      <c r="AL594" t="str">
        <f>CONCATENATE("&lt;a href=|http://",AL1191,"/psalms/116.htm","| ","title=|",AL1190,"| target=|_top|&gt;",AL1192,"&lt;/a&gt;")</f>
        <v>&lt;a href=|http://kjv.us/psalms/116.htm| title=|American King James Version| target=|_top|&gt;AKJ&lt;/a&gt;</v>
      </c>
      <c r="AM594" t="str">
        <f t="shared" ref="AM594:AN594" si="2375">CONCATENATE("&lt;/li&gt;&lt;li&gt;&lt;a href=|http://",AM1191,"/psalms/116.htm","| ","title=|",AM1190,"| target=|_top|&gt;",AM1192,"&lt;/a&gt;")</f>
        <v>&lt;/li&gt;&lt;li&gt;&lt;a href=|http://basicenglishbible.com/psalms/116.htm| title=|Bible in Basic English| target=|_top|&gt;BBE&lt;/a&gt;</v>
      </c>
      <c r="AN594" t="str">
        <f t="shared" si="2375"/>
        <v>&lt;/li&gt;&lt;li&gt;&lt;a href=|http://darbybible.com/psalms/116.htm| title=|Darby Bible Translation| target=|_top|&gt;DBY&lt;/a&gt;</v>
      </c>
      <c r="AO59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9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9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94" t="str">
        <f>CONCATENATE("&lt;/li&gt;&lt;li&gt;&lt;a href=|http://",AR1191,"/psalms/116.htm","| ","title=|",AR1190,"| target=|_top|&gt;",AR1192,"&lt;/a&gt;")</f>
        <v>&lt;/li&gt;&lt;li&gt;&lt;a href=|http://websterbible.com/psalms/116.htm| title=|Webster's Bible Translation| target=|_top|&gt;WBS&lt;/a&gt;</v>
      </c>
      <c r="AS59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94" t="str">
        <f>CONCATENATE("&lt;/li&gt;&lt;li&gt;&lt;a href=|http://",AT1191,"/psalms/116-1.htm","| ","title=|",AT1190,"| target=|_top|&gt;",AT1192,"&lt;/a&gt;")</f>
        <v>&lt;/li&gt;&lt;li&gt;&lt;a href=|http://biblebrowser.com/psalms/116-1.htm| title=|Split View| target=|_top|&gt;Split&lt;/a&gt;</v>
      </c>
      <c r="AU594" s="2" t="s">
        <v>1276</v>
      </c>
      <c r="AV594" t="s">
        <v>64</v>
      </c>
    </row>
    <row r="595" spans="1:48">
      <c r="A595" t="s">
        <v>622</v>
      </c>
      <c r="B595" t="s">
        <v>1099</v>
      </c>
      <c r="C595" t="s">
        <v>624</v>
      </c>
      <c r="D595" t="s">
        <v>1268</v>
      </c>
      <c r="E595" t="s">
        <v>1277</v>
      </c>
      <c r="F595" t="s">
        <v>1304</v>
      </c>
      <c r="G595" t="s">
        <v>1266</v>
      </c>
      <c r="H595" t="s">
        <v>1305</v>
      </c>
      <c r="I595" t="s">
        <v>1303</v>
      </c>
      <c r="J595" t="s">
        <v>1267</v>
      </c>
      <c r="K595" t="s">
        <v>1275</v>
      </c>
      <c r="L595" s="2" t="s">
        <v>1274</v>
      </c>
      <c r="M595" t="str">
        <f t="shared" ref="M595:AB595" si="2376">CONCATENATE("&lt;/li&gt;&lt;li&gt;&lt;a href=|http://",M1191,"/psalms/117.htm","| ","title=|",M1190,"| target=|_top|&gt;",M1192,"&lt;/a&gt;")</f>
        <v>&lt;/li&gt;&lt;li&gt;&lt;a href=|http://niv.scripturetext.com/psalms/117.htm| title=|New International Version| target=|_top|&gt;NIV&lt;/a&gt;</v>
      </c>
      <c r="N595" t="str">
        <f t="shared" si="2376"/>
        <v>&lt;/li&gt;&lt;li&gt;&lt;a href=|http://nlt.scripturetext.com/psalms/117.htm| title=|New Living Translation| target=|_top|&gt;NLT&lt;/a&gt;</v>
      </c>
      <c r="O595" t="str">
        <f t="shared" si="2376"/>
        <v>&lt;/li&gt;&lt;li&gt;&lt;a href=|http://nasb.scripturetext.com/psalms/117.htm| title=|New American Standard Bible| target=|_top|&gt;NAS&lt;/a&gt;</v>
      </c>
      <c r="P595" t="str">
        <f t="shared" si="2376"/>
        <v>&lt;/li&gt;&lt;li&gt;&lt;a href=|http://gwt.scripturetext.com/psalms/117.htm| title=|God's Word Translation| target=|_top|&gt;GWT&lt;/a&gt;</v>
      </c>
      <c r="Q595" t="str">
        <f t="shared" si="2376"/>
        <v>&lt;/li&gt;&lt;li&gt;&lt;a href=|http://kingjbible.com/psalms/117.htm| title=|King James Bible| target=|_top|&gt;KJV&lt;/a&gt;</v>
      </c>
      <c r="R595" t="str">
        <f t="shared" si="2376"/>
        <v>&lt;/li&gt;&lt;li&gt;&lt;a href=|http://asvbible.com/psalms/117.htm| title=|American Standard Version| target=|_top|&gt;ASV&lt;/a&gt;</v>
      </c>
      <c r="S595" t="str">
        <f t="shared" si="2376"/>
        <v>&lt;/li&gt;&lt;li&gt;&lt;a href=|http://drb.scripturetext.com/psalms/117.htm| title=|Douay-Rheims Bible| target=|_top|&gt;DRB&lt;/a&gt;</v>
      </c>
      <c r="T595" t="str">
        <f t="shared" si="2376"/>
        <v>&lt;/li&gt;&lt;li&gt;&lt;a href=|http://erv.scripturetext.com/psalms/117.htm| title=|English Revised Version| target=|_top|&gt;ERV&lt;/a&gt;</v>
      </c>
      <c r="V595" t="str">
        <f>CONCATENATE("&lt;/li&gt;&lt;li&gt;&lt;a href=|http://",V1191,"/psalms/117.htm","| ","title=|",V1190,"| target=|_top|&gt;",V1192,"&lt;/a&gt;")</f>
        <v>&lt;/li&gt;&lt;li&gt;&lt;a href=|http://study.interlinearbible.org/psalms/117.htm| title=|Hebrew Study Bible| target=|_top|&gt;Heb Study&lt;/a&gt;</v>
      </c>
      <c r="W595" t="str">
        <f t="shared" si="2376"/>
        <v>&lt;/li&gt;&lt;li&gt;&lt;a href=|http://apostolic.interlinearbible.org/psalms/117.htm| title=|Apostolic Bible Polyglot Interlinear| target=|_top|&gt;Polyglot&lt;/a&gt;</v>
      </c>
      <c r="X595" t="str">
        <f t="shared" si="2376"/>
        <v>&lt;/li&gt;&lt;li&gt;&lt;a href=|http://interlinearbible.org/psalms/117.htm| title=|Interlinear Bible| target=|_top|&gt;Interlin&lt;/a&gt;</v>
      </c>
      <c r="Y595" t="str">
        <f t="shared" ref="Y595" si="2377">CONCATENATE("&lt;/li&gt;&lt;li&gt;&lt;a href=|http://",Y1191,"/psalms/117.htm","| ","title=|",Y1190,"| target=|_top|&gt;",Y1192,"&lt;/a&gt;")</f>
        <v>&lt;/li&gt;&lt;li&gt;&lt;a href=|http://bibleoutline.org/psalms/117.htm| title=|Outline with People and Places List| target=|_top|&gt;Outline&lt;/a&gt;</v>
      </c>
      <c r="Z595" t="str">
        <f t="shared" si="2376"/>
        <v>&lt;/li&gt;&lt;li&gt;&lt;a href=|http://kjvs.scripturetext.com/psalms/117.htm| title=|King James Bible with Strong's Numbers| target=|_top|&gt;Strong's&lt;/a&gt;</v>
      </c>
      <c r="AA595" t="str">
        <f t="shared" si="2376"/>
        <v>&lt;/li&gt;&lt;li&gt;&lt;a href=|http://childrensbibleonline.com/psalms/117.htm| title=|The Children's Bible| target=|_top|&gt;Children's&lt;/a&gt;</v>
      </c>
      <c r="AB595" s="2" t="str">
        <f t="shared" si="2376"/>
        <v>&lt;/li&gt;&lt;li&gt;&lt;a href=|http://tsk.scripturetext.com/psalms/117.htm| title=|Treasury of Scripture Knowledge| target=|_top|&gt;TSK&lt;/a&gt;</v>
      </c>
      <c r="AC595" t="str">
        <f>CONCATENATE("&lt;a href=|http://",AC1191,"/psalms/117.htm","| ","title=|",AC1190,"| target=|_top|&gt;",AC1192,"&lt;/a&gt;")</f>
        <v>&lt;a href=|http://parallelbible.com/psalms/117.htm| title=|Parallel Chapters| target=|_top|&gt;PAR&lt;/a&gt;</v>
      </c>
      <c r="AD595" s="2" t="str">
        <f t="shared" ref="AD595:AK595" si="2378">CONCATENATE("&lt;/li&gt;&lt;li&gt;&lt;a href=|http://",AD1191,"/psalms/117.htm","| ","title=|",AD1190,"| target=|_top|&gt;",AD1192,"&lt;/a&gt;")</f>
        <v>&lt;/li&gt;&lt;li&gt;&lt;a href=|http://gsb.biblecommenter.com/psalms/117.htm| title=|Geneva Study Bible| target=|_top|&gt;GSB&lt;/a&gt;</v>
      </c>
      <c r="AE595" s="2" t="str">
        <f t="shared" si="2378"/>
        <v>&lt;/li&gt;&lt;li&gt;&lt;a href=|http://jfb.biblecommenter.com/psalms/117.htm| title=|Jamieson-Fausset-Brown Bible Commentary| target=|_top|&gt;JFB&lt;/a&gt;</v>
      </c>
      <c r="AF595" s="2" t="str">
        <f t="shared" si="2378"/>
        <v>&lt;/li&gt;&lt;li&gt;&lt;a href=|http://kjt.biblecommenter.com/psalms/117.htm| title=|King James Translators' Notes| target=|_top|&gt;KJT&lt;/a&gt;</v>
      </c>
      <c r="AG595" s="2" t="str">
        <f t="shared" si="2378"/>
        <v>&lt;/li&gt;&lt;li&gt;&lt;a href=|http://mhc.biblecommenter.com/psalms/117.htm| title=|Matthew Henry's Concise Commentary| target=|_top|&gt;MHC&lt;/a&gt;</v>
      </c>
      <c r="AH595" s="2" t="str">
        <f t="shared" si="2378"/>
        <v>&lt;/li&gt;&lt;li&gt;&lt;a href=|http://sco.biblecommenter.com/psalms/117.htm| title=|Scofield Reference Notes| target=|_top|&gt;SCO&lt;/a&gt;</v>
      </c>
      <c r="AI595" s="2" t="str">
        <f t="shared" si="2378"/>
        <v>&lt;/li&gt;&lt;li&gt;&lt;a href=|http://wes.biblecommenter.com/psalms/117.htm| title=|Wesley's Notes on the Bible| target=|_top|&gt;WES&lt;/a&gt;</v>
      </c>
      <c r="AJ595" t="str">
        <f t="shared" si="2378"/>
        <v>&lt;/li&gt;&lt;li&gt;&lt;a href=|http://worldebible.com/psalms/117.htm| title=|World English Bible| target=|_top|&gt;WEB&lt;/a&gt;</v>
      </c>
      <c r="AK595" t="str">
        <f t="shared" si="2378"/>
        <v>&lt;/li&gt;&lt;li&gt;&lt;a href=|http://yltbible.com/psalms/117.htm| title=|Young's Literal Translation| target=|_top|&gt;YLT&lt;/a&gt;</v>
      </c>
      <c r="AL595" t="str">
        <f>CONCATENATE("&lt;a href=|http://",AL1191,"/psalms/117.htm","| ","title=|",AL1190,"| target=|_top|&gt;",AL1192,"&lt;/a&gt;")</f>
        <v>&lt;a href=|http://kjv.us/psalms/117.htm| title=|American King James Version| target=|_top|&gt;AKJ&lt;/a&gt;</v>
      </c>
      <c r="AM595" t="str">
        <f t="shared" ref="AM595:AN595" si="2379">CONCATENATE("&lt;/li&gt;&lt;li&gt;&lt;a href=|http://",AM1191,"/psalms/117.htm","| ","title=|",AM1190,"| target=|_top|&gt;",AM1192,"&lt;/a&gt;")</f>
        <v>&lt;/li&gt;&lt;li&gt;&lt;a href=|http://basicenglishbible.com/psalms/117.htm| title=|Bible in Basic English| target=|_top|&gt;BBE&lt;/a&gt;</v>
      </c>
      <c r="AN595" t="str">
        <f t="shared" si="2379"/>
        <v>&lt;/li&gt;&lt;li&gt;&lt;a href=|http://darbybible.com/psalms/117.htm| title=|Darby Bible Translation| target=|_top|&gt;DBY&lt;/a&gt;</v>
      </c>
      <c r="AO59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9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9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95" t="str">
        <f>CONCATENATE("&lt;/li&gt;&lt;li&gt;&lt;a href=|http://",AR1191,"/psalms/117.htm","| ","title=|",AR1190,"| target=|_top|&gt;",AR1192,"&lt;/a&gt;")</f>
        <v>&lt;/li&gt;&lt;li&gt;&lt;a href=|http://websterbible.com/psalms/117.htm| title=|Webster's Bible Translation| target=|_top|&gt;WBS&lt;/a&gt;</v>
      </c>
      <c r="AS59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95" t="str">
        <f>CONCATENATE("&lt;/li&gt;&lt;li&gt;&lt;a href=|http://",AT1191,"/psalms/117-1.htm","| ","title=|",AT1190,"| target=|_top|&gt;",AT1192,"&lt;/a&gt;")</f>
        <v>&lt;/li&gt;&lt;li&gt;&lt;a href=|http://biblebrowser.com/psalms/117-1.htm| title=|Split View| target=|_top|&gt;Split&lt;/a&gt;</v>
      </c>
      <c r="AU595" s="2" t="s">
        <v>1276</v>
      </c>
      <c r="AV595" t="s">
        <v>64</v>
      </c>
    </row>
    <row r="596" spans="1:48">
      <c r="A596" t="s">
        <v>622</v>
      </c>
      <c r="B596" t="s">
        <v>1100</v>
      </c>
      <c r="C596" t="s">
        <v>624</v>
      </c>
      <c r="D596" t="s">
        <v>1268</v>
      </c>
      <c r="E596" t="s">
        <v>1277</v>
      </c>
      <c r="F596" t="s">
        <v>1304</v>
      </c>
      <c r="G596" t="s">
        <v>1266</v>
      </c>
      <c r="H596" t="s">
        <v>1305</v>
      </c>
      <c r="I596" t="s">
        <v>1303</v>
      </c>
      <c r="J596" t="s">
        <v>1267</v>
      </c>
      <c r="K596" t="s">
        <v>1275</v>
      </c>
      <c r="L596" s="2" t="s">
        <v>1274</v>
      </c>
      <c r="M596" t="str">
        <f t="shared" ref="M596:AB596" si="2380">CONCATENATE("&lt;/li&gt;&lt;li&gt;&lt;a href=|http://",M1191,"/psalms/118.htm","| ","title=|",M1190,"| target=|_top|&gt;",M1192,"&lt;/a&gt;")</f>
        <v>&lt;/li&gt;&lt;li&gt;&lt;a href=|http://niv.scripturetext.com/psalms/118.htm| title=|New International Version| target=|_top|&gt;NIV&lt;/a&gt;</v>
      </c>
      <c r="N596" t="str">
        <f t="shared" si="2380"/>
        <v>&lt;/li&gt;&lt;li&gt;&lt;a href=|http://nlt.scripturetext.com/psalms/118.htm| title=|New Living Translation| target=|_top|&gt;NLT&lt;/a&gt;</v>
      </c>
      <c r="O596" t="str">
        <f t="shared" si="2380"/>
        <v>&lt;/li&gt;&lt;li&gt;&lt;a href=|http://nasb.scripturetext.com/psalms/118.htm| title=|New American Standard Bible| target=|_top|&gt;NAS&lt;/a&gt;</v>
      </c>
      <c r="P596" t="str">
        <f t="shared" si="2380"/>
        <v>&lt;/li&gt;&lt;li&gt;&lt;a href=|http://gwt.scripturetext.com/psalms/118.htm| title=|God's Word Translation| target=|_top|&gt;GWT&lt;/a&gt;</v>
      </c>
      <c r="Q596" t="str">
        <f t="shared" si="2380"/>
        <v>&lt;/li&gt;&lt;li&gt;&lt;a href=|http://kingjbible.com/psalms/118.htm| title=|King James Bible| target=|_top|&gt;KJV&lt;/a&gt;</v>
      </c>
      <c r="R596" t="str">
        <f t="shared" si="2380"/>
        <v>&lt;/li&gt;&lt;li&gt;&lt;a href=|http://asvbible.com/psalms/118.htm| title=|American Standard Version| target=|_top|&gt;ASV&lt;/a&gt;</v>
      </c>
      <c r="S596" t="str">
        <f t="shared" si="2380"/>
        <v>&lt;/li&gt;&lt;li&gt;&lt;a href=|http://drb.scripturetext.com/psalms/118.htm| title=|Douay-Rheims Bible| target=|_top|&gt;DRB&lt;/a&gt;</v>
      </c>
      <c r="T596" t="str">
        <f t="shared" si="2380"/>
        <v>&lt;/li&gt;&lt;li&gt;&lt;a href=|http://erv.scripturetext.com/psalms/118.htm| title=|English Revised Version| target=|_top|&gt;ERV&lt;/a&gt;</v>
      </c>
      <c r="V596" t="str">
        <f>CONCATENATE("&lt;/li&gt;&lt;li&gt;&lt;a href=|http://",V1191,"/psalms/118.htm","| ","title=|",V1190,"| target=|_top|&gt;",V1192,"&lt;/a&gt;")</f>
        <v>&lt;/li&gt;&lt;li&gt;&lt;a href=|http://study.interlinearbible.org/psalms/118.htm| title=|Hebrew Study Bible| target=|_top|&gt;Heb Study&lt;/a&gt;</v>
      </c>
      <c r="W596" t="str">
        <f t="shared" si="2380"/>
        <v>&lt;/li&gt;&lt;li&gt;&lt;a href=|http://apostolic.interlinearbible.org/psalms/118.htm| title=|Apostolic Bible Polyglot Interlinear| target=|_top|&gt;Polyglot&lt;/a&gt;</v>
      </c>
      <c r="X596" t="str">
        <f t="shared" si="2380"/>
        <v>&lt;/li&gt;&lt;li&gt;&lt;a href=|http://interlinearbible.org/psalms/118.htm| title=|Interlinear Bible| target=|_top|&gt;Interlin&lt;/a&gt;</v>
      </c>
      <c r="Y596" t="str">
        <f t="shared" ref="Y596" si="2381">CONCATENATE("&lt;/li&gt;&lt;li&gt;&lt;a href=|http://",Y1191,"/psalms/118.htm","| ","title=|",Y1190,"| target=|_top|&gt;",Y1192,"&lt;/a&gt;")</f>
        <v>&lt;/li&gt;&lt;li&gt;&lt;a href=|http://bibleoutline.org/psalms/118.htm| title=|Outline with People and Places List| target=|_top|&gt;Outline&lt;/a&gt;</v>
      </c>
      <c r="Z596" t="str">
        <f t="shared" si="2380"/>
        <v>&lt;/li&gt;&lt;li&gt;&lt;a href=|http://kjvs.scripturetext.com/psalms/118.htm| title=|King James Bible with Strong's Numbers| target=|_top|&gt;Strong's&lt;/a&gt;</v>
      </c>
      <c r="AA596" t="str">
        <f t="shared" si="2380"/>
        <v>&lt;/li&gt;&lt;li&gt;&lt;a href=|http://childrensbibleonline.com/psalms/118.htm| title=|The Children's Bible| target=|_top|&gt;Children's&lt;/a&gt;</v>
      </c>
      <c r="AB596" s="2" t="str">
        <f t="shared" si="2380"/>
        <v>&lt;/li&gt;&lt;li&gt;&lt;a href=|http://tsk.scripturetext.com/psalms/118.htm| title=|Treasury of Scripture Knowledge| target=|_top|&gt;TSK&lt;/a&gt;</v>
      </c>
      <c r="AC596" t="str">
        <f>CONCATENATE("&lt;a href=|http://",AC1191,"/psalms/118.htm","| ","title=|",AC1190,"| target=|_top|&gt;",AC1192,"&lt;/a&gt;")</f>
        <v>&lt;a href=|http://parallelbible.com/psalms/118.htm| title=|Parallel Chapters| target=|_top|&gt;PAR&lt;/a&gt;</v>
      </c>
      <c r="AD596" s="2" t="str">
        <f t="shared" ref="AD596:AK596" si="2382">CONCATENATE("&lt;/li&gt;&lt;li&gt;&lt;a href=|http://",AD1191,"/psalms/118.htm","| ","title=|",AD1190,"| target=|_top|&gt;",AD1192,"&lt;/a&gt;")</f>
        <v>&lt;/li&gt;&lt;li&gt;&lt;a href=|http://gsb.biblecommenter.com/psalms/118.htm| title=|Geneva Study Bible| target=|_top|&gt;GSB&lt;/a&gt;</v>
      </c>
      <c r="AE596" s="2" t="str">
        <f t="shared" si="2382"/>
        <v>&lt;/li&gt;&lt;li&gt;&lt;a href=|http://jfb.biblecommenter.com/psalms/118.htm| title=|Jamieson-Fausset-Brown Bible Commentary| target=|_top|&gt;JFB&lt;/a&gt;</v>
      </c>
      <c r="AF596" s="2" t="str">
        <f t="shared" si="2382"/>
        <v>&lt;/li&gt;&lt;li&gt;&lt;a href=|http://kjt.biblecommenter.com/psalms/118.htm| title=|King James Translators' Notes| target=|_top|&gt;KJT&lt;/a&gt;</v>
      </c>
      <c r="AG596" s="2" t="str">
        <f t="shared" si="2382"/>
        <v>&lt;/li&gt;&lt;li&gt;&lt;a href=|http://mhc.biblecommenter.com/psalms/118.htm| title=|Matthew Henry's Concise Commentary| target=|_top|&gt;MHC&lt;/a&gt;</v>
      </c>
      <c r="AH596" s="2" t="str">
        <f t="shared" si="2382"/>
        <v>&lt;/li&gt;&lt;li&gt;&lt;a href=|http://sco.biblecommenter.com/psalms/118.htm| title=|Scofield Reference Notes| target=|_top|&gt;SCO&lt;/a&gt;</v>
      </c>
      <c r="AI596" s="2" t="str">
        <f t="shared" si="2382"/>
        <v>&lt;/li&gt;&lt;li&gt;&lt;a href=|http://wes.biblecommenter.com/psalms/118.htm| title=|Wesley's Notes on the Bible| target=|_top|&gt;WES&lt;/a&gt;</v>
      </c>
      <c r="AJ596" t="str">
        <f t="shared" si="2382"/>
        <v>&lt;/li&gt;&lt;li&gt;&lt;a href=|http://worldebible.com/psalms/118.htm| title=|World English Bible| target=|_top|&gt;WEB&lt;/a&gt;</v>
      </c>
      <c r="AK596" t="str">
        <f t="shared" si="2382"/>
        <v>&lt;/li&gt;&lt;li&gt;&lt;a href=|http://yltbible.com/psalms/118.htm| title=|Young's Literal Translation| target=|_top|&gt;YLT&lt;/a&gt;</v>
      </c>
      <c r="AL596" t="str">
        <f>CONCATENATE("&lt;a href=|http://",AL1191,"/psalms/118.htm","| ","title=|",AL1190,"| target=|_top|&gt;",AL1192,"&lt;/a&gt;")</f>
        <v>&lt;a href=|http://kjv.us/psalms/118.htm| title=|American King James Version| target=|_top|&gt;AKJ&lt;/a&gt;</v>
      </c>
      <c r="AM596" t="str">
        <f t="shared" ref="AM596:AN596" si="2383">CONCATENATE("&lt;/li&gt;&lt;li&gt;&lt;a href=|http://",AM1191,"/psalms/118.htm","| ","title=|",AM1190,"| target=|_top|&gt;",AM1192,"&lt;/a&gt;")</f>
        <v>&lt;/li&gt;&lt;li&gt;&lt;a href=|http://basicenglishbible.com/psalms/118.htm| title=|Bible in Basic English| target=|_top|&gt;BBE&lt;/a&gt;</v>
      </c>
      <c r="AN596" t="str">
        <f t="shared" si="2383"/>
        <v>&lt;/li&gt;&lt;li&gt;&lt;a href=|http://darbybible.com/psalms/118.htm| title=|Darby Bible Translation| target=|_top|&gt;DBY&lt;/a&gt;</v>
      </c>
      <c r="AO59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9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9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96" t="str">
        <f>CONCATENATE("&lt;/li&gt;&lt;li&gt;&lt;a href=|http://",AR1191,"/psalms/118.htm","| ","title=|",AR1190,"| target=|_top|&gt;",AR1192,"&lt;/a&gt;")</f>
        <v>&lt;/li&gt;&lt;li&gt;&lt;a href=|http://websterbible.com/psalms/118.htm| title=|Webster's Bible Translation| target=|_top|&gt;WBS&lt;/a&gt;</v>
      </c>
      <c r="AS59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96" t="str">
        <f>CONCATENATE("&lt;/li&gt;&lt;li&gt;&lt;a href=|http://",AT1191,"/psalms/118-1.htm","| ","title=|",AT1190,"| target=|_top|&gt;",AT1192,"&lt;/a&gt;")</f>
        <v>&lt;/li&gt;&lt;li&gt;&lt;a href=|http://biblebrowser.com/psalms/118-1.htm| title=|Split View| target=|_top|&gt;Split&lt;/a&gt;</v>
      </c>
      <c r="AU596" s="2" t="s">
        <v>1276</v>
      </c>
      <c r="AV596" t="s">
        <v>64</v>
      </c>
    </row>
    <row r="597" spans="1:48">
      <c r="A597" t="s">
        <v>622</v>
      </c>
      <c r="B597" t="s">
        <v>1101</v>
      </c>
      <c r="C597" t="s">
        <v>624</v>
      </c>
      <c r="D597" t="s">
        <v>1268</v>
      </c>
      <c r="E597" t="s">
        <v>1277</v>
      </c>
      <c r="F597" t="s">
        <v>1304</v>
      </c>
      <c r="G597" t="s">
        <v>1266</v>
      </c>
      <c r="H597" t="s">
        <v>1305</v>
      </c>
      <c r="I597" t="s">
        <v>1303</v>
      </c>
      <c r="J597" t="s">
        <v>1267</v>
      </c>
      <c r="K597" t="s">
        <v>1275</v>
      </c>
      <c r="L597" s="2" t="s">
        <v>1274</v>
      </c>
      <c r="M597" t="str">
        <f t="shared" ref="M597:AB597" si="2384">CONCATENATE("&lt;/li&gt;&lt;li&gt;&lt;a href=|http://",M1191,"/psalms/119.htm","| ","title=|",M1190,"| target=|_top|&gt;",M1192,"&lt;/a&gt;")</f>
        <v>&lt;/li&gt;&lt;li&gt;&lt;a href=|http://niv.scripturetext.com/psalms/119.htm| title=|New International Version| target=|_top|&gt;NIV&lt;/a&gt;</v>
      </c>
      <c r="N597" t="str">
        <f t="shared" si="2384"/>
        <v>&lt;/li&gt;&lt;li&gt;&lt;a href=|http://nlt.scripturetext.com/psalms/119.htm| title=|New Living Translation| target=|_top|&gt;NLT&lt;/a&gt;</v>
      </c>
      <c r="O597" t="str">
        <f t="shared" si="2384"/>
        <v>&lt;/li&gt;&lt;li&gt;&lt;a href=|http://nasb.scripturetext.com/psalms/119.htm| title=|New American Standard Bible| target=|_top|&gt;NAS&lt;/a&gt;</v>
      </c>
      <c r="P597" t="str">
        <f t="shared" si="2384"/>
        <v>&lt;/li&gt;&lt;li&gt;&lt;a href=|http://gwt.scripturetext.com/psalms/119.htm| title=|God's Word Translation| target=|_top|&gt;GWT&lt;/a&gt;</v>
      </c>
      <c r="Q597" t="str">
        <f t="shared" si="2384"/>
        <v>&lt;/li&gt;&lt;li&gt;&lt;a href=|http://kingjbible.com/psalms/119.htm| title=|King James Bible| target=|_top|&gt;KJV&lt;/a&gt;</v>
      </c>
      <c r="R597" t="str">
        <f t="shared" si="2384"/>
        <v>&lt;/li&gt;&lt;li&gt;&lt;a href=|http://asvbible.com/psalms/119.htm| title=|American Standard Version| target=|_top|&gt;ASV&lt;/a&gt;</v>
      </c>
      <c r="S597" t="str">
        <f t="shared" si="2384"/>
        <v>&lt;/li&gt;&lt;li&gt;&lt;a href=|http://drb.scripturetext.com/psalms/119.htm| title=|Douay-Rheims Bible| target=|_top|&gt;DRB&lt;/a&gt;</v>
      </c>
      <c r="T597" t="str">
        <f t="shared" si="2384"/>
        <v>&lt;/li&gt;&lt;li&gt;&lt;a href=|http://erv.scripturetext.com/psalms/119.htm| title=|English Revised Version| target=|_top|&gt;ERV&lt;/a&gt;</v>
      </c>
      <c r="V597" t="str">
        <f>CONCATENATE("&lt;/li&gt;&lt;li&gt;&lt;a href=|http://",V1191,"/psalms/119.htm","| ","title=|",V1190,"| target=|_top|&gt;",V1192,"&lt;/a&gt;")</f>
        <v>&lt;/li&gt;&lt;li&gt;&lt;a href=|http://study.interlinearbible.org/psalms/119.htm| title=|Hebrew Study Bible| target=|_top|&gt;Heb Study&lt;/a&gt;</v>
      </c>
      <c r="W597" t="str">
        <f t="shared" si="2384"/>
        <v>&lt;/li&gt;&lt;li&gt;&lt;a href=|http://apostolic.interlinearbible.org/psalms/119.htm| title=|Apostolic Bible Polyglot Interlinear| target=|_top|&gt;Polyglot&lt;/a&gt;</v>
      </c>
      <c r="X597" t="str">
        <f t="shared" si="2384"/>
        <v>&lt;/li&gt;&lt;li&gt;&lt;a href=|http://interlinearbible.org/psalms/119.htm| title=|Interlinear Bible| target=|_top|&gt;Interlin&lt;/a&gt;</v>
      </c>
      <c r="Y597" t="str">
        <f t="shared" ref="Y597" si="2385">CONCATENATE("&lt;/li&gt;&lt;li&gt;&lt;a href=|http://",Y1191,"/psalms/119.htm","| ","title=|",Y1190,"| target=|_top|&gt;",Y1192,"&lt;/a&gt;")</f>
        <v>&lt;/li&gt;&lt;li&gt;&lt;a href=|http://bibleoutline.org/psalms/119.htm| title=|Outline with People and Places List| target=|_top|&gt;Outline&lt;/a&gt;</v>
      </c>
      <c r="Z597" t="str">
        <f t="shared" si="2384"/>
        <v>&lt;/li&gt;&lt;li&gt;&lt;a href=|http://kjvs.scripturetext.com/psalms/119.htm| title=|King James Bible with Strong's Numbers| target=|_top|&gt;Strong's&lt;/a&gt;</v>
      </c>
      <c r="AA597" t="str">
        <f t="shared" si="2384"/>
        <v>&lt;/li&gt;&lt;li&gt;&lt;a href=|http://childrensbibleonline.com/psalms/119.htm| title=|The Children's Bible| target=|_top|&gt;Children's&lt;/a&gt;</v>
      </c>
      <c r="AB597" s="2" t="str">
        <f t="shared" si="2384"/>
        <v>&lt;/li&gt;&lt;li&gt;&lt;a href=|http://tsk.scripturetext.com/psalms/119.htm| title=|Treasury of Scripture Knowledge| target=|_top|&gt;TSK&lt;/a&gt;</v>
      </c>
      <c r="AC597" t="str">
        <f>CONCATENATE("&lt;a href=|http://",AC1191,"/psalms/119.htm","| ","title=|",AC1190,"| target=|_top|&gt;",AC1192,"&lt;/a&gt;")</f>
        <v>&lt;a href=|http://parallelbible.com/psalms/119.htm| title=|Parallel Chapters| target=|_top|&gt;PAR&lt;/a&gt;</v>
      </c>
      <c r="AD597" s="2" t="str">
        <f t="shared" ref="AD597:AK597" si="2386">CONCATENATE("&lt;/li&gt;&lt;li&gt;&lt;a href=|http://",AD1191,"/psalms/119.htm","| ","title=|",AD1190,"| target=|_top|&gt;",AD1192,"&lt;/a&gt;")</f>
        <v>&lt;/li&gt;&lt;li&gt;&lt;a href=|http://gsb.biblecommenter.com/psalms/119.htm| title=|Geneva Study Bible| target=|_top|&gt;GSB&lt;/a&gt;</v>
      </c>
      <c r="AE597" s="2" t="str">
        <f t="shared" si="2386"/>
        <v>&lt;/li&gt;&lt;li&gt;&lt;a href=|http://jfb.biblecommenter.com/psalms/119.htm| title=|Jamieson-Fausset-Brown Bible Commentary| target=|_top|&gt;JFB&lt;/a&gt;</v>
      </c>
      <c r="AF597" s="2" t="str">
        <f t="shared" si="2386"/>
        <v>&lt;/li&gt;&lt;li&gt;&lt;a href=|http://kjt.biblecommenter.com/psalms/119.htm| title=|King James Translators' Notes| target=|_top|&gt;KJT&lt;/a&gt;</v>
      </c>
      <c r="AG597" s="2" t="str">
        <f t="shared" si="2386"/>
        <v>&lt;/li&gt;&lt;li&gt;&lt;a href=|http://mhc.biblecommenter.com/psalms/119.htm| title=|Matthew Henry's Concise Commentary| target=|_top|&gt;MHC&lt;/a&gt;</v>
      </c>
      <c r="AH597" s="2" t="str">
        <f t="shared" si="2386"/>
        <v>&lt;/li&gt;&lt;li&gt;&lt;a href=|http://sco.biblecommenter.com/psalms/119.htm| title=|Scofield Reference Notes| target=|_top|&gt;SCO&lt;/a&gt;</v>
      </c>
      <c r="AI597" s="2" t="str">
        <f t="shared" si="2386"/>
        <v>&lt;/li&gt;&lt;li&gt;&lt;a href=|http://wes.biblecommenter.com/psalms/119.htm| title=|Wesley's Notes on the Bible| target=|_top|&gt;WES&lt;/a&gt;</v>
      </c>
      <c r="AJ597" t="str">
        <f t="shared" si="2386"/>
        <v>&lt;/li&gt;&lt;li&gt;&lt;a href=|http://worldebible.com/psalms/119.htm| title=|World English Bible| target=|_top|&gt;WEB&lt;/a&gt;</v>
      </c>
      <c r="AK597" t="str">
        <f t="shared" si="2386"/>
        <v>&lt;/li&gt;&lt;li&gt;&lt;a href=|http://yltbible.com/psalms/119.htm| title=|Young's Literal Translation| target=|_top|&gt;YLT&lt;/a&gt;</v>
      </c>
      <c r="AL597" t="str">
        <f>CONCATENATE("&lt;a href=|http://",AL1191,"/psalms/119.htm","| ","title=|",AL1190,"| target=|_top|&gt;",AL1192,"&lt;/a&gt;")</f>
        <v>&lt;a href=|http://kjv.us/psalms/119.htm| title=|American King James Version| target=|_top|&gt;AKJ&lt;/a&gt;</v>
      </c>
      <c r="AM597" t="str">
        <f t="shared" ref="AM597:AN597" si="2387">CONCATENATE("&lt;/li&gt;&lt;li&gt;&lt;a href=|http://",AM1191,"/psalms/119.htm","| ","title=|",AM1190,"| target=|_top|&gt;",AM1192,"&lt;/a&gt;")</f>
        <v>&lt;/li&gt;&lt;li&gt;&lt;a href=|http://basicenglishbible.com/psalms/119.htm| title=|Bible in Basic English| target=|_top|&gt;BBE&lt;/a&gt;</v>
      </c>
      <c r="AN597" t="str">
        <f t="shared" si="2387"/>
        <v>&lt;/li&gt;&lt;li&gt;&lt;a href=|http://darbybible.com/psalms/119.htm| title=|Darby Bible Translation| target=|_top|&gt;DBY&lt;/a&gt;</v>
      </c>
      <c r="AO59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9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9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97" t="str">
        <f>CONCATENATE("&lt;/li&gt;&lt;li&gt;&lt;a href=|http://",AR1191,"/psalms/119.htm","| ","title=|",AR1190,"| target=|_top|&gt;",AR1192,"&lt;/a&gt;")</f>
        <v>&lt;/li&gt;&lt;li&gt;&lt;a href=|http://websterbible.com/psalms/119.htm| title=|Webster's Bible Translation| target=|_top|&gt;WBS&lt;/a&gt;</v>
      </c>
      <c r="AS59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97" t="str">
        <f>CONCATENATE("&lt;/li&gt;&lt;li&gt;&lt;a href=|http://",AT1191,"/psalms/119-1.htm","| ","title=|",AT1190,"| target=|_top|&gt;",AT1192,"&lt;/a&gt;")</f>
        <v>&lt;/li&gt;&lt;li&gt;&lt;a href=|http://biblebrowser.com/psalms/119-1.htm| title=|Split View| target=|_top|&gt;Split&lt;/a&gt;</v>
      </c>
      <c r="AU597" s="2" t="s">
        <v>1276</v>
      </c>
      <c r="AV597" t="s">
        <v>64</v>
      </c>
    </row>
    <row r="598" spans="1:48">
      <c r="A598" t="s">
        <v>622</v>
      </c>
      <c r="B598" t="s">
        <v>1102</v>
      </c>
      <c r="C598" t="s">
        <v>624</v>
      </c>
      <c r="D598" t="s">
        <v>1268</v>
      </c>
      <c r="E598" t="s">
        <v>1277</v>
      </c>
      <c r="F598" t="s">
        <v>1304</v>
      </c>
      <c r="G598" t="s">
        <v>1266</v>
      </c>
      <c r="H598" t="s">
        <v>1305</v>
      </c>
      <c r="I598" t="s">
        <v>1303</v>
      </c>
      <c r="J598" t="s">
        <v>1267</v>
      </c>
      <c r="K598" t="s">
        <v>1275</v>
      </c>
      <c r="L598" s="2" t="s">
        <v>1274</v>
      </c>
      <c r="M598" t="str">
        <f t="shared" ref="M598:AB598" si="2388">CONCATENATE("&lt;/li&gt;&lt;li&gt;&lt;a href=|http://",M1191,"/psalms/120.htm","| ","title=|",M1190,"| target=|_top|&gt;",M1192,"&lt;/a&gt;")</f>
        <v>&lt;/li&gt;&lt;li&gt;&lt;a href=|http://niv.scripturetext.com/psalms/120.htm| title=|New International Version| target=|_top|&gt;NIV&lt;/a&gt;</v>
      </c>
      <c r="N598" t="str">
        <f t="shared" si="2388"/>
        <v>&lt;/li&gt;&lt;li&gt;&lt;a href=|http://nlt.scripturetext.com/psalms/120.htm| title=|New Living Translation| target=|_top|&gt;NLT&lt;/a&gt;</v>
      </c>
      <c r="O598" t="str">
        <f t="shared" si="2388"/>
        <v>&lt;/li&gt;&lt;li&gt;&lt;a href=|http://nasb.scripturetext.com/psalms/120.htm| title=|New American Standard Bible| target=|_top|&gt;NAS&lt;/a&gt;</v>
      </c>
      <c r="P598" t="str">
        <f t="shared" si="2388"/>
        <v>&lt;/li&gt;&lt;li&gt;&lt;a href=|http://gwt.scripturetext.com/psalms/120.htm| title=|God's Word Translation| target=|_top|&gt;GWT&lt;/a&gt;</v>
      </c>
      <c r="Q598" t="str">
        <f t="shared" si="2388"/>
        <v>&lt;/li&gt;&lt;li&gt;&lt;a href=|http://kingjbible.com/psalms/120.htm| title=|King James Bible| target=|_top|&gt;KJV&lt;/a&gt;</v>
      </c>
      <c r="R598" t="str">
        <f t="shared" si="2388"/>
        <v>&lt;/li&gt;&lt;li&gt;&lt;a href=|http://asvbible.com/psalms/120.htm| title=|American Standard Version| target=|_top|&gt;ASV&lt;/a&gt;</v>
      </c>
      <c r="S598" t="str">
        <f t="shared" si="2388"/>
        <v>&lt;/li&gt;&lt;li&gt;&lt;a href=|http://drb.scripturetext.com/psalms/120.htm| title=|Douay-Rheims Bible| target=|_top|&gt;DRB&lt;/a&gt;</v>
      </c>
      <c r="T598" t="str">
        <f t="shared" si="2388"/>
        <v>&lt;/li&gt;&lt;li&gt;&lt;a href=|http://erv.scripturetext.com/psalms/120.htm| title=|English Revised Version| target=|_top|&gt;ERV&lt;/a&gt;</v>
      </c>
      <c r="V598" t="str">
        <f>CONCATENATE("&lt;/li&gt;&lt;li&gt;&lt;a href=|http://",V1191,"/psalms/120.htm","| ","title=|",V1190,"| target=|_top|&gt;",V1192,"&lt;/a&gt;")</f>
        <v>&lt;/li&gt;&lt;li&gt;&lt;a href=|http://study.interlinearbible.org/psalms/120.htm| title=|Hebrew Study Bible| target=|_top|&gt;Heb Study&lt;/a&gt;</v>
      </c>
      <c r="W598" t="str">
        <f t="shared" si="2388"/>
        <v>&lt;/li&gt;&lt;li&gt;&lt;a href=|http://apostolic.interlinearbible.org/psalms/120.htm| title=|Apostolic Bible Polyglot Interlinear| target=|_top|&gt;Polyglot&lt;/a&gt;</v>
      </c>
      <c r="X598" t="str">
        <f t="shared" si="2388"/>
        <v>&lt;/li&gt;&lt;li&gt;&lt;a href=|http://interlinearbible.org/psalms/120.htm| title=|Interlinear Bible| target=|_top|&gt;Interlin&lt;/a&gt;</v>
      </c>
      <c r="Y598" t="str">
        <f t="shared" ref="Y598" si="2389">CONCATENATE("&lt;/li&gt;&lt;li&gt;&lt;a href=|http://",Y1191,"/psalms/120.htm","| ","title=|",Y1190,"| target=|_top|&gt;",Y1192,"&lt;/a&gt;")</f>
        <v>&lt;/li&gt;&lt;li&gt;&lt;a href=|http://bibleoutline.org/psalms/120.htm| title=|Outline with People and Places List| target=|_top|&gt;Outline&lt;/a&gt;</v>
      </c>
      <c r="Z598" t="str">
        <f t="shared" si="2388"/>
        <v>&lt;/li&gt;&lt;li&gt;&lt;a href=|http://kjvs.scripturetext.com/psalms/120.htm| title=|King James Bible with Strong's Numbers| target=|_top|&gt;Strong's&lt;/a&gt;</v>
      </c>
      <c r="AA598" t="str">
        <f t="shared" si="2388"/>
        <v>&lt;/li&gt;&lt;li&gt;&lt;a href=|http://childrensbibleonline.com/psalms/120.htm| title=|The Children's Bible| target=|_top|&gt;Children's&lt;/a&gt;</v>
      </c>
      <c r="AB598" s="2" t="str">
        <f t="shared" si="2388"/>
        <v>&lt;/li&gt;&lt;li&gt;&lt;a href=|http://tsk.scripturetext.com/psalms/120.htm| title=|Treasury of Scripture Knowledge| target=|_top|&gt;TSK&lt;/a&gt;</v>
      </c>
      <c r="AC598" t="str">
        <f>CONCATENATE("&lt;a href=|http://",AC1191,"/psalms/120.htm","| ","title=|",AC1190,"| target=|_top|&gt;",AC1192,"&lt;/a&gt;")</f>
        <v>&lt;a href=|http://parallelbible.com/psalms/120.htm| title=|Parallel Chapters| target=|_top|&gt;PAR&lt;/a&gt;</v>
      </c>
      <c r="AD598" s="2" t="str">
        <f t="shared" ref="AD598:AK598" si="2390">CONCATENATE("&lt;/li&gt;&lt;li&gt;&lt;a href=|http://",AD1191,"/psalms/120.htm","| ","title=|",AD1190,"| target=|_top|&gt;",AD1192,"&lt;/a&gt;")</f>
        <v>&lt;/li&gt;&lt;li&gt;&lt;a href=|http://gsb.biblecommenter.com/psalms/120.htm| title=|Geneva Study Bible| target=|_top|&gt;GSB&lt;/a&gt;</v>
      </c>
      <c r="AE598" s="2" t="str">
        <f t="shared" si="2390"/>
        <v>&lt;/li&gt;&lt;li&gt;&lt;a href=|http://jfb.biblecommenter.com/psalms/120.htm| title=|Jamieson-Fausset-Brown Bible Commentary| target=|_top|&gt;JFB&lt;/a&gt;</v>
      </c>
      <c r="AF598" s="2" t="str">
        <f t="shared" si="2390"/>
        <v>&lt;/li&gt;&lt;li&gt;&lt;a href=|http://kjt.biblecommenter.com/psalms/120.htm| title=|King James Translators' Notes| target=|_top|&gt;KJT&lt;/a&gt;</v>
      </c>
      <c r="AG598" s="2" t="str">
        <f t="shared" si="2390"/>
        <v>&lt;/li&gt;&lt;li&gt;&lt;a href=|http://mhc.biblecommenter.com/psalms/120.htm| title=|Matthew Henry's Concise Commentary| target=|_top|&gt;MHC&lt;/a&gt;</v>
      </c>
      <c r="AH598" s="2" t="str">
        <f t="shared" si="2390"/>
        <v>&lt;/li&gt;&lt;li&gt;&lt;a href=|http://sco.biblecommenter.com/psalms/120.htm| title=|Scofield Reference Notes| target=|_top|&gt;SCO&lt;/a&gt;</v>
      </c>
      <c r="AI598" s="2" t="str">
        <f t="shared" si="2390"/>
        <v>&lt;/li&gt;&lt;li&gt;&lt;a href=|http://wes.biblecommenter.com/psalms/120.htm| title=|Wesley's Notes on the Bible| target=|_top|&gt;WES&lt;/a&gt;</v>
      </c>
      <c r="AJ598" t="str">
        <f t="shared" si="2390"/>
        <v>&lt;/li&gt;&lt;li&gt;&lt;a href=|http://worldebible.com/psalms/120.htm| title=|World English Bible| target=|_top|&gt;WEB&lt;/a&gt;</v>
      </c>
      <c r="AK598" t="str">
        <f t="shared" si="2390"/>
        <v>&lt;/li&gt;&lt;li&gt;&lt;a href=|http://yltbible.com/psalms/120.htm| title=|Young's Literal Translation| target=|_top|&gt;YLT&lt;/a&gt;</v>
      </c>
      <c r="AL598" t="str">
        <f>CONCATENATE("&lt;a href=|http://",AL1191,"/psalms/120.htm","| ","title=|",AL1190,"| target=|_top|&gt;",AL1192,"&lt;/a&gt;")</f>
        <v>&lt;a href=|http://kjv.us/psalms/120.htm| title=|American King James Version| target=|_top|&gt;AKJ&lt;/a&gt;</v>
      </c>
      <c r="AM598" t="str">
        <f t="shared" ref="AM598:AN598" si="2391">CONCATENATE("&lt;/li&gt;&lt;li&gt;&lt;a href=|http://",AM1191,"/psalms/120.htm","| ","title=|",AM1190,"| target=|_top|&gt;",AM1192,"&lt;/a&gt;")</f>
        <v>&lt;/li&gt;&lt;li&gt;&lt;a href=|http://basicenglishbible.com/psalms/120.htm| title=|Bible in Basic English| target=|_top|&gt;BBE&lt;/a&gt;</v>
      </c>
      <c r="AN598" t="str">
        <f t="shared" si="2391"/>
        <v>&lt;/li&gt;&lt;li&gt;&lt;a href=|http://darbybible.com/psalms/120.htm| title=|Darby Bible Translation| target=|_top|&gt;DBY&lt;/a&gt;</v>
      </c>
      <c r="AO59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9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9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98" t="str">
        <f>CONCATENATE("&lt;/li&gt;&lt;li&gt;&lt;a href=|http://",AR1191,"/psalms/120.htm","| ","title=|",AR1190,"| target=|_top|&gt;",AR1192,"&lt;/a&gt;")</f>
        <v>&lt;/li&gt;&lt;li&gt;&lt;a href=|http://websterbible.com/psalms/120.htm| title=|Webster's Bible Translation| target=|_top|&gt;WBS&lt;/a&gt;</v>
      </c>
      <c r="AS59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98" t="str">
        <f>CONCATENATE("&lt;/li&gt;&lt;li&gt;&lt;a href=|http://",AT1191,"/psalms/120-1.htm","| ","title=|",AT1190,"| target=|_top|&gt;",AT1192,"&lt;/a&gt;")</f>
        <v>&lt;/li&gt;&lt;li&gt;&lt;a href=|http://biblebrowser.com/psalms/120-1.htm| title=|Split View| target=|_top|&gt;Split&lt;/a&gt;</v>
      </c>
      <c r="AU598" s="2" t="s">
        <v>1276</v>
      </c>
      <c r="AV598" t="s">
        <v>64</v>
      </c>
    </row>
    <row r="599" spans="1:48">
      <c r="A599" t="s">
        <v>622</v>
      </c>
      <c r="B599" t="s">
        <v>1103</v>
      </c>
      <c r="C599" t="s">
        <v>624</v>
      </c>
      <c r="D599" t="s">
        <v>1268</v>
      </c>
      <c r="E599" t="s">
        <v>1277</v>
      </c>
      <c r="F599" t="s">
        <v>1304</v>
      </c>
      <c r="G599" t="s">
        <v>1266</v>
      </c>
      <c r="H599" t="s">
        <v>1305</v>
      </c>
      <c r="I599" t="s">
        <v>1303</v>
      </c>
      <c r="J599" t="s">
        <v>1267</v>
      </c>
      <c r="K599" t="s">
        <v>1275</v>
      </c>
      <c r="L599" s="2" t="s">
        <v>1274</v>
      </c>
      <c r="M599" t="str">
        <f t="shared" ref="M599:AB599" si="2392">CONCATENATE("&lt;/li&gt;&lt;li&gt;&lt;a href=|http://",M1191,"/psalms/121.htm","| ","title=|",M1190,"| target=|_top|&gt;",M1192,"&lt;/a&gt;")</f>
        <v>&lt;/li&gt;&lt;li&gt;&lt;a href=|http://niv.scripturetext.com/psalms/121.htm| title=|New International Version| target=|_top|&gt;NIV&lt;/a&gt;</v>
      </c>
      <c r="N599" t="str">
        <f t="shared" si="2392"/>
        <v>&lt;/li&gt;&lt;li&gt;&lt;a href=|http://nlt.scripturetext.com/psalms/121.htm| title=|New Living Translation| target=|_top|&gt;NLT&lt;/a&gt;</v>
      </c>
      <c r="O599" t="str">
        <f t="shared" si="2392"/>
        <v>&lt;/li&gt;&lt;li&gt;&lt;a href=|http://nasb.scripturetext.com/psalms/121.htm| title=|New American Standard Bible| target=|_top|&gt;NAS&lt;/a&gt;</v>
      </c>
      <c r="P599" t="str">
        <f t="shared" si="2392"/>
        <v>&lt;/li&gt;&lt;li&gt;&lt;a href=|http://gwt.scripturetext.com/psalms/121.htm| title=|God's Word Translation| target=|_top|&gt;GWT&lt;/a&gt;</v>
      </c>
      <c r="Q599" t="str">
        <f t="shared" si="2392"/>
        <v>&lt;/li&gt;&lt;li&gt;&lt;a href=|http://kingjbible.com/psalms/121.htm| title=|King James Bible| target=|_top|&gt;KJV&lt;/a&gt;</v>
      </c>
      <c r="R599" t="str">
        <f t="shared" si="2392"/>
        <v>&lt;/li&gt;&lt;li&gt;&lt;a href=|http://asvbible.com/psalms/121.htm| title=|American Standard Version| target=|_top|&gt;ASV&lt;/a&gt;</v>
      </c>
      <c r="S599" t="str">
        <f t="shared" si="2392"/>
        <v>&lt;/li&gt;&lt;li&gt;&lt;a href=|http://drb.scripturetext.com/psalms/121.htm| title=|Douay-Rheims Bible| target=|_top|&gt;DRB&lt;/a&gt;</v>
      </c>
      <c r="T599" t="str">
        <f t="shared" si="2392"/>
        <v>&lt;/li&gt;&lt;li&gt;&lt;a href=|http://erv.scripturetext.com/psalms/121.htm| title=|English Revised Version| target=|_top|&gt;ERV&lt;/a&gt;</v>
      </c>
      <c r="V599" t="str">
        <f>CONCATENATE("&lt;/li&gt;&lt;li&gt;&lt;a href=|http://",V1191,"/psalms/121.htm","| ","title=|",V1190,"| target=|_top|&gt;",V1192,"&lt;/a&gt;")</f>
        <v>&lt;/li&gt;&lt;li&gt;&lt;a href=|http://study.interlinearbible.org/psalms/121.htm| title=|Hebrew Study Bible| target=|_top|&gt;Heb Study&lt;/a&gt;</v>
      </c>
      <c r="W599" t="str">
        <f t="shared" si="2392"/>
        <v>&lt;/li&gt;&lt;li&gt;&lt;a href=|http://apostolic.interlinearbible.org/psalms/121.htm| title=|Apostolic Bible Polyglot Interlinear| target=|_top|&gt;Polyglot&lt;/a&gt;</v>
      </c>
      <c r="X599" t="str">
        <f t="shared" si="2392"/>
        <v>&lt;/li&gt;&lt;li&gt;&lt;a href=|http://interlinearbible.org/psalms/121.htm| title=|Interlinear Bible| target=|_top|&gt;Interlin&lt;/a&gt;</v>
      </c>
      <c r="Y599" t="str">
        <f t="shared" ref="Y599" si="2393">CONCATENATE("&lt;/li&gt;&lt;li&gt;&lt;a href=|http://",Y1191,"/psalms/121.htm","| ","title=|",Y1190,"| target=|_top|&gt;",Y1192,"&lt;/a&gt;")</f>
        <v>&lt;/li&gt;&lt;li&gt;&lt;a href=|http://bibleoutline.org/psalms/121.htm| title=|Outline with People and Places List| target=|_top|&gt;Outline&lt;/a&gt;</v>
      </c>
      <c r="Z599" t="str">
        <f t="shared" si="2392"/>
        <v>&lt;/li&gt;&lt;li&gt;&lt;a href=|http://kjvs.scripturetext.com/psalms/121.htm| title=|King James Bible with Strong's Numbers| target=|_top|&gt;Strong's&lt;/a&gt;</v>
      </c>
      <c r="AA599" t="str">
        <f t="shared" si="2392"/>
        <v>&lt;/li&gt;&lt;li&gt;&lt;a href=|http://childrensbibleonline.com/psalms/121.htm| title=|The Children's Bible| target=|_top|&gt;Children's&lt;/a&gt;</v>
      </c>
      <c r="AB599" s="2" t="str">
        <f t="shared" si="2392"/>
        <v>&lt;/li&gt;&lt;li&gt;&lt;a href=|http://tsk.scripturetext.com/psalms/121.htm| title=|Treasury of Scripture Knowledge| target=|_top|&gt;TSK&lt;/a&gt;</v>
      </c>
      <c r="AC599" t="str">
        <f>CONCATENATE("&lt;a href=|http://",AC1191,"/psalms/121.htm","| ","title=|",AC1190,"| target=|_top|&gt;",AC1192,"&lt;/a&gt;")</f>
        <v>&lt;a href=|http://parallelbible.com/psalms/121.htm| title=|Parallel Chapters| target=|_top|&gt;PAR&lt;/a&gt;</v>
      </c>
      <c r="AD599" s="2" t="str">
        <f t="shared" ref="AD599:AK599" si="2394">CONCATENATE("&lt;/li&gt;&lt;li&gt;&lt;a href=|http://",AD1191,"/psalms/121.htm","| ","title=|",AD1190,"| target=|_top|&gt;",AD1192,"&lt;/a&gt;")</f>
        <v>&lt;/li&gt;&lt;li&gt;&lt;a href=|http://gsb.biblecommenter.com/psalms/121.htm| title=|Geneva Study Bible| target=|_top|&gt;GSB&lt;/a&gt;</v>
      </c>
      <c r="AE599" s="2" t="str">
        <f t="shared" si="2394"/>
        <v>&lt;/li&gt;&lt;li&gt;&lt;a href=|http://jfb.biblecommenter.com/psalms/121.htm| title=|Jamieson-Fausset-Brown Bible Commentary| target=|_top|&gt;JFB&lt;/a&gt;</v>
      </c>
      <c r="AF599" s="2" t="str">
        <f t="shared" si="2394"/>
        <v>&lt;/li&gt;&lt;li&gt;&lt;a href=|http://kjt.biblecommenter.com/psalms/121.htm| title=|King James Translators' Notes| target=|_top|&gt;KJT&lt;/a&gt;</v>
      </c>
      <c r="AG599" s="2" t="str">
        <f t="shared" si="2394"/>
        <v>&lt;/li&gt;&lt;li&gt;&lt;a href=|http://mhc.biblecommenter.com/psalms/121.htm| title=|Matthew Henry's Concise Commentary| target=|_top|&gt;MHC&lt;/a&gt;</v>
      </c>
      <c r="AH599" s="2" t="str">
        <f t="shared" si="2394"/>
        <v>&lt;/li&gt;&lt;li&gt;&lt;a href=|http://sco.biblecommenter.com/psalms/121.htm| title=|Scofield Reference Notes| target=|_top|&gt;SCO&lt;/a&gt;</v>
      </c>
      <c r="AI599" s="2" t="str">
        <f t="shared" si="2394"/>
        <v>&lt;/li&gt;&lt;li&gt;&lt;a href=|http://wes.biblecommenter.com/psalms/121.htm| title=|Wesley's Notes on the Bible| target=|_top|&gt;WES&lt;/a&gt;</v>
      </c>
      <c r="AJ599" t="str">
        <f t="shared" si="2394"/>
        <v>&lt;/li&gt;&lt;li&gt;&lt;a href=|http://worldebible.com/psalms/121.htm| title=|World English Bible| target=|_top|&gt;WEB&lt;/a&gt;</v>
      </c>
      <c r="AK599" t="str">
        <f t="shared" si="2394"/>
        <v>&lt;/li&gt;&lt;li&gt;&lt;a href=|http://yltbible.com/psalms/121.htm| title=|Young's Literal Translation| target=|_top|&gt;YLT&lt;/a&gt;</v>
      </c>
      <c r="AL599" t="str">
        <f>CONCATENATE("&lt;a href=|http://",AL1191,"/psalms/121.htm","| ","title=|",AL1190,"| target=|_top|&gt;",AL1192,"&lt;/a&gt;")</f>
        <v>&lt;a href=|http://kjv.us/psalms/121.htm| title=|American King James Version| target=|_top|&gt;AKJ&lt;/a&gt;</v>
      </c>
      <c r="AM599" t="str">
        <f t="shared" ref="AM599:AN599" si="2395">CONCATENATE("&lt;/li&gt;&lt;li&gt;&lt;a href=|http://",AM1191,"/psalms/121.htm","| ","title=|",AM1190,"| target=|_top|&gt;",AM1192,"&lt;/a&gt;")</f>
        <v>&lt;/li&gt;&lt;li&gt;&lt;a href=|http://basicenglishbible.com/psalms/121.htm| title=|Bible in Basic English| target=|_top|&gt;BBE&lt;/a&gt;</v>
      </c>
      <c r="AN599" t="str">
        <f t="shared" si="2395"/>
        <v>&lt;/li&gt;&lt;li&gt;&lt;a href=|http://darbybible.com/psalms/121.htm| title=|Darby Bible Translation| target=|_top|&gt;DBY&lt;/a&gt;</v>
      </c>
      <c r="AO59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59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59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599" t="str">
        <f>CONCATENATE("&lt;/li&gt;&lt;li&gt;&lt;a href=|http://",AR1191,"/psalms/121.htm","| ","title=|",AR1190,"| target=|_top|&gt;",AR1192,"&lt;/a&gt;")</f>
        <v>&lt;/li&gt;&lt;li&gt;&lt;a href=|http://websterbible.com/psalms/121.htm| title=|Webster's Bible Translation| target=|_top|&gt;WBS&lt;/a&gt;</v>
      </c>
      <c r="AS59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599" t="str">
        <f>CONCATENATE("&lt;/li&gt;&lt;li&gt;&lt;a href=|http://",AT1191,"/psalms/121-1.htm","| ","title=|",AT1190,"| target=|_top|&gt;",AT1192,"&lt;/a&gt;")</f>
        <v>&lt;/li&gt;&lt;li&gt;&lt;a href=|http://biblebrowser.com/psalms/121-1.htm| title=|Split View| target=|_top|&gt;Split&lt;/a&gt;</v>
      </c>
      <c r="AU599" s="2" t="s">
        <v>1276</v>
      </c>
      <c r="AV599" t="s">
        <v>64</v>
      </c>
    </row>
    <row r="600" spans="1:48">
      <c r="A600" t="s">
        <v>622</v>
      </c>
      <c r="B600" t="s">
        <v>1104</v>
      </c>
      <c r="C600" t="s">
        <v>624</v>
      </c>
      <c r="D600" t="s">
        <v>1268</v>
      </c>
      <c r="E600" t="s">
        <v>1277</v>
      </c>
      <c r="F600" t="s">
        <v>1304</v>
      </c>
      <c r="G600" t="s">
        <v>1266</v>
      </c>
      <c r="H600" t="s">
        <v>1305</v>
      </c>
      <c r="I600" t="s">
        <v>1303</v>
      </c>
      <c r="J600" t="s">
        <v>1267</v>
      </c>
      <c r="K600" t="s">
        <v>1275</v>
      </c>
      <c r="L600" s="2" t="s">
        <v>1274</v>
      </c>
      <c r="M600" t="str">
        <f t="shared" ref="M600:AB600" si="2396">CONCATENATE("&lt;/li&gt;&lt;li&gt;&lt;a href=|http://",M1191,"/psalms/122.htm","| ","title=|",M1190,"| target=|_top|&gt;",M1192,"&lt;/a&gt;")</f>
        <v>&lt;/li&gt;&lt;li&gt;&lt;a href=|http://niv.scripturetext.com/psalms/122.htm| title=|New International Version| target=|_top|&gt;NIV&lt;/a&gt;</v>
      </c>
      <c r="N600" t="str">
        <f t="shared" si="2396"/>
        <v>&lt;/li&gt;&lt;li&gt;&lt;a href=|http://nlt.scripturetext.com/psalms/122.htm| title=|New Living Translation| target=|_top|&gt;NLT&lt;/a&gt;</v>
      </c>
      <c r="O600" t="str">
        <f t="shared" si="2396"/>
        <v>&lt;/li&gt;&lt;li&gt;&lt;a href=|http://nasb.scripturetext.com/psalms/122.htm| title=|New American Standard Bible| target=|_top|&gt;NAS&lt;/a&gt;</v>
      </c>
      <c r="P600" t="str">
        <f t="shared" si="2396"/>
        <v>&lt;/li&gt;&lt;li&gt;&lt;a href=|http://gwt.scripturetext.com/psalms/122.htm| title=|God's Word Translation| target=|_top|&gt;GWT&lt;/a&gt;</v>
      </c>
      <c r="Q600" t="str">
        <f t="shared" si="2396"/>
        <v>&lt;/li&gt;&lt;li&gt;&lt;a href=|http://kingjbible.com/psalms/122.htm| title=|King James Bible| target=|_top|&gt;KJV&lt;/a&gt;</v>
      </c>
      <c r="R600" t="str">
        <f t="shared" si="2396"/>
        <v>&lt;/li&gt;&lt;li&gt;&lt;a href=|http://asvbible.com/psalms/122.htm| title=|American Standard Version| target=|_top|&gt;ASV&lt;/a&gt;</v>
      </c>
      <c r="S600" t="str">
        <f t="shared" si="2396"/>
        <v>&lt;/li&gt;&lt;li&gt;&lt;a href=|http://drb.scripturetext.com/psalms/122.htm| title=|Douay-Rheims Bible| target=|_top|&gt;DRB&lt;/a&gt;</v>
      </c>
      <c r="T600" t="str">
        <f t="shared" si="2396"/>
        <v>&lt;/li&gt;&lt;li&gt;&lt;a href=|http://erv.scripturetext.com/psalms/122.htm| title=|English Revised Version| target=|_top|&gt;ERV&lt;/a&gt;</v>
      </c>
      <c r="V600" t="str">
        <f>CONCATENATE("&lt;/li&gt;&lt;li&gt;&lt;a href=|http://",V1191,"/psalms/122.htm","| ","title=|",V1190,"| target=|_top|&gt;",V1192,"&lt;/a&gt;")</f>
        <v>&lt;/li&gt;&lt;li&gt;&lt;a href=|http://study.interlinearbible.org/psalms/122.htm| title=|Hebrew Study Bible| target=|_top|&gt;Heb Study&lt;/a&gt;</v>
      </c>
      <c r="W600" t="str">
        <f t="shared" si="2396"/>
        <v>&lt;/li&gt;&lt;li&gt;&lt;a href=|http://apostolic.interlinearbible.org/psalms/122.htm| title=|Apostolic Bible Polyglot Interlinear| target=|_top|&gt;Polyglot&lt;/a&gt;</v>
      </c>
      <c r="X600" t="str">
        <f t="shared" si="2396"/>
        <v>&lt;/li&gt;&lt;li&gt;&lt;a href=|http://interlinearbible.org/psalms/122.htm| title=|Interlinear Bible| target=|_top|&gt;Interlin&lt;/a&gt;</v>
      </c>
      <c r="Y600" t="str">
        <f t="shared" ref="Y600" si="2397">CONCATENATE("&lt;/li&gt;&lt;li&gt;&lt;a href=|http://",Y1191,"/psalms/122.htm","| ","title=|",Y1190,"| target=|_top|&gt;",Y1192,"&lt;/a&gt;")</f>
        <v>&lt;/li&gt;&lt;li&gt;&lt;a href=|http://bibleoutline.org/psalms/122.htm| title=|Outline with People and Places List| target=|_top|&gt;Outline&lt;/a&gt;</v>
      </c>
      <c r="Z600" t="str">
        <f t="shared" si="2396"/>
        <v>&lt;/li&gt;&lt;li&gt;&lt;a href=|http://kjvs.scripturetext.com/psalms/122.htm| title=|King James Bible with Strong's Numbers| target=|_top|&gt;Strong's&lt;/a&gt;</v>
      </c>
      <c r="AA600" t="str">
        <f t="shared" si="2396"/>
        <v>&lt;/li&gt;&lt;li&gt;&lt;a href=|http://childrensbibleonline.com/psalms/122.htm| title=|The Children's Bible| target=|_top|&gt;Children's&lt;/a&gt;</v>
      </c>
      <c r="AB600" s="2" t="str">
        <f t="shared" si="2396"/>
        <v>&lt;/li&gt;&lt;li&gt;&lt;a href=|http://tsk.scripturetext.com/psalms/122.htm| title=|Treasury of Scripture Knowledge| target=|_top|&gt;TSK&lt;/a&gt;</v>
      </c>
      <c r="AC600" t="str">
        <f>CONCATENATE("&lt;a href=|http://",AC1191,"/psalms/122.htm","| ","title=|",AC1190,"| target=|_top|&gt;",AC1192,"&lt;/a&gt;")</f>
        <v>&lt;a href=|http://parallelbible.com/psalms/122.htm| title=|Parallel Chapters| target=|_top|&gt;PAR&lt;/a&gt;</v>
      </c>
      <c r="AD600" s="2" t="str">
        <f t="shared" ref="AD600:AK600" si="2398">CONCATENATE("&lt;/li&gt;&lt;li&gt;&lt;a href=|http://",AD1191,"/psalms/122.htm","| ","title=|",AD1190,"| target=|_top|&gt;",AD1192,"&lt;/a&gt;")</f>
        <v>&lt;/li&gt;&lt;li&gt;&lt;a href=|http://gsb.biblecommenter.com/psalms/122.htm| title=|Geneva Study Bible| target=|_top|&gt;GSB&lt;/a&gt;</v>
      </c>
      <c r="AE600" s="2" t="str">
        <f t="shared" si="2398"/>
        <v>&lt;/li&gt;&lt;li&gt;&lt;a href=|http://jfb.biblecommenter.com/psalms/122.htm| title=|Jamieson-Fausset-Brown Bible Commentary| target=|_top|&gt;JFB&lt;/a&gt;</v>
      </c>
      <c r="AF600" s="2" t="str">
        <f t="shared" si="2398"/>
        <v>&lt;/li&gt;&lt;li&gt;&lt;a href=|http://kjt.biblecommenter.com/psalms/122.htm| title=|King James Translators' Notes| target=|_top|&gt;KJT&lt;/a&gt;</v>
      </c>
      <c r="AG600" s="2" t="str">
        <f t="shared" si="2398"/>
        <v>&lt;/li&gt;&lt;li&gt;&lt;a href=|http://mhc.biblecommenter.com/psalms/122.htm| title=|Matthew Henry's Concise Commentary| target=|_top|&gt;MHC&lt;/a&gt;</v>
      </c>
      <c r="AH600" s="2" t="str">
        <f t="shared" si="2398"/>
        <v>&lt;/li&gt;&lt;li&gt;&lt;a href=|http://sco.biblecommenter.com/psalms/122.htm| title=|Scofield Reference Notes| target=|_top|&gt;SCO&lt;/a&gt;</v>
      </c>
      <c r="AI600" s="2" t="str">
        <f t="shared" si="2398"/>
        <v>&lt;/li&gt;&lt;li&gt;&lt;a href=|http://wes.biblecommenter.com/psalms/122.htm| title=|Wesley's Notes on the Bible| target=|_top|&gt;WES&lt;/a&gt;</v>
      </c>
      <c r="AJ600" t="str">
        <f t="shared" si="2398"/>
        <v>&lt;/li&gt;&lt;li&gt;&lt;a href=|http://worldebible.com/psalms/122.htm| title=|World English Bible| target=|_top|&gt;WEB&lt;/a&gt;</v>
      </c>
      <c r="AK600" t="str">
        <f t="shared" si="2398"/>
        <v>&lt;/li&gt;&lt;li&gt;&lt;a href=|http://yltbible.com/psalms/122.htm| title=|Young's Literal Translation| target=|_top|&gt;YLT&lt;/a&gt;</v>
      </c>
      <c r="AL600" t="str">
        <f>CONCATENATE("&lt;a href=|http://",AL1191,"/psalms/122.htm","| ","title=|",AL1190,"| target=|_top|&gt;",AL1192,"&lt;/a&gt;")</f>
        <v>&lt;a href=|http://kjv.us/psalms/122.htm| title=|American King James Version| target=|_top|&gt;AKJ&lt;/a&gt;</v>
      </c>
      <c r="AM600" t="str">
        <f t="shared" ref="AM600:AN600" si="2399">CONCATENATE("&lt;/li&gt;&lt;li&gt;&lt;a href=|http://",AM1191,"/psalms/122.htm","| ","title=|",AM1190,"| target=|_top|&gt;",AM1192,"&lt;/a&gt;")</f>
        <v>&lt;/li&gt;&lt;li&gt;&lt;a href=|http://basicenglishbible.com/psalms/122.htm| title=|Bible in Basic English| target=|_top|&gt;BBE&lt;/a&gt;</v>
      </c>
      <c r="AN600" t="str">
        <f t="shared" si="2399"/>
        <v>&lt;/li&gt;&lt;li&gt;&lt;a href=|http://darbybible.com/psalms/122.htm| title=|Darby Bible Translation| target=|_top|&gt;DBY&lt;/a&gt;</v>
      </c>
      <c r="AO60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0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0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00" t="str">
        <f>CONCATENATE("&lt;/li&gt;&lt;li&gt;&lt;a href=|http://",AR1191,"/psalms/122.htm","| ","title=|",AR1190,"| target=|_top|&gt;",AR1192,"&lt;/a&gt;")</f>
        <v>&lt;/li&gt;&lt;li&gt;&lt;a href=|http://websterbible.com/psalms/122.htm| title=|Webster's Bible Translation| target=|_top|&gt;WBS&lt;/a&gt;</v>
      </c>
      <c r="AS60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00" t="str">
        <f>CONCATENATE("&lt;/li&gt;&lt;li&gt;&lt;a href=|http://",AT1191,"/psalms/122-1.htm","| ","title=|",AT1190,"| target=|_top|&gt;",AT1192,"&lt;/a&gt;")</f>
        <v>&lt;/li&gt;&lt;li&gt;&lt;a href=|http://biblebrowser.com/psalms/122-1.htm| title=|Split View| target=|_top|&gt;Split&lt;/a&gt;</v>
      </c>
      <c r="AU600" s="2" t="s">
        <v>1276</v>
      </c>
      <c r="AV600" t="s">
        <v>64</v>
      </c>
    </row>
    <row r="601" spans="1:48">
      <c r="A601" t="s">
        <v>622</v>
      </c>
      <c r="B601" t="s">
        <v>1105</v>
      </c>
      <c r="C601" t="s">
        <v>624</v>
      </c>
      <c r="D601" t="s">
        <v>1268</v>
      </c>
      <c r="E601" t="s">
        <v>1277</v>
      </c>
      <c r="F601" t="s">
        <v>1304</v>
      </c>
      <c r="G601" t="s">
        <v>1266</v>
      </c>
      <c r="H601" t="s">
        <v>1305</v>
      </c>
      <c r="I601" t="s">
        <v>1303</v>
      </c>
      <c r="J601" t="s">
        <v>1267</v>
      </c>
      <c r="K601" t="s">
        <v>1275</v>
      </c>
      <c r="L601" s="2" t="s">
        <v>1274</v>
      </c>
      <c r="M601" t="str">
        <f t="shared" ref="M601:AB601" si="2400">CONCATENATE("&lt;/li&gt;&lt;li&gt;&lt;a href=|http://",M1191,"/psalms/123.htm","| ","title=|",M1190,"| target=|_top|&gt;",M1192,"&lt;/a&gt;")</f>
        <v>&lt;/li&gt;&lt;li&gt;&lt;a href=|http://niv.scripturetext.com/psalms/123.htm| title=|New International Version| target=|_top|&gt;NIV&lt;/a&gt;</v>
      </c>
      <c r="N601" t="str">
        <f t="shared" si="2400"/>
        <v>&lt;/li&gt;&lt;li&gt;&lt;a href=|http://nlt.scripturetext.com/psalms/123.htm| title=|New Living Translation| target=|_top|&gt;NLT&lt;/a&gt;</v>
      </c>
      <c r="O601" t="str">
        <f t="shared" si="2400"/>
        <v>&lt;/li&gt;&lt;li&gt;&lt;a href=|http://nasb.scripturetext.com/psalms/123.htm| title=|New American Standard Bible| target=|_top|&gt;NAS&lt;/a&gt;</v>
      </c>
      <c r="P601" t="str">
        <f t="shared" si="2400"/>
        <v>&lt;/li&gt;&lt;li&gt;&lt;a href=|http://gwt.scripturetext.com/psalms/123.htm| title=|God's Word Translation| target=|_top|&gt;GWT&lt;/a&gt;</v>
      </c>
      <c r="Q601" t="str">
        <f t="shared" si="2400"/>
        <v>&lt;/li&gt;&lt;li&gt;&lt;a href=|http://kingjbible.com/psalms/123.htm| title=|King James Bible| target=|_top|&gt;KJV&lt;/a&gt;</v>
      </c>
      <c r="R601" t="str">
        <f t="shared" si="2400"/>
        <v>&lt;/li&gt;&lt;li&gt;&lt;a href=|http://asvbible.com/psalms/123.htm| title=|American Standard Version| target=|_top|&gt;ASV&lt;/a&gt;</v>
      </c>
      <c r="S601" t="str">
        <f t="shared" si="2400"/>
        <v>&lt;/li&gt;&lt;li&gt;&lt;a href=|http://drb.scripturetext.com/psalms/123.htm| title=|Douay-Rheims Bible| target=|_top|&gt;DRB&lt;/a&gt;</v>
      </c>
      <c r="T601" t="str">
        <f t="shared" si="2400"/>
        <v>&lt;/li&gt;&lt;li&gt;&lt;a href=|http://erv.scripturetext.com/psalms/123.htm| title=|English Revised Version| target=|_top|&gt;ERV&lt;/a&gt;</v>
      </c>
      <c r="V601" t="str">
        <f>CONCATENATE("&lt;/li&gt;&lt;li&gt;&lt;a href=|http://",V1191,"/psalms/123.htm","| ","title=|",V1190,"| target=|_top|&gt;",V1192,"&lt;/a&gt;")</f>
        <v>&lt;/li&gt;&lt;li&gt;&lt;a href=|http://study.interlinearbible.org/psalms/123.htm| title=|Hebrew Study Bible| target=|_top|&gt;Heb Study&lt;/a&gt;</v>
      </c>
      <c r="W601" t="str">
        <f t="shared" si="2400"/>
        <v>&lt;/li&gt;&lt;li&gt;&lt;a href=|http://apostolic.interlinearbible.org/psalms/123.htm| title=|Apostolic Bible Polyglot Interlinear| target=|_top|&gt;Polyglot&lt;/a&gt;</v>
      </c>
      <c r="X601" t="str">
        <f t="shared" si="2400"/>
        <v>&lt;/li&gt;&lt;li&gt;&lt;a href=|http://interlinearbible.org/psalms/123.htm| title=|Interlinear Bible| target=|_top|&gt;Interlin&lt;/a&gt;</v>
      </c>
      <c r="Y601" t="str">
        <f t="shared" ref="Y601" si="2401">CONCATENATE("&lt;/li&gt;&lt;li&gt;&lt;a href=|http://",Y1191,"/psalms/123.htm","| ","title=|",Y1190,"| target=|_top|&gt;",Y1192,"&lt;/a&gt;")</f>
        <v>&lt;/li&gt;&lt;li&gt;&lt;a href=|http://bibleoutline.org/psalms/123.htm| title=|Outline with People and Places List| target=|_top|&gt;Outline&lt;/a&gt;</v>
      </c>
      <c r="Z601" t="str">
        <f t="shared" si="2400"/>
        <v>&lt;/li&gt;&lt;li&gt;&lt;a href=|http://kjvs.scripturetext.com/psalms/123.htm| title=|King James Bible with Strong's Numbers| target=|_top|&gt;Strong's&lt;/a&gt;</v>
      </c>
      <c r="AA601" t="str">
        <f t="shared" si="2400"/>
        <v>&lt;/li&gt;&lt;li&gt;&lt;a href=|http://childrensbibleonline.com/psalms/123.htm| title=|The Children's Bible| target=|_top|&gt;Children's&lt;/a&gt;</v>
      </c>
      <c r="AB601" s="2" t="str">
        <f t="shared" si="2400"/>
        <v>&lt;/li&gt;&lt;li&gt;&lt;a href=|http://tsk.scripturetext.com/psalms/123.htm| title=|Treasury of Scripture Knowledge| target=|_top|&gt;TSK&lt;/a&gt;</v>
      </c>
      <c r="AC601" t="str">
        <f>CONCATENATE("&lt;a href=|http://",AC1191,"/psalms/123.htm","| ","title=|",AC1190,"| target=|_top|&gt;",AC1192,"&lt;/a&gt;")</f>
        <v>&lt;a href=|http://parallelbible.com/psalms/123.htm| title=|Parallel Chapters| target=|_top|&gt;PAR&lt;/a&gt;</v>
      </c>
      <c r="AD601" s="2" t="str">
        <f t="shared" ref="AD601:AK601" si="2402">CONCATENATE("&lt;/li&gt;&lt;li&gt;&lt;a href=|http://",AD1191,"/psalms/123.htm","| ","title=|",AD1190,"| target=|_top|&gt;",AD1192,"&lt;/a&gt;")</f>
        <v>&lt;/li&gt;&lt;li&gt;&lt;a href=|http://gsb.biblecommenter.com/psalms/123.htm| title=|Geneva Study Bible| target=|_top|&gt;GSB&lt;/a&gt;</v>
      </c>
      <c r="AE601" s="2" t="str">
        <f t="shared" si="2402"/>
        <v>&lt;/li&gt;&lt;li&gt;&lt;a href=|http://jfb.biblecommenter.com/psalms/123.htm| title=|Jamieson-Fausset-Brown Bible Commentary| target=|_top|&gt;JFB&lt;/a&gt;</v>
      </c>
      <c r="AF601" s="2" t="str">
        <f t="shared" si="2402"/>
        <v>&lt;/li&gt;&lt;li&gt;&lt;a href=|http://kjt.biblecommenter.com/psalms/123.htm| title=|King James Translators' Notes| target=|_top|&gt;KJT&lt;/a&gt;</v>
      </c>
      <c r="AG601" s="2" t="str">
        <f t="shared" si="2402"/>
        <v>&lt;/li&gt;&lt;li&gt;&lt;a href=|http://mhc.biblecommenter.com/psalms/123.htm| title=|Matthew Henry's Concise Commentary| target=|_top|&gt;MHC&lt;/a&gt;</v>
      </c>
      <c r="AH601" s="2" t="str">
        <f t="shared" si="2402"/>
        <v>&lt;/li&gt;&lt;li&gt;&lt;a href=|http://sco.biblecommenter.com/psalms/123.htm| title=|Scofield Reference Notes| target=|_top|&gt;SCO&lt;/a&gt;</v>
      </c>
      <c r="AI601" s="2" t="str">
        <f t="shared" si="2402"/>
        <v>&lt;/li&gt;&lt;li&gt;&lt;a href=|http://wes.biblecommenter.com/psalms/123.htm| title=|Wesley's Notes on the Bible| target=|_top|&gt;WES&lt;/a&gt;</v>
      </c>
      <c r="AJ601" t="str">
        <f t="shared" si="2402"/>
        <v>&lt;/li&gt;&lt;li&gt;&lt;a href=|http://worldebible.com/psalms/123.htm| title=|World English Bible| target=|_top|&gt;WEB&lt;/a&gt;</v>
      </c>
      <c r="AK601" t="str">
        <f t="shared" si="2402"/>
        <v>&lt;/li&gt;&lt;li&gt;&lt;a href=|http://yltbible.com/psalms/123.htm| title=|Young's Literal Translation| target=|_top|&gt;YLT&lt;/a&gt;</v>
      </c>
      <c r="AL601" t="str">
        <f>CONCATENATE("&lt;a href=|http://",AL1191,"/psalms/123.htm","| ","title=|",AL1190,"| target=|_top|&gt;",AL1192,"&lt;/a&gt;")</f>
        <v>&lt;a href=|http://kjv.us/psalms/123.htm| title=|American King James Version| target=|_top|&gt;AKJ&lt;/a&gt;</v>
      </c>
      <c r="AM601" t="str">
        <f t="shared" ref="AM601:AN601" si="2403">CONCATENATE("&lt;/li&gt;&lt;li&gt;&lt;a href=|http://",AM1191,"/psalms/123.htm","| ","title=|",AM1190,"| target=|_top|&gt;",AM1192,"&lt;/a&gt;")</f>
        <v>&lt;/li&gt;&lt;li&gt;&lt;a href=|http://basicenglishbible.com/psalms/123.htm| title=|Bible in Basic English| target=|_top|&gt;BBE&lt;/a&gt;</v>
      </c>
      <c r="AN601" t="str">
        <f t="shared" si="2403"/>
        <v>&lt;/li&gt;&lt;li&gt;&lt;a href=|http://darbybible.com/psalms/123.htm| title=|Darby Bible Translation| target=|_top|&gt;DBY&lt;/a&gt;</v>
      </c>
      <c r="AO60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0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0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01" t="str">
        <f>CONCATENATE("&lt;/li&gt;&lt;li&gt;&lt;a href=|http://",AR1191,"/psalms/123.htm","| ","title=|",AR1190,"| target=|_top|&gt;",AR1192,"&lt;/a&gt;")</f>
        <v>&lt;/li&gt;&lt;li&gt;&lt;a href=|http://websterbible.com/psalms/123.htm| title=|Webster's Bible Translation| target=|_top|&gt;WBS&lt;/a&gt;</v>
      </c>
      <c r="AS60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01" t="str">
        <f>CONCATENATE("&lt;/li&gt;&lt;li&gt;&lt;a href=|http://",AT1191,"/psalms/123-1.htm","| ","title=|",AT1190,"| target=|_top|&gt;",AT1192,"&lt;/a&gt;")</f>
        <v>&lt;/li&gt;&lt;li&gt;&lt;a href=|http://biblebrowser.com/psalms/123-1.htm| title=|Split View| target=|_top|&gt;Split&lt;/a&gt;</v>
      </c>
      <c r="AU601" s="2" t="s">
        <v>1276</v>
      </c>
      <c r="AV601" t="s">
        <v>64</v>
      </c>
    </row>
    <row r="602" spans="1:48">
      <c r="A602" t="s">
        <v>622</v>
      </c>
      <c r="B602" t="s">
        <v>1106</v>
      </c>
      <c r="C602" t="s">
        <v>624</v>
      </c>
      <c r="D602" t="s">
        <v>1268</v>
      </c>
      <c r="E602" t="s">
        <v>1277</v>
      </c>
      <c r="F602" t="s">
        <v>1304</v>
      </c>
      <c r="G602" t="s">
        <v>1266</v>
      </c>
      <c r="H602" t="s">
        <v>1305</v>
      </c>
      <c r="I602" t="s">
        <v>1303</v>
      </c>
      <c r="J602" t="s">
        <v>1267</v>
      </c>
      <c r="K602" t="s">
        <v>1275</v>
      </c>
      <c r="L602" s="2" t="s">
        <v>1274</v>
      </c>
      <c r="M602" t="str">
        <f t="shared" ref="M602:AB602" si="2404">CONCATENATE("&lt;/li&gt;&lt;li&gt;&lt;a href=|http://",M1191,"/psalms/124.htm","| ","title=|",M1190,"| target=|_top|&gt;",M1192,"&lt;/a&gt;")</f>
        <v>&lt;/li&gt;&lt;li&gt;&lt;a href=|http://niv.scripturetext.com/psalms/124.htm| title=|New International Version| target=|_top|&gt;NIV&lt;/a&gt;</v>
      </c>
      <c r="N602" t="str">
        <f t="shared" si="2404"/>
        <v>&lt;/li&gt;&lt;li&gt;&lt;a href=|http://nlt.scripturetext.com/psalms/124.htm| title=|New Living Translation| target=|_top|&gt;NLT&lt;/a&gt;</v>
      </c>
      <c r="O602" t="str">
        <f t="shared" si="2404"/>
        <v>&lt;/li&gt;&lt;li&gt;&lt;a href=|http://nasb.scripturetext.com/psalms/124.htm| title=|New American Standard Bible| target=|_top|&gt;NAS&lt;/a&gt;</v>
      </c>
      <c r="P602" t="str">
        <f t="shared" si="2404"/>
        <v>&lt;/li&gt;&lt;li&gt;&lt;a href=|http://gwt.scripturetext.com/psalms/124.htm| title=|God's Word Translation| target=|_top|&gt;GWT&lt;/a&gt;</v>
      </c>
      <c r="Q602" t="str">
        <f t="shared" si="2404"/>
        <v>&lt;/li&gt;&lt;li&gt;&lt;a href=|http://kingjbible.com/psalms/124.htm| title=|King James Bible| target=|_top|&gt;KJV&lt;/a&gt;</v>
      </c>
      <c r="R602" t="str">
        <f t="shared" si="2404"/>
        <v>&lt;/li&gt;&lt;li&gt;&lt;a href=|http://asvbible.com/psalms/124.htm| title=|American Standard Version| target=|_top|&gt;ASV&lt;/a&gt;</v>
      </c>
      <c r="S602" t="str">
        <f t="shared" si="2404"/>
        <v>&lt;/li&gt;&lt;li&gt;&lt;a href=|http://drb.scripturetext.com/psalms/124.htm| title=|Douay-Rheims Bible| target=|_top|&gt;DRB&lt;/a&gt;</v>
      </c>
      <c r="T602" t="str">
        <f t="shared" si="2404"/>
        <v>&lt;/li&gt;&lt;li&gt;&lt;a href=|http://erv.scripturetext.com/psalms/124.htm| title=|English Revised Version| target=|_top|&gt;ERV&lt;/a&gt;</v>
      </c>
      <c r="V602" t="str">
        <f>CONCATENATE("&lt;/li&gt;&lt;li&gt;&lt;a href=|http://",V1191,"/psalms/124.htm","| ","title=|",V1190,"| target=|_top|&gt;",V1192,"&lt;/a&gt;")</f>
        <v>&lt;/li&gt;&lt;li&gt;&lt;a href=|http://study.interlinearbible.org/psalms/124.htm| title=|Hebrew Study Bible| target=|_top|&gt;Heb Study&lt;/a&gt;</v>
      </c>
      <c r="W602" t="str">
        <f t="shared" si="2404"/>
        <v>&lt;/li&gt;&lt;li&gt;&lt;a href=|http://apostolic.interlinearbible.org/psalms/124.htm| title=|Apostolic Bible Polyglot Interlinear| target=|_top|&gt;Polyglot&lt;/a&gt;</v>
      </c>
      <c r="X602" t="str">
        <f t="shared" si="2404"/>
        <v>&lt;/li&gt;&lt;li&gt;&lt;a href=|http://interlinearbible.org/psalms/124.htm| title=|Interlinear Bible| target=|_top|&gt;Interlin&lt;/a&gt;</v>
      </c>
      <c r="Y602" t="str">
        <f t="shared" ref="Y602" si="2405">CONCATENATE("&lt;/li&gt;&lt;li&gt;&lt;a href=|http://",Y1191,"/psalms/124.htm","| ","title=|",Y1190,"| target=|_top|&gt;",Y1192,"&lt;/a&gt;")</f>
        <v>&lt;/li&gt;&lt;li&gt;&lt;a href=|http://bibleoutline.org/psalms/124.htm| title=|Outline with People and Places List| target=|_top|&gt;Outline&lt;/a&gt;</v>
      </c>
      <c r="Z602" t="str">
        <f t="shared" si="2404"/>
        <v>&lt;/li&gt;&lt;li&gt;&lt;a href=|http://kjvs.scripturetext.com/psalms/124.htm| title=|King James Bible with Strong's Numbers| target=|_top|&gt;Strong's&lt;/a&gt;</v>
      </c>
      <c r="AA602" t="str">
        <f t="shared" si="2404"/>
        <v>&lt;/li&gt;&lt;li&gt;&lt;a href=|http://childrensbibleonline.com/psalms/124.htm| title=|The Children's Bible| target=|_top|&gt;Children's&lt;/a&gt;</v>
      </c>
      <c r="AB602" s="2" t="str">
        <f t="shared" si="2404"/>
        <v>&lt;/li&gt;&lt;li&gt;&lt;a href=|http://tsk.scripturetext.com/psalms/124.htm| title=|Treasury of Scripture Knowledge| target=|_top|&gt;TSK&lt;/a&gt;</v>
      </c>
      <c r="AC602" t="str">
        <f>CONCATENATE("&lt;a href=|http://",AC1191,"/psalms/124.htm","| ","title=|",AC1190,"| target=|_top|&gt;",AC1192,"&lt;/a&gt;")</f>
        <v>&lt;a href=|http://parallelbible.com/psalms/124.htm| title=|Parallel Chapters| target=|_top|&gt;PAR&lt;/a&gt;</v>
      </c>
      <c r="AD602" s="2" t="str">
        <f t="shared" ref="AD602:AK602" si="2406">CONCATENATE("&lt;/li&gt;&lt;li&gt;&lt;a href=|http://",AD1191,"/psalms/124.htm","| ","title=|",AD1190,"| target=|_top|&gt;",AD1192,"&lt;/a&gt;")</f>
        <v>&lt;/li&gt;&lt;li&gt;&lt;a href=|http://gsb.biblecommenter.com/psalms/124.htm| title=|Geneva Study Bible| target=|_top|&gt;GSB&lt;/a&gt;</v>
      </c>
      <c r="AE602" s="2" t="str">
        <f t="shared" si="2406"/>
        <v>&lt;/li&gt;&lt;li&gt;&lt;a href=|http://jfb.biblecommenter.com/psalms/124.htm| title=|Jamieson-Fausset-Brown Bible Commentary| target=|_top|&gt;JFB&lt;/a&gt;</v>
      </c>
      <c r="AF602" s="2" t="str">
        <f t="shared" si="2406"/>
        <v>&lt;/li&gt;&lt;li&gt;&lt;a href=|http://kjt.biblecommenter.com/psalms/124.htm| title=|King James Translators' Notes| target=|_top|&gt;KJT&lt;/a&gt;</v>
      </c>
      <c r="AG602" s="2" t="str">
        <f t="shared" si="2406"/>
        <v>&lt;/li&gt;&lt;li&gt;&lt;a href=|http://mhc.biblecommenter.com/psalms/124.htm| title=|Matthew Henry's Concise Commentary| target=|_top|&gt;MHC&lt;/a&gt;</v>
      </c>
      <c r="AH602" s="2" t="str">
        <f t="shared" si="2406"/>
        <v>&lt;/li&gt;&lt;li&gt;&lt;a href=|http://sco.biblecommenter.com/psalms/124.htm| title=|Scofield Reference Notes| target=|_top|&gt;SCO&lt;/a&gt;</v>
      </c>
      <c r="AI602" s="2" t="str">
        <f t="shared" si="2406"/>
        <v>&lt;/li&gt;&lt;li&gt;&lt;a href=|http://wes.biblecommenter.com/psalms/124.htm| title=|Wesley's Notes on the Bible| target=|_top|&gt;WES&lt;/a&gt;</v>
      </c>
      <c r="AJ602" t="str">
        <f t="shared" si="2406"/>
        <v>&lt;/li&gt;&lt;li&gt;&lt;a href=|http://worldebible.com/psalms/124.htm| title=|World English Bible| target=|_top|&gt;WEB&lt;/a&gt;</v>
      </c>
      <c r="AK602" t="str">
        <f t="shared" si="2406"/>
        <v>&lt;/li&gt;&lt;li&gt;&lt;a href=|http://yltbible.com/psalms/124.htm| title=|Young's Literal Translation| target=|_top|&gt;YLT&lt;/a&gt;</v>
      </c>
      <c r="AL602" t="str">
        <f>CONCATENATE("&lt;a href=|http://",AL1191,"/psalms/124.htm","| ","title=|",AL1190,"| target=|_top|&gt;",AL1192,"&lt;/a&gt;")</f>
        <v>&lt;a href=|http://kjv.us/psalms/124.htm| title=|American King James Version| target=|_top|&gt;AKJ&lt;/a&gt;</v>
      </c>
      <c r="AM602" t="str">
        <f t="shared" ref="AM602:AN602" si="2407">CONCATENATE("&lt;/li&gt;&lt;li&gt;&lt;a href=|http://",AM1191,"/psalms/124.htm","| ","title=|",AM1190,"| target=|_top|&gt;",AM1192,"&lt;/a&gt;")</f>
        <v>&lt;/li&gt;&lt;li&gt;&lt;a href=|http://basicenglishbible.com/psalms/124.htm| title=|Bible in Basic English| target=|_top|&gt;BBE&lt;/a&gt;</v>
      </c>
      <c r="AN602" t="str">
        <f t="shared" si="2407"/>
        <v>&lt;/li&gt;&lt;li&gt;&lt;a href=|http://darbybible.com/psalms/124.htm| title=|Darby Bible Translation| target=|_top|&gt;DBY&lt;/a&gt;</v>
      </c>
      <c r="AO60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0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0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02" t="str">
        <f>CONCATENATE("&lt;/li&gt;&lt;li&gt;&lt;a href=|http://",AR1191,"/psalms/124.htm","| ","title=|",AR1190,"| target=|_top|&gt;",AR1192,"&lt;/a&gt;")</f>
        <v>&lt;/li&gt;&lt;li&gt;&lt;a href=|http://websterbible.com/psalms/124.htm| title=|Webster's Bible Translation| target=|_top|&gt;WBS&lt;/a&gt;</v>
      </c>
      <c r="AS60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02" t="str">
        <f>CONCATENATE("&lt;/li&gt;&lt;li&gt;&lt;a href=|http://",AT1191,"/psalms/124-1.htm","| ","title=|",AT1190,"| target=|_top|&gt;",AT1192,"&lt;/a&gt;")</f>
        <v>&lt;/li&gt;&lt;li&gt;&lt;a href=|http://biblebrowser.com/psalms/124-1.htm| title=|Split View| target=|_top|&gt;Split&lt;/a&gt;</v>
      </c>
      <c r="AU602" s="2" t="s">
        <v>1276</v>
      </c>
      <c r="AV602" t="s">
        <v>64</v>
      </c>
    </row>
    <row r="603" spans="1:48">
      <c r="A603" t="s">
        <v>622</v>
      </c>
      <c r="B603" t="s">
        <v>1107</v>
      </c>
      <c r="C603" t="s">
        <v>624</v>
      </c>
      <c r="D603" t="s">
        <v>1268</v>
      </c>
      <c r="E603" t="s">
        <v>1277</v>
      </c>
      <c r="F603" t="s">
        <v>1304</v>
      </c>
      <c r="G603" t="s">
        <v>1266</v>
      </c>
      <c r="H603" t="s">
        <v>1305</v>
      </c>
      <c r="I603" t="s">
        <v>1303</v>
      </c>
      <c r="J603" t="s">
        <v>1267</v>
      </c>
      <c r="K603" t="s">
        <v>1275</v>
      </c>
      <c r="L603" s="2" t="s">
        <v>1274</v>
      </c>
      <c r="M603" t="str">
        <f t="shared" ref="M603:AB603" si="2408">CONCATENATE("&lt;/li&gt;&lt;li&gt;&lt;a href=|http://",M1191,"/psalms/125.htm","| ","title=|",M1190,"| target=|_top|&gt;",M1192,"&lt;/a&gt;")</f>
        <v>&lt;/li&gt;&lt;li&gt;&lt;a href=|http://niv.scripturetext.com/psalms/125.htm| title=|New International Version| target=|_top|&gt;NIV&lt;/a&gt;</v>
      </c>
      <c r="N603" t="str">
        <f t="shared" si="2408"/>
        <v>&lt;/li&gt;&lt;li&gt;&lt;a href=|http://nlt.scripturetext.com/psalms/125.htm| title=|New Living Translation| target=|_top|&gt;NLT&lt;/a&gt;</v>
      </c>
      <c r="O603" t="str">
        <f t="shared" si="2408"/>
        <v>&lt;/li&gt;&lt;li&gt;&lt;a href=|http://nasb.scripturetext.com/psalms/125.htm| title=|New American Standard Bible| target=|_top|&gt;NAS&lt;/a&gt;</v>
      </c>
      <c r="P603" t="str">
        <f t="shared" si="2408"/>
        <v>&lt;/li&gt;&lt;li&gt;&lt;a href=|http://gwt.scripturetext.com/psalms/125.htm| title=|God's Word Translation| target=|_top|&gt;GWT&lt;/a&gt;</v>
      </c>
      <c r="Q603" t="str">
        <f t="shared" si="2408"/>
        <v>&lt;/li&gt;&lt;li&gt;&lt;a href=|http://kingjbible.com/psalms/125.htm| title=|King James Bible| target=|_top|&gt;KJV&lt;/a&gt;</v>
      </c>
      <c r="R603" t="str">
        <f t="shared" si="2408"/>
        <v>&lt;/li&gt;&lt;li&gt;&lt;a href=|http://asvbible.com/psalms/125.htm| title=|American Standard Version| target=|_top|&gt;ASV&lt;/a&gt;</v>
      </c>
      <c r="S603" t="str">
        <f t="shared" si="2408"/>
        <v>&lt;/li&gt;&lt;li&gt;&lt;a href=|http://drb.scripturetext.com/psalms/125.htm| title=|Douay-Rheims Bible| target=|_top|&gt;DRB&lt;/a&gt;</v>
      </c>
      <c r="T603" t="str">
        <f t="shared" si="2408"/>
        <v>&lt;/li&gt;&lt;li&gt;&lt;a href=|http://erv.scripturetext.com/psalms/125.htm| title=|English Revised Version| target=|_top|&gt;ERV&lt;/a&gt;</v>
      </c>
      <c r="V603" t="str">
        <f>CONCATENATE("&lt;/li&gt;&lt;li&gt;&lt;a href=|http://",V1191,"/psalms/125.htm","| ","title=|",V1190,"| target=|_top|&gt;",V1192,"&lt;/a&gt;")</f>
        <v>&lt;/li&gt;&lt;li&gt;&lt;a href=|http://study.interlinearbible.org/psalms/125.htm| title=|Hebrew Study Bible| target=|_top|&gt;Heb Study&lt;/a&gt;</v>
      </c>
      <c r="W603" t="str">
        <f t="shared" si="2408"/>
        <v>&lt;/li&gt;&lt;li&gt;&lt;a href=|http://apostolic.interlinearbible.org/psalms/125.htm| title=|Apostolic Bible Polyglot Interlinear| target=|_top|&gt;Polyglot&lt;/a&gt;</v>
      </c>
      <c r="X603" t="str">
        <f t="shared" si="2408"/>
        <v>&lt;/li&gt;&lt;li&gt;&lt;a href=|http://interlinearbible.org/psalms/125.htm| title=|Interlinear Bible| target=|_top|&gt;Interlin&lt;/a&gt;</v>
      </c>
      <c r="Y603" t="str">
        <f t="shared" ref="Y603" si="2409">CONCATENATE("&lt;/li&gt;&lt;li&gt;&lt;a href=|http://",Y1191,"/psalms/125.htm","| ","title=|",Y1190,"| target=|_top|&gt;",Y1192,"&lt;/a&gt;")</f>
        <v>&lt;/li&gt;&lt;li&gt;&lt;a href=|http://bibleoutline.org/psalms/125.htm| title=|Outline with People and Places List| target=|_top|&gt;Outline&lt;/a&gt;</v>
      </c>
      <c r="Z603" t="str">
        <f t="shared" si="2408"/>
        <v>&lt;/li&gt;&lt;li&gt;&lt;a href=|http://kjvs.scripturetext.com/psalms/125.htm| title=|King James Bible with Strong's Numbers| target=|_top|&gt;Strong's&lt;/a&gt;</v>
      </c>
      <c r="AA603" t="str">
        <f t="shared" si="2408"/>
        <v>&lt;/li&gt;&lt;li&gt;&lt;a href=|http://childrensbibleonline.com/psalms/125.htm| title=|The Children's Bible| target=|_top|&gt;Children's&lt;/a&gt;</v>
      </c>
      <c r="AB603" s="2" t="str">
        <f t="shared" si="2408"/>
        <v>&lt;/li&gt;&lt;li&gt;&lt;a href=|http://tsk.scripturetext.com/psalms/125.htm| title=|Treasury of Scripture Knowledge| target=|_top|&gt;TSK&lt;/a&gt;</v>
      </c>
      <c r="AC603" t="str">
        <f>CONCATENATE("&lt;a href=|http://",AC1191,"/psalms/125.htm","| ","title=|",AC1190,"| target=|_top|&gt;",AC1192,"&lt;/a&gt;")</f>
        <v>&lt;a href=|http://parallelbible.com/psalms/125.htm| title=|Parallel Chapters| target=|_top|&gt;PAR&lt;/a&gt;</v>
      </c>
      <c r="AD603" s="2" t="str">
        <f t="shared" ref="AD603:AK603" si="2410">CONCATENATE("&lt;/li&gt;&lt;li&gt;&lt;a href=|http://",AD1191,"/psalms/125.htm","| ","title=|",AD1190,"| target=|_top|&gt;",AD1192,"&lt;/a&gt;")</f>
        <v>&lt;/li&gt;&lt;li&gt;&lt;a href=|http://gsb.biblecommenter.com/psalms/125.htm| title=|Geneva Study Bible| target=|_top|&gt;GSB&lt;/a&gt;</v>
      </c>
      <c r="AE603" s="2" t="str">
        <f t="shared" si="2410"/>
        <v>&lt;/li&gt;&lt;li&gt;&lt;a href=|http://jfb.biblecommenter.com/psalms/125.htm| title=|Jamieson-Fausset-Brown Bible Commentary| target=|_top|&gt;JFB&lt;/a&gt;</v>
      </c>
      <c r="AF603" s="2" t="str">
        <f t="shared" si="2410"/>
        <v>&lt;/li&gt;&lt;li&gt;&lt;a href=|http://kjt.biblecommenter.com/psalms/125.htm| title=|King James Translators' Notes| target=|_top|&gt;KJT&lt;/a&gt;</v>
      </c>
      <c r="AG603" s="2" t="str">
        <f t="shared" si="2410"/>
        <v>&lt;/li&gt;&lt;li&gt;&lt;a href=|http://mhc.biblecommenter.com/psalms/125.htm| title=|Matthew Henry's Concise Commentary| target=|_top|&gt;MHC&lt;/a&gt;</v>
      </c>
      <c r="AH603" s="2" t="str">
        <f t="shared" si="2410"/>
        <v>&lt;/li&gt;&lt;li&gt;&lt;a href=|http://sco.biblecommenter.com/psalms/125.htm| title=|Scofield Reference Notes| target=|_top|&gt;SCO&lt;/a&gt;</v>
      </c>
      <c r="AI603" s="2" t="str">
        <f t="shared" si="2410"/>
        <v>&lt;/li&gt;&lt;li&gt;&lt;a href=|http://wes.biblecommenter.com/psalms/125.htm| title=|Wesley's Notes on the Bible| target=|_top|&gt;WES&lt;/a&gt;</v>
      </c>
      <c r="AJ603" t="str">
        <f t="shared" si="2410"/>
        <v>&lt;/li&gt;&lt;li&gt;&lt;a href=|http://worldebible.com/psalms/125.htm| title=|World English Bible| target=|_top|&gt;WEB&lt;/a&gt;</v>
      </c>
      <c r="AK603" t="str">
        <f t="shared" si="2410"/>
        <v>&lt;/li&gt;&lt;li&gt;&lt;a href=|http://yltbible.com/psalms/125.htm| title=|Young's Literal Translation| target=|_top|&gt;YLT&lt;/a&gt;</v>
      </c>
      <c r="AL603" t="str">
        <f>CONCATENATE("&lt;a href=|http://",AL1191,"/psalms/125.htm","| ","title=|",AL1190,"| target=|_top|&gt;",AL1192,"&lt;/a&gt;")</f>
        <v>&lt;a href=|http://kjv.us/psalms/125.htm| title=|American King James Version| target=|_top|&gt;AKJ&lt;/a&gt;</v>
      </c>
      <c r="AM603" t="str">
        <f t="shared" ref="AM603:AN603" si="2411">CONCATENATE("&lt;/li&gt;&lt;li&gt;&lt;a href=|http://",AM1191,"/psalms/125.htm","| ","title=|",AM1190,"| target=|_top|&gt;",AM1192,"&lt;/a&gt;")</f>
        <v>&lt;/li&gt;&lt;li&gt;&lt;a href=|http://basicenglishbible.com/psalms/125.htm| title=|Bible in Basic English| target=|_top|&gt;BBE&lt;/a&gt;</v>
      </c>
      <c r="AN603" t="str">
        <f t="shared" si="2411"/>
        <v>&lt;/li&gt;&lt;li&gt;&lt;a href=|http://darbybible.com/psalms/125.htm| title=|Darby Bible Translation| target=|_top|&gt;DBY&lt;/a&gt;</v>
      </c>
      <c r="AO60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0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0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03" t="str">
        <f>CONCATENATE("&lt;/li&gt;&lt;li&gt;&lt;a href=|http://",AR1191,"/psalms/125.htm","| ","title=|",AR1190,"| target=|_top|&gt;",AR1192,"&lt;/a&gt;")</f>
        <v>&lt;/li&gt;&lt;li&gt;&lt;a href=|http://websterbible.com/psalms/125.htm| title=|Webster's Bible Translation| target=|_top|&gt;WBS&lt;/a&gt;</v>
      </c>
      <c r="AS60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03" t="str">
        <f>CONCATENATE("&lt;/li&gt;&lt;li&gt;&lt;a href=|http://",AT1191,"/psalms/125-1.htm","| ","title=|",AT1190,"| target=|_top|&gt;",AT1192,"&lt;/a&gt;")</f>
        <v>&lt;/li&gt;&lt;li&gt;&lt;a href=|http://biblebrowser.com/psalms/125-1.htm| title=|Split View| target=|_top|&gt;Split&lt;/a&gt;</v>
      </c>
      <c r="AU603" s="2" t="s">
        <v>1276</v>
      </c>
      <c r="AV603" t="s">
        <v>64</v>
      </c>
    </row>
    <row r="604" spans="1:48">
      <c r="A604" t="s">
        <v>622</v>
      </c>
      <c r="B604" t="s">
        <v>1108</v>
      </c>
      <c r="C604" t="s">
        <v>624</v>
      </c>
      <c r="D604" t="s">
        <v>1268</v>
      </c>
      <c r="E604" t="s">
        <v>1277</v>
      </c>
      <c r="F604" t="s">
        <v>1304</v>
      </c>
      <c r="G604" t="s">
        <v>1266</v>
      </c>
      <c r="H604" t="s">
        <v>1305</v>
      </c>
      <c r="I604" t="s">
        <v>1303</v>
      </c>
      <c r="J604" t="s">
        <v>1267</v>
      </c>
      <c r="K604" t="s">
        <v>1275</v>
      </c>
      <c r="L604" s="2" t="s">
        <v>1274</v>
      </c>
      <c r="M604" t="str">
        <f t="shared" ref="M604:AB604" si="2412">CONCATENATE("&lt;/li&gt;&lt;li&gt;&lt;a href=|http://",M1191,"/psalms/126.htm","| ","title=|",M1190,"| target=|_top|&gt;",M1192,"&lt;/a&gt;")</f>
        <v>&lt;/li&gt;&lt;li&gt;&lt;a href=|http://niv.scripturetext.com/psalms/126.htm| title=|New International Version| target=|_top|&gt;NIV&lt;/a&gt;</v>
      </c>
      <c r="N604" t="str">
        <f t="shared" si="2412"/>
        <v>&lt;/li&gt;&lt;li&gt;&lt;a href=|http://nlt.scripturetext.com/psalms/126.htm| title=|New Living Translation| target=|_top|&gt;NLT&lt;/a&gt;</v>
      </c>
      <c r="O604" t="str">
        <f t="shared" si="2412"/>
        <v>&lt;/li&gt;&lt;li&gt;&lt;a href=|http://nasb.scripturetext.com/psalms/126.htm| title=|New American Standard Bible| target=|_top|&gt;NAS&lt;/a&gt;</v>
      </c>
      <c r="P604" t="str">
        <f t="shared" si="2412"/>
        <v>&lt;/li&gt;&lt;li&gt;&lt;a href=|http://gwt.scripturetext.com/psalms/126.htm| title=|God's Word Translation| target=|_top|&gt;GWT&lt;/a&gt;</v>
      </c>
      <c r="Q604" t="str">
        <f t="shared" si="2412"/>
        <v>&lt;/li&gt;&lt;li&gt;&lt;a href=|http://kingjbible.com/psalms/126.htm| title=|King James Bible| target=|_top|&gt;KJV&lt;/a&gt;</v>
      </c>
      <c r="R604" t="str">
        <f t="shared" si="2412"/>
        <v>&lt;/li&gt;&lt;li&gt;&lt;a href=|http://asvbible.com/psalms/126.htm| title=|American Standard Version| target=|_top|&gt;ASV&lt;/a&gt;</v>
      </c>
      <c r="S604" t="str">
        <f t="shared" si="2412"/>
        <v>&lt;/li&gt;&lt;li&gt;&lt;a href=|http://drb.scripturetext.com/psalms/126.htm| title=|Douay-Rheims Bible| target=|_top|&gt;DRB&lt;/a&gt;</v>
      </c>
      <c r="T604" t="str">
        <f t="shared" si="2412"/>
        <v>&lt;/li&gt;&lt;li&gt;&lt;a href=|http://erv.scripturetext.com/psalms/126.htm| title=|English Revised Version| target=|_top|&gt;ERV&lt;/a&gt;</v>
      </c>
      <c r="V604" t="str">
        <f>CONCATENATE("&lt;/li&gt;&lt;li&gt;&lt;a href=|http://",V1191,"/psalms/126.htm","| ","title=|",V1190,"| target=|_top|&gt;",V1192,"&lt;/a&gt;")</f>
        <v>&lt;/li&gt;&lt;li&gt;&lt;a href=|http://study.interlinearbible.org/psalms/126.htm| title=|Hebrew Study Bible| target=|_top|&gt;Heb Study&lt;/a&gt;</v>
      </c>
      <c r="W604" t="str">
        <f t="shared" si="2412"/>
        <v>&lt;/li&gt;&lt;li&gt;&lt;a href=|http://apostolic.interlinearbible.org/psalms/126.htm| title=|Apostolic Bible Polyglot Interlinear| target=|_top|&gt;Polyglot&lt;/a&gt;</v>
      </c>
      <c r="X604" t="str">
        <f t="shared" si="2412"/>
        <v>&lt;/li&gt;&lt;li&gt;&lt;a href=|http://interlinearbible.org/psalms/126.htm| title=|Interlinear Bible| target=|_top|&gt;Interlin&lt;/a&gt;</v>
      </c>
      <c r="Y604" t="str">
        <f t="shared" ref="Y604" si="2413">CONCATENATE("&lt;/li&gt;&lt;li&gt;&lt;a href=|http://",Y1191,"/psalms/126.htm","| ","title=|",Y1190,"| target=|_top|&gt;",Y1192,"&lt;/a&gt;")</f>
        <v>&lt;/li&gt;&lt;li&gt;&lt;a href=|http://bibleoutline.org/psalms/126.htm| title=|Outline with People and Places List| target=|_top|&gt;Outline&lt;/a&gt;</v>
      </c>
      <c r="Z604" t="str">
        <f t="shared" si="2412"/>
        <v>&lt;/li&gt;&lt;li&gt;&lt;a href=|http://kjvs.scripturetext.com/psalms/126.htm| title=|King James Bible with Strong's Numbers| target=|_top|&gt;Strong's&lt;/a&gt;</v>
      </c>
      <c r="AA604" t="str">
        <f t="shared" si="2412"/>
        <v>&lt;/li&gt;&lt;li&gt;&lt;a href=|http://childrensbibleonline.com/psalms/126.htm| title=|The Children's Bible| target=|_top|&gt;Children's&lt;/a&gt;</v>
      </c>
      <c r="AB604" s="2" t="str">
        <f t="shared" si="2412"/>
        <v>&lt;/li&gt;&lt;li&gt;&lt;a href=|http://tsk.scripturetext.com/psalms/126.htm| title=|Treasury of Scripture Knowledge| target=|_top|&gt;TSK&lt;/a&gt;</v>
      </c>
      <c r="AC604" t="str">
        <f>CONCATENATE("&lt;a href=|http://",AC1191,"/psalms/126.htm","| ","title=|",AC1190,"| target=|_top|&gt;",AC1192,"&lt;/a&gt;")</f>
        <v>&lt;a href=|http://parallelbible.com/psalms/126.htm| title=|Parallel Chapters| target=|_top|&gt;PAR&lt;/a&gt;</v>
      </c>
      <c r="AD604" s="2" t="str">
        <f t="shared" ref="AD604:AK604" si="2414">CONCATENATE("&lt;/li&gt;&lt;li&gt;&lt;a href=|http://",AD1191,"/psalms/126.htm","| ","title=|",AD1190,"| target=|_top|&gt;",AD1192,"&lt;/a&gt;")</f>
        <v>&lt;/li&gt;&lt;li&gt;&lt;a href=|http://gsb.biblecommenter.com/psalms/126.htm| title=|Geneva Study Bible| target=|_top|&gt;GSB&lt;/a&gt;</v>
      </c>
      <c r="AE604" s="2" t="str">
        <f t="shared" si="2414"/>
        <v>&lt;/li&gt;&lt;li&gt;&lt;a href=|http://jfb.biblecommenter.com/psalms/126.htm| title=|Jamieson-Fausset-Brown Bible Commentary| target=|_top|&gt;JFB&lt;/a&gt;</v>
      </c>
      <c r="AF604" s="2" t="str">
        <f t="shared" si="2414"/>
        <v>&lt;/li&gt;&lt;li&gt;&lt;a href=|http://kjt.biblecommenter.com/psalms/126.htm| title=|King James Translators' Notes| target=|_top|&gt;KJT&lt;/a&gt;</v>
      </c>
      <c r="AG604" s="2" t="str">
        <f t="shared" si="2414"/>
        <v>&lt;/li&gt;&lt;li&gt;&lt;a href=|http://mhc.biblecommenter.com/psalms/126.htm| title=|Matthew Henry's Concise Commentary| target=|_top|&gt;MHC&lt;/a&gt;</v>
      </c>
      <c r="AH604" s="2" t="str">
        <f t="shared" si="2414"/>
        <v>&lt;/li&gt;&lt;li&gt;&lt;a href=|http://sco.biblecommenter.com/psalms/126.htm| title=|Scofield Reference Notes| target=|_top|&gt;SCO&lt;/a&gt;</v>
      </c>
      <c r="AI604" s="2" t="str">
        <f t="shared" si="2414"/>
        <v>&lt;/li&gt;&lt;li&gt;&lt;a href=|http://wes.biblecommenter.com/psalms/126.htm| title=|Wesley's Notes on the Bible| target=|_top|&gt;WES&lt;/a&gt;</v>
      </c>
      <c r="AJ604" t="str">
        <f t="shared" si="2414"/>
        <v>&lt;/li&gt;&lt;li&gt;&lt;a href=|http://worldebible.com/psalms/126.htm| title=|World English Bible| target=|_top|&gt;WEB&lt;/a&gt;</v>
      </c>
      <c r="AK604" t="str">
        <f t="shared" si="2414"/>
        <v>&lt;/li&gt;&lt;li&gt;&lt;a href=|http://yltbible.com/psalms/126.htm| title=|Young's Literal Translation| target=|_top|&gt;YLT&lt;/a&gt;</v>
      </c>
      <c r="AL604" t="str">
        <f>CONCATENATE("&lt;a href=|http://",AL1191,"/psalms/126.htm","| ","title=|",AL1190,"| target=|_top|&gt;",AL1192,"&lt;/a&gt;")</f>
        <v>&lt;a href=|http://kjv.us/psalms/126.htm| title=|American King James Version| target=|_top|&gt;AKJ&lt;/a&gt;</v>
      </c>
      <c r="AM604" t="str">
        <f t="shared" ref="AM604:AN604" si="2415">CONCATENATE("&lt;/li&gt;&lt;li&gt;&lt;a href=|http://",AM1191,"/psalms/126.htm","| ","title=|",AM1190,"| target=|_top|&gt;",AM1192,"&lt;/a&gt;")</f>
        <v>&lt;/li&gt;&lt;li&gt;&lt;a href=|http://basicenglishbible.com/psalms/126.htm| title=|Bible in Basic English| target=|_top|&gt;BBE&lt;/a&gt;</v>
      </c>
      <c r="AN604" t="str">
        <f t="shared" si="2415"/>
        <v>&lt;/li&gt;&lt;li&gt;&lt;a href=|http://darbybible.com/psalms/126.htm| title=|Darby Bible Translation| target=|_top|&gt;DBY&lt;/a&gt;</v>
      </c>
      <c r="AO60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0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0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04" t="str">
        <f>CONCATENATE("&lt;/li&gt;&lt;li&gt;&lt;a href=|http://",AR1191,"/psalms/126.htm","| ","title=|",AR1190,"| target=|_top|&gt;",AR1192,"&lt;/a&gt;")</f>
        <v>&lt;/li&gt;&lt;li&gt;&lt;a href=|http://websterbible.com/psalms/126.htm| title=|Webster's Bible Translation| target=|_top|&gt;WBS&lt;/a&gt;</v>
      </c>
      <c r="AS60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04" t="str">
        <f>CONCATENATE("&lt;/li&gt;&lt;li&gt;&lt;a href=|http://",AT1191,"/psalms/126-1.htm","| ","title=|",AT1190,"| target=|_top|&gt;",AT1192,"&lt;/a&gt;")</f>
        <v>&lt;/li&gt;&lt;li&gt;&lt;a href=|http://biblebrowser.com/psalms/126-1.htm| title=|Split View| target=|_top|&gt;Split&lt;/a&gt;</v>
      </c>
      <c r="AU604" s="2" t="s">
        <v>1276</v>
      </c>
      <c r="AV604" t="s">
        <v>64</v>
      </c>
    </row>
    <row r="605" spans="1:48">
      <c r="A605" t="s">
        <v>622</v>
      </c>
      <c r="B605" t="s">
        <v>1109</v>
      </c>
      <c r="C605" t="s">
        <v>624</v>
      </c>
      <c r="D605" t="s">
        <v>1268</v>
      </c>
      <c r="E605" t="s">
        <v>1277</v>
      </c>
      <c r="F605" t="s">
        <v>1304</v>
      </c>
      <c r="G605" t="s">
        <v>1266</v>
      </c>
      <c r="H605" t="s">
        <v>1305</v>
      </c>
      <c r="I605" t="s">
        <v>1303</v>
      </c>
      <c r="J605" t="s">
        <v>1267</v>
      </c>
      <c r="K605" t="s">
        <v>1275</v>
      </c>
      <c r="L605" s="2" t="s">
        <v>1274</v>
      </c>
      <c r="M605" t="str">
        <f t="shared" ref="M605:AB605" si="2416">CONCATENATE("&lt;/li&gt;&lt;li&gt;&lt;a href=|http://",M1191,"/psalms/127.htm","| ","title=|",M1190,"| target=|_top|&gt;",M1192,"&lt;/a&gt;")</f>
        <v>&lt;/li&gt;&lt;li&gt;&lt;a href=|http://niv.scripturetext.com/psalms/127.htm| title=|New International Version| target=|_top|&gt;NIV&lt;/a&gt;</v>
      </c>
      <c r="N605" t="str">
        <f t="shared" si="2416"/>
        <v>&lt;/li&gt;&lt;li&gt;&lt;a href=|http://nlt.scripturetext.com/psalms/127.htm| title=|New Living Translation| target=|_top|&gt;NLT&lt;/a&gt;</v>
      </c>
      <c r="O605" t="str">
        <f t="shared" si="2416"/>
        <v>&lt;/li&gt;&lt;li&gt;&lt;a href=|http://nasb.scripturetext.com/psalms/127.htm| title=|New American Standard Bible| target=|_top|&gt;NAS&lt;/a&gt;</v>
      </c>
      <c r="P605" t="str">
        <f t="shared" si="2416"/>
        <v>&lt;/li&gt;&lt;li&gt;&lt;a href=|http://gwt.scripturetext.com/psalms/127.htm| title=|God's Word Translation| target=|_top|&gt;GWT&lt;/a&gt;</v>
      </c>
      <c r="Q605" t="str">
        <f t="shared" si="2416"/>
        <v>&lt;/li&gt;&lt;li&gt;&lt;a href=|http://kingjbible.com/psalms/127.htm| title=|King James Bible| target=|_top|&gt;KJV&lt;/a&gt;</v>
      </c>
      <c r="R605" t="str">
        <f t="shared" si="2416"/>
        <v>&lt;/li&gt;&lt;li&gt;&lt;a href=|http://asvbible.com/psalms/127.htm| title=|American Standard Version| target=|_top|&gt;ASV&lt;/a&gt;</v>
      </c>
      <c r="S605" t="str">
        <f t="shared" si="2416"/>
        <v>&lt;/li&gt;&lt;li&gt;&lt;a href=|http://drb.scripturetext.com/psalms/127.htm| title=|Douay-Rheims Bible| target=|_top|&gt;DRB&lt;/a&gt;</v>
      </c>
      <c r="T605" t="str">
        <f t="shared" si="2416"/>
        <v>&lt;/li&gt;&lt;li&gt;&lt;a href=|http://erv.scripturetext.com/psalms/127.htm| title=|English Revised Version| target=|_top|&gt;ERV&lt;/a&gt;</v>
      </c>
      <c r="V605" t="str">
        <f>CONCATENATE("&lt;/li&gt;&lt;li&gt;&lt;a href=|http://",V1191,"/psalms/127.htm","| ","title=|",V1190,"| target=|_top|&gt;",V1192,"&lt;/a&gt;")</f>
        <v>&lt;/li&gt;&lt;li&gt;&lt;a href=|http://study.interlinearbible.org/psalms/127.htm| title=|Hebrew Study Bible| target=|_top|&gt;Heb Study&lt;/a&gt;</v>
      </c>
      <c r="W605" t="str">
        <f t="shared" si="2416"/>
        <v>&lt;/li&gt;&lt;li&gt;&lt;a href=|http://apostolic.interlinearbible.org/psalms/127.htm| title=|Apostolic Bible Polyglot Interlinear| target=|_top|&gt;Polyglot&lt;/a&gt;</v>
      </c>
      <c r="X605" t="str">
        <f t="shared" si="2416"/>
        <v>&lt;/li&gt;&lt;li&gt;&lt;a href=|http://interlinearbible.org/psalms/127.htm| title=|Interlinear Bible| target=|_top|&gt;Interlin&lt;/a&gt;</v>
      </c>
      <c r="Y605" t="str">
        <f t="shared" ref="Y605" si="2417">CONCATENATE("&lt;/li&gt;&lt;li&gt;&lt;a href=|http://",Y1191,"/psalms/127.htm","| ","title=|",Y1190,"| target=|_top|&gt;",Y1192,"&lt;/a&gt;")</f>
        <v>&lt;/li&gt;&lt;li&gt;&lt;a href=|http://bibleoutline.org/psalms/127.htm| title=|Outline with People and Places List| target=|_top|&gt;Outline&lt;/a&gt;</v>
      </c>
      <c r="Z605" t="str">
        <f t="shared" si="2416"/>
        <v>&lt;/li&gt;&lt;li&gt;&lt;a href=|http://kjvs.scripturetext.com/psalms/127.htm| title=|King James Bible with Strong's Numbers| target=|_top|&gt;Strong's&lt;/a&gt;</v>
      </c>
      <c r="AA605" t="str">
        <f t="shared" si="2416"/>
        <v>&lt;/li&gt;&lt;li&gt;&lt;a href=|http://childrensbibleonline.com/psalms/127.htm| title=|The Children's Bible| target=|_top|&gt;Children's&lt;/a&gt;</v>
      </c>
      <c r="AB605" s="2" t="str">
        <f t="shared" si="2416"/>
        <v>&lt;/li&gt;&lt;li&gt;&lt;a href=|http://tsk.scripturetext.com/psalms/127.htm| title=|Treasury of Scripture Knowledge| target=|_top|&gt;TSK&lt;/a&gt;</v>
      </c>
      <c r="AC605" t="str">
        <f>CONCATENATE("&lt;a href=|http://",AC1191,"/psalms/127.htm","| ","title=|",AC1190,"| target=|_top|&gt;",AC1192,"&lt;/a&gt;")</f>
        <v>&lt;a href=|http://parallelbible.com/psalms/127.htm| title=|Parallel Chapters| target=|_top|&gt;PAR&lt;/a&gt;</v>
      </c>
      <c r="AD605" s="2" t="str">
        <f t="shared" ref="AD605:AK605" si="2418">CONCATENATE("&lt;/li&gt;&lt;li&gt;&lt;a href=|http://",AD1191,"/psalms/127.htm","| ","title=|",AD1190,"| target=|_top|&gt;",AD1192,"&lt;/a&gt;")</f>
        <v>&lt;/li&gt;&lt;li&gt;&lt;a href=|http://gsb.biblecommenter.com/psalms/127.htm| title=|Geneva Study Bible| target=|_top|&gt;GSB&lt;/a&gt;</v>
      </c>
      <c r="AE605" s="2" t="str">
        <f t="shared" si="2418"/>
        <v>&lt;/li&gt;&lt;li&gt;&lt;a href=|http://jfb.biblecommenter.com/psalms/127.htm| title=|Jamieson-Fausset-Brown Bible Commentary| target=|_top|&gt;JFB&lt;/a&gt;</v>
      </c>
      <c r="AF605" s="2" t="str">
        <f t="shared" si="2418"/>
        <v>&lt;/li&gt;&lt;li&gt;&lt;a href=|http://kjt.biblecommenter.com/psalms/127.htm| title=|King James Translators' Notes| target=|_top|&gt;KJT&lt;/a&gt;</v>
      </c>
      <c r="AG605" s="2" t="str">
        <f t="shared" si="2418"/>
        <v>&lt;/li&gt;&lt;li&gt;&lt;a href=|http://mhc.biblecommenter.com/psalms/127.htm| title=|Matthew Henry's Concise Commentary| target=|_top|&gt;MHC&lt;/a&gt;</v>
      </c>
      <c r="AH605" s="2" t="str">
        <f t="shared" si="2418"/>
        <v>&lt;/li&gt;&lt;li&gt;&lt;a href=|http://sco.biblecommenter.com/psalms/127.htm| title=|Scofield Reference Notes| target=|_top|&gt;SCO&lt;/a&gt;</v>
      </c>
      <c r="AI605" s="2" t="str">
        <f t="shared" si="2418"/>
        <v>&lt;/li&gt;&lt;li&gt;&lt;a href=|http://wes.biblecommenter.com/psalms/127.htm| title=|Wesley's Notes on the Bible| target=|_top|&gt;WES&lt;/a&gt;</v>
      </c>
      <c r="AJ605" t="str">
        <f t="shared" si="2418"/>
        <v>&lt;/li&gt;&lt;li&gt;&lt;a href=|http://worldebible.com/psalms/127.htm| title=|World English Bible| target=|_top|&gt;WEB&lt;/a&gt;</v>
      </c>
      <c r="AK605" t="str">
        <f t="shared" si="2418"/>
        <v>&lt;/li&gt;&lt;li&gt;&lt;a href=|http://yltbible.com/psalms/127.htm| title=|Young's Literal Translation| target=|_top|&gt;YLT&lt;/a&gt;</v>
      </c>
      <c r="AL605" t="str">
        <f>CONCATENATE("&lt;a href=|http://",AL1191,"/psalms/127.htm","| ","title=|",AL1190,"| target=|_top|&gt;",AL1192,"&lt;/a&gt;")</f>
        <v>&lt;a href=|http://kjv.us/psalms/127.htm| title=|American King James Version| target=|_top|&gt;AKJ&lt;/a&gt;</v>
      </c>
      <c r="AM605" t="str">
        <f t="shared" ref="AM605:AN605" si="2419">CONCATENATE("&lt;/li&gt;&lt;li&gt;&lt;a href=|http://",AM1191,"/psalms/127.htm","| ","title=|",AM1190,"| target=|_top|&gt;",AM1192,"&lt;/a&gt;")</f>
        <v>&lt;/li&gt;&lt;li&gt;&lt;a href=|http://basicenglishbible.com/psalms/127.htm| title=|Bible in Basic English| target=|_top|&gt;BBE&lt;/a&gt;</v>
      </c>
      <c r="AN605" t="str">
        <f t="shared" si="2419"/>
        <v>&lt;/li&gt;&lt;li&gt;&lt;a href=|http://darbybible.com/psalms/127.htm| title=|Darby Bible Translation| target=|_top|&gt;DBY&lt;/a&gt;</v>
      </c>
      <c r="AO60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0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0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05" t="str">
        <f>CONCATENATE("&lt;/li&gt;&lt;li&gt;&lt;a href=|http://",AR1191,"/psalms/127.htm","| ","title=|",AR1190,"| target=|_top|&gt;",AR1192,"&lt;/a&gt;")</f>
        <v>&lt;/li&gt;&lt;li&gt;&lt;a href=|http://websterbible.com/psalms/127.htm| title=|Webster's Bible Translation| target=|_top|&gt;WBS&lt;/a&gt;</v>
      </c>
      <c r="AS60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05" t="str">
        <f>CONCATENATE("&lt;/li&gt;&lt;li&gt;&lt;a href=|http://",AT1191,"/psalms/127-1.htm","| ","title=|",AT1190,"| target=|_top|&gt;",AT1192,"&lt;/a&gt;")</f>
        <v>&lt;/li&gt;&lt;li&gt;&lt;a href=|http://biblebrowser.com/psalms/127-1.htm| title=|Split View| target=|_top|&gt;Split&lt;/a&gt;</v>
      </c>
      <c r="AU605" s="2" t="s">
        <v>1276</v>
      </c>
      <c r="AV605" t="s">
        <v>64</v>
      </c>
    </row>
    <row r="606" spans="1:48">
      <c r="A606" t="s">
        <v>622</v>
      </c>
      <c r="B606" t="s">
        <v>1110</v>
      </c>
      <c r="C606" t="s">
        <v>624</v>
      </c>
      <c r="D606" t="s">
        <v>1268</v>
      </c>
      <c r="E606" t="s">
        <v>1277</v>
      </c>
      <c r="F606" t="s">
        <v>1304</v>
      </c>
      <c r="G606" t="s">
        <v>1266</v>
      </c>
      <c r="H606" t="s">
        <v>1305</v>
      </c>
      <c r="I606" t="s">
        <v>1303</v>
      </c>
      <c r="J606" t="s">
        <v>1267</v>
      </c>
      <c r="K606" t="s">
        <v>1275</v>
      </c>
      <c r="L606" s="2" t="s">
        <v>1274</v>
      </c>
      <c r="M606" t="str">
        <f t="shared" ref="M606:AB606" si="2420">CONCATENATE("&lt;/li&gt;&lt;li&gt;&lt;a href=|http://",M1191,"/psalms/128.htm","| ","title=|",M1190,"| target=|_top|&gt;",M1192,"&lt;/a&gt;")</f>
        <v>&lt;/li&gt;&lt;li&gt;&lt;a href=|http://niv.scripturetext.com/psalms/128.htm| title=|New International Version| target=|_top|&gt;NIV&lt;/a&gt;</v>
      </c>
      <c r="N606" t="str">
        <f t="shared" si="2420"/>
        <v>&lt;/li&gt;&lt;li&gt;&lt;a href=|http://nlt.scripturetext.com/psalms/128.htm| title=|New Living Translation| target=|_top|&gt;NLT&lt;/a&gt;</v>
      </c>
      <c r="O606" t="str">
        <f t="shared" si="2420"/>
        <v>&lt;/li&gt;&lt;li&gt;&lt;a href=|http://nasb.scripturetext.com/psalms/128.htm| title=|New American Standard Bible| target=|_top|&gt;NAS&lt;/a&gt;</v>
      </c>
      <c r="P606" t="str">
        <f t="shared" si="2420"/>
        <v>&lt;/li&gt;&lt;li&gt;&lt;a href=|http://gwt.scripturetext.com/psalms/128.htm| title=|God's Word Translation| target=|_top|&gt;GWT&lt;/a&gt;</v>
      </c>
      <c r="Q606" t="str">
        <f t="shared" si="2420"/>
        <v>&lt;/li&gt;&lt;li&gt;&lt;a href=|http://kingjbible.com/psalms/128.htm| title=|King James Bible| target=|_top|&gt;KJV&lt;/a&gt;</v>
      </c>
      <c r="R606" t="str">
        <f t="shared" si="2420"/>
        <v>&lt;/li&gt;&lt;li&gt;&lt;a href=|http://asvbible.com/psalms/128.htm| title=|American Standard Version| target=|_top|&gt;ASV&lt;/a&gt;</v>
      </c>
      <c r="S606" t="str">
        <f t="shared" si="2420"/>
        <v>&lt;/li&gt;&lt;li&gt;&lt;a href=|http://drb.scripturetext.com/psalms/128.htm| title=|Douay-Rheims Bible| target=|_top|&gt;DRB&lt;/a&gt;</v>
      </c>
      <c r="T606" t="str">
        <f t="shared" si="2420"/>
        <v>&lt;/li&gt;&lt;li&gt;&lt;a href=|http://erv.scripturetext.com/psalms/128.htm| title=|English Revised Version| target=|_top|&gt;ERV&lt;/a&gt;</v>
      </c>
      <c r="V606" t="str">
        <f>CONCATENATE("&lt;/li&gt;&lt;li&gt;&lt;a href=|http://",V1191,"/psalms/128.htm","| ","title=|",V1190,"| target=|_top|&gt;",V1192,"&lt;/a&gt;")</f>
        <v>&lt;/li&gt;&lt;li&gt;&lt;a href=|http://study.interlinearbible.org/psalms/128.htm| title=|Hebrew Study Bible| target=|_top|&gt;Heb Study&lt;/a&gt;</v>
      </c>
      <c r="W606" t="str">
        <f t="shared" si="2420"/>
        <v>&lt;/li&gt;&lt;li&gt;&lt;a href=|http://apostolic.interlinearbible.org/psalms/128.htm| title=|Apostolic Bible Polyglot Interlinear| target=|_top|&gt;Polyglot&lt;/a&gt;</v>
      </c>
      <c r="X606" t="str">
        <f t="shared" si="2420"/>
        <v>&lt;/li&gt;&lt;li&gt;&lt;a href=|http://interlinearbible.org/psalms/128.htm| title=|Interlinear Bible| target=|_top|&gt;Interlin&lt;/a&gt;</v>
      </c>
      <c r="Y606" t="str">
        <f t="shared" ref="Y606" si="2421">CONCATENATE("&lt;/li&gt;&lt;li&gt;&lt;a href=|http://",Y1191,"/psalms/128.htm","| ","title=|",Y1190,"| target=|_top|&gt;",Y1192,"&lt;/a&gt;")</f>
        <v>&lt;/li&gt;&lt;li&gt;&lt;a href=|http://bibleoutline.org/psalms/128.htm| title=|Outline with People and Places List| target=|_top|&gt;Outline&lt;/a&gt;</v>
      </c>
      <c r="Z606" t="str">
        <f t="shared" si="2420"/>
        <v>&lt;/li&gt;&lt;li&gt;&lt;a href=|http://kjvs.scripturetext.com/psalms/128.htm| title=|King James Bible with Strong's Numbers| target=|_top|&gt;Strong's&lt;/a&gt;</v>
      </c>
      <c r="AA606" t="str">
        <f t="shared" si="2420"/>
        <v>&lt;/li&gt;&lt;li&gt;&lt;a href=|http://childrensbibleonline.com/psalms/128.htm| title=|The Children's Bible| target=|_top|&gt;Children's&lt;/a&gt;</v>
      </c>
      <c r="AB606" s="2" t="str">
        <f t="shared" si="2420"/>
        <v>&lt;/li&gt;&lt;li&gt;&lt;a href=|http://tsk.scripturetext.com/psalms/128.htm| title=|Treasury of Scripture Knowledge| target=|_top|&gt;TSK&lt;/a&gt;</v>
      </c>
      <c r="AC606" t="str">
        <f>CONCATENATE("&lt;a href=|http://",AC1191,"/psalms/128.htm","| ","title=|",AC1190,"| target=|_top|&gt;",AC1192,"&lt;/a&gt;")</f>
        <v>&lt;a href=|http://parallelbible.com/psalms/128.htm| title=|Parallel Chapters| target=|_top|&gt;PAR&lt;/a&gt;</v>
      </c>
      <c r="AD606" s="2" t="str">
        <f t="shared" ref="AD606:AK606" si="2422">CONCATENATE("&lt;/li&gt;&lt;li&gt;&lt;a href=|http://",AD1191,"/psalms/128.htm","| ","title=|",AD1190,"| target=|_top|&gt;",AD1192,"&lt;/a&gt;")</f>
        <v>&lt;/li&gt;&lt;li&gt;&lt;a href=|http://gsb.biblecommenter.com/psalms/128.htm| title=|Geneva Study Bible| target=|_top|&gt;GSB&lt;/a&gt;</v>
      </c>
      <c r="AE606" s="2" t="str">
        <f t="shared" si="2422"/>
        <v>&lt;/li&gt;&lt;li&gt;&lt;a href=|http://jfb.biblecommenter.com/psalms/128.htm| title=|Jamieson-Fausset-Brown Bible Commentary| target=|_top|&gt;JFB&lt;/a&gt;</v>
      </c>
      <c r="AF606" s="2" t="str">
        <f t="shared" si="2422"/>
        <v>&lt;/li&gt;&lt;li&gt;&lt;a href=|http://kjt.biblecommenter.com/psalms/128.htm| title=|King James Translators' Notes| target=|_top|&gt;KJT&lt;/a&gt;</v>
      </c>
      <c r="AG606" s="2" t="str">
        <f t="shared" si="2422"/>
        <v>&lt;/li&gt;&lt;li&gt;&lt;a href=|http://mhc.biblecommenter.com/psalms/128.htm| title=|Matthew Henry's Concise Commentary| target=|_top|&gt;MHC&lt;/a&gt;</v>
      </c>
      <c r="AH606" s="2" t="str">
        <f t="shared" si="2422"/>
        <v>&lt;/li&gt;&lt;li&gt;&lt;a href=|http://sco.biblecommenter.com/psalms/128.htm| title=|Scofield Reference Notes| target=|_top|&gt;SCO&lt;/a&gt;</v>
      </c>
      <c r="AI606" s="2" t="str">
        <f t="shared" si="2422"/>
        <v>&lt;/li&gt;&lt;li&gt;&lt;a href=|http://wes.biblecommenter.com/psalms/128.htm| title=|Wesley's Notes on the Bible| target=|_top|&gt;WES&lt;/a&gt;</v>
      </c>
      <c r="AJ606" t="str">
        <f t="shared" si="2422"/>
        <v>&lt;/li&gt;&lt;li&gt;&lt;a href=|http://worldebible.com/psalms/128.htm| title=|World English Bible| target=|_top|&gt;WEB&lt;/a&gt;</v>
      </c>
      <c r="AK606" t="str">
        <f t="shared" si="2422"/>
        <v>&lt;/li&gt;&lt;li&gt;&lt;a href=|http://yltbible.com/psalms/128.htm| title=|Young's Literal Translation| target=|_top|&gt;YLT&lt;/a&gt;</v>
      </c>
      <c r="AL606" t="str">
        <f>CONCATENATE("&lt;a href=|http://",AL1191,"/psalms/128.htm","| ","title=|",AL1190,"| target=|_top|&gt;",AL1192,"&lt;/a&gt;")</f>
        <v>&lt;a href=|http://kjv.us/psalms/128.htm| title=|American King James Version| target=|_top|&gt;AKJ&lt;/a&gt;</v>
      </c>
      <c r="AM606" t="str">
        <f t="shared" ref="AM606:AN606" si="2423">CONCATENATE("&lt;/li&gt;&lt;li&gt;&lt;a href=|http://",AM1191,"/psalms/128.htm","| ","title=|",AM1190,"| target=|_top|&gt;",AM1192,"&lt;/a&gt;")</f>
        <v>&lt;/li&gt;&lt;li&gt;&lt;a href=|http://basicenglishbible.com/psalms/128.htm| title=|Bible in Basic English| target=|_top|&gt;BBE&lt;/a&gt;</v>
      </c>
      <c r="AN606" t="str">
        <f t="shared" si="2423"/>
        <v>&lt;/li&gt;&lt;li&gt;&lt;a href=|http://darbybible.com/psalms/128.htm| title=|Darby Bible Translation| target=|_top|&gt;DBY&lt;/a&gt;</v>
      </c>
      <c r="AO60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0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0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06" t="str">
        <f>CONCATENATE("&lt;/li&gt;&lt;li&gt;&lt;a href=|http://",AR1191,"/psalms/128.htm","| ","title=|",AR1190,"| target=|_top|&gt;",AR1192,"&lt;/a&gt;")</f>
        <v>&lt;/li&gt;&lt;li&gt;&lt;a href=|http://websterbible.com/psalms/128.htm| title=|Webster's Bible Translation| target=|_top|&gt;WBS&lt;/a&gt;</v>
      </c>
      <c r="AS60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06" t="str">
        <f>CONCATENATE("&lt;/li&gt;&lt;li&gt;&lt;a href=|http://",AT1191,"/psalms/128-1.htm","| ","title=|",AT1190,"| target=|_top|&gt;",AT1192,"&lt;/a&gt;")</f>
        <v>&lt;/li&gt;&lt;li&gt;&lt;a href=|http://biblebrowser.com/psalms/128-1.htm| title=|Split View| target=|_top|&gt;Split&lt;/a&gt;</v>
      </c>
      <c r="AU606" s="2" t="s">
        <v>1276</v>
      </c>
      <c r="AV606" t="s">
        <v>64</v>
      </c>
    </row>
    <row r="607" spans="1:48">
      <c r="A607" t="s">
        <v>622</v>
      </c>
      <c r="B607" t="s">
        <v>1111</v>
      </c>
      <c r="C607" t="s">
        <v>624</v>
      </c>
      <c r="D607" t="s">
        <v>1268</v>
      </c>
      <c r="E607" t="s">
        <v>1277</v>
      </c>
      <c r="F607" t="s">
        <v>1304</v>
      </c>
      <c r="G607" t="s">
        <v>1266</v>
      </c>
      <c r="H607" t="s">
        <v>1305</v>
      </c>
      <c r="I607" t="s">
        <v>1303</v>
      </c>
      <c r="J607" t="s">
        <v>1267</v>
      </c>
      <c r="K607" t="s">
        <v>1275</v>
      </c>
      <c r="L607" s="2" t="s">
        <v>1274</v>
      </c>
      <c r="M607" t="str">
        <f t="shared" ref="M607:AB607" si="2424">CONCATENATE("&lt;/li&gt;&lt;li&gt;&lt;a href=|http://",M1191,"/psalms/129.htm","| ","title=|",M1190,"| target=|_top|&gt;",M1192,"&lt;/a&gt;")</f>
        <v>&lt;/li&gt;&lt;li&gt;&lt;a href=|http://niv.scripturetext.com/psalms/129.htm| title=|New International Version| target=|_top|&gt;NIV&lt;/a&gt;</v>
      </c>
      <c r="N607" t="str">
        <f t="shared" si="2424"/>
        <v>&lt;/li&gt;&lt;li&gt;&lt;a href=|http://nlt.scripturetext.com/psalms/129.htm| title=|New Living Translation| target=|_top|&gt;NLT&lt;/a&gt;</v>
      </c>
      <c r="O607" t="str">
        <f t="shared" si="2424"/>
        <v>&lt;/li&gt;&lt;li&gt;&lt;a href=|http://nasb.scripturetext.com/psalms/129.htm| title=|New American Standard Bible| target=|_top|&gt;NAS&lt;/a&gt;</v>
      </c>
      <c r="P607" t="str">
        <f t="shared" si="2424"/>
        <v>&lt;/li&gt;&lt;li&gt;&lt;a href=|http://gwt.scripturetext.com/psalms/129.htm| title=|God's Word Translation| target=|_top|&gt;GWT&lt;/a&gt;</v>
      </c>
      <c r="Q607" t="str">
        <f t="shared" si="2424"/>
        <v>&lt;/li&gt;&lt;li&gt;&lt;a href=|http://kingjbible.com/psalms/129.htm| title=|King James Bible| target=|_top|&gt;KJV&lt;/a&gt;</v>
      </c>
      <c r="R607" t="str">
        <f t="shared" si="2424"/>
        <v>&lt;/li&gt;&lt;li&gt;&lt;a href=|http://asvbible.com/psalms/129.htm| title=|American Standard Version| target=|_top|&gt;ASV&lt;/a&gt;</v>
      </c>
      <c r="S607" t="str">
        <f t="shared" si="2424"/>
        <v>&lt;/li&gt;&lt;li&gt;&lt;a href=|http://drb.scripturetext.com/psalms/129.htm| title=|Douay-Rheims Bible| target=|_top|&gt;DRB&lt;/a&gt;</v>
      </c>
      <c r="T607" t="str">
        <f t="shared" si="2424"/>
        <v>&lt;/li&gt;&lt;li&gt;&lt;a href=|http://erv.scripturetext.com/psalms/129.htm| title=|English Revised Version| target=|_top|&gt;ERV&lt;/a&gt;</v>
      </c>
      <c r="V607" t="str">
        <f>CONCATENATE("&lt;/li&gt;&lt;li&gt;&lt;a href=|http://",V1191,"/psalms/129.htm","| ","title=|",V1190,"| target=|_top|&gt;",V1192,"&lt;/a&gt;")</f>
        <v>&lt;/li&gt;&lt;li&gt;&lt;a href=|http://study.interlinearbible.org/psalms/129.htm| title=|Hebrew Study Bible| target=|_top|&gt;Heb Study&lt;/a&gt;</v>
      </c>
      <c r="W607" t="str">
        <f t="shared" si="2424"/>
        <v>&lt;/li&gt;&lt;li&gt;&lt;a href=|http://apostolic.interlinearbible.org/psalms/129.htm| title=|Apostolic Bible Polyglot Interlinear| target=|_top|&gt;Polyglot&lt;/a&gt;</v>
      </c>
      <c r="X607" t="str">
        <f t="shared" si="2424"/>
        <v>&lt;/li&gt;&lt;li&gt;&lt;a href=|http://interlinearbible.org/psalms/129.htm| title=|Interlinear Bible| target=|_top|&gt;Interlin&lt;/a&gt;</v>
      </c>
      <c r="Y607" t="str">
        <f t="shared" ref="Y607" si="2425">CONCATENATE("&lt;/li&gt;&lt;li&gt;&lt;a href=|http://",Y1191,"/psalms/129.htm","| ","title=|",Y1190,"| target=|_top|&gt;",Y1192,"&lt;/a&gt;")</f>
        <v>&lt;/li&gt;&lt;li&gt;&lt;a href=|http://bibleoutline.org/psalms/129.htm| title=|Outline with People and Places List| target=|_top|&gt;Outline&lt;/a&gt;</v>
      </c>
      <c r="Z607" t="str">
        <f t="shared" si="2424"/>
        <v>&lt;/li&gt;&lt;li&gt;&lt;a href=|http://kjvs.scripturetext.com/psalms/129.htm| title=|King James Bible with Strong's Numbers| target=|_top|&gt;Strong's&lt;/a&gt;</v>
      </c>
      <c r="AA607" t="str">
        <f t="shared" si="2424"/>
        <v>&lt;/li&gt;&lt;li&gt;&lt;a href=|http://childrensbibleonline.com/psalms/129.htm| title=|The Children's Bible| target=|_top|&gt;Children's&lt;/a&gt;</v>
      </c>
      <c r="AB607" s="2" t="str">
        <f t="shared" si="2424"/>
        <v>&lt;/li&gt;&lt;li&gt;&lt;a href=|http://tsk.scripturetext.com/psalms/129.htm| title=|Treasury of Scripture Knowledge| target=|_top|&gt;TSK&lt;/a&gt;</v>
      </c>
      <c r="AC607" t="str">
        <f>CONCATENATE("&lt;a href=|http://",AC1191,"/psalms/129.htm","| ","title=|",AC1190,"| target=|_top|&gt;",AC1192,"&lt;/a&gt;")</f>
        <v>&lt;a href=|http://parallelbible.com/psalms/129.htm| title=|Parallel Chapters| target=|_top|&gt;PAR&lt;/a&gt;</v>
      </c>
      <c r="AD607" s="2" t="str">
        <f t="shared" ref="AD607:AK607" si="2426">CONCATENATE("&lt;/li&gt;&lt;li&gt;&lt;a href=|http://",AD1191,"/psalms/129.htm","| ","title=|",AD1190,"| target=|_top|&gt;",AD1192,"&lt;/a&gt;")</f>
        <v>&lt;/li&gt;&lt;li&gt;&lt;a href=|http://gsb.biblecommenter.com/psalms/129.htm| title=|Geneva Study Bible| target=|_top|&gt;GSB&lt;/a&gt;</v>
      </c>
      <c r="AE607" s="2" t="str">
        <f t="shared" si="2426"/>
        <v>&lt;/li&gt;&lt;li&gt;&lt;a href=|http://jfb.biblecommenter.com/psalms/129.htm| title=|Jamieson-Fausset-Brown Bible Commentary| target=|_top|&gt;JFB&lt;/a&gt;</v>
      </c>
      <c r="AF607" s="2" t="str">
        <f t="shared" si="2426"/>
        <v>&lt;/li&gt;&lt;li&gt;&lt;a href=|http://kjt.biblecommenter.com/psalms/129.htm| title=|King James Translators' Notes| target=|_top|&gt;KJT&lt;/a&gt;</v>
      </c>
      <c r="AG607" s="2" t="str">
        <f t="shared" si="2426"/>
        <v>&lt;/li&gt;&lt;li&gt;&lt;a href=|http://mhc.biblecommenter.com/psalms/129.htm| title=|Matthew Henry's Concise Commentary| target=|_top|&gt;MHC&lt;/a&gt;</v>
      </c>
      <c r="AH607" s="2" t="str">
        <f t="shared" si="2426"/>
        <v>&lt;/li&gt;&lt;li&gt;&lt;a href=|http://sco.biblecommenter.com/psalms/129.htm| title=|Scofield Reference Notes| target=|_top|&gt;SCO&lt;/a&gt;</v>
      </c>
      <c r="AI607" s="2" t="str">
        <f t="shared" si="2426"/>
        <v>&lt;/li&gt;&lt;li&gt;&lt;a href=|http://wes.biblecommenter.com/psalms/129.htm| title=|Wesley's Notes on the Bible| target=|_top|&gt;WES&lt;/a&gt;</v>
      </c>
      <c r="AJ607" t="str">
        <f t="shared" si="2426"/>
        <v>&lt;/li&gt;&lt;li&gt;&lt;a href=|http://worldebible.com/psalms/129.htm| title=|World English Bible| target=|_top|&gt;WEB&lt;/a&gt;</v>
      </c>
      <c r="AK607" t="str">
        <f t="shared" si="2426"/>
        <v>&lt;/li&gt;&lt;li&gt;&lt;a href=|http://yltbible.com/psalms/129.htm| title=|Young's Literal Translation| target=|_top|&gt;YLT&lt;/a&gt;</v>
      </c>
      <c r="AL607" t="str">
        <f>CONCATENATE("&lt;a href=|http://",AL1191,"/psalms/129.htm","| ","title=|",AL1190,"| target=|_top|&gt;",AL1192,"&lt;/a&gt;")</f>
        <v>&lt;a href=|http://kjv.us/psalms/129.htm| title=|American King James Version| target=|_top|&gt;AKJ&lt;/a&gt;</v>
      </c>
      <c r="AM607" t="str">
        <f t="shared" ref="AM607:AN607" si="2427">CONCATENATE("&lt;/li&gt;&lt;li&gt;&lt;a href=|http://",AM1191,"/psalms/129.htm","| ","title=|",AM1190,"| target=|_top|&gt;",AM1192,"&lt;/a&gt;")</f>
        <v>&lt;/li&gt;&lt;li&gt;&lt;a href=|http://basicenglishbible.com/psalms/129.htm| title=|Bible in Basic English| target=|_top|&gt;BBE&lt;/a&gt;</v>
      </c>
      <c r="AN607" t="str">
        <f t="shared" si="2427"/>
        <v>&lt;/li&gt;&lt;li&gt;&lt;a href=|http://darbybible.com/psalms/129.htm| title=|Darby Bible Translation| target=|_top|&gt;DBY&lt;/a&gt;</v>
      </c>
      <c r="AO60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0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0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07" t="str">
        <f>CONCATENATE("&lt;/li&gt;&lt;li&gt;&lt;a href=|http://",AR1191,"/psalms/129.htm","| ","title=|",AR1190,"| target=|_top|&gt;",AR1192,"&lt;/a&gt;")</f>
        <v>&lt;/li&gt;&lt;li&gt;&lt;a href=|http://websterbible.com/psalms/129.htm| title=|Webster's Bible Translation| target=|_top|&gt;WBS&lt;/a&gt;</v>
      </c>
      <c r="AS60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07" t="str">
        <f>CONCATENATE("&lt;/li&gt;&lt;li&gt;&lt;a href=|http://",AT1191,"/psalms/129-1.htm","| ","title=|",AT1190,"| target=|_top|&gt;",AT1192,"&lt;/a&gt;")</f>
        <v>&lt;/li&gt;&lt;li&gt;&lt;a href=|http://biblebrowser.com/psalms/129-1.htm| title=|Split View| target=|_top|&gt;Split&lt;/a&gt;</v>
      </c>
      <c r="AU607" s="2" t="s">
        <v>1276</v>
      </c>
      <c r="AV607" t="s">
        <v>64</v>
      </c>
    </row>
    <row r="608" spans="1:48">
      <c r="A608" t="s">
        <v>622</v>
      </c>
      <c r="B608" t="s">
        <v>1112</v>
      </c>
      <c r="C608" t="s">
        <v>624</v>
      </c>
      <c r="D608" t="s">
        <v>1268</v>
      </c>
      <c r="E608" t="s">
        <v>1277</v>
      </c>
      <c r="F608" t="s">
        <v>1304</v>
      </c>
      <c r="G608" t="s">
        <v>1266</v>
      </c>
      <c r="H608" t="s">
        <v>1305</v>
      </c>
      <c r="I608" t="s">
        <v>1303</v>
      </c>
      <c r="J608" t="s">
        <v>1267</v>
      </c>
      <c r="K608" t="s">
        <v>1275</v>
      </c>
      <c r="L608" s="2" t="s">
        <v>1274</v>
      </c>
      <c r="M608" t="str">
        <f t="shared" ref="M608:AB608" si="2428">CONCATENATE("&lt;/li&gt;&lt;li&gt;&lt;a href=|http://",M1191,"/psalms/130.htm","| ","title=|",M1190,"| target=|_top|&gt;",M1192,"&lt;/a&gt;")</f>
        <v>&lt;/li&gt;&lt;li&gt;&lt;a href=|http://niv.scripturetext.com/psalms/130.htm| title=|New International Version| target=|_top|&gt;NIV&lt;/a&gt;</v>
      </c>
      <c r="N608" t="str">
        <f t="shared" si="2428"/>
        <v>&lt;/li&gt;&lt;li&gt;&lt;a href=|http://nlt.scripturetext.com/psalms/130.htm| title=|New Living Translation| target=|_top|&gt;NLT&lt;/a&gt;</v>
      </c>
      <c r="O608" t="str">
        <f t="shared" si="2428"/>
        <v>&lt;/li&gt;&lt;li&gt;&lt;a href=|http://nasb.scripturetext.com/psalms/130.htm| title=|New American Standard Bible| target=|_top|&gt;NAS&lt;/a&gt;</v>
      </c>
      <c r="P608" t="str">
        <f t="shared" si="2428"/>
        <v>&lt;/li&gt;&lt;li&gt;&lt;a href=|http://gwt.scripturetext.com/psalms/130.htm| title=|God's Word Translation| target=|_top|&gt;GWT&lt;/a&gt;</v>
      </c>
      <c r="Q608" t="str">
        <f t="shared" si="2428"/>
        <v>&lt;/li&gt;&lt;li&gt;&lt;a href=|http://kingjbible.com/psalms/130.htm| title=|King James Bible| target=|_top|&gt;KJV&lt;/a&gt;</v>
      </c>
      <c r="R608" t="str">
        <f t="shared" si="2428"/>
        <v>&lt;/li&gt;&lt;li&gt;&lt;a href=|http://asvbible.com/psalms/130.htm| title=|American Standard Version| target=|_top|&gt;ASV&lt;/a&gt;</v>
      </c>
      <c r="S608" t="str">
        <f t="shared" si="2428"/>
        <v>&lt;/li&gt;&lt;li&gt;&lt;a href=|http://drb.scripturetext.com/psalms/130.htm| title=|Douay-Rheims Bible| target=|_top|&gt;DRB&lt;/a&gt;</v>
      </c>
      <c r="T608" t="str">
        <f t="shared" si="2428"/>
        <v>&lt;/li&gt;&lt;li&gt;&lt;a href=|http://erv.scripturetext.com/psalms/130.htm| title=|English Revised Version| target=|_top|&gt;ERV&lt;/a&gt;</v>
      </c>
      <c r="V608" t="str">
        <f>CONCATENATE("&lt;/li&gt;&lt;li&gt;&lt;a href=|http://",V1191,"/psalms/130.htm","| ","title=|",V1190,"| target=|_top|&gt;",V1192,"&lt;/a&gt;")</f>
        <v>&lt;/li&gt;&lt;li&gt;&lt;a href=|http://study.interlinearbible.org/psalms/130.htm| title=|Hebrew Study Bible| target=|_top|&gt;Heb Study&lt;/a&gt;</v>
      </c>
      <c r="W608" t="str">
        <f t="shared" si="2428"/>
        <v>&lt;/li&gt;&lt;li&gt;&lt;a href=|http://apostolic.interlinearbible.org/psalms/130.htm| title=|Apostolic Bible Polyglot Interlinear| target=|_top|&gt;Polyglot&lt;/a&gt;</v>
      </c>
      <c r="X608" t="str">
        <f t="shared" si="2428"/>
        <v>&lt;/li&gt;&lt;li&gt;&lt;a href=|http://interlinearbible.org/psalms/130.htm| title=|Interlinear Bible| target=|_top|&gt;Interlin&lt;/a&gt;</v>
      </c>
      <c r="Y608" t="str">
        <f t="shared" ref="Y608" si="2429">CONCATENATE("&lt;/li&gt;&lt;li&gt;&lt;a href=|http://",Y1191,"/psalms/130.htm","| ","title=|",Y1190,"| target=|_top|&gt;",Y1192,"&lt;/a&gt;")</f>
        <v>&lt;/li&gt;&lt;li&gt;&lt;a href=|http://bibleoutline.org/psalms/130.htm| title=|Outline with People and Places List| target=|_top|&gt;Outline&lt;/a&gt;</v>
      </c>
      <c r="Z608" t="str">
        <f t="shared" si="2428"/>
        <v>&lt;/li&gt;&lt;li&gt;&lt;a href=|http://kjvs.scripturetext.com/psalms/130.htm| title=|King James Bible with Strong's Numbers| target=|_top|&gt;Strong's&lt;/a&gt;</v>
      </c>
      <c r="AA608" t="str">
        <f t="shared" si="2428"/>
        <v>&lt;/li&gt;&lt;li&gt;&lt;a href=|http://childrensbibleonline.com/psalms/130.htm| title=|The Children's Bible| target=|_top|&gt;Children's&lt;/a&gt;</v>
      </c>
      <c r="AB608" s="2" t="str">
        <f t="shared" si="2428"/>
        <v>&lt;/li&gt;&lt;li&gt;&lt;a href=|http://tsk.scripturetext.com/psalms/130.htm| title=|Treasury of Scripture Knowledge| target=|_top|&gt;TSK&lt;/a&gt;</v>
      </c>
      <c r="AC608" t="str">
        <f>CONCATENATE("&lt;a href=|http://",AC1191,"/psalms/130.htm","| ","title=|",AC1190,"| target=|_top|&gt;",AC1192,"&lt;/a&gt;")</f>
        <v>&lt;a href=|http://parallelbible.com/psalms/130.htm| title=|Parallel Chapters| target=|_top|&gt;PAR&lt;/a&gt;</v>
      </c>
      <c r="AD608" s="2" t="str">
        <f t="shared" ref="AD608:AK608" si="2430">CONCATENATE("&lt;/li&gt;&lt;li&gt;&lt;a href=|http://",AD1191,"/psalms/130.htm","| ","title=|",AD1190,"| target=|_top|&gt;",AD1192,"&lt;/a&gt;")</f>
        <v>&lt;/li&gt;&lt;li&gt;&lt;a href=|http://gsb.biblecommenter.com/psalms/130.htm| title=|Geneva Study Bible| target=|_top|&gt;GSB&lt;/a&gt;</v>
      </c>
      <c r="AE608" s="2" t="str">
        <f t="shared" si="2430"/>
        <v>&lt;/li&gt;&lt;li&gt;&lt;a href=|http://jfb.biblecommenter.com/psalms/130.htm| title=|Jamieson-Fausset-Brown Bible Commentary| target=|_top|&gt;JFB&lt;/a&gt;</v>
      </c>
      <c r="AF608" s="2" t="str">
        <f t="shared" si="2430"/>
        <v>&lt;/li&gt;&lt;li&gt;&lt;a href=|http://kjt.biblecommenter.com/psalms/130.htm| title=|King James Translators' Notes| target=|_top|&gt;KJT&lt;/a&gt;</v>
      </c>
      <c r="AG608" s="2" t="str">
        <f t="shared" si="2430"/>
        <v>&lt;/li&gt;&lt;li&gt;&lt;a href=|http://mhc.biblecommenter.com/psalms/130.htm| title=|Matthew Henry's Concise Commentary| target=|_top|&gt;MHC&lt;/a&gt;</v>
      </c>
      <c r="AH608" s="2" t="str">
        <f t="shared" si="2430"/>
        <v>&lt;/li&gt;&lt;li&gt;&lt;a href=|http://sco.biblecommenter.com/psalms/130.htm| title=|Scofield Reference Notes| target=|_top|&gt;SCO&lt;/a&gt;</v>
      </c>
      <c r="AI608" s="2" t="str">
        <f t="shared" si="2430"/>
        <v>&lt;/li&gt;&lt;li&gt;&lt;a href=|http://wes.biblecommenter.com/psalms/130.htm| title=|Wesley's Notes on the Bible| target=|_top|&gt;WES&lt;/a&gt;</v>
      </c>
      <c r="AJ608" t="str">
        <f t="shared" si="2430"/>
        <v>&lt;/li&gt;&lt;li&gt;&lt;a href=|http://worldebible.com/psalms/130.htm| title=|World English Bible| target=|_top|&gt;WEB&lt;/a&gt;</v>
      </c>
      <c r="AK608" t="str">
        <f t="shared" si="2430"/>
        <v>&lt;/li&gt;&lt;li&gt;&lt;a href=|http://yltbible.com/psalms/130.htm| title=|Young's Literal Translation| target=|_top|&gt;YLT&lt;/a&gt;</v>
      </c>
      <c r="AL608" t="str">
        <f>CONCATENATE("&lt;a href=|http://",AL1191,"/psalms/130.htm","| ","title=|",AL1190,"| target=|_top|&gt;",AL1192,"&lt;/a&gt;")</f>
        <v>&lt;a href=|http://kjv.us/psalms/130.htm| title=|American King James Version| target=|_top|&gt;AKJ&lt;/a&gt;</v>
      </c>
      <c r="AM608" t="str">
        <f t="shared" ref="AM608:AN608" si="2431">CONCATENATE("&lt;/li&gt;&lt;li&gt;&lt;a href=|http://",AM1191,"/psalms/130.htm","| ","title=|",AM1190,"| target=|_top|&gt;",AM1192,"&lt;/a&gt;")</f>
        <v>&lt;/li&gt;&lt;li&gt;&lt;a href=|http://basicenglishbible.com/psalms/130.htm| title=|Bible in Basic English| target=|_top|&gt;BBE&lt;/a&gt;</v>
      </c>
      <c r="AN608" t="str">
        <f t="shared" si="2431"/>
        <v>&lt;/li&gt;&lt;li&gt;&lt;a href=|http://darbybible.com/psalms/130.htm| title=|Darby Bible Translation| target=|_top|&gt;DBY&lt;/a&gt;</v>
      </c>
      <c r="AO60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0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0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08" t="str">
        <f>CONCATENATE("&lt;/li&gt;&lt;li&gt;&lt;a href=|http://",AR1191,"/psalms/130.htm","| ","title=|",AR1190,"| target=|_top|&gt;",AR1192,"&lt;/a&gt;")</f>
        <v>&lt;/li&gt;&lt;li&gt;&lt;a href=|http://websterbible.com/psalms/130.htm| title=|Webster's Bible Translation| target=|_top|&gt;WBS&lt;/a&gt;</v>
      </c>
      <c r="AS60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08" t="str">
        <f>CONCATENATE("&lt;/li&gt;&lt;li&gt;&lt;a href=|http://",AT1191,"/psalms/130-1.htm","| ","title=|",AT1190,"| target=|_top|&gt;",AT1192,"&lt;/a&gt;")</f>
        <v>&lt;/li&gt;&lt;li&gt;&lt;a href=|http://biblebrowser.com/psalms/130-1.htm| title=|Split View| target=|_top|&gt;Split&lt;/a&gt;</v>
      </c>
      <c r="AU608" s="2" t="s">
        <v>1276</v>
      </c>
      <c r="AV608" t="s">
        <v>64</v>
      </c>
    </row>
    <row r="609" spans="1:48">
      <c r="A609" t="s">
        <v>622</v>
      </c>
      <c r="B609" t="s">
        <v>1113</v>
      </c>
      <c r="C609" t="s">
        <v>624</v>
      </c>
      <c r="D609" t="s">
        <v>1268</v>
      </c>
      <c r="E609" t="s">
        <v>1277</v>
      </c>
      <c r="F609" t="s">
        <v>1304</v>
      </c>
      <c r="G609" t="s">
        <v>1266</v>
      </c>
      <c r="H609" t="s">
        <v>1305</v>
      </c>
      <c r="I609" t="s">
        <v>1303</v>
      </c>
      <c r="J609" t="s">
        <v>1267</v>
      </c>
      <c r="K609" t="s">
        <v>1275</v>
      </c>
      <c r="L609" s="2" t="s">
        <v>1274</v>
      </c>
      <c r="M609" t="str">
        <f t="shared" ref="M609:AB609" si="2432">CONCATENATE("&lt;/li&gt;&lt;li&gt;&lt;a href=|http://",M1191,"/psalms/131.htm","| ","title=|",M1190,"| target=|_top|&gt;",M1192,"&lt;/a&gt;")</f>
        <v>&lt;/li&gt;&lt;li&gt;&lt;a href=|http://niv.scripturetext.com/psalms/131.htm| title=|New International Version| target=|_top|&gt;NIV&lt;/a&gt;</v>
      </c>
      <c r="N609" t="str">
        <f t="shared" si="2432"/>
        <v>&lt;/li&gt;&lt;li&gt;&lt;a href=|http://nlt.scripturetext.com/psalms/131.htm| title=|New Living Translation| target=|_top|&gt;NLT&lt;/a&gt;</v>
      </c>
      <c r="O609" t="str">
        <f t="shared" si="2432"/>
        <v>&lt;/li&gt;&lt;li&gt;&lt;a href=|http://nasb.scripturetext.com/psalms/131.htm| title=|New American Standard Bible| target=|_top|&gt;NAS&lt;/a&gt;</v>
      </c>
      <c r="P609" t="str">
        <f t="shared" si="2432"/>
        <v>&lt;/li&gt;&lt;li&gt;&lt;a href=|http://gwt.scripturetext.com/psalms/131.htm| title=|God's Word Translation| target=|_top|&gt;GWT&lt;/a&gt;</v>
      </c>
      <c r="Q609" t="str">
        <f t="shared" si="2432"/>
        <v>&lt;/li&gt;&lt;li&gt;&lt;a href=|http://kingjbible.com/psalms/131.htm| title=|King James Bible| target=|_top|&gt;KJV&lt;/a&gt;</v>
      </c>
      <c r="R609" t="str">
        <f t="shared" si="2432"/>
        <v>&lt;/li&gt;&lt;li&gt;&lt;a href=|http://asvbible.com/psalms/131.htm| title=|American Standard Version| target=|_top|&gt;ASV&lt;/a&gt;</v>
      </c>
      <c r="S609" t="str">
        <f t="shared" si="2432"/>
        <v>&lt;/li&gt;&lt;li&gt;&lt;a href=|http://drb.scripturetext.com/psalms/131.htm| title=|Douay-Rheims Bible| target=|_top|&gt;DRB&lt;/a&gt;</v>
      </c>
      <c r="T609" t="str">
        <f t="shared" si="2432"/>
        <v>&lt;/li&gt;&lt;li&gt;&lt;a href=|http://erv.scripturetext.com/psalms/131.htm| title=|English Revised Version| target=|_top|&gt;ERV&lt;/a&gt;</v>
      </c>
      <c r="V609" t="str">
        <f>CONCATENATE("&lt;/li&gt;&lt;li&gt;&lt;a href=|http://",V1191,"/psalms/131.htm","| ","title=|",V1190,"| target=|_top|&gt;",V1192,"&lt;/a&gt;")</f>
        <v>&lt;/li&gt;&lt;li&gt;&lt;a href=|http://study.interlinearbible.org/psalms/131.htm| title=|Hebrew Study Bible| target=|_top|&gt;Heb Study&lt;/a&gt;</v>
      </c>
      <c r="W609" t="str">
        <f t="shared" si="2432"/>
        <v>&lt;/li&gt;&lt;li&gt;&lt;a href=|http://apostolic.interlinearbible.org/psalms/131.htm| title=|Apostolic Bible Polyglot Interlinear| target=|_top|&gt;Polyglot&lt;/a&gt;</v>
      </c>
      <c r="X609" t="str">
        <f t="shared" si="2432"/>
        <v>&lt;/li&gt;&lt;li&gt;&lt;a href=|http://interlinearbible.org/psalms/131.htm| title=|Interlinear Bible| target=|_top|&gt;Interlin&lt;/a&gt;</v>
      </c>
      <c r="Y609" t="str">
        <f t="shared" ref="Y609" si="2433">CONCATENATE("&lt;/li&gt;&lt;li&gt;&lt;a href=|http://",Y1191,"/psalms/131.htm","| ","title=|",Y1190,"| target=|_top|&gt;",Y1192,"&lt;/a&gt;")</f>
        <v>&lt;/li&gt;&lt;li&gt;&lt;a href=|http://bibleoutline.org/psalms/131.htm| title=|Outline with People and Places List| target=|_top|&gt;Outline&lt;/a&gt;</v>
      </c>
      <c r="Z609" t="str">
        <f t="shared" si="2432"/>
        <v>&lt;/li&gt;&lt;li&gt;&lt;a href=|http://kjvs.scripturetext.com/psalms/131.htm| title=|King James Bible with Strong's Numbers| target=|_top|&gt;Strong's&lt;/a&gt;</v>
      </c>
      <c r="AA609" t="str">
        <f t="shared" si="2432"/>
        <v>&lt;/li&gt;&lt;li&gt;&lt;a href=|http://childrensbibleonline.com/psalms/131.htm| title=|The Children's Bible| target=|_top|&gt;Children's&lt;/a&gt;</v>
      </c>
      <c r="AB609" s="2" t="str">
        <f t="shared" si="2432"/>
        <v>&lt;/li&gt;&lt;li&gt;&lt;a href=|http://tsk.scripturetext.com/psalms/131.htm| title=|Treasury of Scripture Knowledge| target=|_top|&gt;TSK&lt;/a&gt;</v>
      </c>
      <c r="AC609" t="str">
        <f>CONCATENATE("&lt;a href=|http://",AC1191,"/psalms/131.htm","| ","title=|",AC1190,"| target=|_top|&gt;",AC1192,"&lt;/a&gt;")</f>
        <v>&lt;a href=|http://parallelbible.com/psalms/131.htm| title=|Parallel Chapters| target=|_top|&gt;PAR&lt;/a&gt;</v>
      </c>
      <c r="AD609" s="2" t="str">
        <f t="shared" ref="AD609:AK609" si="2434">CONCATENATE("&lt;/li&gt;&lt;li&gt;&lt;a href=|http://",AD1191,"/psalms/131.htm","| ","title=|",AD1190,"| target=|_top|&gt;",AD1192,"&lt;/a&gt;")</f>
        <v>&lt;/li&gt;&lt;li&gt;&lt;a href=|http://gsb.biblecommenter.com/psalms/131.htm| title=|Geneva Study Bible| target=|_top|&gt;GSB&lt;/a&gt;</v>
      </c>
      <c r="AE609" s="2" t="str">
        <f t="shared" si="2434"/>
        <v>&lt;/li&gt;&lt;li&gt;&lt;a href=|http://jfb.biblecommenter.com/psalms/131.htm| title=|Jamieson-Fausset-Brown Bible Commentary| target=|_top|&gt;JFB&lt;/a&gt;</v>
      </c>
      <c r="AF609" s="2" t="str">
        <f t="shared" si="2434"/>
        <v>&lt;/li&gt;&lt;li&gt;&lt;a href=|http://kjt.biblecommenter.com/psalms/131.htm| title=|King James Translators' Notes| target=|_top|&gt;KJT&lt;/a&gt;</v>
      </c>
      <c r="AG609" s="2" t="str">
        <f t="shared" si="2434"/>
        <v>&lt;/li&gt;&lt;li&gt;&lt;a href=|http://mhc.biblecommenter.com/psalms/131.htm| title=|Matthew Henry's Concise Commentary| target=|_top|&gt;MHC&lt;/a&gt;</v>
      </c>
      <c r="AH609" s="2" t="str">
        <f t="shared" si="2434"/>
        <v>&lt;/li&gt;&lt;li&gt;&lt;a href=|http://sco.biblecommenter.com/psalms/131.htm| title=|Scofield Reference Notes| target=|_top|&gt;SCO&lt;/a&gt;</v>
      </c>
      <c r="AI609" s="2" t="str">
        <f t="shared" si="2434"/>
        <v>&lt;/li&gt;&lt;li&gt;&lt;a href=|http://wes.biblecommenter.com/psalms/131.htm| title=|Wesley's Notes on the Bible| target=|_top|&gt;WES&lt;/a&gt;</v>
      </c>
      <c r="AJ609" t="str">
        <f t="shared" si="2434"/>
        <v>&lt;/li&gt;&lt;li&gt;&lt;a href=|http://worldebible.com/psalms/131.htm| title=|World English Bible| target=|_top|&gt;WEB&lt;/a&gt;</v>
      </c>
      <c r="AK609" t="str">
        <f t="shared" si="2434"/>
        <v>&lt;/li&gt;&lt;li&gt;&lt;a href=|http://yltbible.com/psalms/131.htm| title=|Young's Literal Translation| target=|_top|&gt;YLT&lt;/a&gt;</v>
      </c>
      <c r="AL609" t="str">
        <f>CONCATENATE("&lt;a href=|http://",AL1191,"/psalms/131.htm","| ","title=|",AL1190,"| target=|_top|&gt;",AL1192,"&lt;/a&gt;")</f>
        <v>&lt;a href=|http://kjv.us/psalms/131.htm| title=|American King James Version| target=|_top|&gt;AKJ&lt;/a&gt;</v>
      </c>
      <c r="AM609" t="str">
        <f t="shared" ref="AM609:AN609" si="2435">CONCATENATE("&lt;/li&gt;&lt;li&gt;&lt;a href=|http://",AM1191,"/psalms/131.htm","| ","title=|",AM1190,"| target=|_top|&gt;",AM1192,"&lt;/a&gt;")</f>
        <v>&lt;/li&gt;&lt;li&gt;&lt;a href=|http://basicenglishbible.com/psalms/131.htm| title=|Bible in Basic English| target=|_top|&gt;BBE&lt;/a&gt;</v>
      </c>
      <c r="AN609" t="str">
        <f t="shared" si="2435"/>
        <v>&lt;/li&gt;&lt;li&gt;&lt;a href=|http://darbybible.com/psalms/131.htm| title=|Darby Bible Translation| target=|_top|&gt;DBY&lt;/a&gt;</v>
      </c>
      <c r="AO60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0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0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09" t="str">
        <f>CONCATENATE("&lt;/li&gt;&lt;li&gt;&lt;a href=|http://",AR1191,"/psalms/131.htm","| ","title=|",AR1190,"| target=|_top|&gt;",AR1192,"&lt;/a&gt;")</f>
        <v>&lt;/li&gt;&lt;li&gt;&lt;a href=|http://websterbible.com/psalms/131.htm| title=|Webster's Bible Translation| target=|_top|&gt;WBS&lt;/a&gt;</v>
      </c>
      <c r="AS60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09" t="str">
        <f>CONCATENATE("&lt;/li&gt;&lt;li&gt;&lt;a href=|http://",AT1191,"/psalms/131-1.htm","| ","title=|",AT1190,"| target=|_top|&gt;",AT1192,"&lt;/a&gt;")</f>
        <v>&lt;/li&gt;&lt;li&gt;&lt;a href=|http://biblebrowser.com/psalms/131-1.htm| title=|Split View| target=|_top|&gt;Split&lt;/a&gt;</v>
      </c>
      <c r="AU609" s="2" t="s">
        <v>1276</v>
      </c>
      <c r="AV609" t="s">
        <v>64</v>
      </c>
    </row>
    <row r="610" spans="1:48">
      <c r="A610" t="s">
        <v>622</v>
      </c>
      <c r="B610" t="s">
        <v>1114</v>
      </c>
      <c r="C610" t="s">
        <v>624</v>
      </c>
      <c r="D610" t="s">
        <v>1268</v>
      </c>
      <c r="E610" t="s">
        <v>1277</v>
      </c>
      <c r="F610" t="s">
        <v>1304</v>
      </c>
      <c r="G610" t="s">
        <v>1266</v>
      </c>
      <c r="H610" t="s">
        <v>1305</v>
      </c>
      <c r="I610" t="s">
        <v>1303</v>
      </c>
      <c r="J610" t="s">
        <v>1267</v>
      </c>
      <c r="K610" t="s">
        <v>1275</v>
      </c>
      <c r="L610" s="2" t="s">
        <v>1274</v>
      </c>
      <c r="M610" t="str">
        <f t="shared" ref="M610:AB610" si="2436">CONCATENATE("&lt;/li&gt;&lt;li&gt;&lt;a href=|http://",M1191,"/psalms/132.htm","| ","title=|",M1190,"| target=|_top|&gt;",M1192,"&lt;/a&gt;")</f>
        <v>&lt;/li&gt;&lt;li&gt;&lt;a href=|http://niv.scripturetext.com/psalms/132.htm| title=|New International Version| target=|_top|&gt;NIV&lt;/a&gt;</v>
      </c>
      <c r="N610" t="str">
        <f t="shared" si="2436"/>
        <v>&lt;/li&gt;&lt;li&gt;&lt;a href=|http://nlt.scripturetext.com/psalms/132.htm| title=|New Living Translation| target=|_top|&gt;NLT&lt;/a&gt;</v>
      </c>
      <c r="O610" t="str">
        <f t="shared" si="2436"/>
        <v>&lt;/li&gt;&lt;li&gt;&lt;a href=|http://nasb.scripturetext.com/psalms/132.htm| title=|New American Standard Bible| target=|_top|&gt;NAS&lt;/a&gt;</v>
      </c>
      <c r="P610" t="str">
        <f t="shared" si="2436"/>
        <v>&lt;/li&gt;&lt;li&gt;&lt;a href=|http://gwt.scripturetext.com/psalms/132.htm| title=|God's Word Translation| target=|_top|&gt;GWT&lt;/a&gt;</v>
      </c>
      <c r="Q610" t="str">
        <f t="shared" si="2436"/>
        <v>&lt;/li&gt;&lt;li&gt;&lt;a href=|http://kingjbible.com/psalms/132.htm| title=|King James Bible| target=|_top|&gt;KJV&lt;/a&gt;</v>
      </c>
      <c r="R610" t="str">
        <f t="shared" si="2436"/>
        <v>&lt;/li&gt;&lt;li&gt;&lt;a href=|http://asvbible.com/psalms/132.htm| title=|American Standard Version| target=|_top|&gt;ASV&lt;/a&gt;</v>
      </c>
      <c r="S610" t="str">
        <f t="shared" si="2436"/>
        <v>&lt;/li&gt;&lt;li&gt;&lt;a href=|http://drb.scripturetext.com/psalms/132.htm| title=|Douay-Rheims Bible| target=|_top|&gt;DRB&lt;/a&gt;</v>
      </c>
      <c r="T610" t="str">
        <f t="shared" si="2436"/>
        <v>&lt;/li&gt;&lt;li&gt;&lt;a href=|http://erv.scripturetext.com/psalms/132.htm| title=|English Revised Version| target=|_top|&gt;ERV&lt;/a&gt;</v>
      </c>
      <c r="V610" t="str">
        <f>CONCATENATE("&lt;/li&gt;&lt;li&gt;&lt;a href=|http://",V1191,"/psalms/132.htm","| ","title=|",V1190,"| target=|_top|&gt;",V1192,"&lt;/a&gt;")</f>
        <v>&lt;/li&gt;&lt;li&gt;&lt;a href=|http://study.interlinearbible.org/psalms/132.htm| title=|Hebrew Study Bible| target=|_top|&gt;Heb Study&lt;/a&gt;</v>
      </c>
      <c r="W610" t="str">
        <f t="shared" si="2436"/>
        <v>&lt;/li&gt;&lt;li&gt;&lt;a href=|http://apostolic.interlinearbible.org/psalms/132.htm| title=|Apostolic Bible Polyglot Interlinear| target=|_top|&gt;Polyglot&lt;/a&gt;</v>
      </c>
      <c r="X610" t="str">
        <f t="shared" si="2436"/>
        <v>&lt;/li&gt;&lt;li&gt;&lt;a href=|http://interlinearbible.org/psalms/132.htm| title=|Interlinear Bible| target=|_top|&gt;Interlin&lt;/a&gt;</v>
      </c>
      <c r="Y610" t="str">
        <f t="shared" ref="Y610" si="2437">CONCATENATE("&lt;/li&gt;&lt;li&gt;&lt;a href=|http://",Y1191,"/psalms/132.htm","| ","title=|",Y1190,"| target=|_top|&gt;",Y1192,"&lt;/a&gt;")</f>
        <v>&lt;/li&gt;&lt;li&gt;&lt;a href=|http://bibleoutline.org/psalms/132.htm| title=|Outline with People and Places List| target=|_top|&gt;Outline&lt;/a&gt;</v>
      </c>
      <c r="Z610" t="str">
        <f t="shared" si="2436"/>
        <v>&lt;/li&gt;&lt;li&gt;&lt;a href=|http://kjvs.scripturetext.com/psalms/132.htm| title=|King James Bible with Strong's Numbers| target=|_top|&gt;Strong's&lt;/a&gt;</v>
      </c>
      <c r="AA610" t="str">
        <f t="shared" si="2436"/>
        <v>&lt;/li&gt;&lt;li&gt;&lt;a href=|http://childrensbibleonline.com/psalms/132.htm| title=|The Children's Bible| target=|_top|&gt;Children's&lt;/a&gt;</v>
      </c>
      <c r="AB610" s="2" t="str">
        <f t="shared" si="2436"/>
        <v>&lt;/li&gt;&lt;li&gt;&lt;a href=|http://tsk.scripturetext.com/psalms/132.htm| title=|Treasury of Scripture Knowledge| target=|_top|&gt;TSK&lt;/a&gt;</v>
      </c>
      <c r="AC610" t="str">
        <f>CONCATENATE("&lt;a href=|http://",AC1191,"/psalms/132.htm","| ","title=|",AC1190,"| target=|_top|&gt;",AC1192,"&lt;/a&gt;")</f>
        <v>&lt;a href=|http://parallelbible.com/psalms/132.htm| title=|Parallel Chapters| target=|_top|&gt;PAR&lt;/a&gt;</v>
      </c>
      <c r="AD610" s="2" t="str">
        <f t="shared" ref="AD610:AK610" si="2438">CONCATENATE("&lt;/li&gt;&lt;li&gt;&lt;a href=|http://",AD1191,"/psalms/132.htm","| ","title=|",AD1190,"| target=|_top|&gt;",AD1192,"&lt;/a&gt;")</f>
        <v>&lt;/li&gt;&lt;li&gt;&lt;a href=|http://gsb.biblecommenter.com/psalms/132.htm| title=|Geneva Study Bible| target=|_top|&gt;GSB&lt;/a&gt;</v>
      </c>
      <c r="AE610" s="2" t="str">
        <f t="shared" si="2438"/>
        <v>&lt;/li&gt;&lt;li&gt;&lt;a href=|http://jfb.biblecommenter.com/psalms/132.htm| title=|Jamieson-Fausset-Brown Bible Commentary| target=|_top|&gt;JFB&lt;/a&gt;</v>
      </c>
      <c r="AF610" s="2" t="str">
        <f t="shared" si="2438"/>
        <v>&lt;/li&gt;&lt;li&gt;&lt;a href=|http://kjt.biblecommenter.com/psalms/132.htm| title=|King James Translators' Notes| target=|_top|&gt;KJT&lt;/a&gt;</v>
      </c>
      <c r="AG610" s="2" t="str">
        <f t="shared" si="2438"/>
        <v>&lt;/li&gt;&lt;li&gt;&lt;a href=|http://mhc.biblecommenter.com/psalms/132.htm| title=|Matthew Henry's Concise Commentary| target=|_top|&gt;MHC&lt;/a&gt;</v>
      </c>
      <c r="AH610" s="2" t="str">
        <f t="shared" si="2438"/>
        <v>&lt;/li&gt;&lt;li&gt;&lt;a href=|http://sco.biblecommenter.com/psalms/132.htm| title=|Scofield Reference Notes| target=|_top|&gt;SCO&lt;/a&gt;</v>
      </c>
      <c r="AI610" s="2" t="str">
        <f t="shared" si="2438"/>
        <v>&lt;/li&gt;&lt;li&gt;&lt;a href=|http://wes.biblecommenter.com/psalms/132.htm| title=|Wesley's Notes on the Bible| target=|_top|&gt;WES&lt;/a&gt;</v>
      </c>
      <c r="AJ610" t="str">
        <f t="shared" si="2438"/>
        <v>&lt;/li&gt;&lt;li&gt;&lt;a href=|http://worldebible.com/psalms/132.htm| title=|World English Bible| target=|_top|&gt;WEB&lt;/a&gt;</v>
      </c>
      <c r="AK610" t="str">
        <f t="shared" si="2438"/>
        <v>&lt;/li&gt;&lt;li&gt;&lt;a href=|http://yltbible.com/psalms/132.htm| title=|Young's Literal Translation| target=|_top|&gt;YLT&lt;/a&gt;</v>
      </c>
      <c r="AL610" t="str">
        <f>CONCATENATE("&lt;a href=|http://",AL1191,"/psalms/132.htm","| ","title=|",AL1190,"| target=|_top|&gt;",AL1192,"&lt;/a&gt;")</f>
        <v>&lt;a href=|http://kjv.us/psalms/132.htm| title=|American King James Version| target=|_top|&gt;AKJ&lt;/a&gt;</v>
      </c>
      <c r="AM610" t="str">
        <f t="shared" ref="AM610:AN610" si="2439">CONCATENATE("&lt;/li&gt;&lt;li&gt;&lt;a href=|http://",AM1191,"/psalms/132.htm","| ","title=|",AM1190,"| target=|_top|&gt;",AM1192,"&lt;/a&gt;")</f>
        <v>&lt;/li&gt;&lt;li&gt;&lt;a href=|http://basicenglishbible.com/psalms/132.htm| title=|Bible in Basic English| target=|_top|&gt;BBE&lt;/a&gt;</v>
      </c>
      <c r="AN610" t="str">
        <f t="shared" si="2439"/>
        <v>&lt;/li&gt;&lt;li&gt;&lt;a href=|http://darbybible.com/psalms/132.htm| title=|Darby Bible Translation| target=|_top|&gt;DBY&lt;/a&gt;</v>
      </c>
      <c r="AO61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1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1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10" t="str">
        <f>CONCATENATE("&lt;/li&gt;&lt;li&gt;&lt;a href=|http://",AR1191,"/psalms/132.htm","| ","title=|",AR1190,"| target=|_top|&gt;",AR1192,"&lt;/a&gt;")</f>
        <v>&lt;/li&gt;&lt;li&gt;&lt;a href=|http://websterbible.com/psalms/132.htm| title=|Webster's Bible Translation| target=|_top|&gt;WBS&lt;/a&gt;</v>
      </c>
      <c r="AS61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10" t="str">
        <f>CONCATENATE("&lt;/li&gt;&lt;li&gt;&lt;a href=|http://",AT1191,"/psalms/132-1.htm","| ","title=|",AT1190,"| target=|_top|&gt;",AT1192,"&lt;/a&gt;")</f>
        <v>&lt;/li&gt;&lt;li&gt;&lt;a href=|http://biblebrowser.com/psalms/132-1.htm| title=|Split View| target=|_top|&gt;Split&lt;/a&gt;</v>
      </c>
      <c r="AU610" s="2" t="s">
        <v>1276</v>
      </c>
      <c r="AV610" t="s">
        <v>64</v>
      </c>
    </row>
    <row r="611" spans="1:48">
      <c r="A611" t="s">
        <v>622</v>
      </c>
      <c r="B611" t="s">
        <v>1115</v>
      </c>
      <c r="C611" t="s">
        <v>624</v>
      </c>
      <c r="D611" t="s">
        <v>1268</v>
      </c>
      <c r="E611" t="s">
        <v>1277</v>
      </c>
      <c r="F611" t="s">
        <v>1304</v>
      </c>
      <c r="G611" t="s">
        <v>1266</v>
      </c>
      <c r="H611" t="s">
        <v>1305</v>
      </c>
      <c r="I611" t="s">
        <v>1303</v>
      </c>
      <c r="J611" t="s">
        <v>1267</v>
      </c>
      <c r="K611" t="s">
        <v>1275</v>
      </c>
      <c r="L611" s="2" t="s">
        <v>1274</v>
      </c>
      <c r="M611" t="str">
        <f t="shared" ref="M611:AB611" si="2440">CONCATENATE("&lt;/li&gt;&lt;li&gt;&lt;a href=|http://",M1191,"/psalms/133.htm","| ","title=|",M1190,"| target=|_top|&gt;",M1192,"&lt;/a&gt;")</f>
        <v>&lt;/li&gt;&lt;li&gt;&lt;a href=|http://niv.scripturetext.com/psalms/133.htm| title=|New International Version| target=|_top|&gt;NIV&lt;/a&gt;</v>
      </c>
      <c r="N611" t="str">
        <f t="shared" si="2440"/>
        <v>&lt;/li&gt;&lt;li&gt;&lt;a href=|http://nlt.scripturetext.com/psalms/133.htm| title=|New Living Translation| target=|_top|&gt;NLT&lt;/a&gt;</v>
      </c>
      <c r="O611" t="str">
        <f t="shared" si="2440"/>
        <v>&lt;/li&gt;&lt;li&gt;&lt;a href=|http://nasb.scripturetext.com/psalms/133.htm| title=|New American Standard Bible| target=|_top|&gt;NAS&lt;/a&gt;</v>
      </c>
      <c r="P611" t="str">
        <f t="shared" si="2440"/>
        <v>&lt;/li&gt;&lt;li&gt;&lt;a href=|http://gwt.scripturetext.com/psalms/133.htm| title=|God's Word Translation| target=|_top|&gt;GWT&lt;/a&gt;</v>
      </c>
      <c r="Q611" t="str">
        <f t="shared" si="2440"/>
        <v>&lt;/li&gt;&lt;li&gt;&lt;a href=|http://kingjbible.com/psalms/133.htm| title=|King James Bible| target=|_top|&gt;KJV&lt;/a&gt;</v>
      </c>
      <c r="R611" t="str">
        <f t="shared" si="2440"/>
        <v>&lt;/li&gt;&lt;li&gt;&lt;a href=|http://asvbible.com/psalms/133.htm| title=|American Standard Version| target=|_top|&gt;ASV&lt;/a&gt;</v>
      </c>
      <c r="S611" t="str">
        <f t="shared" si="2440"/>
        <v>&lt;/li&gt;&lt;li&gt;&lt;a href=|http://drb.scripturetext.com/psalms/133.htm| title=|Douay-Rheims Bible| target=|_top|&gt;DRB&lt;/a&gt;</v>
      </c>
      <c r="T611" t="str">
        <f t="shared" si="2440"/>
        <v>&lt;/li&gt;&lt;li&gt;&lt;a href=|http://erv.scripturetext.com/psalms/133.htm| title=|English Revised Version| target=|_top|&gt;ERV&lt;/a&gt;</v>
      </c>
      <c r="V611" t="str">
        <f>CONCATENATE("&lt;/li&gt;&lt;li&gt;&lt;a href=|http://",V1191,"/psalms/133.htm","| ","title=|",V1190,"| target=|_top|&gt;",V1192,"&lt;/a&gt;")</f>
        <v>&lt;/li&gt;&lt;li&gt;&lt;a href=|http://study.interlinearbible.org/psalms/133.htm| title=|Hebrew Study Bible| target=|_top|&gt;Heb Study&lt;/a&gt;</v>
      </c>
      <c r="W611" t="str">
        <f t="shared" si="2440"/>
        <v>&lt;/li&gt;&lt;li&gt;&lt;a href=|http://apostolic.interlinearbible.org/psalms/133.htm| title=|Apostolic Bible Polyglot Interlinear| target=|_top|&gt;Polyglot&lt;/a&gt;</v>
      </c>
      <c r="X611" t="str">
        <f t="shared" si="2440"/>
        <v>&lt;/li&gt;&lt;li&gt;&lt;a href=|http://interlinearbible.org/psalms/133.htm| title=|Interlinear Bible| target=|_top|&gt;Interlin&lt;/a&gt;</v>
      </c>
      <c r="Y611" t="str">
        <f t="shared" ref="Y611" si="2441">CONCATENATE("&lt;/li&gt;&lt;li&gt;&lt;a href=|http://",Y1191,"/psalms/133.htm","| ","title=|",Y1190,"| target=|_top|&gt;",Y1192,"&lt;/a&gt;")</f>
        <v>&lt;/li&gt;&lt;li&gt;&lt;a href=|http://bibleoutline.org/psalms/133.htm| title=|Outline with People and Places List| target=|_top|&gt;Outline&lt;/a&gt;</v>
      </c>
      <c r="Z611" t="str">
        <f t="shared" si="2440"/>
        <v>&lt;/li&gt;&lt;li&gt;&lt;a href=|http://kjvs.scripturetext.com/psalms/133.htm| title=|King James Bible with Strong's Numbers| target=|_top|&gt;Strong's&lt;/a&gt;</v>
      </c>
      <c r="AA611" t="str">
        <f t="shared" si="2440"/>
        <v>&lt;/li&gt;&lt;li&gt;&lt;a href=|http://childrensbibleonline.com/psalms/133.htm| title=|The Children's Bible| target=|_top|&gt;Children's&lt;/a&gt;</v>
      </c>
      <c r="AB611" s="2" t="str">
        <f t="shared" si="2440"/>
        <v>&lt;/li&gt;&lt;li&gt;&lt;a href=|http://tsk.scripturetext.com/psalms/133.htm| title=|Treasury of Scripture Knowledge| target=|_top|&gt;TSK&lt;/a&gt;</v>
      </c>
      <c r="AC611" t="str">
        <f>CONCATENATE("&lt;a href=|http://",AC1191,"/psalms/133.htm","| ","title=|",AC1190,"| target=|_top|&gt;",AC1192,"&lt;/a&gt;")</f>
        <v>&lt;a href=|http://parallelbible.com/psalms/133.htm| title=|Parallel Chapters| target=|_top|&gt;PAR&lt;/a&gt;</v>
      </c>
      <c r="AD611" s="2" t="str">
        <f t="shared" ref="AD611:AK611" si="2442">CONCATENATE("&lt;/li&gt;&lt;li&gt;&lt;a href=|http://",AD1191,"/psalms/133.htm","| ","title=|",AD1190,"| target=|_top|&gt;",AD1192,"&lt;/a&gt;")</f>
        <v>&lt;/li&gt;&lt;li&gt;&lt;a href=|http://gsb.biblecommenter.com/psalms/133.htm| title=|Geneva Study Bible| target=|_top|&gt;GSB&lt;/a&gt;</v>
      </c>
      <c r="AE611" s="2" t="str">
        <f t="shared" si="2442"/>
        <v>&lt;/li&gt;&lt;li&gt;&lt;a href=|http://jfb.biblecommenter.com/psalms/133.htm| title=|Jamieson-Fausset-Brown Bible Commentary| target=|_top|&gt;JFB&lt;/a&gt;</v>
      </c>
      <c r="AF611" s="2" t="str">
        <f t="shared" si="2442"/>
        <v>&lt;/li&gt;&lt;li&gt;&lt;a href=|http://kjt.biblecommenter.com/psalms/133.htm| title=|King James Translators' Notes| target=|_top|&gt;KJT&lt;/a&gt;</v>
      </c>
      <c r="AG611" s="2" t="str">
        <f t="shared" si="2442"/>
        <v>&lt;/li&gt;&lt;li&gt;&lt;a href=|http://mhc.biblecommenter.com/psalms/133.htm| title=|Matthew Henry's Concise Commentary| target=|_top|&gt;MHC&lt;/a&gt;</v>
      </c>
      <c r="AH611" s="2" t="str">
        <f t="shared" si="2442"/>
        <v>&lt;/li&gt;&lt;li&gt;&lt;a href=|http://sco.biblecommenter.com/psalms/133.htm| title=|Scofield Reference Notes| target=|_top|&gt;SCO&lt;/a&gt;</v>
      </c>
      <c r="AI611" s="2" t="str">
        <f t="shared" si="2442"/>
        <v>&lt;/li&gt;&lt;li&gt;&lt;a href=|http://wes.biblecommenter.com/psalms/133.htm| title=|Wesley's Notes on the Bible| target=|_top|&gt;WES&lt;/a&gt;</v>
      </c>
      <c r="AJ611" t="str">
        <f t="shared" si="2442"/>
        <v>&lt;/li&gt;&lt;li&gt;&lt;a href=|http://worldebible.com/psalms/133.htm| title=|World English Bible| target=|_top|&gt;WEB&lt;/a&gt;</v>
      </c>
      <c r="AK611" t="str">
        <f t="shared" si="2442"/>
        <v>&lt;/li&gt;&lt;li&gt;&lt;a href=|http://yltbible.com/psalms/133.htm| title=|Young's Literal Translation| target=|_top|&gt;YLT&lt;/a&gt;</v>
      </c>
      <c r="AL611" t="str">
        <f>CONCATENATE("&lt;a href=|http://",AL1191,"/psalms/133.htm","| ","title=|",AL1190,"| target=|_top|&gt;",AL1192,"&lt;/a&gt;")</f>
        <v>&lt;a href=|http://kjv.us/psalms/133.htm| title=|American King James Version| target=|_top|&gt;AKJ&lt;/a&gt;</v>
      </c>
      <c r="AM611" t="str">
        <f t="shared" ref="AM611:AN611" si="2443">CONCATENATE("&lt;/li&gt;&lt;li&gt;&lt;a href=|http://",AM1191,"/psalms/133.htm","| ","title=|",AM1190,"| target=|_top|&gt;",AM1192,"&lt;/a&gt;")</f>
        <v>&lt;/li&gt;&lt;li&gt;&lt;a href=|http://basicenglishbible.com/psalms/133.htm| title=|Bible in Basic English| target=|_top|&gt;BBE&lt;/a&gt;</v>
      </c>
      <c r="AN611" t="str">
        <f t="shared" si="2443"/>
        <v>&lt;/li&gt;&lt;li&gt;&lt;a href=|http://darbybible.com/psalms/133.htm| title=|Darby Bible Translation| target=|_top|&gt;DBY&lt;/a&gt;</v>
      </c>
      <c r="AO61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1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1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11" t="str">
        <f>CONCATENATE("&lt;/li&gt;&lt;li&gt;&lt;a href=|http://",AR1191,"/psalms/133.htm","| ","title=|",AR1190,"| target=|_top|&gt;",AR1192,"&lt;/a&gt;")</f>
        <v>&lt;/li&gt;&lt;li&gt;&lt;a href=|http://websterbible.com/psalms/133.htm| title=|Webster's Bible Translation| target=|_top|&gt;WBS&lt;/a&gt;</v>
      </c>
      <c r="AS61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11" t="str">
        <f>CONCATENATE("&lt;/li&gt;&lt;li&gt;&lt;a href=|http://",AT1191,"/psalms/133-1.htm","| ","title=|",AT1190,"| target=|_top|&gt;",AT1192,"&lt;/a&gt;")</f>
        <v>&lt;/li&gt;&lt;li&gt;&lt;a href=|http://biblebrowser.com/psalms/133-1.htm| title=|Split View| target=|_top|&gt;Split&lt;/a&gt;</v>
      </c>
      <c r="AU611" s="2" t="s">
        <v>1276</v>
      </c>
      <c r="AV611" t="s">
        <v>64</v>
      </c>
    </row>
    <row r="612" spans="1:48">
      <c r="A612" t="s">
        <v>622</v>
      </c>
      <c r="B612" t="s">
        <v>1116</v>
      </c>
      <c r="C612" t="s">
        <v>624</v>
      </c>
      <c r="D612" t="s">
        <v>1268</v>
      </c>
      <c r="E612" t="s">
        <v>1277</v>
      </c>
      <c r="F612" t="s">
        <v>1304</v>
      </c>
      <c r="G612" t="s">
        <v>1266</v>
      </c>
      <c r="H612" t="s">
        <v>1305</v>
      </c>
      <c r="I612" t="s">
        <v>1303</v>
      </c>
      <c r="J612" t="s">
        <v>1267</v>
      </c>
      <c r="K612" t="s">
        <v>1275</v>
      </c>
      <c r="L612" s="2" t="s">
        <v>1274</v>
      </c>
      <c r="M612" t="str">
        <f t="shared" ref="M612:AB612" si="2444">CONCATENATE("&lt;/li&gt;&lt;li&gt;&lt;a href=|http://",M1191,"/psalms/134.htm","| ","title=|",M1190,"| target=|_top|&gt;",M1192,"&lt;/a&gt;")</f>
        <v>&lt;/li&gt;&lt;li&gt;&lt;a href=|http://niv.scripturetext.com/psalms/134.htm| title=|New International Version| target=|_top|&gt;NIV&lt;/a&gt;</v>
      </c>
      <c r="N612" t="str">
        <f t="shared" si="2444"/>
        <v>&lt;/li&gt;&lt;li&gt;&lt;a href=|http://nlt.scripturetext.com/psalms/134.htm| title=|New Living Translation| target=|_top|&gt;NLT&lt;/a&gt;</v>
      </c>
      <c r="O612" t="str">
        <f t="shared" si="2444"/>
        <v>&lt;/li&gt;&lt;li&gt;&lt;a href=|http://nasb.scripturetext.com/psalms/134.htm| title=|New American Standard Bible| target=|_top|&gt;NAS&lt;/a&gt;</v>
      </c>
      <c r="P612" t="str">
        <f t="shared" si="2444"/>
        <v>&lt;/li&gt;&lt;li&gt;&lt;a href=|http://gwt.scripturetext.com/psalms/134.htm| title=|God's Word Translation| target=|_top|&gt;GWT&lt;/a&gt;</v>
      </c>
      <c r="Q612" t="str">
        <f t="shared" si="2444"/>
        <v>&lt;/li&gt;&lt;li&gt;&lt;a href=|http://kingjbible.com/psalms/134.htm| title=|King James Bible| target=|_top|&gt;KJV&lt;/a&gt;</v>
      </c>
      <c r="R612" t="str">
        <f t="shared" si="2444"/>
        <v>&lt;/li&gt;&lt;li&gt;&lt;a href=|http://asvbible.com/psalms/134.htm| title=|American Standard Version| target=|_top|&gt;ASV&lt;/a&gt;</v>
      </c>
      <c r="S612" t="str">
        <f t="shared" si="2444"/>
        <v>&lt;/li&gt;&lt;li&gt;&lt;a href=|http://drb.scripturetext.com/psalms/134.htm| title=|Douay-Rheims Bible| target=|_top|&gt;DRB&lt;/a&gt;</v>
      </c>
      <c r="T612" t="str">
        <f t="shared" si="2444"/>
        <v>&lt;/li&gt;&lt;li&gt;&lt;a href=|http://erv.scripturetext.com/psalms/134.htm| title=|English Revised Version| target=|_top|&gt;ERV&lt;/a&gt;</v>
      </c>
      <c r="V612" t="str">
        <f>CONCATENATE("&lt;/li&gt;&lt;li&gt;&lt;a href=|http://",V1191,"/psalms/134.htm","| ","title=|",V1190,"| target=|_top|&gt;",V1192,"&lt;/a&gt;")</f>
        <v>&lt;/li&gt;&lt;li&gt;&lt;a href=|http://study.interlinearbible.org/psalms/134.htm| title=|Hebrew Study Bible| target=|_top|&gt;Heb Study&lt;/a&gt;</v>
      </c>
      <c r="W612" t="str">
        <f t="shared" si="2444"/>
        <v>&lt;/li&gt;&lt;li&gt;&lt;a href=|http://apostolic.interlinearbible.org/psalms/134.htm| title=|Apostolic Bible Polyglot Interlinear| target=|_top|&gt;Polyglot&lt;/a&gt;</v>
      </c>
      <c r="X612" t="str">
        <f t="shared" si="2444"/>
        <v>&lt;/li&gt;&lt;li&gt;&lt;a href=|http://interlinearbible.org/psalms/134.htm| title=|Interlinear Bible| target=|_top|&gt;Interlin&lt;/a&gt;</v>
      </c>
      <c r="Y612" t="str">
        <f t="shared" ref="Y612" si="2445">CONCATENATE("&lt;/li&gt;&lt;li&gt;&lt;a href=|http://",Y1191,"/psalms/134.htm","| ","title=|",Y1190,"| target=|_top|&gt;",Y1192,"&lt;/a&gt;")</f>
        <v>&lt;/li&gt;&lt;li&gt;&lt;a href=|http://bibleoutline.org/psalms/134.htm| title=|Outline with People and Places List| target=|_top|&gt;Outline&lt;/a&gt;</v>
      </c>
      <c r="Z612" t="str">
        <f t="shared" si="2444"/>
        <v>&lt;/li&gt;&lt;li&gt;&lt;a href=|http://kjvs.scripturetext.com/psalms/134.htm| title=|King James Bible with Strong's Numbers| target=|_top|&gt;Strong's&lt;/a&gt;</v>
      </c>
      <c r="AA612" t="str">
        <f t="shared" si="2444"/>
        <v>&lt;/li&gt;&lt;li&gt;&lt;a href=|http://childrensbibleonline.com/psalms/134.htm| title=|The Children's Bible| target=|_top|&gt;Children's&lt;/a&gt;</v>
      </c>
      <c r="AB612" s="2" t="str">
        <f t="shared" si="2444"/>
        <v>&lt;/li&gt;&lt;li&gt;&lt;a href=|http://tsk.scripturetext.com/psalms/134.htm| title=|Treasury of Scripture Knowledge| target=|_top|&gt;TSK&lt;/a&gt;</v>
      </c>
      <c r="AC612" t="str">
        <f>CONCATENATE("&lt;a href=|http://",AC1191,"/psalms/134.htm","| ","title=|",AC1190,"| target=|_top|&gt;",AC1192,"&lt;/a&gt;")</f>
        <v>&lt;a href=|http://parallelbible.com/psalms/134.htm| title=|Parallel Chapters| target=|_top|&gt;PAR&lt;/a&gt;</v>
      </c>
      <c r="AD612" s="2" t="str">
        <f t="shared" ref="AD612:AK612" si="2446">CONCATENATE("&lt;/li&gt;&lt;li&gt;&lt;a href=|http://",AD1191,"/psalms/134.htm","| ","title=|",AD1190,"| target=|_top|&gt;",AD1192,"&lt;/a&gt;")</f>
        <v>&lt;/li&gt;&lt;li&gt;&lt;a href=|http://gsb.biblecommenter.com/psalms/134.htm| title=|Geneva Study Bible| target=|_top|&gt;GSB&lt;/a&gt;</v>
      </c>
      <c r="AE612" s="2" t="str">
        <f t="shared" si="2446"/>
        <v>&lt;/li&gt;&lt;li&gt;&lt;a href=|http://jfb.biblecommenter.com/psalms/134.htm| title=|Jamieson-Fausset-Brown Bible Commentary| target=|_top|&gt;JFB&lt;/a&gt;</v>
      </c>
      <c r="AF612" s="2" t="str">
        <f t="shared" si="2446"/>
        <v>&lt;/li&gt;&lt;li&gt;&lt;a href=|http://kjt.biblecommenter.com/psalms/134.htm| title=|King James Translators' Notes| target=|_top|&gt;KJT&lt;/a&gt;</v>
      </c>
      <c r="AG612" s="2" t="str">
        <f t="shared" si="2446"/>
        <v>&lt;/li&gt;&lt;li&gt;&lt;a href=|http://mhc.biblecommenter.com/psalms/134.htm| title=|Matthew Henry's Concise Commentary| target=|_top|&gt;MHC&lt;/a&gt;</v>
      </c>
      <c r="AH612" s="2" t="str">
        <f t="shared" si="2446"/>
        <v>&lt;/li&gt;&lt;li&gt;&lt;a href=|http://sco.biblecommenter.com/psalms/134.htm| title=|Scofield Reference Notes| target=|_top|&gt;SCO&lt;/a&gt;</v>
      </c>
      <c r="AI612" s="2" t="str">
        <f t="shared" si="2446"/>
        <v>&lt;/li&gt;&lt;li&gt;&lt;a href=|http://wes.biblecommenter.com/psalms/134.htm| title=|Wesley's Notes on the Bible| target=|_top|&gt;WES&lt;/a&gt;</v>
      </c>
      <c r="AJ612" t="str">
        <f t="shared" si="2446"/>
        <v>&lt;/li&gt;&lt;li&gt;&lt;a href=|http://worldebible.com/psalms/134.htm| title=|World English Bible| target=|_top|&gt;WEB&lt;/a&gt;</v>
      </c>
      <c r="AK612" t="str">
        <f t="shared" si="2446"/>
        <v>&lt;/li&gt;&lt;li&gt;&lt;a href=|http://yltbible.com/psalms/134.htm| title=|Young's Literal Translation| target=|_top|&gt;YLT&lt;/a&gt;</v>
      </c>
      <c r="AL612" t="str">
        <f>CONCATENATE("&lt;a href=|http://",AL1191,"/psalms/134.htm","| ","title=|",AL1190,"| target=|_top|&gt;",AL1192,"&lt;/a&gt;")</f>
        <v>&lt;a href=|http://kjv.us/psalms/134.htm| title=|American King James Version| target=|_top|&gt;AKJ&lt;/a&gt;</v>
      </c>
      <c r="AM612" t="str">
        <f t="shared" ref="AM612:AN612" si="2447">CONCATENATE("&lt;/li&gt;&lt;li&gt;&lt;a href=|http://",AM1191,"/psalms/134.htm","| ","title=|",AM1190,"| target=|_top|&gt;",AM1192,"&lt;/a&gt;")</f>
        <v>&lt;/li&gt;&lt;li&gt;&lt;a href=|http://basicenglishbible.com/psalms/134.htm| title=|Bible in Basic English| target=|_top|&gt;BBE&lt;/a&gt;</v>
      </c>
      <c r="AN612" t="str">
        <f t="shared" si="2447"/>
        <v>&lt;/li&gt;&lt;li&gt;&lt;a href=|http://darbybible.com/psalms/134.htm| title=|Darby Bible Translation| target=|_top|&gt;DBY&lt;/a&gt;</v>
      </c>
      <c r="AO61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1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1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12" t="str">
        <f>CONCATENATE("&lt;/li&gt;&lt;li&gt;&lt;a href=|http://",AR1191,"/psalms/134.htm","| ","title=|",AR1190,"| target=|_top|&gt;",AR1192,"&lt;/a&gt;")</f>
        <v>&lt;/li&gt;&lt;li&gt;&lt;a href=|http://websterbible.com/psalms/134.htm| title=|Webster's Bible Translation| target=|_top|&gt;WBS&lt;/a&gt;</v>
      </c>
      <c r="AS61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12" t="str">
        <f>CONCATENATE("&lt;/li&gt;&lt;li&gt;&lt;a href=|http://",AT1191,"/psalms/134-1.htm","| ","title=|",AT1190,"| target=|_top|&gt;",AT1192,"&lt;/a&gt;")</f>
        <v>&lt;/li&gt;&lt;li&gt;&lt;a href=|http://biblebrowser.com/psalms/134-1.htm| title=|Split View| target=|_top|&gt;Split&lt;/a&gt;</v>
      </c>
      <c r="AU612" s="2" t="s">
        <v>1276</v>
      </c>
      <c r="AV612" t="s">
        <v>64</v>
      </c>
    </row>
    <row r="613" spans="1:48">
      <c r="A613" t="s">
        <v>622</v>
      </c>
      <c r="B613" t="s">
        <v>1117</v>
      </c>
      <c r="C613" t="s">
        <v>624</v>
      </c>
      <c r="D613" t="s">
        <v>1268</v>
      </c>
      <c r="E613" t="s">
        <v>1277</v>
      </c>
      <c r="F613" t="s">
        <v>1304</v>
      </c>
      <c r="G613" t="s">
        <v>1266</v>
      </c>
      <c r="H613" t="s">
        <v>1305</v>
      </c>
      <c r="I613" t="s">
        <v>1303</v>
      </c>
      <c r="J613" t="s">
        <v>1267</v>
      </c>
      <c r="K613" t="s">
        <v>1275</v>
      </c>
      <c r="L613" s="2" t="s">
        <v>1274</v>
      </c>
      <c r="M613" t="str">
        <f t="shared" ref="M613:AB613" si="2448">CONCATENATE("&lt;/li&gt;&lt;li&gt;&lt;a href=|http://",M1191,"/psalms/135.htm","| ","title=|",M1190,"| target=|_top|&gt;",M1192,"&lt;/a&gt;")</f>
        <v>&lt;/li&gt;&lt;li&gt;&lt;a href=|http://niv.scripturetext.com/psalms/135.htm| title=|New International Version| target=|_top|&gt;NIV&lt;/a&gt;</v>
      </c>
      <c r="N613" t="str">
        <f t="shared" si="2448"/>
        <v>&lt;/li&gt;&lt;li&gt;&lt;a href=|http://nlt.scripturetext.com/psalms/135.htm| title=|New Living Translation| target=|_top|&gt;NLT&lt;/a&gt;</v>
      </c>
      <c r="O613" t="str">
        <f t="shared" si="2448"/>
        <v>&lt;/li&gt;&lt;li&gt;&lt;a href=|http://nasb.scripturetext.com/psalms/135.htm| title=|New American Standard Bible| target=|_top|&gt;NAS&lt;/a&gt;</v>
      </c>
      <c r="P613" t="str">
        <f t="shared" si="2448"/>
        <v>&lt;/li&gt;&lt;li&gt;&lt;a href=|http://gwt.scripturetext.com/psalms/135.htm| title=|God's Word Translation| target=|_top|&gt;GWT&lt;/a&gt;</v>
      </c>
      <c r="Q613" t="str">
        <f t="shared" si="2448"/>
        <v>&lt;/li&gt;&lt;li&gt;&lt;a href=|http://kingjbible.com/psalms/135.htm| title=|King James Bible| target=|_top|&gt;KJV&lt;/a&gt;</v>
      </c>
      <c r="R613" t="str">
        <f t="shared" si="2448"/>
        <v>&lt;/li&gt;&lt;li&gt;&lt;a href=|http://asvbible.com/psalms/135.htm| title=|American Standard Version| target=|_top|&gt;ASV&lt;/a&gt;</v>
      </c>
      <c r="S613" t="str">
        <f t="shared" si="2448"/>
        <v>&lt;/li&gt;&lt;li&gt;&lt;a href=|http://drb.scripturetext.com/psalms/135.htm| title=|Douay-Rheims Bible| target=|_top|&gt;DRB&lt;/a&gt;</v>
      </c>
      <c r="T613" t="str">
        <f t="shared" si="2448"/>
        <v>&lt;/li&gt;&lt;li&gt;&lt;a href=|http://erv.scripturetext.com/psalms/135.htm| title=|English Revised Version| target=|_top|&gt;ERV&lt;/a&gt;</v>
      </c>
      <c r="V613" t="str">
        <f>CONCATENATE("&lt;/li&gt;&lt;li&gt;&lt;a href=|http://",V1191,"/psalms/135.htm","| ","title=|",V1190,"| target=|_top|&gt;",V1192,"&lt;/a&gt;")</f>
        <v>&lt;/li&gt;&lt;li&gt;&lt;a href=|http://study.interlinearbible.org/psalms/135.htm| title=|Hebrew Study Bible| target=|_top|&gt;Heb Study&lt;/a&gt;</v>
      </c>
      <c r="W613" t="str">
        <f t="shared" si="2448"/>
        <v>&lt;/li&gt;&lt;li&gt;&lt;a href=|http://apostolic.interlinearbible.org/psalms/135.htm| title=|Apostolic Bible Polyglot Interlinear| target=|_top|&gt;Polyglot&lt;/a&gt;</v>
      </c>
      <c r="X613" t="str">
        <f t="shared" si="2448"/>
        <v>&lt;/li&gt;&lt;li&gt;&lt;a href=|http://interlinearbible.org/psalms/135.htm| title=|Interlinear Bible| target=|_top|&gt;Interlin&lt;/a&gt;</v>
      </c>
      <c r="Y613" t="str">
        <f t="shared" ref="Y613" si="2449">CONCATENATE("&lt;/li&gt;&lt;li&gt;&lt;a href=|http://",Y1191,"/psalms/135.htm","| ","title=|",Y1190,"| target=|_top|&gt;",Y1192,"&lt;/a&gt;")</f>
        <v>&lt;/li&gt;&lt;li&gt;&lt;a href=|http://bibleoutline.org/psalms/135.htm| title=|Outline with People and Places List| target=|_top|&gt;Outline&lt;/a&gt;</v>
      </c>
      <c r="Z613" t="str">
        <f t="shared" si="2448"/>
        <v>&lt;/li&gt;&lt;li&gt;&lt;a href=|http://kjvs.scripturetext.com/psalms/135.htm| title=|King James Bible with Strong's Numbers| target=|_top|&gt;Strong's&lt;/a&gt;</v>
      </c>
      <c r="AA613" t="str">
        <f t="shared" si="2448"/>
        <v>&lt;/li&gt;&lt;li&gt;&lt;a href=|http://childrensbibleonline.com/psalms/135.htm| title=|The Children's Bible| target=|_top|&gt;Children's&lt;/a&gt;</v>
      </c>
      <c r="AB613" s="2" t="str">
        <f t="shared" si="2448"/>
        <v>&lt;/li&gt;&lt;li&gt;&lt;a href=|http://tsk.scripturetext.com/psalms/135.htm| title=|Treasury of Scripture Knowledge| target=|_top|&gt;TSK&lt;/a&gt;</v>
      </c>
      <c r="AC613" t="str">
        <f>CONCATENATE("&lt;a href=|http://",AC1191,"/psalms/135.htm","| ","title=|",AC1190,"| target=|_top|&gt;",AC1192,"&lt;/a&gt;")</f>
        <v>&lt;a href=|http://parallelbible.com/psalms/135.htm| title=|Parallel Chapters| target=|_top|&gt;PAR&lt;/a&gt;</v>
      </c>
      <c r="AD613" s="2" t="str">
        <f t="shared" ref="AD613:AK613" si="2450">CONCATENATE("&lt;/li&gt;&lt;li&gt;&lt;a href=|http://",AD1191,"/psalms/135.htm","| ","title=|",AD1190,"| target=|_top|&gt;",AD1192,"&lt;/a&gt;")</f>
        <v>&lt;/li&gt;&lt;li&gt;&lt;a href=|http://gsb.biblecommenter.com/psalms/135.htm| title=|Geneva Study Bible| target=|_top|&gt;GSB&lt;/a&gt;</v>
      </c>
      <c r="AE613" s="2" t="str">
        <f t="shared" si="2450"/>
        <v>&lt;/li&gt;&lt;li&gt;&lt;a href=|http://jfb.biblecommenter.com/psalms/135.htm| title=|Jamieson-Fausset-Brown Bible Commentary| target=|_top|&gt;JFB&lt;/a&gt;</v>
      </c>
      <c r="AF613" s="2" t="str">
        <f t="shared" si="2450"/>
        <v>&lt;/li&gt;&lt;li&gt;&lt;a href=|http://kjt.biblecommenter.com/psalms/135.htm| title=|King James Translators' Notes| target=|_top|&gt;KJT&lt;/a&gt;</v>
      </c>
      <c r="AG613" s="2" t="str">
        <f t="shared" si="2450"/>
        <v>&lt;/li&gt;&lt;li&gt;&lt;a href=|http://mhc.biblecommenter.com/psalms/135.htm| title=|Matthew Henry's Concise Commentary| target=|_top|&gt;MHC&lt;/a&gt;</v>
      </c>
      <c r="AH613" s="2" t="str">
        <f t="shared" si="2450"/>
        <v>&lt;/li&gt;&lt;li&gt;&lt;a href=|http://sco.biblecommenter.com/psalms/135.htm| title=|Scofield Reference Notes| target=|_top|&gt;SCO&lt;/a&gt;</v>
      </c>
      <c r="AI613" s="2" t="str">
        <f t="shared" si="2450"/>
        <v>&lt;/li&gt;&lt;li&gt;&lt;a href=|http://wes.biblecommenter.com/psalms/135.htm| title=|Wesley's Notes on the Bible| target=|_top|&gt;WES&lt;/a&gt;</v>
      </c>
      <c r="AJ613" t="str">
        <f t="shared" si="2450"/>
        <v>&lt;/li&gt;&lt;li&gt;&lt;a href=|http://worldebible.com/psalms/135.htm| title=|World English Bible| target=|_top|&gt;WEB&lt;/a&gt;</v>
      </c>
      <c r="AK613" t="str">
        <f t="shared" si="2450"/>
        <v>&lt;/li&gt;&lt;li&gt;&lt;a href=|http://yltbible.com/psalms/135.htm| title=|Young's Literal Translation| target=|_top|&gt;YLT&lt;/a&gt;</v>
      </c>
      <c r="AL613" t="str">
        <f>CONCATENATE("&lt;a href=|http://",AL1191,"/psalms/135.htm","| ","title=|",AL1190,"| target=|_top|&gt;",AL1192,"&lt;/a&gt;")</f>
        <v>&lt;a href=|http://kjv.us/psalms/135.htm| title=|American King James Version| target=|_top|&gt;AKJ&lt;/a&gt;</v>
      </c>
      <c r="AM613" t="str">
        <f t="shared" ref="AM613:AN613" si="2451">CONCATENATE("&lt;/li&gt;&lt;li&gt;&lt;a href=|http://",AM1191,"/psalms/135.htm","| ","title=|",AM1190,"| target=|_top|&gt;",AM1192,"&lt;/a&gt;")</f>
        <v>&lt;/li&gt;&lt;li&gt;&lt;a href=|http://basicenglishbible.com/psalms/135.htm| title=|Bible in Basic English| target=|_top|&gt;BBE&lt;/a&gt;</v>
      </c>
      <c r="AN613" t="str">
        <f t="shared" si="2451"/>
        <v>&lt;/li&gt;&lt;li&gt;&lt;a href=|http://darbybible.com/psalms/135.htm| title=|Darby Bible Translation| target=|_top|&gt;DBY&lt;/a&gt;</v>
      </c>
      <c r="AO61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1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1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13" t="str">
        <f>CONCATENATE("&lt;/li&gt;&lt;li&gt;&lt;a href=|http://",AR1191,"/psalms/135.htm","| ","title=|",AR1190,"| target=|_top|&gt;",AR1192,"&lt;/a&gt;")</f>
        <v>&lt;/li&gt;&lt;li&gt;&lt;a href=|http://websterbible.com/psalms/135.htm| title=|Webster's Bible Translation| target=|_top|&gt;WBS&lt;/a&gt;</v>
      </c>
      <c r="AS61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13" t="str">
        <f>CONCATENATE("&lt;/li&gt;&lt;li&gt;&lt;a href=|http://",AT1191,"/psalms/135-1.htm","| ","title=|",AT1190,"| target=|_top|&gt;",AT1192,"&lt;/a&gt;")</f>
        <v>&lt;/li&gt;&lt;li&gt;&lt;a href=|http://biblebrowser.com/psalms/135-1.htm| title=|Split View| target=|_top|&gt;Split&lt;/a&gt;</v>
      </c>
      <c r="AU613" s="2" t="s">
        <v>1276</v>
      </c>
      <c r="AV613" t="s">
        <v>64</v>
      </c>
    </row>
    <row r="614" spans="1:48">
      <c r="A614" t="s">
        <v>622</v>
      </c>
      <c r="B614" t="s">
        <v>1118</v>
      </c>
      <c r="C614" t="s">
        <v>624</v>
      </c>
      <c r="D614" t="s">
        <v>1268</v>
      </c>
      <c r="E614" t="s">
        <v>1277</v>
      </c>
      <c r="F614" t="s">
        <v>1304</v>
      </c>
      <c r="G614" t="s">
        <v>1266</v>
      </c>
      <c r="H614" t="s">
        <v>1305</v>
      </c>
      <c r="I614" t="s">
        <v>1303</v>
      </c>
      <c r="J614" t="s">
        <v>1267</v>
      </c>
      <c r="K614" t="s">
        <v>1275</v>
      </c>
      <c r="L614" s="2" t="s">
        <v>1274</v>
      </c>
      <c r="M614" t="str">
        <f t="shared" ref="M614:AB614" si="2452">CONCATENATE("&lt;/li&gt;&lt;li&gt;&lt;a href=|http://",M1191,"/psalms/136.htm","| ","title=|",M1190,"| target=|_top|&gt;",M1192,"&lt;/a&gt;")</f>
        <v>&lt;/li&gt;&lt;li&gt;&lt;a href=|http://niv.scripturetext.com/psalms/136.htm| title=|New International Version| target=|_top|&gt;NIV&lt;/a&gt;</v>
      </c>
      <c r="N614" t="str">
        <f t="shared" si="2452"/>
        <v>&lt;/li&gt;&lt;li&gt;&lt;a href=|http://nlt.scripturetext.com/psalms/136.htm| title=|New Living Translation| target=|_top|&gt;NLT&lt;/a&gt;</v>
      </c>
      <c r="O614" t="str">
        <f t="shared" si="2452"/>
        <v>&lt;/li&gt;&lt;li&gt;&lt;a href=|http://nasb.scripturetext.com/psalms/136.htm| title=|New American Standard Bible| target=|_top|&gt;NAS&lt;/a&gt;</v>
      </c>
      <c r="P614" t="str">
        <f t="shared" si="2452"/>
        <v>&lt;/li&gt;&lt;li&gt;&lt;a href=|http://gwt.scripturetext.com/psalms/136.htm| title=|God's Word Translation| target=|_top|&gt;GWT&lt;/a&gt;</v>
      </c>
      <c r="Q614" t="str">
        <f t="shared" si="2452"/>
        <v>&lt;/li&gt;&lt;li&gt;&lt;a href=|http://kingjbible.com/psalms/136.htm| title=|King James Bible| target=|_top|&gt;KJV&lt;/a&gt;</v>
      </c>
      <c r="R614" t="str">
        <f t="shared" si="2452"/>
        <v>&lt;/li&gt;&lt;li&gt;&lt;a href=|http://asvbible.com/psalms/136.htm| title=|American Standard Version| target=|_top|&gt;ASV&lt;/a&gt;</v>
      </c>
      <c r="S614" t="str">
        <f t="shared" si="2452"/>
        <v>&lt;/li&gt;&lt;li&gt;&lt;a href=|http://drb.scripturetext.com/psalms/136.htm| title=|Douay-Rheims Bible| target=|_top|&gt;DRB&lt;/a&gt;</v>
      </c>
      <c r="T614" t="str">
        <f t="shared" si="2452"/>
        <v>&lt;/li&gt;&lt;li&gt;&lt;a href=|http://erv.scripturetext.com/psalms/136.htm| title=|English Revised Version| target=|_top|&gt;ERV&lt;/a&gt;</v>
      </c>
      <c r="V614" t="str">
        <f>CONCATENATE("&lt;/li&gt;&lt;li&gt;&lt;a href=|http://",V1191,"/psalms/136.htm","| ","title=|",V1190,"| target=|_top|&gt;",V1192,"&lt;/a&gt;")</f>
        <v>&lt;/li&gt;&lt;li&gt;&lt;a href=|http://study.interlinearbible.org/psalms/136.htm| title=|Hebrew Study Bible| target=|_top|&gt;Heb Study&lt;/a&gt;</v>
      </c>
      <c r="W614" t="str">
        <f t="shared" si="2452"/>
        <v>&lt;/li&gt;&lt;li&gt;&lt;a href=|http://apostolic.interlinearbible.org/psalms/136.htm| title=|Apostolic Bible Polyglot Interlinear| target=|_top|&gt;Polyglot&lt;/a&gt;</v>
      </c>
      <c r="X614" t="str">
        <f t="shared" si="2452"/>
        <v>&lt;/li&gt;&lt;li&gt;&lt;a href=|http://interlinearbible.org/psalms/136.htm| title=|Interlinear Bible| target=|_top|&gt;Interlin&lt;/a&gt;</v>
      </c>
      <c r="Y614" t="str">
        <f t="shared" ref="Y614" si="2453">CONCATENATE("&lt;/li&gt;&lt;li&gt;&lt;a href=|http://",Y1191,"/psalms/136.htm","| ","title=|",Y1190,"| target=|_top|&gt;",Y1192,"&lt;/a&gt;")</f>
        <v>&lt;/li&gt;&lt;li&gt;&lt;a href=|http://bibleoutline.org/psalms/136.htm| title=|Outline with People and Places List| target=|_top|&gt;Outline&lt;/a&gt;</v>
      </c>
      <c r="Z614" t="str">
        <f t="shared" si="2452"/>
        <v>&lt;/li&gt;&lt;li&gt;&lt;a href=|http://kjvs.scripturetext.com/psalms/136.htm| title=|King James Bible with Strong's Numbers| target=|_top|&gt;Strong's&lt;/a&gt;</v>
      </c>
      <c r="AA614" t="str">
        <f t="shared" si="2452"/>
        <v>&lt;/li&gt;&lt;li&gt;&lt;a href=|http://childrensbibleonline.com/psalms/136.htm| title=|The Children's Bible| target=|_top|&gt;Children's&lt;/a&gt;</v>
      </c>
      <c r="AB614" s="2" t="str">
        <f t="shared" si="2452"/>
        <v>&lt;/li&gt;&lt;li&gt;&lt;a href=|http://tsk.scripturetext.com/psalms/136.htm| title=|Treasury of Scripture Knowledge| target=|_top|&gt;TSK&lt;/a&gt;</v>
      </c>
      <c r="AC614" t="str">
        <f>CONCATENATE("&lt;a href=|http://",AC1191,"/psalms/136.htm","| ","title=|",AC1190,"| target=|_top|&gt;",AC1192,"&lt;/a&gt;")</f>
        <v>&lt;a href=|http://parallelbible.com/psalms/136.htm| title=|Parallel Chapters| target=|_top|&gt;PAR&lt;/a&gt;</v>
      </c>
      <c r="AD614" s="2" t="str">
        <f t="shared" ref="AD614:AK614" si="2454">CONCATENATE("&lt;/li&gt;&lt;li&gt;&lt;a href=|http://",AD1191,"/psalms/136.htm","| ","title=|",AD1190,"| target=|_top|&gt;",AD1192,"&lt;/a&gt;")</f>
        <v>&lt;/li&gt;&lt;li&gt;&lt;a href=|http://gsb.biblecommenter.com/psalms/136.htm| title=|Geneva Study Bible| target=|_top|&gt;GSB&lt;/a&gt;</v>
      </c>
      <c r="AE614" s="2" t="str">
        <f t="shared" si="2454"/>
        <v>&lt;/li&gt;&lt;li&gt;&lt;a href=|http://jfb.biblecommenter.com/psalms/136.htm| title=|Jamieson-Fausset-Brown Bible Commentary| target=|_top|&gt;JFB&lt;/a&gt;</v>
      </c>
      <c r="AF614" s="2" t="str">
        <f t="shared" si="2454"/>
        <v>&lt;/li&gt;&lt;li&gt;&lt;a href=|http://kjt.biblecommenter.com/psalms/136.htm| title=|King James Translators' Notes| target=|_top|&gt;KJT&lt;/a&gt;</v>
      </c>
      <c r="AG614" s="2" t="str">
        <f t="shared" si="2454"/>
        <v>&lt;/li&gt;&lt;li&gt;&lt;a href=|http://mhc.biblecommenter.com/psalms/136.htm| title=|Matthew Henry's Concise Commentary| target=|_top|&gt;MHC&lt;/a&gt;</v>
      </c>
      <c r="AH614" s="2" t="str">
        <f t="shared" si="2454"/>
        <v>&lt;/li&gt;&lt;li&gt;&lt;a href=|http://sco.biblecommenter.com/psalms/136.htm| title=|Scofield Reference Notes| target=|_top|&gt;SCO&lt;/a&gt;</v>
      </c>
      <c r="AI614" s="2" t="str">
        <f t="shared" si="2454"/>
        <v>&lt;/li&gt;&lt;li&gt;&lt;a href=|http://wes.biblecommenter.com/psalms/136.htm| title=|Wesley's Notes on the Bible| target=|_top|&gt;WES&lt;/a&gt;</v>
      </c>
      <c r="AJ614" t="str">
        <f t="shared" si="2454"/>
        <v>&lt;/li&gt;&lt;li&gt;&lt;a href=|http://worldebible.com/psalms/136.htm| title=|World English Bible| target=|_top|&gt;WEB&lt;/a&gt;</v>
      </c>
      <c r="AK614" t="str">
        <f t="shared" si="2454"/>
        <v>&lt;/li&gt;&lt;li&gt;&lt;a href=|http://yltbible.com/psalms/136.htm| title=|Young's Literal Translation| target=|_top|&gt;YLT&lt;/a&gt;</v>
      </c>
      <c r="AL614" t="str">
        <f>CONCATENATE("&lt;a href=|http://",AL1191,"/psalms/136.htm","| ","title=|",AL1190,"| target=|_top|&gt;",AL1192,"&lt;/a&gt;")</f>
        <v>&lt;a href=|http://kjv.us/psalms/136.htm| title=|American King James Version| target=|_top|&gt;AKJ&lt;/a&gt;</v>
      </c>
      <c r="AM614" t="str">
        <f t="shared" ref="AM614:AN614" si="2455">CONCATENATE("&lt;/li&gt;&lt;li&gt;&lt;a href=|http://",AM1191,"/psalms/136.htm","| ","title=|",AM1190,"| target=|_top|&gt;",AM1192,"&lt;/a&gt;")</f>
        <v>&lt;/li&gt;&lt;li&gt;&lt;a href=|http://basicenglishbible.com/psalms/136.htm| title=|Bible in Basic English| target=|_top|&gt;BBE&lt;/a&gt;</v>
      </c>
      <c r="AN614" t="str">
        <f t="shared" si="2455"/>
        <v>&lt;/li&gt;&lt;li&gt;&lt;a href=|http://darbybible.com/psalms/136.htm| title=|Darby Bible Translation| target=|_top|&gt;DBY&lt;/a&gt;</v>
      </c>
      <c r="AO61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1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1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14" t="str">
        <f>CONCATENATE("&lt;/li&gt;&lt;li&gt;&lt;a href=|http://",AR1191,"/psalms/136.htm","| ","title=|",AR1190,"| target=|_top|&gt;",AR1192,"&lt;/a&gt;")</f>
        <v>&lt;/li&gt;&lt;li&gt;&lt;a href=|http://websterbible.com/psalms/136.htm| title=|Webster's Bible Translation| target=|_top|&gt;WBS&lt;/a&gt;</v>
      </c>
      <c r="AS61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14" t="str">
        <f>CONCATENATE("&lt;/li&gt;&lt;li&gt;&lt;a href=|http://",AT1191,"/psalms/136-1.htm","| ","title=|",AT1190,"| target=|_top|&gt;",AT1192,"&lt;/a&gt;")</f>
        <v>&lt;/li&gt;&lt;li&gt;&lt;a href=|http://biblebrowser.com/psalms/136-1.htm| title=|Split View| target=|_top|&gt;Split&lt;/a&gt;</v>
      </c>
      <c r="AU614" s="2" t="s">
        <v>1276</v>
      </c>
      <c r="AV614" t="s">
        <v>64</v>
      </c>
    </row>
    <row r="615" spans="1:48">
      <c r="A615" t="s">
        <v>622</v>
      </c>
      <c r="B615" t="s">
        <v>1119</v>
      </c>
      <c r="C615" t="s">
        <v>624</v>
      </c>
      <c r="D615" t="s">
        <v>1268</v>
      </c>
      <c r="E615" t="s">
        <v>1277</v>
      </c>
      <c r="F615" t="s">
        <v>1304</v>
      </c>
      <c r="G615" t="s">
        <v>1266</v>
      </c>
      <c r="H615" t="s">
        <v>1305</v>
      </c>
      <c r="I615" t="s">
        <v>1303</v>
      </c>
      <c r="J615" t="s">
        <v>1267</v>
      </c>
      <c r="K615" t="s">
        <v>1275</v>
      </c>
      <c r="L615" s="2" t="s">
        <v>1274</v>
      </c>
      <c r="M615" t="str">
        <f t="shared" ref="M615:AB615" si="2456">CONCATENATE("&lt;/li&gt;&lt;li&gt;&lt;a href=|http://",M1191,"/psalms/137.htm","| ","title=|",M1190,"| target=|_top|&gt;",M1192,"&lt;/a&gt;")</f>
        <v>&lt;/li&gt;&lt;li&gt;&lt;a href=|http://niv.scripturetext.com/psalms/137.htm| title=|New International Version| target=|_top|&gt;NIV&lt;/a&gt;</v>
      </c>
      <c r="N615" t="str">
        <f t="shared" si="2456"/>
        <v>&lt;/li&gt;&lt;li&gt;&lt;a href=|http://nlt.scripturetext.com/psalms/137.htm| title=|New Living Translation| target=|_top|&gt;NLT&lt;/a&gt;</v>
      </c>
      <c r="O615" t="str">
        <f t="shared" si="2456"/>
        <v>&lt;/li&gt;&lt;li&gt;&lt;a href=|http://nasb.scripturetext.com/psalms/137.htm| title=|New American Standard Bible| target=|_top|&gt;NAS&lt;/a&gt;</v>
      </c>
      <c r="P615" t="str">
        <f t="shared" si="2456"/>
        <v>&lt;/li&gt;&lt;li&gt;&lt;a href=|http://gwt.scripturetext.com/psalms/137.htm| title=|God's Word Translation| target=|_top|&gt;GWT&lt;/a&gt;</v>
      </c>
      <c r="Q615" t="str">
        <f t="shared" si="2456"/>
        <v>&lt;/li&gt;&lt;li&gt;&lt;a href=|http://kingjbible.com/psalms/137.htm| title=|King James Bible| target=|_top|&gt;KJV&lt;/a&gt;</v>
      </c>
      <c r="R615" t="str">
        <f t="shared" si="2456"/>
        <v>&lt;/li&gt;&lt;li&gt;&lt;a href=|http://asvbible.com/psalms/137.htm| title=|American Standard Version| target=|_top|&gt;ASV&lt;/a&gt;</v>
      </c>
      <c r="S615" t="str">
        <f t="shared" si="2456"/>
        <v>&lt;/li&gt;&lt;li&gt;&lt;a href=|http://drb.scripturetext.com/psalms/137.htm| title=|Douay-Rheims Bible| target=|_top|&gt;DRB&lt;/a&gt;</v>
      </c>
      <c r="T615" t="str">
        <f t="shared" si="2456"/>
        <v>&lt;/li&gt;&lt;li&gt;&lt;a href=|http://erv.scripturetext.com/psalms/137.htm| title=|English Revised Version| target=|_top|&gt;ERV&lt;/a&gt;</v>
      </c>
      <c r="V615" t="str">
        <f>CONCATENATE("&lt;/li&gt;&lt;li&gt;&lt;a href=|http://",V1191,"/psalms/137.htm","| ","title=|",V1190,"| target=|_top|&gt;",V1192,"&lt;/a&gt;")</f>
        <v>&lt;/li&gt;&lt;li&gt;&lt;a href=|http://study.interlinearbible.org/psalms/137.htm| title=|Hebrew Study Bible| target=|_top|&gt;Heb Study&lt;/a&gt;</v>
      </c>
      <c r="W615" t="str">
        <f t="shared" si="2456"/>
        <v>&lt;/li&gt;&lt;li&gt;&lt;a href=|http://apostolic.interlinearbible.org/psalms/137.htm| title=|Apostolic Bible Polyglot Interlinear| target=|_top|&gt;Polyglot&lt;/a&gt;</v>
      </c>
      <c r="X615" t="str">
        <f t="shared" si="2456"/>
        <v>&lt;/li&gt;&lt;li&gt;&lt;a href=|http://interlinearbible.org/psalms/137.htm| title=|Interlinear Bible| target=|_top|&gt;Interlin&lt;/a&gt;</v>
      </c>
      <c r="Y615" t="str">
        <f t="shared" ref="Y615" si="2457">CONCATENATE("&lt;/li&gt;&lt;li&gt;&lt;a href=|http://",Y1191,"/psalms/137.htm","| ","title=|",Y1190,"| target=|_top|&gt;",Y1192,"&lt;/a&gt;")</f>
        <v>&lt;/li&gt;&lt;li&gt;&lt;a href=|http://bibleoutline.org/psalms/137.htm| title=|Outline with People and Places List| target=|_top|&gt;Outline&lt;/a&gt;</v>
      </c>
      <c r="Z615" t="str">
        <f t="shared" si="2456"/>
        <v>&lt;/li&gt;&lt;li&gt;&lt;a href=|http://kjvs.scripturetext.com/psalms/137.htm| title=|King James Bible with Strong's Numbers| target=|_top|&gt;Strong's&lt;/a&gt;</v>
      </c>
      <c r="AA615" t="str">
        <f t="shared" si="2456"/>
        <v>&lt;/li&gt;&lt;li&gt;&lt;a href=|http://childrensbibleonline.com/psalms/137.htm| title=|The Children's Bible| target=|_top|&gt;Children's&lt;/a&gt;</v>
      </c>
      <c r="AB615" s="2" t="str">
        <f t="shared" si="2456"/>
        <v>&lt;/li&gt;&lt;li&gt;&lt;a href=|http://tsk.scripturetext.com/psalms/137.htm| title=|Treasury of Scripture Knowledge| target=|_top|&gt;TSK&lt;/a&gt;</v>
      </c>
      <c r="AC615" t="str">
        <f>CONCATENATE("&lt;a href=|http://",AC1191,"/psalms/137.htm","| ","title=|",AC1190,"| target=|_top|&gt;",AC1192,"&lt;/a&gt;")</f>
        <v>&lt;a href=|http://parallelbible.com/psalms/137.htm| title=|Parallel Chapters| target=|_top|&gt;PAR&lt;/a&gt;</v>
      </c>
      <c r="AD615" s="2" t="str">
        <f t="shared" ref="AD615:AK615" si="2458">CONCATENATE("&lt;/li&gt;&lt;li&gt;&lt;a href=|http://",AD1191,"/psalms/137.htm","| ","title=|",AD1190,"| target=|_top|&gt;",AD1192,"&lt;/a&gt;")</f>
        <v>&lt;/li&gt;&lt;li&gt;&lt;a href=|http://gsb.biblecommenter.com/psalms/137.htm| title=|Geneva Study Bible| target=|_top|&gt;GSB&lt;/a&gt;</v>
      </c>
      <c r="AE615" s="2" t="str">
        <f t="shared" si="2458"/>
        <v>&lt;/li&gt;&lt;li&gt;&lt;a href=|http://jfb.biblecommenter.com/psalms/137.htm| title=|Jamieson-Fausset-Brown Bible Commentary| target=|_top|&gt;JFB&lt;/a&gt;</v>
      </c>
      <c r="AF615" s="2" t="str">
        <f t="shared" si="2458"/>
        <v>&lt;/li&gt;&lt;li&gt;&lt;a href=|http://kjt.biblecommenter.com/psalms/137.htm| title=|King James Translators' Notes| target=|_top|&gt;KJT&lt;/a&gt;</v>
      </c>
      <c r="AG615" s="2" t="str">
        <f t="shared" si="2458"/>
        <v>&lt;/li&gt;&lt;li&gt;&lt;a href=|http://mhc.biblecommenter.com/psalms/137.htm| title=|Matthew Henry's Concise Commentary| target=|_top|&gt;MHC&lt;/a&gt;</v>
      </c>
      <c r="AH615" s="2" t="str">
        <f t="shared" si="2458"/>
        <v>&lt;/li&gt;&lt;li&gt;&lt;a href=|http://sco.biblecommenter.com/psalms/137.htm| title=|Scofield Reference Notes| target=|_top|&gt;SCO&lt;/a&gt;</v>
      </c>
      <c r="AI615" s="2" t="str">
        <f t="shared" si="2458"/>
        <v>&lt;/li&gt;&lt;li&gt;&lt;a href=|http://wes.biblecommenter.com/psalms/137.htm| title=|Wesley's Notes on the Bible| target=|_top|&gt;WES&lt;/a&gt;</v>
      </c>
      <c r="AJ615" t="str">
        <f t="shared" si="2458"/>
        <v>&lt;/li&gt;&lt;li&gt;&lt;a href=|http://worldebible.com/psalms/137.htm| title=|World English Bible| target=|_top|&gt;WEB&lt;/a&gt;</v>
      </c>
      <c r="AK615" t="str">
        <f t="shared" si="2458"/>
        <v>&lt;/li&gt;&lt;li&gt;&lt;a href=|http://yltbible.com/psalms/137.htm| title=|Young's Literal Translation| target=|_top|&gt;YLT&lt;/a&gt;</v>
      </c>
      <c r="AL615" t="str">
        <f>CONCATENATE("&lt;a href=|http://",AL1191,"/psalms/137.htm","| ","title=|",AL1190,"| target=|_top|&gt;",AL1192,"&lt;/a&gt;")</f>
        <v>&lt;a href=|http://kjv.us/psalms/137.htm| title=|American King James Version| target=|_top|&gt;AKJ&lt;/a&gt;</v>
      </c>
      <c r="AM615" t="str">
        <f t="shared" ref="AM615:AN615" si="2459">CONCATENATE("&lt;/li&gt;&lt;li&gt;&lt;a href=|http://",AM1191,"/psalms/137.htm","| ","title=|",AM1190,"| target=|_top|&gt;",AM1192,"&lt;/a&gt;")</f>
        <v>&lt;/li&gt;&lt;li&gt;&lt;a href=|http://basicenglishbible.com/psalms/137.htm| title=|Bible in Basic English| target=|_top|&gt;BBE&lt;/a&gt;</v>
      </c>
      <c r="AN615" t="str">
        <f t="shared" si="2459"/>
        <v>&lt;/li&gt;&lt;li&gt;&lt;a href=|http://darbybible.com/psalms/137.htm| title=|Darby Bible Translation| target=|_top|&gt;DBY&lt;/a&gt;</v>
      </c>
      <c r="AO61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1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1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15" t="str">
        <f>CONCATENATE("&lt;/li&gt;&lt;li&gt;&lt;a href=|http://",AR1191,"/psalms/137.htm","| ","title=|",AR1190,"| target=|_top|&gt;",AR1192,"&lt;/a&gt;")</f>
        <v>&lt;/li&gt;&lt;li&gt;&lt;a href=|http://websterbible.com/psalms/137.htm| title=|Webster's Bible Translation| target=|_top|&gt;WBS&lt;/a&gt;</v>
      </c>
      <c r="AS61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15" t="str">
        <f>CONCATENATE("&lt;/li&gt;&lt;li&gt;&lt;a href=|http://",AT1191,"/psalms/137-1.htm","| ","title=|",AT1190,"| target=|_top|&gt;",AT1192,"&lt;/a&gt;")</f>
        <v>&lt;/li&gt;&lt;li&gt;&lt;a href=|http://biblebrowser.com/psalms/137-1.htm| title=|Split View| target=|_top|&gt;Split&lt;/a&gt;</v>
      </c>
      <c r="AU615" s="2" t="s">
        <v>1276</v>
      </c>
      <c r="AV615" t="s">
        <v>64</v>
      </c>
    </row>
    <row r="616" spans="1:48">
      <c r="A616" t="s">
        <v>622</v>
      </c>
      <c r="B616" t="s">
        <v>1120</v>
      </c>
      <c r="C616" t="s">
        <v>624</v>
      </c>
      <c r="D616" t="s">
        <v>1268</v>
      </c>
      <c r="E616" t="s">
        <v>1277</v>
      </c>
      <c r="F616" t="s">
        <v>1304</v>
      </c>
      <c r="G616" t="s">
        <v>1266</v>
      </c>
      <c r="H616" t="s">
        <v>1305</v>
      </c>
      <c r="I616" t="s">
        <v>1303</v>
      </c>
      <c r="J616" t="s">
        <v>1267</v>
      </c>
      <c r="K616" t="s">
        <v>1275</v>
      </c>
      <c r="L616" s="2" t="s">
        <v>1274</v>
      </c>
      <c r="M616" t="str">
        <f t="shared" ref="M616:AB616" si="2460">CONCATENATE("&lt;/li&gt;&lt;li&gt;&lt;a href=|http://",M1191,"/psalms/138.htm","| ","title=|",M1190,"| target=|_top|&gt;",M1192,"&lt;/a&gt;")</f>
        <v>&lt;/li&gt;&lt;li&gt;&lt;a href=|http://niv.scripturetext.com/psalms/138.htm| title=|New International Version| target=|_top|&gt;NIV&lt;/a&gt;</v>
      </c>
      <c r="N616" t="str">
        <f t="shared" si="2460"/>
        <v>&lt;/li&gt;&lt;li&gt;&lt;a href=|http://nlt.scripturetext.com/psalms/138.htm| title=|New Living Translation| target=|_top|&gt;NLT&lt;/a&gt;</v>
      </c>
      <c r="O616" t="str">
        <f t="shared" si="2460"/>
        <v>&lt;/li&gt;&lt;li&gt;&lt;a href=|http://nasb.scripturetext.com/psalms/138.htm| title=|New American Standard Bible| target=|_top|&gt;NAS&lt;/a&gt;</v>
      </c>
      <c r="P616" t="str">
        <f t="shared" si="2460"/>
        <v>&lt;/li&gt;&lt;li&gt;&lt;a href=|http://gwt.scripturetext.com/psalms/138.htm| title=|God's Word Translation| target=|_top|&gt;GWT&lt;/a&gt;</v>
      </c>
      <c r="Q616" t="str">
        <f t="shared" si="2460"/>
        <v>&lt;/li&gt;&lt;li&gt;&lt;a href=|http://kingjbible.com/psalms/138.htm| title=|King James Bible| target=|_top|&gt;KJV&lt;/a&gt;</v>
      </c>
      <c r="R616" t="str">
        <f t="shared" si="2460"/>
        <v>&lt;/li&gt;&lt;li&gt;&lt;a href=|http://asvbible.com/psalms/138.htm| title=|American Standard Version| target=|_top|&gt;ASV&lt;/a&gt;</v>
      </c>
      <c r="S616" t="str">
        <f t="shared" si="2460"/>
        <v>&lt;/li&gt;&lt;li&gt;&lt;a href=|http://drb.scripturetext.com/psalms/138.htm| title=|Douay-Rheims Bible| target=|_top|&gt;DRB&lt;/a&gt;</v>
      </c>
      <c r="T616" t="str">
        <f t="shared" si="2460"/>
        <v>&lt;/li&gt;&lt;li&gt;&lt;a href=|http://erv.scripturetext.com/psalms/138.htm| title=|English Revised Version| target=|_top|&gt;ERV&lt;/a&gt;</v>
      </c>
      <c r="V616" t="str">
        <f>CONCATENATE("&lt;/li&gt;&lt;li&gt;&lt;a href=|http://",V1191,"/psalms/138.htm","| ","title=|",V1190,"| target=|_top|&gt;",V1192,"&lt;/a&gt;")</f>
        <v>&lt;/li&gt;&lt;li&gt;&lt;a href=|http://study.interlinearbible.org/psalms/138.htm| title=|Hebrew Study Bible| target=|_top|&gt;Heb Study&lt;/a&gt;</v>
      </c>
      <c r="W616" t="str">
        <f t="shared" si="2460"/>
        <v>&lt;/li&gt;&lt;li&gt;&lt;a href=|http://apostolic.interlinearbible.org/psalms/138.htm| title=|Apostolic Bible Polyglot Interlinear| target=|_top|&gt;Polyglot&lt;/a&gt;</v>
      </c>
      <c r="X616" t="str">
        <f t="shared" si="2460"/>
        <v>&lt;/li&gt;&lt;li&gt;&lt;a href=|http://interlinearbible.org/psalms/138.htm| title=|Interlinear Bible| target=|_top|&gt;Interlin&lt;/a&gt;</v>
      </c>
      <c r="Y616" t="str">
        <f t="shared" ref="Y616" si="2461">CONCATENATE("&lt;/li&gt;&lt;li&gt;&lt;a href=|http://",Y1191,"/psalms/138.htm","| ","title=|",Y1190,"| target=|_top|&gt;",Y1192,"&lt;/a&gt;")</f>
        <v>&lt;/li&gt;&lt;li&gt;&lt;a href=|http://bibleoutline.org/psalms/138.htm| title=|Outline with People and Places List| target=|_top|&gt;Outline&lt;/a&gt;</v>
      </c>
      <c r="Z616" t="str">
        <f t="shared" si="2460"/>
        <v>&lt;/li&gt;&lt;li&gt;&lt;a href=|http://kjvs.scripturetext.com/psalms/138.htm| title=|King James Bible with Strong's Numbers| target=|_top|&gt;Strong's&lt;/a&gt;</v>
      </c>
      <c r="AA616" t="str">
        <f t="shared" si="2460"/>
        <v>&lt;/li&gt;&lt;li&gt;&lt;a href=|http://childrensbibleonline.com/psalms/138.htm| title=|The Children's Bible| target=|_top|&gt;Children's&lt;/a&gt;</v>
      </c>
      <c r="AB616" s="2" t="str">
        <f t="shared" si="2460"/>
        <v>&lt;/li&gt;&lt;li&gt;&lt;a href=|http://tsk.scripturetext.com/psalms/138.htm| title=|Treasury of Scripture Knowledge| target=|_top|&gt;TSK&lt;/a&gt;</v>
      </c>
      <c r="AC616" t="str">
        <f>CONCATENATE("&lt;a href=|http://",AC1191,"/psalms/138.htm","| ","title=|",AC1190,"| target=|_top|&gt;",AC1192,"&lt;/a&gt;")</f>
        <v>&lt;a href=|http://parallelbible.com/psalms/138.htm| title=|Parallel Chapters| target=|_top|&gt;PAR&lt;/a&gt;</v>
      </c>
      <c r="AD616" s="2" t="str">
        <f t="shared" ref="AD616:AK616" si="2462">CONCATENATE("&lt;/li&gt;&lt;li&gt;&lt;a href=|http://",AD1191,"/psalms/138.htm","| ","title=|",AD1190,"| target=|_top|&gt;",AD1192,"&lt;/a&gt;")</f>
        <v>&lt;/li&gt;&lt;li&gt;&lt;a href=|http://gsb.biblecommenter.com/psalms/138.htm| title=|Geneva Study Bible| target=|_top|&gt;GSB&lt;/a&gt;</v>
      </c>
      <c r="AE616" s="2" t="str">
        <f t="shared" si="2462"/>
        <v>&lt;/li&gt;&lt;li&gt;&lt;a href=|http://jfb.biblecommenter.com/psalms/138.htm| title=|Jamieson-Fausset-Brown Bible Commentary| target=|_top|&gt;JFB&lt;/a&gt;</v>
      </c>
      <c r="AF616" s="2" t="str">
        <f t="shared" si="2462"/>
        <v>&lt;/li&gt;&lt;li&gt;&lt;a href=|http://kjt.biblecommenter.com/psalms/138.htm| title=|King James Translators' Notes| target=|_top|&gt;KJT&lt;/a&gt;</v>
      </c>
      <c r="AG616" s="2" t="str">
        <f t="shared" si="2462"/>
        <v>&lt;/li&gt;&lt;li&gt;&lt;a href=|http://mhc.biblecommenter.com/psalms/138.htm| title=|Matthew Henry's Concise Commentary| target=|_top|&gt;MHC&lt;/a&gt;</v>
      </c>
      <c r="AH616" s="2" t="str">
        <f t="shared" si="2462"/>
        <v>&lt;/li&gt;&lt;li&gt;&lt;a href=|http://sco.biblecommenter.com/psalms/138.htm| title=|Scofield Reference Notes| target=|_top|&gt;SCO&lt;/a&gt;</v>
      </c>
      <c r="AI616" s="2" t="str">
        <f t="shared" si="2462"/>
        <v>&lt;/li&gt;&lt;li&gt;&lt;a href=|http://wes.biblecommenter.com/psalms/138.htm| title=|Wesley's Notes on the Bible| target=|_top|&gt;WES&lt;/a&gt;</v>
      </c>
      <c r="AJ616" t="str">
        <f t="shared" si="2462"/>
        <v>&lt;/li&gt;&lt;li&gt;&lt;a href=|http://worldebible.com/psalms/138.htm| title=|World English Bible| target=|_top|&gt;WEB&lt;/a&gt;</v>
      </c>
      <c r="AK616" t="str">
        <f t="shared" si="2462"/>
        <v>&lt;/li&gt;&lt;li&gt;&lt;a href=|http://yltbible.com/psalms/138.htm| title=|Young's Literal Translation| target=|_top|&gt;YLT&lt;/a&gt;</v>
      </c>
      <c r="AL616" t="str">
        <f>CONCATENATE("&lt;a href=|http://",AL1191,"/psalms/138.htm","| ","title=|",AL1190,"| target=|_top|&gt;",AL1192,"&lt;/a&gt;")</f>
        <v>&lt;a href=|http://kjv.us/psalms/138.htm| title=|American King James Version| target=|_top|&gt;AKJ&lt;/a&gt;</v>
      </c>
      <c r="AM616" t="str">
        <f t="shared" ref="AM616:AN616" si="2463">CONCATENATE("&lt;/li&gt;&lt;li&gt;&lt;a href=|http://",AM1191,"/psalms/138.htm","| ","title=|",AM1190,"| target=|_top|&gt;",AM1192,"&lt;/a&gt;")</f>
        <v>&lt;/li&gt;&lt;li&gt;&lt;a href=|http://basicenglishbible.com/psalms/138.htm| title=|Bible in Basic English| target=|_top|&gt;BBE&lt;/a&gt;</v>
      </c>
      <c r="AN616" t="str">
        <f t="shared" si="2463"/>
        <v>&lt;/li&gt;&lt;li&gt;&lt;a href=|http://darbybible.com/psalms/138.htm| title=|Darby Bible Translation| target=|_top|&gt;DBY&lt;/a&gt;</v>
      </c>
      <c r="AO61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1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1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16" t="str">
        <f>CONCATENATE("&lt;/li&gt;&lt;li&gt;&lt;a href=|http://",AR1191,"/psalms/138.htm","| ","title=|",AR1190,"| target=|_top|&gt;",AR1192,"&lt;/a&gt;")</f>
        <v>&lt;/li&gt;&lt;li&gt;&lt;a href=|http://websterbible.com/psalms/138.htm| title=|Webster's Bible Translation| target=|_top|&gt;WBS&lt;/a&gt;</v>
      </c>
      <c r="AS61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16" t="str">
        <f>CONCATENATE("&lt;/li&gt;&lt;li&gt;&lt;a href=|http://",AT1191,"/psalms/138-1.htm","| ","title=|",AT1190,"| target=|_top|&gt;",AT1192,"&lt;/a&gt;")</f>
        <v>&lt;/li&gt;&lt;li&gt;&lt;a href=|http://biblebrowser.com/psalms/138-1.htm| title=|Split View| target=|_top|&gt;Split&lt;/a&gt;</v>
      </c>
      <c r="AU616" s="2" t="s">
        <v>1276</v>
      </c>
      <c r="AV616" t="s">
        <v>64</v>
      </c>
    </row>
    <row r="617" spans="1:48">
      <c r="A617" t="s">
        <v>622</v>
      </c>
      <c r="B617" t="s">
        <v>1121</v>
      </c>
      <c r="C617" t="s">
        <v>624</v>
      </c>
      <c r="D617" t="s">
        <v>1268</v>
      </c>
      <c r="E617" t="s">
        <v>1277</v>
      </c>
      <c r="F617" t="s">
        <v>1304</v>
      </c>
      <c r="G617" t="s">
        <v>1266</v>
      </c>
      <c r="H617" t="s">
        <v>1305</v>
      </c>
      <c r="I617" t="s">
        <v>1303</v>
      </c>
      <c r="J617" t="s">
        <v>1267</v>
      </c>
      <c r="K617" t="s">
        <v>1275</v>
      </c>
      <c r="L617" s="2" t="s">
        <v>1274</v>
      </c>
      <c r="M617" t="str">
        <f t="shared" ref="M617:AB617" si="2464">CONCATENATE("&lt;/li&gt;&lt;li&gt;&lt;a href=|http://",M1191,"/psalms/139.htm","| ","title=|",M1190,"| target=|_top|&gt;",M1192,"&lt;/a&gt;")</f>
        <v>&lt;/li&gt;&lt;li&gt;&lt;a href=|http://niv.scripturetext.com/psalms/139.htm| title=|New International Version| target=|_top|&gt;NIV&lt;/a&gt;</v>
      </c>
      <c r="N617" t="str">
        <f t="shared" si="2464"/>
        <v>&lt;/li&gt;&lt;li&gt;&lt;a href=|http://nlt.scripturetext.com/psalms/139.htm| title=|New Living Translation| target=|_top|&gt;NLT&lt;/a&gt;</v>
      </c>
      <c r="O617" t="str">
        <f t="shared" si="2464"/>
        <v>&lt;/li&gt;&lt;li&gt;&lt;a href=|http://nasb.scripturetext.com/psalms/139.htm| title=|New American Standard Bible| target=|_top|&gt;NAS&lt;/a&gt;</v>
      </c>
      <c r="P617" t="str">
        <f t="shared" si="2464"/>
        <v>&lt;/li&gt;&lt;li&gt;&lt;a href=|http://gwt.scripturetext.com/psalms/139.htm| title=|God's Word Translation| target=|_top|&gt;GWT&lt;/a&gt;</v>
      </c>
      <c r="Q617" t="str">
        <f t="shared" si="2464"/>
        <v>&lt;/li&gt;&lt;li&gt;&lt;a href=|http://kingjbible.com/psalms/139.htm| title=|King James Bible| target=|_top|&gt;KJV&lt;/a&gt;</v>
      </c>
      <c r="R617" t="str">
        <f t="shared" si="2464"/>
        <v>&lt;/li&gt;&lt;li&gt;&lt;a href=|http://asvbible.com/psalms/139.htm| title=|American Standard Version| target=|_top|&gt;ASV&lt;/a&gt;</v>
      </c>
      <c r="S617" t="str">
        <f t="shared" si="2464"/>
        <v>&lt;/li&gt;&lt;li&gt;&lt;a href=|http://drb.scripturetext.com/psalms/139.htm| title=|Douay-Rheims Bible| target=|_top|&gt;DRB&lt;/a&gt;</v>
      </c>
      <c r="T617" t="str">
        <f t="shared" si="2464"/>
        <v>&lt;/li&gt;&lt;li&gt;&lt;a href=|http://erv.scripturetext.com/psalms/139.htm| title=|English Revised Version| target=|_top|&gt;ERV&lt;/a&gt;</v>
      </c>
      <c r="V617" t="str">
        <f>CONCATENATE("&lt;/li&gt;&lt;li&gt;&lt;a href=|http://",V1191,"/psalms/139.htm","| ","title=|",V1190,"| target=|_top|&gt;",V1192,"&lt;/a&gt;")</f>
        <v>&lt;/li&gt;&lt;li&gt;&lt;a href=|http://study.interlinearbible.org/psalms/139.htm| title=|Hebrew Study Bible| target=|_top|&gt;Heb Study&lt;/a&gt;</v>
      </c>
      <c r="W617" t="str">
        <f t="shared" si="2464"/>
        <v>&lt;/li&gt;&lt;li&gt;&lt;a href=|http://apostolic.interlinearbible.org/psalms/139.htm| title=|Apostolic Bible Polyglot Interlinear| target=|_top|&gt;Polyglot&lt;/a&gt;</v>
      </c>
      <c r="X617" t="str">
        <f t="shared" si="2464"/>
        <v>&lt;/li&gt;&lt;li&gt;&lt;a href=|http://interlinearbible.org/psalms/139.htm| title=|Interlinear Bible| target=|_top|&gt;Interlin&lt;/a&gt;</v>
      </c>
      <c r="Y617" t="str">
        <f t="shared" ref="Y617" si="2465">CONCATENATE("&lt;/li&gt;&lt;li&gt;&lt;a href=|http://",Y1191,"/psalms/139.htm","| ","title=|",Y1190,"| target=|_top|&gt;",Y1192,"&lt;/a&gt;")</f>
        <v>&lt;/li&gt;&lt;li&gt;&lt;a href=|http://bibleoutline.org/psalms/139.htm| title=|Outline with People and Places List| target=|_top|&gt;Outline&lt;/a&gt;</v>
      </c>
      <c r="Z617" t="str">
        <f t="shared" si="2464"/>
        <v>&lt;/li&gt;&lt;li&gt;&lt;a href=|http://kjvs.scripturetext.com/psalms/139.htm| title=|King James Bible with Strong's Numbers| target=|_top|&gt;Strong's&lt;/a&gt;</v>
      </c>
      <c r="AA617" t="str">
        <f t="shared" si="2464"/>
        <v>&lt;/li&gt;&lt;li&gt;&lt;a href=|http://childrensbibleonline.com/psalms/139.htm| title=|The Children's Bible| target=|_top|&gt;Children's&lt;/a&gt;</v>
      </c>
      <c r="AB617" s="2" t="str">
        <f t="shared" si="2464"/>
        <v>&lt;/li&gt;&lt;li&gt;&lt;a href=|http://tsk.scripturetext.com/psalms/139.htm| title=|Treasury of Scripture Knowledge| target=|_top|&gt;TSK&lt;/a&gt;</v>
      </c>
      <c r="AC617" t="str">
        <f>CONCATENATE("&lt;a href=|http://",AC1191,"/psalms/139.htm","| ","title=|",AC1190,"| target=|_top|&gt;",AC1192,"&lt;/a&gt;")</f>
        <v>&lt;a href=|http://parallelbible.com/psalms/139.htm| title=|Parallel Chapters| target=|_top|&gt;PAR&lt;/a&gt;</v>
      </c>
      <c r="AD617" s="2" t="str">
        <f t="shared" ref="AD617:AK617" si="2466">CONCATENATE("&lt;/li&gt;&lt;li&gt;&lt;a href=|http://",AD1191,"/psalms/139.htm","| ","title=|",AD1190,"| target=|_top|&gt;",AD1192,"&lt;/a&gt;")</f>
        <v>&lt;/li&gt;&lt;li&gt;&lt;a href=|http://gsb.biblecommenter.com/psalms/139.htm| title=|Geneva Study Bible| target=|_top|&gt;GSB&lt;/a&gt;</v>
      </c>
      <c r="AE617" s="2" t="str">
        <f t="shared" si="2466"/>
        <v>&lt;/li&gt;&lt;li&gt;&lt;a href=|http://jfb.biblecommenter.com/psalms/139.htm| title=|Jamieson-Fausset-Brown Bible Commentary| target=|_top|&gt;JFB&lt;/a&gt;</v>
      </c>
      <c r="AF617" s="2" t="str">
        <f t="shared" si="2466"/>
        <v>&lt;/li&gt;&lt;li&gt;&lt;a href=|http://kjt.biblecommenter.com/psalms/139.htm| title=|King James Translators' Notes| target=|_top|&gt;KJT&lt;/a&gt;</v>
      </c>
      <c r="AG617" s="2" t="str">
        <f t="shared" si="2466"/>
        <v>&lt;/li&gt;&lt;li&gt;&lt;a href=|http://mhc.biblecommenter.com/psalms/139.htm| title=|Matthew Henry's Concise Commentary| target=|_top|&gt;MHC&lt;/a&gt;</v>
      </c>
      <c r="AH617" s="2" t="str">
        <f t="shared" si="2466"/>
        <v>&lt;/li&gt;&lt;li&gt;&lt;a href=|http://sco.biblecommenter.com/psalms/139.htm| title=|Scofield Reference Notes| target=|_top|&gt;SCO&lt;/a&gt;</v>
      </c>
      <c r="AI617" s="2" t="str">
        <f t="shared" si="2466"/>
        <v>&lt;/li&gt;&lt;li&gt;&lt;a href=|http://wes.biblecommenter.com/psalms/139.htm| title=|Wesley's Notes on the Bible| target=|_top|&gt;WES&lt;/a&gt;</v>
      </c>
      <c r="AJ617" t="str">
        <f t="shared" si="2466"/>
        <v>&lt;/li&gt;&lt;li&gt;&lt;a href=|http://worldebible.com/psalms/139.htm| title=|World English Bible| target=|_top|&gt;WEB&lt;/a&gt;</v>
      </c>
      <c r="AK617" t="str">
        <f t="shared" si="2466"/>
        <v>&lt;/li&gt;&lt;li&gt;&lt;a href=|http://yltbible.com/psalms/139.htm| title=|Young's Literal Translation| target=|_top|&gt;YLT&lt;/a&gt;</v>
      </c>
      <c r="AL617" t="str">
        <f>CONCATENATE("&lt;a href=|http://",AL1191,"/psalms/139.htm","| ","title=|",AL1190,"| target=|_top|&gt;",AL1192,"&lt;/a&gt;")</f>
        <v>&lt;a href=|http://kjv.us/psalms/139.htm| title=|American King James Version| target=|_top|&gt;AKJ&lt;/a&gt;</v>
      </c>
      <c r="AM617" t="str">
        <f t="shared" ref="AM617:AN617" si="2467">CONCATENATE("&lt;/li&gt;&lt;li&gt;&lt;a href=|http://",AM1191,"/psalms/139.htm","| ","title=|",AM1190,"| target=|_top|&gt;",AM1192,"&lt;/a&gt;")</f>
        <v>&lt;/li&gt;&lt;li&gt;&lt;a href=|http://basicenglishbible.com/psalms/139.htm| title=|Bible in Basic English| target=|_top|&gt;BBE&lt;/a&gt;</v>
      </c>
      <c r="AN617" t="str">
        <f t="shared" si="2467"/>
        <v>&lt;/li&gt;&lt;li&gt;&lt;a href=|http://darbybible.com/psalms/139.htm| title=|Darby Bible Translation| target=|_top|&gt;DBY&lt;/a&gt;</v>
      </c>
      <c r="AO61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1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1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17" t="str">
        <f>CONCATENATE("&lt;/li&gt;&lt;li&gt;&lt;a href=|http://",AR1191,"/psalms/139.htm","| ","title=|",AR1190,"| target=|_top|&gt;",AR1192,"&lt;/a&gt;")</f>
        <v>&lt;/li&gt;&lt;li&gt;&lt;a href=|http://websterbible.com/psalms/139.htm| title=|Webster's Bible Translation| target=|_top|&gt;WBS&lt;/a&gt;</v>
      </c>
      <c r="AS61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17" t="str">
        <f>CONCATENATE("&lt;/li&gt;&lt;li&gt;&lt;a href=|http://",AT1191,"/psalms/139-1.htm","| ","title=|",AT1190,"| target=|_top|&gt;",AT1192,"&lt;/a&gt;")</f>
        <v>&lt;/li&gt;&lt;li&gt;&lt;a href=|http://biblebrowser.com/psalms/139-1.htm| title=|Split View| target=|_top|&gt;Split&lt;/a&gt;</v>
      </c>
      <c r="AU617" s="2" t="s">
        <v>1276</v>
      </c>
      <c r="AV617" t="s">
        <v>64</v>
      </c>
    </row>
    <row r="618" spans="1:48">
      <c r="A618" t="s">
        <v>622</v>
      </c>
      <c r="B618" t="s">
        <v>1122</v>
      </c>
      <c r="C618" t="s">
        <v>624</v>
      </c>
      <c r="D618" t="s">
        <v>1268</v>
      </c>
      <c r="E618" t="s">
        <v>1277</v>
      </c>
      <c r="F618" t="s">
        <v>1304</v>
      </c>
      <c r="G618" t="s">
        <v>1266</v>
      </c>
      <c r="H618" t="s">
        <v>1305</v>
      </c>
      <c r="I618" t="s">
        <v>1303</v>
      </c>
      <c r="J618" t="s">
        <v>1267</v>
      </c>
      <c r="K618" t="s">
        <v>1275</v>
      </c>
      <c r="L618" s="2" t="s">
        <v>1274</v>
      </c>
      <c r="M618" t="str">
        <f t="shared" ref="M618:AB618" si="2468">CONCATENATE("&lt;/li&gt;&lt;li&gt;&lt;a href=|http://",M1191,"/psalms/140.htm","| ","title=|",M1190,"| target=|_top|&gt;",M1192,"&lt;/a&gt;")</f>
        <v>&lt;/li&gt;&lt;li&gt;&lt;a href=|http://niv.scripturetext.com/psalms/140.htm| title=|New International Version| target=|_top|&gt;NIV&lt;/a&gt;</v>
      </c>
      <c r="N618" t="str">
        <f t="shared" si="2468"/>
        <v>&lt;/li&gt;&lt;li&gt;&lt;a href=|http://nlt.scripturetext.com/psalms/140.htm| title=|New Living Translation| target=|_top|&gt;NLT&lt;/a&gt;</v>
      </c>
      <c r="O618" t="str">
        <f t="shared" si="2468"/>
        <v>&lt;/li&gt;&lt;li&gt;&lt;a href=|http://nasb.scripturetext.com/psalms/140.htm| title=|New American Standard Bible| target=|_top|&gt;NAS&lt;/a&gt;</v>
      </c>
      <c r="P618" t="str">
        <f t="shared" si="2468"/>
        <v>&lt;/li&gt;&lt;li&gt;&lt;a href=|http://gwt.scripturetext.com/psalms/140.htm| title=|God's Word Translation| target=|_top|&gt;GWT&lt;/a&gt;</v>
      </c>
      <c r="Q618" t="str">
        <f t="shared" si="2468"/>
        <v>&lt;/li&gt;&lt;li&gt;&lt;a href=|http://kingjbible.com/psalms/140.htm| title=|King James Bible| target=|_top|&gt;KJV&lt;/a&gt;</v>
      </c>
      <c r="R618" t="str">
        <f t="shared" si="2468"/>
        <v>&lt;/li&gt;&lt;li&gt;&lt;a href=|http://asvbible.com/psalms/140.htm| title=|American Standard Version| target=|_top|&gt;ASV&lt;/a&gt;</v>
      </c>
      <c r="S618" t="str">
        <f t="shared" si="2468"/>
        <v>&lt;/li&gt;&lt;li&gt;&lt;a href=|http://drb.scripturetext.com/psalms/140.htm| title=|Douay-Rheims Bible| target=|_top|&gt;DRB&lt;/a&gt;</v>
      </c>
      <c r="T618" t="str">
        <f t="shared" si="2468"/>
        <v>&lt;/li&gt;&lt;li&gt;&lt;a href=|http://erv.scripturetext.com/psalms/140.htm| title=|English Revised Version| target=|_top|&gt;ERV&lt;/a&gt;</v>
      </c>
      <c r="V618" t="str">
        <f>CONCATENATE("&lt;/li&gt;&lt;li&gt;&lt;a href=|http://",V1191,"/psalms/140.htm","| ","title=|",V1190,"| target=|_top|&gt;",V1192,"&lt;/a&gt;")</f>
        <v>&lt;/li&gt;&lt;li&gt;&lt;a href=|http://study.interlinearbible.org/psalms/140.htm| title=|Hebrew Study Bible| target=|_top|&gt;Heb Study&lt;/a&gt;</v>
      </c>
      <c r="W618" t="str">
        <f t="shared" si="2468"/>
        <v>&lt;/li&gt;&lt;li&gt;&lt;a href=|http://apostolic.interlinearbible.org/psalms/140.htm| title=|Apostolic Bible Polyglot Interlinear| target=|_top|&gt;Polyglot&lt;/a&gt;</v>
      </c>
      <c r="X618" t="str">
        <f t="shared" si="2468"/>
        <v>&lt;/li&gt;&lt;li&gt;&lt;a href=|http://interlinearbible.org/psalms/140.htm| title=|Interlinear Bible| target=|_top|&gt;Interlin&lt;/a&gt;</v>
      </c>
      <c r="Y618" t="str">
        <f t="shared" ref="Y618" si="2469">CONCATENATE("&lt;/li&gt;&lt;li&gt;&lt;a href=|http://",Y1191,"/psalms/140.htm","| ","title=|",Y1190,"| target=|_top|&gt;",Y1192,"&lt;/a&gt;")</f>
        <v>&lt;/li&gt;&lt;li&gt;&lt;a href=|http://bibleoutline.org/psalms/140.htm| title=|Outline with People and Places List| target=|_top|&gt;Outline&lt;/a&gt;</v>
      </c>
      <c r="Z618" t="str">
        <f t="shared" si="2468"/>
        <v>&lt;/li&gt;&lt;li&gt;&lt;a href=|http://kjvs.scripturetext.com/psalms/140.htm| title=|King James Bible with Strong's Numbers| target=|_top|&gt;Strong's&lt;/a&gt;</v>
      </c>
      <c r="AA618" t="str">
        <f t="shared" si="2468"/>
        <v>&lt;/li&gt;&lt;li&gt;&lt;a href=|http://childrensbibleonline.com/psalms/140.htm| title=|The Children's Bible| target=|_top|&gt;Children's&lt;/a&gt;</v>
      </c>
      <c r="AB618" s="2" t="str">
        <f t="shared" si="2468"/>
        <v>&lt;/li&gt;&lt;li&gt;&lt;a href=|http://tsk.scripturetext.com/psalms/140.htm| title=|Treasury of Scripture Knowledge| target=|_top|&gt;TSK&lt;/a&gt;</v>
      </c>
      <c r="AC618" t="str">
        <f>CONCATENATE("&lt;a href=|http://",AC1191,"/psalms/140.htm","| ","title=|",AC1190,"| target=|_top|&gt;",AC1192,"&lt;/a&gt;")</f>
        <v>&lt;a href=|http://parallelbible.com/psalms/140.htm| title=|Parallel Chapters| target=|_top|&gt;PAR&lt;/a&gt;</v>
      </c>
      <c r="AD618" s="2" t="str">
        <f t="shared" ref="AD618:AK618" si="2470">CONCATENATE("&lt;/li&gt;&lt;li&gt;&lt;a href=|http://",AD1191,"/psalms/140.htm","| ","title=|",AD1190,"| target=|_top|&gt;",AD1192,"&lt;/a&gt;")</f>
        <v>&lt;/li&gt;&lt;li&gt;&lt;a href=|http://gsb.biblecommenter.com/psalms/140.htm| title=|Geneva Study Bible| target=|_top|&gt;GSB&lt;/a&gt;</v>
      </c>
      <c r="AE618" s="2" t="str">
        <f t="shared" si="2470"/>
        <v>&lt;/li&gt;&lt;li&gt;&lt;a href=|http://jfb.biblecommenter.com/psalms/140.htm| title=|Jamieson-Fausset-Brown Bible Commentary| target=|_top|&gt;JFB&lt;/a&gt;</v>
      </c>
      <c r="AF618" s="2" t="str">
        <f t="shared" si="2470"/>
        <v>&lt;/li&gt;&lt;li&gt;&lt;a href=|http://kjt.biblecommenter.com/psalms/140.htm| title=|King James Translators' Notes| target=|_top|&gt;KJT&lt;/a&gt;</v>
      </c>
      <c r="AG618" s="2" t="str">
        <f t="shared" si="2470"/>
        <v>&lt;/li&gt;&lt;li&gt;&lt;a href=|http://mhc.biblecommenter.com/psalms/140.htm| title=|Matthew Henry's Concise Commentary| target=|_top|&gt;MHC&lt;/a&gt;</v>
      </c>
      <c r="AH618" s="2" t="str">
        <f t="shared" si="2470"/>
        <v>&lt;/li&gt;&lt;li&gt;&lt;a href=|http://sco.biblecommenter.com/psalms/140.htm| title=|Scofield Reference Notes| target=|_top|&gt;SCO&lt;/a&gt;</v>
      </c>
      <c r="AI618" s="2" t="str">
        <f t="shared" si="2470"/>
        <v>&lt;/li&gt;&lt;li&gt;&lt;a href=|http://wes.biblecommenter.com/psalms/140.htm| title=|Wesley's Notes on the Bible| target=|_top|&gt;WES&lt;/a&gt;</v>
      </c>
      <c r="AJ618" t="str">
        <f t="shared" si="2470"/>
        <v>&lt;/li&gt;&lt;li&gt;&lt;a href=|http://worldebible.com/psalms/140.htm| title=|World English Bible| target=|_top|&gt;WEB&lt;/a&gt;</v>
      </c>
      <c r="AK618" t="str">
        <f t="shared" si="2470"/>
        <v>&lt;/li&gt;&lt;li&gt;&lt;a href=|http://yltbible.com/psalms/140.htm| title=|Young's Literal Translation| target=|_top|&gt;YLT&lt;/a&gt;</v>
      </c>
      <c r="AL618" t="str">
        <f>CONCATENATE("&lt;a href=|http://",AL1191,"/psalms/140.htm","| ","title=|",AL1190,"| target=|_top|&gt;",AL1192,"&lt;/a&gt;")</f>
        <v>&lt;a href=|http://kjv.us/psalms/140.htm| title=|American King James Version| target=|_top|&gt;AKJ&lt;/a&gt;</v>
      </c>
      <c r="AM618" t="str">
        <f t="shared" ref="AM618:AN618" si="2471">CONCATENATE("&lt;/li&gt;&lt;li&gt;&lt;a href=|http://",AM1191,"/psalms/140.htm","| ","title=|",AM1190,"| target=|_top|&gt;",AM1192,"&lt;/a&gt;")</f>
        <v>&lt;/li&gt;&lt;li&gt;&lt;a href=|http://basicenglishbible.com/psalms/140.htm| title=|Bible in Basic English| target=|_top|&gt;BBE&lt;/a&gt;</v>
      </c>
      <c r="AN618" t="str">
        <f t="shared" si="2471"/>
        <v>&lt;/li&gt;&lt;li&gt;&lt;a href=|http://darbybible.com/psalms/140.htm| title=|Darby Bible Translation| target=|_top|&gt;DBY&lt;/a&gt;</v>
      </c>
      <c r="AO61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1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1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18" t="str">
        <f>CONCATENATE("&lt;/li&gt;&lt;li&gt;&lt;a href=|http://",AR1191,"/psalms/140.htm","| ","title=|",AR1190,"| target=|_top|&gt;",AR1192,"&lt;/a&gt;")</f>
        <v>&lt;/li&gt;&lt;li&gt;&lt;a href=|http://websterbible.com/psalms/140.htm| title=|Webster's Bible Translation| target=|_top|&gt;WBS&lt;/a&gt;</v>
      </c>
      <c r="AS61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18" t="str">
        <f>CONCATENATE("&lt;/li&gt;&lt;li&gt;&lt;a href=|http://",AT1191,"/psalms/140-1.htm","| ","title=|",AT1190,"| target=|_top|&gt;",AT1192,"&lt;/a&gt;")</f>
        <v>&lt;/li&gt;&lt;li&gt;&lt;a href=|http://biblebrowser.com/psalms/140-1.htm| title=|Split View| target=|_top|&gt;Split&lt;/a&gt;</v>
      </c>
      <c r="AU618" s="2" t="s">
        <v>1276</v>
      </c>
      <c r="AV618" t="s">
        <v>64</v>
      </c>
    </row>
    <row r="619" spans="1:48">
      <c r="A619" t="s">
        <v>622</v>
      </c>
      <c r="B619" t="s">
        <v>1123</v>
      </c>
      <c r="C619" t="s">
        <v>624</v>
      </c>
      <c r="D619" t="s">
        <v>1268</v>
      </c>
      <c r="E619" t="s">
        <v>1277</v>
      </c>
      <c r="F619" t="s">
        <v>1304</v>
      </c>
      <c r="G619" t="s">
        <v>1266</v>
      </c>
      <c r="H619" t="s">
        <v>1305</v>
      </c>
      <c r="I619" t="s">
        <v>1303</v>
      </c>
      <c r="J619" t="s">
        <v>1267</v>
      </c>
      <c r="K619" t="s">
        <v>1275</v>
      </c>
      <c r="L619" s="2" t="s">
        <v>1274</v>
      </c>
      <c r="M619" t="str">
        <f t="shared" ref="M619:AB619" si="2472">CONCATENATE("&lt;/li&gt;&lt;li&gt;&lt;a href=|http://",M1191,"/psalms/141.htm","| ","title=|",M1190,"| target=|_top|&gt;",M1192,"&lt;/a&gt;")</f>
        <v>&lt;/li&gt;&lt;li&gt;&lt;a href=|http://niv.scripturetext.com/psalms/141.htm| title=|New International Version| target=|_top|&gt;NIV&lt;/a&gt;</v>
      </c>
      <c r="N619" t="str">
        <f t="shared" si="2472"/>
        <v>&lt;/li&gt;&lt;li&gt;&lt;a href=|http://nlt.scripturetext.com/psalms/141.htm| title=|New Living Translation| target=|_top|&gt;NLT&lt;/a&gt;</v>
      </c>
      <c r="O619" t="str">
        <f t="shared" si="2472"/>
        <v>&lt;/li&gt;&lt;li&gt;&lt;a href=|http://nasb.scripturetext.com/psalms/141.htm| title=|New American Standard Bible| target=|_top|&gt;NAS&lt;/a&gt;</v>
      </c>
      <c r="P619" t="str">
        <f t="shared" si="2472"/>
        <v>&lt;/li&gt;&lt;li&gt;&lt;a href=|http://gwt.scripturetext.com/psalms/141.htm| title=|God's Word Translation| target=|_top|&gt;GWT&lt;/a&gt;</v>
      </c>
      <c r="Q619" t="str">
        <f t="shared" si="2472"/>
        <v>&lt;/li&gt;&lt;li&gt;&lt;a href=|http://kingjbible.com/psalms/141.htm| title=|King James Bible| target=|_top|&gt;KJV&lt;/a&gt;</v>
      </c>
      <c r="R619" t="str">
        <f t="shared" si="2472"/>
        <v>&lt;/li&gt;&lt;li&gt;&lt;a href=|http://asvbible.com/psalms/141.htm| title=|American Standard Version| target=|_top|&gt;ASV&lt;/a&gt;</v>
      </c>
      <c r="S619" t="str">
        <f t="shared" si="2472"/>
        <v>&lt;/li&gt;&lt;li&gt;&lt;a href=|http://drb.scripturetext.com/psalms/141.htm| title=|Douay-Rheims Bible| target=|_top|&gt;DRB&lt;/a&gt;</v>
      </c>
      <c r="T619" t="str">
        <f t="shared" si="2472"/>
        <v>&lt;/li&gt;&lt;li&gt;&lt;a href=|http://erv.scripturetext.com/psalms/141.htm| title=|English Revised Version| target=|_top|&gt;ERV&lt;/a&gt;</v>
      </c>
      <c r="V619" t="str">
        <f>CONCATENATE("&lt;/li&gt;&lt;li&gt;&lt;a href=|http://",V1191,"/psalms/141.htm","| ","title=|",V1190,"| target=|_top|&gt;",V1192,"&lt;/a&gt;")</f>
        <v>&lt;/li&gt;&lt;li&gt;&lt;a href=|http://study.interlinearbible.org/psalms/141.htm| title=|Hebrew Study Bible| target=|_top|&gt;Heb Study&lt;/a&gt;</v>
      </c>
      <c r="W619" t="str">
        <f t="shared" si="2472"/>
        <v>&lt;/li&gt;&lt;li&gt;&lt;a href=|http://apostolic.interlinearbible.org/psalms/141.htm| title=|Apostolic Bible Polyglot Interlinear| target=|_top|&gt;Polyglot&lt;/a&gt;</v>
      </c>
      <c r="X619" t="str">
        <f t="shared" si="2472"/>
        <v>&lt;/li&gt;&lt;li&gt;&lt;a href=|http://interlinearbible.org/psalms/141.htm| title=|Interlinear Bible| target=|_top|&gt;Interlin&lt;/a&gt;</v>
      </c>
      <c r="Y619" t="str">
        <f t="shared" ref="Y619" si="2473">CONCATENATE("&lt;/li&gt;&lt;li&gt;&lt;a href=|http://",Y1191,"/psalms/141.htm","| ","title=|",Y1190,"| target=|_top|&gt;",Y1192,"&lt;/a&gt;")</f>
        <v>&lt;/li&gt;&lt;li&gt;&lt;a href=|http://bibleoutline.org/psalms/141.htm| title=|Outline with People and Places List| target=|_top|&gt;Outline&lt;/a&gt;</v>
      </c>
      <c r="Z619" t="str">
        <f t="shared" si="2472"/>
        <v>&lt;/li&gt;&lt;li&gt;&lt;a href=|http://kjvs.scripturetext.com/psalms/141.htm| title=|King James Bible with Strong's Numbers| target=|_top|&gt;Strong's&lt;/a&gt;</v>
      </c>
      <c r="AA619" t="str">
        <f t="shared" si="2472"/>
        <v>&lt;/li&gt;&lt;li&gt;&lt;a href=|http://childrensbibleonline.com/psalms/141.htm| title=|The Children's Bible| target=|_top|&gt;Children's&lt;/a&gt;</v>
      </c>
      <c r="AB619" s="2" t="str">
        <f t="shared" si="2472"/>
        <v>&lt;/li&gt;&lt;li&gt;&lt;a href=|http://tsk.scripturetext.com/psalms/141.htm| title=|Treasury of Scripture Knowledge| target=|_top|&gt;TSK&lt;/a&gt;</v>
      </c>
      <c r="AC619" t="str">
        <f>CONCATENATE("&lt;a href=|http://",AC1191,"/psalms/141.htm","| ","title=|",AC1190,"| target=|_top|&gt;",AC1192,"&lt;/a&gt;")</f>
        <v>&lt;a href=|http://parallelbible.com/psalms/141.htm| title=|Parallel Chapters| target=|_top|&gt;PAR&lt;/a&gt;</v>
      </c>
      <c r="AD619" s="2" t="str">
        <f t="shared" ref="AD619:AK619" si="2474">CONCATENATE("&lt;/li&gt;&lt;li&gt;&lt;a href=|http://",AD1191,"/psalms/141.htm","| ","title=|",AD1190,"| target=|_top|&gt;",AD1192,"&lt;/a&gt;")</f>
        <v>&lt;/li&gt;&lt;li&gt;&lt;a href=|http://gsb.biblecommenter.com/psalms/141.htm| title=|Geneva Study Bible| target=|_top|&gt;GSB&lt;/a&gt;</v>
      </c>
      <c r="AE619" s="2" t="str">
        <f t="shared" si="2474"/>
        <v>&lt;/li&gt;&lt;li&gt;&lt;a href=|http://jfb.biblecommenter.com/psalms/141.htm| title=|Jamieson-Fausset-Brown Bible Commentary| target=|_top|&gt;JFB&lt;/a&gt;</v>
      </c>
      <c r="AF619" s="2" t="str">
        <f t="shared" si="2474"/>
        <v>&lt;/li&gt;&lt;li&gt;&lt;a href=|http://kjt.biblecommenter.com/psalms/141.htm| title=|King James Translators' Notes| target=|_top|&gt;KJT&lt;/a&gt;</v>
      </c>
      <c r="AG619" s="2" t="str">
        <f t="shared" si="2474"/>
        <v>&lt;/li&gt;&lt;li&gt;&lt;a href=|http://mhc.biblecommenter.com/psalms/141.htm| title=|Matthew Henry's Concise Commentary| target=|_top|&gt;MHC&lt;/a&gt;</v>
      </c>
      <c r="AH619" s="2" t="str">
        <f t="shared" si="2474"/>
        <v>&lt;/li&gt;&lt;li&gt;&lt;a href=|http://sco.biblecommenter.com/psalms/141.htm| title=|Scofield Reference Notes| target=|_top|&gt;SCO&lt;/a&gt;</v>
      </c>
      <c r="AI619" s="2" t="str">
        <f t="shared" si="2474"/>
        <v>&lt;/li&gt;&lt;li&gt;&lt;a href=|http://wes.biblecommenter.com/psalms/141.htm| title=|Wesley's Notes on the Bible| target=|_top|&gt;WES&lt;/a&gt;</v>
      </c>
      <c r="AJ619" t="str">
        <f t="shared" si="2474"/>
        <v>&lt;/li&gt;&lt;li&gt;&lt;a href=|http://worldebible.com/psalms/141.htm| title=|World English Bible| target=|_top|&gt;WEB&lt;/a&gt;</v>
      </c>
      <c r="AK619" t="str">
        <f t="shared" si="2474"/>
        <v>&lt;/li&gt;&lt;li&gt;&lt;a href=|http://yltbible.com/psalms/141.htm| title=|Young's Literal Translation| target=|_top|&gt;YLT&lt;/a&gt;</v>
      </c>
      <c r="AL619" t="str">
        <f>CONCATENATE("&lt;a href=|http://",AL1191,"/psalms/141.htm","| ","title=|",AL1190,"| target=|_top|&gt;",AL1192,"&lt;/a&gt;")</f>
        <v>&lt;a href=|http://kjv.us/psalms/141.htm| title=|American King James Version| target=|_top|&gt;AKJ&lt;/a&gt;</v>
      </c>
      <c r="AM619" t="str">
        <f t="shared" ref="AM619:AN619" si="2475">CONCATENATE("&lt;/li&gt;&lt;li&gt;&lt;a href=|http://",AM1191,"/psalms/141.htm","| ","title=|",AM1190,"| target=|_top|&gt;",AM1192,"&lt;/a&gt;")</f>
        <v>&lt;/li&gt;&lt;li&gt;&lt;a href=|http://basicenglishbible.com/psalms/141.htm| title=|Bible in Basic English| target=|_top|&gt;BBE&lt;/a&gt;</v>
      </c>
      <c r="AN619" t="str">
        <f t="shared" si="2475"/>
        <v>&lt;/li&gt;&lt;li&gt;&lt;a href=|http://darbybible.com/psalms/141.htm| title=|Darby Bible Translation| target=|_top|&gt;DBY&lt;/a&gt;</v>
      </c>
      <c r="AO61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1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1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19" t="str">
        <f>CONCATENATE("&lt;/li&gt;&lt;li&gt;&lt;a href=|http://",AR1191,"/psalms/141.htm","| ","title=|",AR1190,"| target=|_top|&gt;",AR1192,"&lt;/a&gt;")</f>
        <v>&lt;/li&gt;&lt;li&gt;&lt;a href=|http://websterbible.com/psalms/141.htm| title=|Webster's Bible Translation| target=|_top|&gt;WBS&lt;/a&gt;</v>
      </c>
      <c r="AS61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19" t="str">
        <f>CONCATENATE("&lt;/li&gt;&lt;li&gt;&lt;a href=|http://",AT1191,"/psalms/141-1.htm","| ","title=|",AT1190,"| target=|_top|&gt;",AT1192,"&lt;/a&gt;")</f>
        <v>&lt;/li&gt;&lt;li&gt;&lt;a href=|http://biblebrowser.com/psalms/141-1.htm| title=|Split View| target=|_top|&gt;Split&lt;/a&gt;</v>
      </c>
      <c r="AU619" s="2" t="s">
        <v>1276</v>
      </c>
      <c r="AV619" t="s">
        <v>64</v>
      </c>
    </row>
    <row r="620" spans="1:48">
      <c r="A620" t="s">
        <v>622</v>
      </c>
      <c r="B620" t="s">
        <v>1124</v>
      </c>
      <c r="C620" t="s">
        <v>624</v>
      </c>
      <c r="D620" t="s">
        <v>1268</v>
      </c>
      <c r="E620" t="s">
        <v>1277</v>
      </c>
      <c r="F620" t="s">
        <v>1304</v>
      </c>
      <c r="G620" t="s">
        <v>1266</v>
      </c>
      <c r="H620" t="s">
        <v>1305</v>
      </c>
      <c r="I620" t="s">
        <v>1303</v>
      </c>
      <c r="J620" t="s">
        <v>1267</v>
      </c>
      <c r="K620" t="s">
        <v>1275</v>
      </c>
      <c r="L620" s="2" t="s">
        <v>1274</v>
      </c>
      <c r="M620" t="str">
        <f t="shared" ref="M620:AB620" si="2476">CONCATENATE("&lt;/li&gt;&lt;li&gt;&lt;a href=|http://",M1191,"/psalms/142.htm","| ","title=|",M1190,"| target=|_top|&gt;",M1192,"&lt;/a&gt;")</f>
        <v>&lt;/li&gt;&lt;li&gt;&lt;a href=|http://niv.scripturetext.com/psalms/142.htm| title=|New International Version| target=|_top|&gt;NIV&lt;/a&gt;</v>
      </c>
      <c r="N620" t="str">
        <f t="shared" si="2476"/>
        <v>&lt;/li&gt;&lt;li&gt;&lt;a href=|http://nlt.scripturetext.com/psalms/142.htm| title=|New Living Translation| target=|_top|&gt;NLT&lt;/a&gt;</v>
      </c>
      <c r="O620" t="str">
        <f t="shared" si="2476"/>
        <v>&lt;/li&gt;&lt;li&gt;&lt;a href=|http://nasb.scripturetext.com/psalms/142.htm| title=|New American Standard Bible| target=|_top|&gt;NAS&lt;/a&gt;</v>
      </c>
      <c r="P620" t="str">
        <f t="shared" si="2476"/>
        <v>&lt;/li&gt;&lt;li&gt;&lt;a href=|http://gwt.scripturetext.com/psalms/142.htm| title=|God's Word Translation| target=|_top|&gt;GWT&lt;/a&gt;</v>
      </c>
      <c r="Q620" t="str">
        <f t="shared" si="2476"/>
        <v>&lt;/li&gt;&lt;li&gt;&lt;a href=|http://kingjbible.com/psalms/142.htm| title=|King James Bible| target=|_top|&gt;KJV&lt;/a&gt;</v>
      </c>
      <c r="R620" t="str">
        <f t="shared" si="2476"/>
        <v>&lt;/li&gt;&lt;li&gt;&lt;a href=|http://asvbible.com/psalms/142.htm| title=|American Standard Version| target=|_top|&gt;ASV&lt;/a&gt;</v>
      </c>
      <c r="S620" t="str">
        <f t="shared" si="2476"/>
        <v>&lt;/li&gt;&lt;li&gt;&lt;a href=|http://drb.scripturetext.com/psalms/142.htm| title=|Douay-Rheims Bible| target=|_top|&gt;DRB&lt;/a&gt;</v>
      </c>
      <c r="T620" t="str">
        <f t="shared" si="2476"/>
        <v>&lt;/li&gt;&lt;li&gt;&lt;a href=|http://erv.scripturetext.com/psalms/142.htm| title=|English Revised Version| target=|_top|&gt;ERV&lt;/a&gt;</v>
      </c>
      <c r="V620" t="str">
        <f>CONCATENATE("&lt;/li&gt;&lt;li&gt;&lt;a href=|http://",V1191,"/psalms/142.htm","| ","title=|",V1190,"| target=|_top|&gt;",V1192,"&lt;/a&gt;")</f>
        <v>&lt;/li&gt;&lt;li&gt;&lt;a href=|http://study.interlinearbible.org/psalms/142.htm| title=|Hebrew Study Bible| target=|_top|&gt;Heb Study&lt;/a&gt;</v>
      </c>
      <c r="W620" t="str">
        <f t="shared" si="2476"/>
        <v>&lt;/li&gt;&lt;li&gt;&lt;a href=|http://apostolic.interlinearbible.org/psalms/142.htm| title=|Apostolic Bible Polyglot Interlinear| target=|_top|&gt;Polyglot&lt;/a&gt;</v>
      </c>
      <c r="X620" t="str">
        <f t="shared" si="2476"/>
        <v>&lt;/li&gt;&lt;li&gt;&lt;a href=|http://interlinearbible.org/psalms/142.htm| title=|Interlinear Bible| target=|_top|&gt;Interlin&lt;/a&gt;</v>
      </c>
      <c r="Y620" t="str">
        <f t="shared" ref="Y620" si="2477">CONCATENATE("&lt;/li&gt;&lt;li&gt;&lt;a href=|http://",Y1191,"/psalms/142.htm","| ","title=|",Y1190,"| target=|_top|&gt;",Y1192,"&lt;/a&gt;")</f>
        <v>&lt;/li&gt;&lt;li&gt;&lt;a href=|http://bibleoutline.org/psalms/142.htm| title=|Outline with People and Places List| target=|_top|&gt;Outline&lt;/a&gt;</v>
      </c>
      <c r="Z620" t="str">
        <f t="shared" si="2476"/>
        <v>&lt;/li&gt;&lt;li&gt;&lt;a href=|http://kjvs.scripturetext.com/psalms/142.htm| title=|King James Bible with Strong's Numbers| target=|_top|&gt;Strong's&lt;/a&gt;</v>
      </c>
      <c r="AA620" t="str">
        <f t="shared" si="2476"/>
        <v>&lt;/li&gt;&lt;li&gt;&lt;a href=|http://childrensbibleonline.com/psalms/142.htm| title=|The Children's Bible| target=|_top|&gt;Children's&lt;/a&gt;</v>
      </c>
      <c r="AB620" s="2" t="str">
        <f t="shared" si="2476"/>
        <v>&lt;/li&gt;&lt;li&gt;&lt;a href=|http://tsk.scripturetext.com/psalms/142.htm| title=|Treasury of Scripture Knowledge| target=|_top|&gt;TSK&lt;/a&gt;</v>
      </c>
      <c r="AC620" t="str">
        <f>CONCATENATE("&lt;a href=|http://",AC1191,"/psalms/142.htm","| ","title=|",AC1190,"| target=|_top|&gt;",AC1192,"&lt;/a&gt;")</f>
        <v>&lt;a href=|http://parallelbible.com/psalms/142.htm| title=|Parallel Chapters| target=|_top|&gt;PAR&lt;/a&gt;</v>
      </c>
      <c r="AD620" s="2" t="str">
        <f t="shared" ref="AD620:AK620" si="2478">CONCATENATE("&lt;/li&gt;&lt;li&gt;&lt;a href=|http://",AD1191,"/psalms/142.htm","| ","title=|",AD1190,"| target=|_top|&gt;",AD1192,"&lt;/a&gt;")</f>
        <v>&lt;/li&gt;&lt;li&gt;&lt;a href=|http://gsb.biblecommenter.com/psalms/142.htm| title=|Geneva Study Bible| target=|_top|&gt;GSB&lt;/a&gt;</v>
      </c>
      <c r="AE620" s="2" t="str">
        <f t="shared" si="2478"/>
        <v>&lt;/li&gt;&lt;li&gt;&lt;a href=|http://jfb.biblecommenter.com/psalms/142.htm| title=|Jamieson-Fausset-Brown Bible Commentary| target=|_top|&gt;JFB&lt;/a&gt;</v>
      </c>
      <c r="AF620" s="2" t="str">
        <f t="shared" si="2478"/>
        <v>&lt;/li&gt;&lt;li&gt;&lt;a href=|http://kjt.biblecommenter.com/psalms/142.htm| title=|King James Translators' Notes| target=|_top|&gt;KJT&lt;/a&gt;</v>
      </c>
      <c r="AG620" s="2" t="str">
        <f t="shared" si="2478"/>
        <v>&lt;/li&gt;&lt;li&gt;&lt;a href=|http://mhc.biblecommenter.com/psalms/142.htm| title=|Matthew Henry's Concise Commentary| target=|_top|&gt;MHC&lt;/a&gt;</v>
      </c>
      <c r="AH620" s="2" t="str">
        <f t="shared" si="2478"/>
        <v>&lt;/li&gt;&lt;li&gt;&lt;a href=|http://sco.biblecommenter.com/psalms/142.htm| title=|Scofield Reference Notes| target=|_top|&gt;SCO&lt;/a&gt;</v>
      </c>
      <c r="AI620" s="2" t="str">
        <f t="shared" si="2478"/>
        <v>&lt;/li&gt;&lt;li&gt;&lt;a href=|http://wes.biblecommenter.com/psalms/142.htm| title=|Wesley's Notes on the Bible| target=|_top|&gt;WES&lt;/a&gt;</v>
      </c>
      <c r="AJ620" t="str">
        <f t="shared" si="2478"/>
        <v>&lt;/li&gt;&lt;li&gt;&lt;a href=|http://worldebible.com/psalms/142.htm| title=|World English Bible| target=|_top|&gt;WEB&lt;/a&gt;</v>
      </c>
      <c r="AK620" t="str">
        <f t="shared" si="2478"/>
        <v>&lt;/li&gt;&lt;li&gt;&lt;a href=|http://yltbible.com/psalms/142.htm| title=|Young's Literal Translation| target=|_top|&gt;YLT&lt;/a&gt;</v>
      </c>
      <c r="AL620" t="str">
        <f>CONCATENATE("&lt;a href=|http://",AL1191,"/psalms/142.htm","| ","title=|",AL1190,"| target=|_top|&gt;",AL1192,"&lt;/a&gt;")</f>
        <v>&lt;a href=|http://kjv.us/psalms/142.htm| title=|American King James Version| target=|_top|&gt;AKJ&lt;/a&gt;</v>
      </c>
      <c r="AM620" t="str">
        <f t="shared" ref="AM620:AN620" si="2479">CONCATENATE("&lt;/li&gt;&lt;li&gt;&lt;a href=|http://",AM1191,"/psalms/142.htm","| ","title=|",AM1190,"| target=|_top|&gt;",AM1192,"&lt;/a&gt;")</f>
        <v>&lt;/li&gt;&lt;li&gt;&lt;a href=|http://basicenglishbible.com/psalms/142.htm| title=|Bible in Basic English| target=|_top|&gt;BBE&lt;/a&gt;</v>
      </c>
      <c r="AN620" t="str">
        <f t="shared" si="2479"/>
        <v>&lt;/li&gt;&lt;li&gt;&lt;a href=|http://darbybible.com/psalms/142.htm| title=|Darby Bible Translation| target=|_top|&gt;DBY&lt;/a&gt;</v>
      </c>
      <c r="AO62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2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2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20" t="str">
        <f>CONCATENATE("&lt;/li&gt;&lt;li&gt;&lt;a href=|http://",AR1191,"/psalms/142.htm","| ","title=|",AR1190,"| target=|_top|&gt;",AR1192,"&lt;/a&gt;")</f>
        <v>&lt;/li&gt;&lt;li&gt;&lt;a href=|http://websterbible.com/psalms/142.htm| title=|Webster's Bible Translation| target=|_top|&gt;WBS&lt;/a&gt;</v>
      </c>
      <c r="AS62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20" t="str">
        <f>CONCATENATE("&lt;/li&gt;&lt;li&gt;&lt;a href=|http://",AT1191,"/psalms/142-1.htm","| ","title=|",AT1190,"| target=|_top|&gt;",AT1192,"&lt;/a&gt;")</f>
        <v>&lt;/li&gt;&lt;li&gt;&lt;a href=|http://biblebrowser.com/psalms/142-1.htm| title=|Split View| target=|_top|&gt;Split&lt;/a&gt;</v>
      </c>
      <c r="AU620" s="2" t="s">
        <v>1276</v>
      </c>
      <c r="AV620" t="s">
        <v>64</v>
      </c>
    </row>
    <row r="621" spans="1:48">
      <c r="A621" t="s">
        <v>622</v>
      </c>
      <c r="B621" t="s">
        <v>1125</v>
      </c>
      <c r="C621" t="s">
        <v>624</v>
      </c>
      <c r="D621" t="s">
        <v>1268</v>
      </c>
      <c r="E621" t="s">
        <v>1277</v>
      </c>
      <c r="F621" t="s">
        <v>1304</v>
      </c>
      <c r="G621" t="s">
        <v>1266</v>
      </c>
      <c r="H621" t="s">
        <v>1305</v>
      </c>
      <c r="I621" t="s">
        <v>1303</v>
      </c>
      <c r="J621" t="s">
        <v>1267</v>
      </c>
      <c r="K621" t="s">
        <v>1275</v>
      </c>
      <c r="L621" s="2" t="s">
        <v>1274</v>
      </c>
      <c r="M621" t="str">
        <f t="shared" ref="M621:AB621" si="2480">CONCATENATE("&lt;/li&gt;&lt;li&gt;&lt;a href=|http://",M1191,"/psalms/143.htm","| ","title=|",M1190,"| target=|_top|&gt;",M1192,"&lt;/a&gt;")</f>
        <v>&lt;/li&gt;&lt;li&gt;&lt;a href=|http://niv.scripturetext.com/psalms/143.htm| title=|New International Version| target=|_top|&gt;NIV&lt;/a&gt;</v>
      </c>
      <c r="N621" t="str">
        <f t="shared" si="2480"/>
        <v>&lt;/li&gt;&lt;li&gt;&lt;a href=|http://nlt.scripturetext.com/psalms/143.htm| title=|New Living Translation| target=|_top|&gt;NLT&lt;/a&gt;</v>
      </c>
      <c r="O621" t="str">
        <f t="shared" si="2480"/>
        <v>&lt;/li&gt;&lt;li&gt;&lt;a href=|http://nasb.scripturetext.com/psalms/143.htm| title=|New American Standard Bible| target=|_top|&gt;NAS&lt;/a&gt;</v>
      </c>
      <c r="P621" t="str">
        <f t="shared" si="2480"/>
        <v>&lt;/li&gt;&lt;li&gt;&lt;a href=|http://gwt.scripturetext.com/psalms/143.htm| title=|God's Word Translation| target=|_top|&gt;GWT&lt;/a&gt;</v>
      </c>
      <c r="Q621" t="str">
        <f t="shared" si="2480"/>
        <v>&lt;/li&gt;&lt;li&gt;&lt;a href=|http://kingjbible.com/psalms/143.htm| title=|King James Bible| target=|_top|&gt;KJV&lt;/a&gt;</v>
      </c>
      <c r="R621" t="str">
        <f t="shared" si="2480"/>
        <v>&lt;/li&gt;&lt;li&gt;&lt;a href=|http://asvbible.com/psalms/143.htm| title=|American Standard Version| target=|_top|&gt;ASV&lt;/a&gt;</v>
      </c>
      <c r="S621" t="str">
        <f t="shared" si="2480"/>
        <v>&lt;/li&gt;&lt;li&gt;&lt;a href=|http://drb.scripturetext.com/psalms/143.htm| title=|Douay-Rheims Bible| target=|_top|&gt;DRB&lt;/a&gt;</v>
      </c>
      <c r="T621" t="str">
        <f t="shared" si="2480"/>
        <v>&lt;/li&gt;&lt;li&gt;&lt;a href=|http://erv.scripturetext.com/psalms/143.htm| title=|English Revised Version| target=|_top|&gt;ERV&lt;/a&gt;</v>
      </c>
      <c r="V621" t="str">
        <f>CONCATENATE("&lt;/li&gt;&lt;li&gt;&lt;a href=|http://",V1191,"/psalms/143.htm","| ","title=|",V1190,"| target=|_top|&gt;",V1192,"&lt;/a&gt;")</f>
        <v>&lt;/li&gt;&lt;li&gt;&lt;a href=|http://study.interlinearbible.org/psalms/143.htm| title=|Hebrew Study Bible| target=|_top|&gt;Heb Study&lt;/a&gt;</v>
      </c>
      <c r="W621" t="str">
        <f t="shared" si="2480"/>
        <v>&lt;/li&gt;&lt;li&gt;&lt;a href=|http://apostolic.interlinearbible.org/psalms/143.htm| title=|Apostolic Bible Polyglot Interlinear| target=|_top|&gt;Polyglot&lt;/a&gt;</v>
      </c>
      <c r="X621" t="str">
        <f t="shared" si="2480"/>
        <v>&lt;/li&gt;&lt;li&gt;&lt;a href=|http://interlinearbible.org/psalms/143.htm| title=|Interlinear Bible| target=|_top|&gt;Interlin&lt;/a&gt;</v>
      </c>
      <c r="Y621" t="str">
        <f t="shared" ref="Y621" si="2481">CONCATENATE("&lt;/li&gt;&lt;li&gt;&lt;a href=|http://",Y1191,"/psalms/143.htm","| ","title=|",Y1190,"| target=|_top|&gt;",Y1192,"&lt;/a&gt;")</f>
        <v>&lt;/li&gt;&lt;li&gt;&lt;a href=|http://bibleoutline.org/psalms/143.htm| title=|Outline with People and Places List| target=|_top|&gt;Outline&lt;/a&gt;</v>
      </c>
      <c r="Z621" t="str">
        <f t="shared" si="2480"/>
        <v>&lt;/li&gt;&lt;li&gt;&lt;a href=|http://kjvs.scripturetext.com/psalms/143.htm| title=|King James Bible with Strong's Numbers| target=|_top|&gt;Strong's&lt;/a&gt;</v>
      </c>
      <c r="AA621" t="str">
        <f t="shared" si="2480"/>
        <v>&lt;/li&gt;&lt;li&gt;&lt;a href=|http://childrensbibleonline.com/psalms/143.htm| title=|The Children's Bible| target=|_top|&gt;Children's&lt;/a&gt;</v>
      </c>
      <c r="AB621" s="2" t="str">
        <f t="shared" si="2480"/>
        <v>&lt;/li&gt;&lt;li&gt;&lt;a href=|http://tsk.scripturetext.com/psalms/143.htm| title=|Treasury of Scripture Knowledge| target=|_top|&gt;TSK&lt;/a&gt;</v>
      </c>
      <c r="AC621" t="str">
        <f>CONCATENATE("&lt;a href=|http://",AC1191,"/psalms/143.htm","| ","title=|",AC1190,"| target=|_top|&gt;",AC1192,"&lt;/a&gt;")</f>
        <v>&lt;a href=|http://parallelbible.com/psalms/143.htm| title=|Parallel Chapters| target=|_top|&gt;PAR&lt;/a&gt;</v>
      </c>
      <c r="AD621" s="2" t="str">
        <f t="shared" ref="AD621:AK621" si="2482">CONCATENATE("&lt;/li&gt;&lt;li&gt;&lt;a href=|http://",AD1191,"/psalms/143.htm","| ","title=|",AD1190,"| target=|_top|&gt;",AD1192,"&lt;/a&gt;")</f>
        <v>&lt;/li&gt;&lt;li&gt;&lt;a href=|http://gsb.biblecommenter.com/psalms/143.htm| title=|Geneva Study Bible| target=|_top|&gt;GSB&lt;/a&gt;</v>
      </c>
      <c r="AE621" s="2" t="str">
        <f t="shared" si="2482"/>
        <v>&lt;/li&gt;&lt;li&gt;&lt;a href=|http://jfb.biblecommenter.com/psalms/143.htm| title=|Jamieson-Fausset-Brown Bible Commentary| target=|_top|&gt;JFB&lt;/a&gt;</v>
      </c>
      <c r="AF621" s="2" t="str">
        <f t="shared" si="2482"/>
        <v>&lt;/li&gt;&lt;li&gt;&lt;a href=|http://kjt.biblecommenter.com/psalms/143.htm| title=|King James Translators' Notes| target=|_top|&gt;KJT&lt;/a&gt;</v>
      </c>
      <c r="AG621" s="2" t="str">
        <f t="shared" si="2482"/>
        <v>&lt;/li&gt;&lt;li&gt;&lt;a href=|http://mhc.biblecommenter.com/psalms/143.htm| title=|Matthew Henry's Concise Commentary| target=|_top|&gt;MHC&lt;/a&gt;</v>
      </c>
      <c r="AH621" s="2" t="str">
        <f t="shared" si="2482"/>
        <v>&lt;/li&gt;&lt;li&gt;&lt;a href=|http://sco.biblecommenter.com/psalms/143.htm| title=|Scofield Reference Notes| target=|_top|&gt;SCO&lt;/a&gt;</v>
      </c>
      <c r="AI621" s="2" t="str">
        <f t="shared" si="2482"/>
        <v>&lt;/li&gt;&lt;li&gt;&lt;a href=|http://wes.biblecommenter.com/psalms/143.htm| title=|Wesley's Notes on the Bible| target=|_top|&gt;WES&lt;/a&gt;</v>
      </c>
      <c r="AJ621" t="str">
        <f t="shared" si="2482"/>
        <v>&lt;/li&gt;&lt;li&gt;&lt;a href=|http://worldebible.com/psalms/143.htm| title=|World English Bible| target=|_top|&gt;WEB&lt;/a&gt;</v>
      </c>
      <c r="AK621" t="str">
        <f t="shared" si="2482"/>
        <v>&lt;/li&gt;&lt;li&gt;&lt;a href=|http://yltbible.com/psalms/143.htm| title=|Young's Literal Translation| target=|_top|&gt;YLT&lt;/a&gt;</v>
      </c>
      <c r="AL621" t="str">
        <f>CONCATENATE("&lt;a href=|http://",AL1191,"/psalms/143.htm","| ","title=|",AL1190,"| target=|_top|&gt;",AL1192,"&lt;/a&gt;")</f>
        <v>&lt;a href=|http://kjv.us/psalms/143.htm| title=|American King James Version| target=|_top|&gt;AKJ&lt;/a&gt;</v>
      </c>
      <c r="AM621" t="str">
        <f t="shared" ref="AM621:AN621" si="2483">CONCATENATE("&lt;/li&gt;&lt;li&gt;&lt;a href=|http://",AM1191,"/psalms/143.htm","| ","title=|",AM1190,"| target=|_top|&gt;",AM1192,"&lt;/a&gt;")</f>
        <v>&lt;/li&gt;&lt;li&gt;&lt;a href=|http://basicenglishbible.com/psalms/143.htm| title=|Bible in Basic English| target=|_top|&gt;BBE&lt;/a&gt;</v>
      </c>
      <c r="AN621" t="str">
        <f t="shared" si="2483"/>
        <v>&lt;/li&gt;&lt;li&gt;&lt;a href=|http://darbybible.com/psalms/143.htm| title=|Darby Bible Translation| target=|_top|&gt;DBY&lt;/a&gt;</v>
      </c>
      <c r="AO62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2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2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21" t="str">
        <f>CONCATENATE("&lt;/li&gt;&lt;li&gt;&lt;a href=|http://",AR1191,"/psalms/143.htm","| ","title=|",AR1190,"| target=|_top|&gt;",AR1192,"&lt;/a&gt;")</f>
        <v>&lt;/li&gt;&lt;li&gt;&lt;a href=|http://websterbible.com/psalms/143.htm| title=|Webster's Bible Translation| target=|_top|&gt;WBS&lt;/a&gt;</v>
      </c>
      <c r="AS62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21" t="str">
        <f>CONCATENATE("&lt;/li&gt;&lt;li&gt;&lt;a href=|http://",AT1191,"/psalms/143-1.htm","| ","title=|",AT1190,"| target=|_top|&gt;",AT1192,"&lt;/a&gt;")</f>
        <v>&lt;/li&gt;&lt;li&gt;&lt;a href=|http://biblebrowser.com/psalms/143-1.htm| title=|Split View| target=|_top|&gt;Split&lt;/a&gt;</v>
      </c>
      <c r="AU621" s="2" t="s">
        <v>1276</v>
      </c>
      <c r="AV621" t="s">
        <v>64</v>
      </c>
    </row>
    <row r="622" spans="1:48">
      <c r="A622" t="s">
        <v>622</v>
      </c>
      <c r="B622" t="s">
        <v>1126</v>
      </c>
      <c r="C622" t="s">
        <v>624</v>
      </c>
      <c r="D622" t="s">
        <v>1268</v>
      </c>
      <c r="E622" t="s">
        <v>1277</v>
      </c>
      <c r="F622" t="s">
        <v>1304</v>
      </c>
      <c r="G622" t="s">
        <v>1266</v>
      </c>
      <c r="H622" t="s">
        <v>1305</v>
      </c>
      <c r="I622" t="s">
        <v>1303</v>
      </c>
      <c r="J622" t="s">
        <v>1267</v>
      </c>
      <c r="K622" t="s">
        <v>1275</v>
      </c>
      <c r="L622" s="2" t="s">
        <v>1274</v>
      </c>
      <c r="M622" t="str">
        <f t="shared" ref="M622:AB622" si="2484">CONCATENATE("&lt;/li&gt;&lt;li&gt;&lt;a href=|http://",M1191,"/psalms/144.htm","| ","title=|",M1190,"| target=|_top|&gt;",M1192,"&lt;/a&gt;")</f>
        <v>&lt;/li&gt;&lt;li&gt;&lt;a href=|http://niv.scripturetext.com/psalms/144.htm| title=|New International Version| target=|_top|&gt;NIV&lt;/a&gt;</v>
      </c>
      <c r="N622" t="str">
        <f t="shared" si="2484"/>
        <v>&lt;/li&gt;&lt;li&gt;&lt;a href=|http://nlt.scripturetext.com/psalms/144.htm| title=|New Living Translation| target=|_top|&gt;NLT&lt;/a&gt;</v>
      </c>
      <c r="O622" t="str">
        <f t="shared" si="2484"/>
        <v>&lt;/li&gt;&lt;li&gt;&lt;a href=|http://nasb.scripturetext.com/psalms/144.htm| title=|New American Standard Bible| target=|_top|&gt;NAS&lt;/a&gt;</v>
      </c>
      <c r="P622" t="str">
        <f t="shared" si="2484"/>
        <v>&lt;/li&gt;&lt;li&gt;&lt;a href=|http://gwt.scripturetext.com/psalms/144.htm| title=|God's Word Translation| target=|_top|&gt;GWT&lt;/a&gt;</v>
      </c>
      <c r="Q622" t="str">
        <f t="shared" si="2484"/>
        <v>&lt;/li&gt;&lt;li&gt;&lt;a href=|http://kingjbible.com/psalms/144.htm| title=|King James Bible| target=|_top|&gt;KJV&lt;/a&gt;</v>
      </c>
      <c r="R622" t="str">
        <f t="shared" si="2484"/>
        <v>&lt;/li&gt;&lt;li&gt;&lt;a href=|http://asvbible.com/psalms/144.htm| title=|American Standard Version| target=|_top|&gt;ASV&lt;/a&gt;</v>
      </c>
      <c r="S622" t="str">
        <f t="shared" si="2484"/>
        <v>&lt;/li&gt;&lt;li&gt;&lt;a href=|http://drb.scripturetext.com/psalms/144.htm| title=|Douay-Rheims Bible| target=|_top|&gt;DRB&lt;/a&gt;</v>
      </c>
      <c r="T622" t="str">
        <f t="shared" si="2484"/>
        <v>&lt;/li&gt;&lt;li&gt;&lt;a href=|http://erv.scripturetext.com/psalms/144.htm| title=|English Revised Version| target=|_top|&gt;ERV&lt;/a&gt;</v>
      </c>
      <c r="V622" t="str">
        <f>CONCATENATE("&lt;/li&gt;&lt;li&gt;&lt;a href=|http://",V1191,"/psalms/144.htm","| ","title=|",V1190,"| target=|_top|&gt;",V1192,"&lt;/a&gt;")</f>
        <v>&lt;/li&gt;&lt;li&gt;&lt;a href=|http://study.interlinearbible.org/psalms/144.htm| title=|Hebrew Study Bible| target=|_top|&gt;Heb Study&lt;/a&gt;</v>
      </c>
      <c r="W622" t="str">
        <f t="shared" si="2484"/>
        <v>&lt;/li&gt;&lt;li&gt;&lt;a href=|http://apostolic.interlinearbible.org/psalms/144.htm| title=|Apostolic Bible Polyglot Interlinear| target=|_top|&gt;Polyglot&lt;/a&gt;</v>
      </c>
      <c r="X622" t="str">
        <f t="shared" si="2484"/>
        <v>&lt;/li&gt;&lt;li&gt;&lt;a href=|http://interlinearbible.org/psalms/144.htm| title=|Interlinear Bible| target=|_top|&gt;Interlin&lt;/a&gt;</v>
      </c>
      <c r="Y622" t="str">
        <f t="shared" ref="Y622" si="2485">CONCATENATE("&lt;/li&gt;&lt;li&gt;&lt;a href=|http://",Y1191,"/psalms/144.htm","| ","title=|",Y1190,"| target=|_top|&gt;",Y1192,"&lt;/a&gt;")</f>
        <v>&lt;/li&gt;&lt;li&gt;&lt;a href=|http://bibleoutline.org/psalms/144.htm| title=|Outline with People and Places List| target=|_top|&gt;Outline&lt;/a&gt;</v>
      </c>
      <c r="Z622" t="str">
        <f t="shared" si="2484"/>
        <v>&lt;/li&gt;&lt;li&gt;&lt;a href=|http://kjvs.scripturetext.com/psalms/144.htm| title=|King James Bible with Strong's Numbers| target=|_top|&gt;Strong's&lt;/a&gt;</v>
      </c>
      <c r="AA622" t="str">
        <f t="shared" si="2484"/>
        <v>&lt;/li&gt;&lt;li&gt;&lt;a href=|http://childrensbibleonline.com/psalms/144.htm| title=|The Children's Bible| target=|_top|&gt;Children's&lt;/a&gt;</v>
      </c>
      <c r="AB622" s="2" t="str">
        <f t="shared" si="2484"/>
        <v>&lt;/li&gt;&lt;li&gt;&lt;a href=|http://tsk.scripturetext.com/psalms/144.htm| title=|Treasury of Scripture Knowledge| target=|_top|&gt;TSK&lt;/a&gt;</v>
      </c>
      <c r="AC622" t="str">
        <f>CONCATENATE("&lt;a href=|http://",AC1191,"/psalms/144.htm","| ","title=|",AC1190,"| target=|_top|&gt;",AC1192,"&lt;/a&gt;")</f>
        <v>&lt;a href=|http://parallelbible.com/psalms/144.htm| title=|Parallel Chapters| target=|_top|&gt;PAR&lt;/a&gt;</v>
      </c>
      <c r="AD622" s="2" t="str">
        <f t="shared" ref="AD622:AK622" si="2486">CONCATENATE("&lt;/li&gt;&lt;li&gt;&lt;a href=|http://",AD1191,"/psalms/144.htm","| ","title=|",AD1190,"| target=|_top|&gt;",AD1192,"&lt;/a&gt;")</f>
        <v>&lt;/li&gt;&lt;li&gt;&lt;a href=|http://gsb.biblecommenter.com/psalms/144.htm| title=|Geneva Study Bible| target=|_top|&gt;GSB&lt;/a&gt;</v>
      </c>
      <c r="AE622" s="2" t="str">
        <f t="shared" si="2486"/>
        <v>&lt;/li&gt;&lt;li&gt;&lt;a href=|http://jfb.biblecommenter.com/psalms/144.htm| title=|Jamieson-Fausset-Brown Bible Commentary| target=|_top|&gt;JFB&lt;/a&gt;</v>
      </c>
      <c r="AF622" s="2" t="str">
        <f t="shared" si="2486"/>
        <v>&lt;/li&gt;&lt;li&gt;&lt;a href=|http://kjt.biblecommenter.com/psalms/144.htm| title=|King James Translators' Notes| target=|_top|&gt;KJT&lt;/a&gt;</v>
      </c>
      <c r="AG622" s="2" t="str">
        <f t="shared" si="2486"/>
        <v>&lt;/li&gt;&lt;li&gt;&lt;a href=|http://mhc.biblecommenter.com/psalms/144.htm| title=|Matthew Henry's Concise Commentary| target=|_top|&gt;MHC&lt;/a&gt;</v>
      </c>
      <c r="AH622" s="2" t="str">
        <f t="shared" si="2486"/>
        <v>&lt;/li&gt;&lt;li&gt;&lt;a href=|http://sco.biblecommenter.com/psalms/144.htm| title=|Scofield Reference Notes| target=|_top|&gt;SCO&lt;/a&gt;</v>
      </c>
      <c r="AI622" s="2" t="str">
        <f t="shared" si="2486"/>
        <v>&lt;/li&gt;&lt;li&gt;&lt;a href=|http://wes.biblecommenter.com/psalms/144.htm| title=|Wesley's Notes on the Bible| target=|_top|&gt;WES&lt;/a&gt;</v>
      </c>
      <c r="AJ622" t="str">
        <f t="shared" si="2486"/>
        <v>&lt;/li&gt;&lt;li&gt;&lt;a href=|http://worldebible.com/psalms/144.htm| title=|World English Bible| target=|_top|&gt;WEB&lt;/a&gt;</v>
      </c>
      <c r="AK622" t="str">
        <f t="shared" si="2486"/>
        <v>&lt;/li&gt;&lt;li&gt;&lt;a href=|http://yltbible.com/psalms/144.htm| title=|Young's Literal Translation| target=|_top|&gt;YLT&lt;/a&gt;</v>
      </c>
      <c r="AL622" t="str">
        <f>CONCATENATE("&lt;a href=|http://",AL1191,"/psalms/144.htm","| ","title=|",AL1190,"| target=|_top|&gt;",AL1192,"&lt;/a&gt;")</f>
        <v>&lt;a href=|http://kjv.us/psalms/144.htm| title=|American King James Version| target=|_top|&gt;AKJ&lt;/a&gt;</v>
      </c>
      <c r="AM622" t="str">
        <f t="shared" ref="AM622:AN622" si="2487">CONCATENATE("&lt;/li&gt;&lt;li&gt;&lt;a href=|http://",AM1191,"/psalms/144.htm","| ","title=|",AM1190,"| target=|_top|&gt;",AM1192,"&lt;/a&gt;")</f>
        <v>&lt;/li&gt;&lt;li&gt;&lt;a href=|http://basicenglishbible.com/psalms/144.htm| title=|Bible in Basic English| target=|_top|&gt;BBE&lt;/a&gt;</v>
      </c>
      <c r="AN622" t="str">
        <f t="shared" si="2487"/>
        <v>&lt;/li&gt;&lt;li&gt;&lt;a href=|http://darbybible.com/psalms/144.htm| title=|Darby Bible Translation| target=|_top|&gt;DBY&lt;/a&gt;</v>
      </c>
      <c r="AO62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2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2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22" t="str">
        <f>CONCATENATE("&lt;/li&gt;&lt;li&gt;&lt;a href=|http://",AR1191,"/psalms/144.htm","| ","title=|",AR1190,"| target=|_top|&gt;",AR1192,"&lt;/a&gt;")</f>
        <v>&lt;/li&gt;&lt;li&gt;&lt;a href=|http://websterbible.com/psalms/144.htm| title=|Webster's Bible Translation| target=|_top|&gt;WBS&lt;/a&gt;</v>
      </c>
      <c r="AS62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22" t="str">
        <f>CONCATENATE("&lt;/li&gt;&lt;li&gt;&lt;a href=|http://",AT1191,"/psalms/144-1.htm","| ","title=|",AT1190,"| target=|_top|&gt;",AT1192,"&lt;/a&gt;")</f>
        <v>&lt;/li&gt;&lt;li&gt;&lt;a href=|http://biblebrowser.com/psalms/144-1.htm| title=|Split View| target=|_top|&gt;Split&lt;/a&gt;</v>
      </c>
      <c r="AU622" s="2" t="s">
        <v>1276</v>
      </c>
      <c r="AV622" t="s">
        <v>64</v>
      </c>
    </row>
    <row r="623" spans="1:48">
      <c r="A623" t="s">
        <v>622</v>
      </c>
      <c r="B623" t="s">
        <v>1127</v>
      </c>
      <c r="C623" t="s">
        <v>624</v>
      </c>
      <c r="D623" t="s">
        <v>1268</v>
      </c>
      <c r="E623" t="s">
        <v>1277</v>
      </c>
      <c r="F623" t="s">
        <v>1304</v>
      </c>
      <c r="G623" t="s">
        <v>1266</v>
      </c>
      <c r="H623" t="s">
        <v>1305</v>
      </c>
      <c r="I623" t="s">
        <v>1303</v>
      </c>
      <c r="J623" t="s">
        <v>1267</v>
      </c>
      <c r="K623" t="s">
        <v>1275</v>
      </c>
      <c r="L623" s="2" t="s">
        <v>1274</v>
      </c>
      <c r="M623" t="str">
        <f t="shared" ref="M623:AB623" si="2488">CONCATENATE("&lt;/li&gt;&lt;li&gt;&lt;a href=|http://",M1191,"/psalms/145.htm","| ","title=|",M1190,"| target=|_top|&gt;",M1192,"&lt;/a&gt;")</f>
        <v>&lt;/li&gt;&lt;li&gt;&lt;a href=|http://niv.scripturetext.com/psalms/145.htm| title=|New International Version| target=|_top|&gt;NIV&lt;/a&gt;</v>
      </c>
      <c r="N623" t="str">
        <f t="shared" si="2488"/>
        <v>&lt;/li&gt;&lt;li&gt;&lt;a href=|http://nlt.scripturetext.com/psalms/145.htm| title=|New Living Translation| target=|_top|&gt;NLT&lt;/a&gt;</v>
      </c>
      <c r="O623" t="str">
        <f t="shared" si="2488"/>
        <v>&lt;/li&gt;&lt;li&gt;&lt;a href=|http://nasb.scripturetext.com/psalms/145.htm| title=|New American Standard Bible| target=|_top|&gt;NAS&lt;/a&gt;</v>
      </c>
      <c r="P623" t="str">
        <f t="shared" si="2488"/>
        <v>&lt;/li&gt;&lt;li&gt;&lt;a href=|http://gwt.scripturetext.com/psalms/145.htm| title=|God's Word Translation| target=|_top|&gt;GWT&lt;/a&gt;</v>
      </c>
      <c r="Q623" t="str">
        <f t="shared" si="2488"/>
        <v>&lt;/li&gt;&lt;li&gt;&lt;a href=|http://kingjbible.com/psalms/145.htm| title=|King James Bible| target=|_top|&gt;KJV&lt;/a&gt;</v>
      </c>
      <c r="R623" t="str">
        <f t="shared" si="2488"/>
        <v>&lt;/li&gt;&lt;li&gt;&lt;a href=|http://asvbible.com/psalms/145.htm| title=|American Standard Version| target=|_top|&gt;ASV&lt;/a&gt;</v>
      </c>
      <c r="S623" t="str">
        <f t="shared" si="2488"/>
        <v>&lt;/li&gt;&lt;li&gt;&lt;a href=|http://drb.scripturetext.com/psalms/145.htm| title=|Douay-Rheims Bible| target=|_top|&gt;DRB&lt;/a&gt;</v>
      </c>
      <c r="T623" t="str">
        <f t="shared" si="2488"/>
        <v>&lt;/li&gt;&lt;li&gt;&lt;a href=|http://erv.scripturetext.com/psalms/145.htm| title=|English Revised Version| target=|_top|&gt;ERV&lt;/a&gt;</v>
      </c>
      <c r="V623" t="str">
        <f>CONCATENATE("&lt;/li&gt;&lt;li&gt;&lt;a href=|http://",V1191,"/psalms/145.htm","| ","title=|",V1190,"| target=|_top|&gt;",V1192,"&lt;/a&gt;")</f>
        <v>&lt;/li&gt;&lt;li&gt;&lt;a href=|http://study.interlinearbible.org/psalms/145.htm| title=|Hebrew Study Bible| target=|_top|&gt;Heb Study&lt;/a&gt;</v>
      </c>
      <c r="W623" t="str">
        <f t="shared" si="2488"/>
        <v>&lt;/li&gt;&lt;li&gt;&lt;a href=|http://apostolic.interlinearbible.org/psalms/145.htm| title=|Apostolic Bible Polyglot Interlinear| target=|_top|&gt;Polyglot&lt;/a&gt;</v>
      </c>
      <c r="X623" t="str">
        <f t="shared" si="2488"/>
        <v>&lt;/li&gt;&lt;li&gt;&lt;a href=|http://interlinearbible.org/psalms/145.htm| title=|Interlinear Bible| target=|_top|&gt;Interlin&lt;/a&gt;</v>
      </c>
      <c r="Y623" t="str">
        <f t="shared" ref="Y623" si="2489">CONCATENATE("&lt;/li&gt;&lt;li&gt;&lt;a href=|http://",Y1191,"/psalms/145.htm","| ","title=|",Y1190,"| target=|_top|&gt;",Y1192,"&lt;/a&gt;")</f>
        <v>&lt;/li&gt;&lt;li&gt;&lt;a href=|http://bibleoutline.org/psalms/145.htm| title=|Outline with People and Places List| target=|_top|&gt;Outline&lt;/a&gt;</v>
      </c>
      <c r="Z623" t="str">
        <f t="shared" si="2488"/>
        <v>&lt;/li&gt;&lt;li&gt;&lt;a href=|http://kjvs.scripturetext.com/psalms/145.htm| title=|King James Bible with Strong's Numbers| target=|_top|&gt;Strong's&lt;/a&gt;</v>
      </c>
      <c r="AA623" t="str">
        <f t="shared" si="2488"/>
        <v>&lt;/li&gt;&lt;li&gt;&lt;a href=|http://childrensbibleonline.com/psalms/145.htm| title=|The Children's Bible| target=|_top|&gt;Children's&lt;/a&gt;</v>
      </c>
      <c r="AB623" s="2" t="str">
        <f t="shared" si="2488"/>
        <v>&lt;/li&gt;&lt;li&gt;&lt;a href=|http://tsk.scripturetext.com/psalms/145.htm| title=|Treasury of Scripture Knowledge| target=|_top|&gt;TSK&lt;/a&gt;</v>
      </c>
      <c r="AC623" t="str">
        <f>CONCATENATE("&lt;a href=|http://",AC1191,"/psalms/145.htm","| ","title=|",AC1190,"| target=|_top|&gt;",AC1192,"&lt;/a&gt;")</f>
        <v>&lt;a href=|http://parallelbible.com/psalms/145.htm| title=|Parallel Chapters| target=|_top|&gt;PAR&lt;/a&gt;</v>
      </c>
      <c r="AD623" s="2" t="str">
        <f t="shared" ref="AD623:AK623" si="2490">CONCATENATE("&lt;/li&gt;&lt;li&gt;&lt;a href=|http://",AD1191,"/psalms/145.htm","| ","title=|",AD1190,"| target=|_top|&gt;",AD1192,"&lt;/a&gt;")</f>
        <v>&lt;/li&gt;&lt;li&gt;&lt;a href=|http://gsb.biblecommenter.com/psalms/145.htm| title=|Geneva Study Bible| target=|_top|&gt;GSB&lt;/a&gt;</v>
      </c>
      <c r="AE623" s="2" t="str">
        <f t="shared" si="2490"/>
        <v>&lt;/li&gt;&lt;li&gt;&lt;a href=|http://jfb.biblecommenter.com/psalms/145.htm| title=|Jamieson-Fausset-Brown Bible Commentary| target=|_top|&gt;JFB&lt;/a&gt;</v>
      </c>
      <c r="AF623" s="2" t="str">
        <f t="shared" si="2490"/>
        <v>&lt;/li&gt;&lt;li&gt;&lt;a href=|http://kjt.biblecommenter.com/psalms/145.htm| title=|King James Translators' Notes| target=|_top|&gt;KJT&lt;/a&gt;</v>
      </c>
      <c r="AG623" s="2" t="str">
        <f t="shared" si="2490"/>
        <v>&lt;/li&gt;&lt;li&gt;&lt;a href=|http://mhc.biblecommenter.com/psalms/145.htm| title=|Matthew Henry's Concise Commentary| target=|_top|&gt;MHC&lt;/a&gt;</v>
      </c>
      <c r="AH623" s="2" t="str">
        <f t="shared" si="2490"/>
        <v>&lt;/li&gt;&lt;li&gt;&lt;a href=|http://sco.biblecommenter.com/psalms/145.htm| title=|Scofield Reference Notes| target=|_top|&gt;SCO&lt;/a&gt;</v>
      </c>
      <c r="AI623" s="2" t="str">
        <f t="shared" si="2490"/>
        <v>&lt;/li&gt;&lt;li&gt;&lt;a href=|http://wes.biblecommenter.com/psalms/145.htm| title=|Wesley's Notes on the Bible| target=|_top|&gt;WES&lt;/a&gt;</v>
      </c>
      <c r="AJ623" t="str">
        <f t="shared" si="2490"/>
        <v>&lt;/li&gt;&lt;li&gt;&lt;a href=|http://worldebible.com/psalms/145.htm| title=|World English Bible| target=|_top|&gt;WEB&lt;/a&gt;</v>
      </c>
      <c r="AK623" t="str">
        <f t="shared" si="2490"/>
        <v>&lt;/li&gt;&lt;li&gt;&lt;a href=|http://yltbible.com/psalms/145.htm| title=|Young's Literal Translation| target=|_top|&gt;YLT&lt;/a&gt;</v>
      </c>
      <c r="AL623" t="str">
        <f>CONCATENATE("&lt;a href=|http://",AL1191,"/psalms/145.htm","| ","title=|",AL1190,"| target=|_top|&gt;",AL1192,"&lt;/a&gt;")</f>
        <v>&lt;a href=|http://kjv.us/psalms/145.htm| title=|American King James Version| target=|_top|&gt;AKJ&lt;/a&gt;</v>
      </c>
      <c r="AM623" t="str">
        <f t="shared" ref="AM623:AN623" si="2491">CONCATENATE("&lt;/li&gt;&lt;li&gt;&lt;a href=|http://",AM1191,"/psalms/145.htm","| ","title=|",AM1190,"| target=|_top|&gt;",AM1192,"&lt;/a&gt;")</f>
        <v>&lt;/li&gt;&lt;li&gt;&lt;a href=|http://basicenglishbible.com/psalms/145.htm| title=|Bible in Basic English| target=|_top|&gt;BBE&lt;/a&gt;</v>
      </c>
      <c r="AN623" t="str">
        <f t="shared" si="2491"/>
        <v>&lt;/li&gt;&lt;li&gt;&lt;a href=|http://darbybible.com/psalms/145.htm| title=|Darby Bible Translation| target=|_top|&gt;DBY&lt;/a&gt;</v>
      </c>
      <c r="AO62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2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2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23" t="str">
        <f>CONCATENATE("&lt;/li&gt;&lt;li&gt;&lt;a href=|http://",AR1191,"/psalms/145.htm","| ","title=|",AR1190,"| target=|_top|&gt;",AR1192,"&lt;/a&gt;")</f>
        <v>&lt;/li&gt;&lt;li&gt;&lt;a href=|http://websterbible.com/psalms/145.htm| title=|Webster's Bible Translation| target=|_top|&gt;WBS&lt;/a&gt;</v>
      </c>
      <c r="AS62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23" t="str">
        <f>CONCATENATE("&lt;/li&gt;&lt;li&gt;&lt;a href=|http://",AT1191,"/psalms/145-1.htm","| ","title=|",AT1190,"| target=|_top|&gt;",AT1192,"&lt;/a&gt;")</f>
        <v>&lt;/li&gt;&lt;li&gt;&lt;a href=|http://biblebrowser.com/psalms/145-1.htm| title=|Split View| target=|_top|&gt;Split&lt;/a&gt;</v>
      </c>
      <c r="AU623" s="2" t="s">
        <v>1276</v>
      </c>
      <c r="AV623" t="s">
        <v>64</v>
      </c>
    </row>
    <row r="624" spans="1:48">
      <c r="A624" t="s">
        <v>622</v>
      </c>
      <c r="B624" t="s">
        <v>1128</v>
      </c>
      <c r="C624" t="s">
        <v>624</v>
      </c>
      <c r="D624" t="s">
        <v>1268</v>
      </c>
      <c r="E624" t="s">
        <v>1277</v>
      </c>
      <c r="F624" t="s">
        <v>1304</v>
      </c>
      <c r="G624" t="s">
        <v>1266</v>
      </c>
      <c r="H624" t="s">
        <v>1305</v>
      </c>
      <c r="I624" t="s">
        <v>1303</v>
      </c>
      <c r="J624" t="s">
        <v>1267</v>
      </c>
      <c r="K624" t="s">
        <v>1275</v>
      </c>
      <c r="L624" s="2" t="s">
        <v>1274</v>
      </c>
      <c r="M624" t="str">
        <f t="shared" ref="M624:AB624" si="2492">CONCATENATE("&lt;/li&gt;&lt;li&gt;&lt;a href=|http://",M1191,"/psalms/146.htm","| ","title=|",M1190,"| target=|_top|&gt;",M1192,"&lt;/a&gt;")</f>
        <v>&lt;/li&gt;&lt;li&gt;&lt;a href=|http://niv.scripturetext.com/psalms/146.htm| title=|New International Version| target=|_top|&gt;NIV&lt;/a&gt;</v>
      </c>
      <c r="N624" t="str">
        <f t="shared" si="2492"/>
        <v>&lt;/li&gt;&lt;li&gt;&lt;a href=|http://nlt.scripturetext.com/psalms/146.htm| title=|New Living Translation| target=|_top|&gt;NLT&lt;/a&gt;</v>
      </c>
      <c r="O624" t="str">
        <f t="shared" si="2492"/>
        <v>&lt;/li&gt;&lt;li&gt;&lt;a href=|http://nasb.scripturetext.com/psalms/146.htm| title=|New American Standard Bible| target=|_top|&gt;NAS&lt;/a&gt;</v>
      </c>
      <c r="P624" t="str">
        <f t="shared" si="2492"/>
        <v>&lt;/li&gt;&lt;li&gt;&lt;a href=|http://gwt.scripturetext.com/psalms/146.htm| title=|God's Word Translation| target=|_top|&gt;GWT&lt;/a&gt;</v>
      </c>
      <c r="Q624" t="str">
        <f t="shared" si="2492"/>
        <v>&lt;/li&gt;&lt;li&gt;&lt;a href=|http://kingjbible.com/psalms/146.htm| title=|King James Bible| target=|_top|&gt;KJV&lt;/a&gt;</v>
      </c>
      <c r="R624" t="str">
        <f t="shared" si="2492"/>
        <v>&lt;/li&gt;&lt;li&gt;&lt;a href=|http://asvbible.com/psalms/146.htm| title=|American Standard Version| target=|_top|&gt;ASV&lt;/a&gt;</v>
      </c>
      <c r="S624" t="str">
        <f t="shared" si="2492"/>
        <v>&lt;/li&gt;&lt;li&gt;&lt;a href=|http://drb.scripturetext.com/psalms/146.htm| title=|Douay-Rheims Bible| target=|_top|&gt;DRB&lt;/a&gt;</v>
      </c>
      <c r="T624" t="str">
        <f t="shared" si="2492"/>
        <v>&lt;/li&gt;&lt;li&gt;&lt;a href=|http://erv.scripturetext.com/psalms/146.htm| title=|English Revised Version| target=|_top|&gt;ERV&lt;/a&gt;</v>
      </c>
      <c r="V624" t="str">
        <f>CONCATENATE("&lt;/li&gt;&lt;li&gt;&lt;a href=|http://",V1191,"/psalms/146.htm","| ","title=|",V1190,"| target=|_top|&gt;",V1192,"&lt;/a&gt;")</f>
        <v>&lt;/li&gt;&lt;li&gt;&lt;a href=|http://study.interlinearbible.org/psalms/146.htm| title=|Hebrew Study Bible| target=|_top|&gt;Heb Study&lt;/a&gt;</v>
      </c>
      <c r="W624" t="str">
        <f t="shared" si="2492"/>
        <v>&lt;/li&gt;&lt;li&gt;&lt;a href=|http://apostolic.interlinearbible.org/psalms/146.htm| title=|Apostolic Bible Polyglot Interlinear| target=|_top|&gt;Polyglot&lt;/a&gt;</v>
      </c>
      <c r="X624" t="str">
        <f t="shared" si="2492"/>
        <v>&lt;/li&gt;&lt;li&gt;&lt;a href=|http://interlinearbible.org/psalms/146.htm| title=|Interlinear Bible| target=|_top|&gt;Interlin&lt;/a&gt;</v>
      </c>
      <c r="Y624" t="str">
        <f t="shared" ref="Y624" si="2493">CONCATENATE("&lt;/li&gt;&lt;li&gt;&lt;a href=|http://",Y1191,"/psalms/146.htm","| ","title=|",Y1190,"| target=|_top|&gt;",Y1192,"&lt;/a&gt;")</f>
        <v>&lt;/li&gt;&lt;li&gt;&lt;a href=|http://bibleoutline.org/psalms/146.htm| title=|Outline with People and Places List| target=|_top|&gt;Outline&lt;/a&gt;</v>
      </c>
      <c r="Z624" t="str">
        <f t="shared" si="2492"/>
        <v>&lt;/li&gt;&lt;li&gt;&lt;a href=|http://kjvs.scripturetext.com/psalms/146.htm| title=|King James Bible with Strong's Numbers| target=|_top|&gt;Strong's&lt;/a&gt;</v>
      </c>
      <c r="AA624" t="str">
        <f t="shared" si="2492"/>
        <v>&lt;/li&gt;&lt;li&gt;&lt;a href=|http://childrensbibleonline.com/psalms/146.htm| title=|The Children's Bible| target=|_top|&gt;Children's&lt;/a&gt;</v>
      </c>
      <c r="AB624" s="2" t="str">
        <f t="shared" si="2492"/>
        <v>&lt;/li&gt;&lt;li&gt;&lt;a href=|http://tsk.scripturetext.com/psalms/146.htm| title=|Treasury of Scripture Knowledge| target=|_top|&gt;TSK&lt;/a&gt;</v>
      </c>
      <c r="AC624" t="str">
        <f>CONCATENATE("&lt;a href=|http://",AC1191,"/psalms/146.htm","| ","title=|",AC1190,"| target=|_top|&gt;",AC1192,"&lt;/a&gt;")</f>
        <v>&lt;a href=|http://parallelbible.com/psalms/146.htm| title=|Parallel Chapters| target=|_top|&gt;PAR&lt;/a&gt;</v>
      </c>
      <c r="AD624" s="2" t="str">
        <f t="shared" ref="AD624:AK624" si="2494">CONCATENATE("&lt;/li&gt;&lt;li&gt;&lt;a href=|http://",AD1191,"/psalms/146.htm","| ","title=|",AD1190,"| target=|_top|&gt;",AD1192,"&lt;/a&gt;")</f>
        <v>&lt;/li&gt;&lt;li&gt;&lt;a href=|http://gsb.biblecommenter.com/psalms/146.htm| title=|Geneva Study Bible| target=|_top|&gt;GSB&lt;/a&gt;</v>
      </c>
      <c r="AE624" s="2" t="str">
        <f t="shared" si="2494"/>
        <v>&lt;/li&gt;&lt;li&gt;&lt;a href=|http://jfb.biblecommenter.com/psalms/146.htm| title=|Jamieson-Fausset-Brown Bible Commentary| target=|_top|&gt;JFB&lt;/a&gt;</v>
      </c>
      <c r="AF624" s="2" t="str">
        <f t="shared" si="2494"/>
        <v>&lt;/li&gt;&lt;li&gt;&lt;a href=|http://kjt.biblecommenter.com/psalms/146.htm| title=|King James Translators' Notes| target=|_top|&gt;KJT&lt;/a&gt;</v>
      </c>
      <c r="AG624" s="2" t="str">
        <f t="shared" si="2494"/>
        <v>&lt;/li&gt;&lt;li&gt;&lt;a href=|http://mhc.biblecommenter.com/psalms/146.htm| title=|Matthew Henry's Concise Commentary| target=|_top|&gt;MHC&lt;/a&gt;</v>
      </c>
      <c r="AH624" s="2" t="str">
        <f t="shared" si="2494"/>
        <v>&lt;/li&gt;&lt;li&gt;&lt;a href=|http://sco.biblecommenter.com/psalms/146.htm| title=|Scofield Reference Notes| target=|_top|&gt;SCO&lt;/a&gt;</v>
      </c>
      <c r="AI624" s="2" t="str">
        <f t="shared" si="2494"/>
        <v>&lt;/li&gt;&lt;li&gt;&lt;a href=|http://wes.biblecommenter.com/psalms/146.htm| title=|Wesley's Notes on the Bible| target=|_top|&gt;WES&lt;/a&gt;</v>
      </c>
      <c r="AJ624" t="str">
        <f t="shared" si="2494"/>
        <v>&lt;/li&gt;&lt;li&gt;&lt;a href=|http://worldebible.com/psalms/146.htm| title=|World English Bible| target=|_top|&gt;WEB&lt;/a&gt;</v>
      </c>
      <c r="AK624" t="str">
        <f t="shared" si="2494"/>
        <v>&lt;/li&gt;&lt;li&gt;&lt;a href=|http://yltbible.com/psalms/146.htm| title=|Young's Literal Translation| target=|_top|&gt;YLT&lt;/a&gt;</v>
      </c>
      <c r="AL624" t="str">
        <f>CONCATENATE("&lt;a href=|http://",AL1191,"/psalms/146.htm","| ","title=|",AL1190,"| target=|_top|&gt;",AL1192,"&lt;/a&gt;")</f>
        <v>&lt;a href=|http://kjv.us/psalms/146.htm| title=|American King James Version| target=|_top|&gt;AKJ&lt;/a&gt;</v>
      </c>
      <c r="AM624" t="str">
        <f t="shared" ref="AM624:AN624" si="2495">CONCATENATE("&lt;/li&gt;&lt;li&gt;&lt;a href=|http://",AM1191,"/psalms/146.htm","| ","title=|",AM1190,"| target=|_top|&gt;",AM1192,"&lt;/a&gt;")</f>
        <v>&lt;/li&gt;&lt;li&gt;&lt;a href=|http://basicenglishbible.com/psalms/146.htm| title=|Bible in Basic English| target=|_top|&gt;BBE&lt;/a&gt;</v>
      </c>
      <c r="AN624" t="str">
        <f t="shared" si="2495"/>
        <v>&lt;/li&gt;&lt;li&gt;&lt;a href=|http://darbybible.com/psalms/146.htm| title=|Darby Bible Translation| target=|_top|&gt;DBY&lt;/a&gt;</v>
      </c>
      <c r="AO62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2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2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24" t="str">
        <f>CONCATENATE("&lt;/li&gt;&lt;li&gt;&lt;a href=|http://",AR1191,"/psalms/146.htm","| ","title=|",AR1190,"| target=|_top|&gt;",AR1192,"&lt;/a&gt;")</f>
        <v>&lt;/li&gt;&lt;li&gt;&lt;a href=|http://websterbible.com/psalms/146.htm| title=|Webster's Bible Translation| target=|_top|&gt;WBS&lt;/a&gt;</v>
      </c>
      <c r="AS62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24" t="str">
        <f>CONCATENATE("&lt;/li&gt;&lt;li&gt;&lt;a href=|http://",AT1191,"/psalms/146-1.htm","| ","title=|",AT1190,"| target=|_top|&gt;",AT1192,"&lt;/a&gt;")</f>
        <v>&lt;/li&gt;&lt;li&gt;&lt;a href=|http://biblebrowser.com/psalms/146-1.htm| title=|Split View| target=|_top|&gt;Split&lt;/a&gt;</v>
      </c>
      <c r="AU624" s="2" t="s">
        <v>1276</v>
      </c>
      <c r="AV624" t="s">
        <v>64</v>
      </c>
    </row>
    <row r="625" spans="1:48">
      <c r="A625" t="s">
        <v>622</v>
      </c>
      <c r="B625" t="s">
        <v>1129</v>
      </c>
      <c r="C625" t="s">
        <v>624</v>
      </c>
      <c r="D625" t="s">
        <v>1268</v>
      </c>
      <c r="E625" t="s">
        <v>1277</v>
      </c>
      <c r="F625" t="s">
        <v>1304</v>
      </c>
      <c r="G625" t="s">
        <v>1266</v>
      </c>
      <c r="H625" t="s">
        <v>1305</v>
      </c>
      <c r="I625" t="s">
        <v>1303</v>
      </c>
      <c r="J625" t="s">
        <v>1267</v>
      </c>
      <c r="K625" t="s">
        <v>1275</v>
      </c>
      <c r="L625" s="2" t="s">
        <v>1274</v>
      </c>
      <c r="M625" t="str">
        <f t="shared" ref="M625:AB625" si="2496">CONCATENATE("&lt;/li&gt;&lt;li&gt;&lt;a href=|http://",M1191,"/psalms/147.htm","| ","title=|",M1190,"| target=|_top|&gt;",M1192,"&lt;/a&gt;")</f>
        <v>&lt;/li&gt;&lt;li&gt;&lt;a href=|http://niv.scripturetext.com/psalms/147.htm| title=|New International Version| target=|_top|&gt;NIV&lt;/a&gt;</v>
      </c>
      <c r="N625" t="str">
        <f t="shared" si="2496"/>
        <v>&lt;/li&gt;&lt;li&gt;&lt;a href=|http://nlt.scripturetext.com/psalms/147.htm| title=|New Living Translation| target=|_top|&gt;NLT&lt;/a&gt;</v>
      </c>
      <c r="O625" t="str">
        <f t="shared" si="2496"/>
        <v>&lt;/li&gt;&lt;li&gt;&lt;a href=|http://nasb.scripturetext.com/psalms/147.htm| title=|New American Standard Bible| target=|_top|&gt;NAS&lt;/a&gt;</v>
      </c>
      <c r="P625" t="str">
        <f t="shared" si="2496"/>
        <v>&lt;/li&gt;&lt;li&gt;&lt;a href=|http://gwt.scripturetext.com/psalms/147.htm| title=|God's Word Translation| target=|_top|&gt;GWT&lt;/a&gt;</v>
      </c>
      <c r="Q625" t="str">
        <f t="shared" si="2496"/>
        <v>&lt;/li&gt;&lt;li&gt;&lt;a href=|http://kingjbible.com/psalms/147.htm| title=|King James Bible| target=|_top|&gt;KJV&lt;/a&gt;</v>
      </c>
      <c r="R625" t="str">
        <f t="shared" si="2496"/>
        <v>&lt;/li&gt;&lt;li&gt;&lt;a href=|http://asvbible.com/psalms/147.htm| title=|American Standard Version| target=|_top|&gt;ASV&lt;/a&gt;</v>
      </c>
      <c r="S625" t="str">
        <f t="shared" si="2496"/>
        <v>&lt;/li&gt;&lt;li&gt;&lt;a href=|http://drb.scripturetext.com/psalms/147.htm| title=|Douay-Rheims Bible| target=|_top|&gt;DRB&lt;/a&gt;</v>
      </c>
      <c r="T625" t="str">
        <f t="shared" si="2496"/>
        <v>&lt;/li&gt;&lt;li&gt;&lt;a href=|http://erv.scripturetext.com/psalms/147.htm| title=|English Revised Version| target=|_top|&gt;ERV&lt;/a&gt;</v>
      </c>
      <c r="V625" t="str">
        <f>CONCATENATE("&lt;/li&gt;&lt;li&gt;&lt;a href=|http://",V1191,"/psalms/147.htm","| ","title=|",V1190,"| target=|_top|&gt;",V1192,"&lt;/a&gt;")</f>
        <v>&lt;/li&gt;&lt;li&gt;&lt;a href=|http://study.interlinearbible.org/psalms/147.htm| title=|Hebrew Study Bible| target=|_top|&gt;Heb Study&lt;/a&gt;</v>
      </c>
      <c r="W625" t="str">
        <f t="shared" si="2496"/>
        <v>&lt;/li&gt;&lt;li&gt;&lt;a href=|http://apostolic.interlinearbible.org/psalms/147.htm| title=|Apostolic Bible Polyglot Interlinear| target=|_top|&gt;Polyglot&lt;/a&gt;</v>
      </c>
      <c r="X625" t="str">
        <f t="shared" si="2496"/>
        <v>&lt;/li&gt;&lt;li&gt;&lt;a href=|http://interlinearbible.org/psalms/147.htm| title=|Interlinear Bible| target=|_top|&gt;Interlin&lt;/a&gt;</v>
      </c>
      <c r="Y625" t="str">
        <f t="shared" ref="Y625" si="2497">CONCATENATE("&lt;/li&gt;&lt;li&gt;&lt;a href=|http://",Y1191,"/psalms/147.htm","| ","title=|",Y1190,"| target=|_top|&gt;",Y1192,"&lt;/a&gt;")</f>
        <v>&lt;/li&gt;&lt;li&gt;&lt;a href=|http://bibleoutline.org/psalms/147.htm| title=|Outline with People and Places List| target=|_top|&gt;Outline&lt;/a&gt;</v>
      </c>
      <c r="Z625" t="str">
        <f t="shared" si="2496"/>
        <v>&lt;/li&gt;&lt;li&gt;&lt;a href=|http://kjvs.scripturetext.com/psalms/147.htm| title=|King James Bible with Strong's Numbers| target=|_top|&gt;Strong's&lt;/a&gt;</v>
      </c>
      <c r="AA625" t="str">
        <f t="shared" si="2496"/>
        <v>&lt;/li&gt;&lt;li&gt;&lt;a href=|http://childrensbibleonline.com/psalms/147.htm| title=|The Children's Bible| target=|_top|&gt;Children's&lt;/a&gt;</v>
      </c>
      <c r="AB625" s="2" t="str">
        <f t="shared" si="2496"/>
        <v>&lt;/li&gt;&lt;li&gt;&lt;a href=|http://tsk.scripturetext.com/psalms/147.htm| title=|Treasury of Scripture Knowledge| target=|_top|&gt;TSK&lt;/a&gt;</v>
      </c>
      <c r="AC625" t="str">
        <f>CONCATENATE("&lt;a href=|http://",AC1191,"/psalms/147.htm","| ","title=|",AC1190,"| target=|_top|&gt;",AC1192,"&lt;/a&gt;")</f>
        <v>&lt;a href=|http://parallelbible.com/psalms/147.htm| title=|Parallel Chapters| target=|_top|&gt;PAR&lt;/a&gt;</v>
      </c>
      <c r="AD625" s="2" t="str">
        <f t="shared" ref="AD625:AK625" si="2498">CONCATENATE("&lt;/li&gt;&lt;li&gt;&lt;a href=|http://",AD1191,"/psalms/147.htm","| ","title=|",AD1190,"| target=|_top|&gt;",AD1192,"&lt;/a&gt;")</f>
        <v>&lt;/li&gt;&lt;li&gt;&lt;a href=|http://gsb.biblecommenter.com/psalms/147.htm| title=|Geneva Study Bible| target=|_top|&gt;GSB&lt;/a&gt;</v>
      </c>
      <c r="AE625" s="2" t="str">
        <f t="shared" si="2498"/>
        <v>&lt;/li&gt;&lt;li&gt;&lt;a href=|http://jfb.biblecommenter.com/psalms/147.htm| title=|Jamieson-Fausset-Brown Bible Commentary| target=|_top|&gt;JFB&lt;/a&gt;</v>
      </c>
      <c r="AF625" s="2" t="str">
        <f t="shared" si="2498"/>
        <v>&lt;/li&gt;&lt;li&gt;&lt;a href=|http://kjt.biblecommenter.com/psalms/147.htm| title=|King James Translators' Notes| target=|_top|&gt;KJT&lt;/a&gt;</v>
      </c>
      <c r="AG625" s="2" t="str">
        <f t="shared" si="2498"/>
        <v>&lt;/li&gt;&lt;li&gt;&lt;a href=|http://mhc.biblecommenter.com/psalms/147.htm| title=|Matthew Henry's Concise Commentary| target=|_top|&gt;MHC&lt;/a&gt;</v>
      </c>
      <c r="AH625" s="2" t="str">
        <f t="shared" si="2498"/>
        <v>&lt;/li&gt;&lt;li&gt;&lt;a href=|http://sco.biblecommenter.com/psalms/147.htm| title=|Scofield Reference Notes| target=|_top|&gt;SCO&lt;/a&gt;</v>
      </c>
      <c r="AI625" s="2" t="str">
        <f t="shared" si="2498"/>
        <v>&lt;/li&gt;&lt;li&gt;&lt;a href=|http://wes.biblecommenter.com/psalms/147.htm| title=|Wesley's Notes on the Bible| target=|_top|&gt;WES&lt;/a&gt;</v>
      </c>
      <c r="AJ625" t="str">
        <f t="shared" si="2498"/>
        <v>&lt;/li&gt;&lt;li&gt;&lt;a href=|http://worldebible.com/psalms/147.htm| title=|World English Bible| target=|_top|&gt;WEB&lt;/a&gt;</v>
      </c>
      <c r="AK625" t="str">
        <f t="shared" si="2498"/>
        <v>&lt;/li&gt;&lt;li&gt;&lt;a href=|http://yltbible.com/psalms/147.htm| title=|Young's Literal Translation| target=|_top|&gt;YLT&lt;/a&gt;</v>
      </c>
      <c r="AL625" t="str">
        <f>CONCATENATE("&lt;a href=|http://",AL1191,"/psalms/147.htm","| ","title=|",AL1190,"| target=|_top|&gt;",AL1192,"&lt;/a&gt;")</f>
        <v>&lt;a href=|http://kjv.us/psalms/147.htm| title=|American King James Version| target=|_top|&gt;AKJ&lt;/a&gt;</v>
      </c>
      <c r="AM625" t="str">
        <f t="shared" ref="AM625:AN625" si="2499">CONCATENATE("&lt;/li&gt;&lt;li&gt;&lt;a href=|http://",AM1191,"/psalms/147.htm","| ","title=|",AM1190,"| target=|_top|&gt;",AM1192,"&lt;/a&gt;")</f>
        <v>&lt;/li&gt;&lt;li&gt;&lt;a href=|http://basicenglishbible.com/psalms/147.htm| title=|Bible in Basic English| target=|_top|&gt;BBE&lt;/a&gt;</v>
      </c>
      <c r="AN625" t="str">
        <f t="shared" si="2499"/>
        <v>&lt;/li&gt;&lt;li&gt;&lt;a href=|http://darbybible.com/psalms/147.htm| title=|Darby Bible Translation| target=|_top|&gt;DBY&lt;/a&gt;</v>
      </c>
      <c r="AO62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2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2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25" t="str">
        <f>CONCATENATE("&lt;/li&gt;&lt;li&gt;&lt;a href=|http://",AR1191,"/psalms/147.htm","| ","title=|",AR1190,"| target=|_top|&gt;",AR1192,"&lt;/a&gt;")</f>
        <v>&lt;/li&gt;&lt;li&gt;&lt;a href=|http://websterbible.com/psalms/147.htm| title=|Webster's Bible Translation| target=|_top|&gt;WBS&lt;/a&gt;</v>
      </c>
      <c r="AS62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25" t="str">
        <f>CONCATENATE("&lt;/li&gt;&lt;li&gt;&lt;a href=|http://",AT1191,"/psalms/147-1.htm","| ","title=|",AT1190,"| target=|_top|&gt;",AT1192,"&lt;/a&gt;")</f>
        <v>&lt;/li&gt;&lt;li&gt;&lt;a href=|http://biblebrowser.com/psalms/147-1.htm| title=|Split View| target=|_top|&gt;Split&lt;/a&gt;</v>
      </c>
      <c r="AU625" s="2" t="s">
        <v>1276</v>
      </c>
      <c r="AV625" t="s">
        <v>64</v>
      </c>
    </row>
    <row r="626" spans="1:48">
      <c r="A626" t="s">
        <v>622</v>
      </c>
      <c r="B626" t="s">
        <v>1130</v>
      </c>
      <c r="C626" t="s">
        <v>624</v>
      </c>
      <c r="D626" t="s">
        <v>1268</v>
      </c>
      <c r="E626" t="s">
        <v>1277</v>
      </c>
      <c r="F626" t="s">
        <v>1304</v>
      </c>
      <c r="G626" t="s">
        <v>1266</v>
      </c>
      <c r="H626" t="s">
        <v>1305</v>
      </c>
      <c r="I626" t="s">
        <v>1303</v>
      </c>
      <c r="J626" t="s">
        <v>1267</v>
      </c>
      <c r="K626" t="s">
        <v>1275</v>
      </c>
      <c r="L626" s="2" t="s">
        <v>1274</v>
      </c>
      <c r="M626" t="str">
        <f t="shared" ref="M626:AB626" si="2500">CONCATENATE("&lt;/li&gt;&lt;li&gt;&lt;a href=|http://",M1191,"/psalms/148.htm","| ","title=|",M1190,"| target=|_top|&gt;",M1192,"&lt;/a&gt;")</f>
        <v>&lt;/li&gt;&lt;li&gt;&lt;a href=|http://niv.scripturetext.com/psalms/148.htm| title=|New International Version| target=|_top|&gt;NIV&lt;/a&gt;</v>
      </c>
      <c r="N626" t="str">
        <f t="shared" si="2500"/>
        <v>&lt;/li&gt;&lt;li&gt;&lt;a href=|http://nlt.scripturetext.com/psalms/148.htm| title=|New Living Translation| target=|_top|&gt;NLT&lt;/a&gt;</v>
      </c>
      <c r="O626" t="str">
        <f t="shared" si="2500"/>
        <v>&lt;/li&gt;&lt;li&gt;&lt;a href=|http://nasb.scripturetext.com/psalms/148.htm| title=|New American Standard Bible| target=|_top|&gt;NAS&lt;/a&gt;</v>
      </c>
      <c r="P626" t="str">
        <f t="shared" si="2500"/>
        <v>&lt;/li&gt;&lt;li&gt;&lt;a href=|http://gwt.scripturetext.com/psalms/148.htm| title=|God's Word Translation| target=|_top|&gt;GWT&lt;/a&gt;</v>
      </c>
      <c r="Q626" t="str">
        <f t="shared" si="2500"/>
        <v>&lt;/li&gt;&lt;li&gt;&lt;a href=|http://kingjbible.com/psalms/148.htm| title=|King James Bible| target=|_top|&gt;KJV&lt;/a&gt;</v>
      </c>
      <c r="R626" t="str">
        <f t="shared" si="2500"/>
        <v>&lt;/li&gt;&lt;li&gt;&lt;a href=|http://asvbible.com/psalms/148.htm| title=|American Standard Version| target=|_top|&gt;ASV&lt;/a&gt;</v>
      </c>
      <c r="S626" t="str">
        <f t="shared" si="2500"/>
        <v>&lt;/li&gt;&lt;li&gt;&lt;a href=|http://drb.scripturetext.com/psalms/148.htm| title=|Douay-Rheims Bible| target=|_top|&gt;DRB&lt;/a&gt;</v>
      </c>
      <c r="T626" t="str">
        <f t="shared" si="2500"/>
        <v>&lt;/li&gt;&lt;li&gt;&lt;a href=|http://erv.scripturetext.com/psalms/148.htm| title=|English Revised Version| target=|_top|&gt;ERV&lt;/a&gt;</v>
      </c>
      <c r="V626" t="str">
        <f>CONCATENATE("&lt;/li&gt;&lt;li&gt;&lt;a href=|http://",V1191,"/psalms/148.htm","| ","title=|",V1190,"| target=|_top|&gt;",V1192,"&lt;/a&gt;")</f>
        <v>&lt;/li&gt;&lt;li&gt;&lt;a href=|http://study.interlinearbible.org/psalms/148.htm| title=|Hebrew Study Bible| target=|_top|&gt;Heb Study&lt;/a&gt;</v>
      </c>
      <c r="W626" t="str">
        <f t="shared" si="2500"/>
        <v>&lt;/li&gt;&lt;li&gt;&lt;a href=|http://apostolic.interlinearbible.org/psalms/148.htm| title=|Apostolic Bible Polyglot Interlinear| target=|_top|&gt;Polyglot&lt;/a&gt;</v>
      </c>
      <c r="X626" t="str">
        <f t="shared" si="2500"/>
        <v>&lt;/li&gt;&lt;li&gt;&lt;a href=|http://interlinearbible.org/psalms/148.htm| title=|Interlinear Bible| target=|_top|&gt;Interlin&lt;/a&gt;</v>
      </c>
      <c r="Y626" t="str">
        <f t="shared" ref="Y626" si="2501">CONCATENATE("&lt;/li&gt;&lt;li&gt;&lt;a href=|http://",Y1191,"/psalms/148.htm","| ","title=|",Y1190,"| target=|_top|&gt;",Y1192,"&lt;/a&gt;")</f>
        <v>&lt;/li&gt;&lt;li&gt;&lt;a href=|http://bibleoutline.org/psalms/148.htm| title=|Outline with People and Places List| target=|_top|&gt;Outline&lt;/a&gt;</v>
      </c>
      <c r="Z626" t="str">
        <f t="shared" si="2500"/>
        <v>&lt;/li&gt;&lt;li&gt;&lt;a href=|http://kjvs.scripturetext.com/psalms/148.htm| title=|King James Bible with Strong's Numbers| target=|_top|&gt;Strong's&lt;/a&gt;</v>
      </c>
      <c r="AA626" t="str">
        <f t="shared" si="2500"/>
        <v>&lt;/li&gt;&lt;li&gt;&lt;a href=|http://childrensbibleonline.com/psalms/148.htm| title=|The Children's Bible| target=|_top|&gt;Children's&lt;/a&gt;</v>
      </c>
      <c r="AB626" s="2" t="str">
        <f t="shared" si="2500"/>
        <v>&lt;/li&gt;&lt;li&gt;&lt;a href=|http://tsk.scripturetext.com/psalms/148.htm| title=|Treasury of Scripture Knowledge| target=|_top|&gt;TSK&lt;/a&gt;</v>
      </c>
      <c r="AC626" t="str">
        <f>CONCATENATE("&lt;a href=|http://",AC1191,"/psalms/148.htm","| ","title=|",AC1190,"| target=|_top|&gt;",AC1192,"&lt;/a&gt;")</f>
        <v>&lt;a href=|http://parallelbible.com/psalms/148.htm| title=|Parallel Chapters| target=|_top|&gt;PAR&lt;/a&gt;</v>
      </c>
      <c r="AD626" s="2" t="str">
        <f t="shared" ref="AD626:AK626" si="2502">CONCATENATE("&lt;/li&gt;&lt;li&gt;&lt;a href=|http://",AD1191,"/psalms/148.htm","| ","title=|",AD1190,"| target=|_top|&gt;",AD1192,"&lt;/a&gt;")</f>
        <v>&lt;/li&gt;&lt;li&gt;&lt;a href=|http://gsb.biblecommenter.com/psalms/148.htm| title=|Geneva Study Bible| target=|_top|&gt;GSB&lt;/a&gt;</v>
      </c>
      <c r="AE626" s="2" t="str">
        <f t="shared" si="2502"/>
        <v>&lt;/li&gt;&lt;li&gt;&lt;a href=|http://jfb.biblecommenter.com/psalms/148.htm| title=|Jamieson-Fausset-Brown Bible Commentary| target=|_top|&gt;JFB&lt;/a&gt;</v>
      </c>
      <c r="AF626" s="2" t="str">
        <f t="shared" si="2502"/>
        <v>&lt;/li&gt;&lt;li&gt;&lt;a href=|http://kjt.biblecommenter.com/psalms/148.htm| title=|King James Translators' Notes| target=|_top|&gt;KJT&lt;/a&gt;</v>
      </c>
      <c r="AG626" s="2" t="str">
        <f t="shared" si="2502"/>
        <v>&lt;/li&gt;&lt;li&gt;&lt;a href=|http://mhc.biblecommenter.com/psalms/148.htm| title=|Matthew Henry's Concise Commentary| target=|_top|&gt;MHC&lt;/a&gt;</v>
      </c>
      <c r="AH626" s="2" t="str">
        <f t="shared" si="2502"/>
        <v>&lt;/li&gt;&lt;li&gt;&lt;a href=|http://sco.biblecommenter.com/psalms/148.htm| title=|Scofield Reference Notes| target=|_top|&gt;SCO&lt;/a&gt;</v>
      </c>
      <c r="AI626" s="2" t="str">
        <f t="shared" si="2502"/>
        <v>&lt;/li&gt;&lt;li&gt;&lt;a href=|http://wes.biblecommenter.com/psalms/148.htm| title=|Wesley's Notes on the Bible| target=|_top|&gt;WES&lt;/a&gt;</v>
      </c>
      <c r="AJ626" t="str">
        <f t="shared" si="2502"/>
        <v>&lt;/li&gt;&lt;li&gt;&lt;a href=|http://worldebible.com/psalms/148.htm| title=|World English Bible| target=|_top|&gt;WEB&lt;/a&gt;</v>
      </c>
      <c r="AK626" t="str">
        <f t="shared" si="2502"/>
        <v>&lt;/li&gt;&lt;li&gt;&lt;a href=|http://yltbible.com/psalms/148.htm| title=|Young's Literal Translation| target=|_top|&gt;YLT&lt;/a&gt;</v>
      </c>
      <c r="AL626" t="str">
        <f>CONCATENATE("&lt;a href=|http://",AL1191,"/psalms/148.htm","| ","title=|",AL1190,"| target=|_top|&gt;",AL1192,"&lt;/a&gt;")</f>
        <v>&lt;a href=|http://kjv.us/psalms/148.htm| title=|American King James Version| target=|_top|&gt;AKJ&lt;/a&gt;</v>
      </c>
      <c r="AM626" t="str">
        <f t="shared" ref="AM626:AN626" si="2503">CONCATENATE("&lt;/li&gt;&lt;li&gt;&lt;a href=|http://",AM1191,"/psalms/148.htm","| ","title=|",AM1190,"| target=|_top|&gt;",AM1192,"&lt;/a&gt;")</f>
        <v>&lt;/li&gt;&lt;li&gt;&lt;a href=|http://basicenglishbible.com/psalms/148.htm| title=|Bible in Basic English| target=|_top|&gt;BBE&lt;/a&gt;</v>
      </c>
      <c r="AN626" t="str">
        <f t="shared" si="2503"/>
        <v>&lt;/li&gt;&lt;li&gt;&lt;a href=|http://darbybible.com/psalms/148.htm| title=|Darby Bible Translation| target=|_top|&gt;DBY&lt;/a&gt;</v>
      </c>
      <c r="AO62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2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2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26" t="str">
        <f>CONCATENATE("&lt;/li&gt;&lt;li&gt;&lt;a href=|http://",AR1191,"/psalms/148.htm","| ","title=|",AR1190,"| target=|_top|&gt;",AR1192,"&lt;/a&gt;")</f>
        <v>&lt;/li&gt;&lt;li&gt;&lt;a href=|http://websterbible.com/psalms/148.htm| title=|Webster's Bible Translation| target=|_top|&gt;WBS&lt;/a&gt;</v>
      </c>
      <c r="AS62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26" t="str">
        <f>CONCATENATE("&lt;/li&gt;&lt;li&gt;&lt;a href=|http://",AT1191,"/psalms/148-1.htm","| ","title=|",AT1190,"| target=|_top|&gt;",AT1192,"&lt;/a&gt;")</f>
        <v>&lt;/li&gt;&lt;li&gt;&lt;a href=|http://biblebrowser.com/psalms/148-1.htm| title=|Split View| target=|_top|&gt;Split&lt;/a&gt;</v>
      </c>
      <c r="AU626" s="2" t="s">
        <v>1276</v>
      </c>
      <c r="AV626" t="s">
        <v>64</v>
      </c>
    </row>
    <row r="627" spans="1:48">
      <c r="A627" t="s">
        <v>622</v>
      </c>
      <c r="B627" t="s">
        <v>1131</v>
      </c>
      <c r="C627" t="s">
        <v>624</v>
      </c>
      <c r="D627" t="s">
        <v>1268</v>
      </c>
      <c r="E627" t="s">
        <v>1277</v>
      </c>
      <c r="F627" t="s">
        <v>1304</v>
      </c>
      <c r="G627" t="s">
        <v>1266</v>
      </c>
      <c r="H627" t="s">
        <v>1305</v>
      </c>
      <c r="I627" t="s">
        <v>1303</v>
      </c>
      <c r="J627" t="s">
        <v>1267</v>
      </c>
      <c r="K627" t="s">
        <v>1275</v>
      </c>
      <c r="L627" s="2" t="s">
        <v>1274</v>
      </c>
      <c r="M627" t="str">
        <f t="shared" ref="M627:AB627" si="2504">CONCATENATE("&lt;/li&gt;&lt;li&gt;&lt;a href=|http://",M1191,"/psalms/149.htm","| ","title=|",M1190,"| target=|_top|&gt;",M1192,"&lt;/a&gt;")</f>
        <v>&lt;/li&gt;&lt;li&gt;&lt;a href=|http://niv.scripturetext.com/psalms/149.htm| title=|New International Version| target=|_top|&gt;NIV&lt;/a&gt;</v>
      </c>
      <c r="N627" t="str">
        <f t="shared" si="2504"/>
        <v>&lt;/li&gt;&lt;li&gt;&lt;a href=|http://nlt.scripturetext.com/psalms/149.htm| title=|New Living Translation| target=|_top|&gt;NLT&lt;/a&gt;</v>
      </c>
      <c r="O627" t="str">
        <f t="shared" si="2504"/>
        <v>&lt;/li&gt;&lt;li&gt;&lt;a href=|http://nasb.scripturetext.com/psalms/149.htm| title=|New American Standard Bible| target=|_top|&gt;NAS&lt;/a&gt;</v>
      </c>
      <c r="P627" t="str">
        <f t="shared" si="2504"/>
        <v>&lt;/li&gt;&lt;li&gt;&lt;a href=|http://gwt.scripturetext.com/psalms/149.htm| title=|God's Word Translation| target=|_top|&gt;GWT&lt;/a&gt;</v>
      </c>
      <c r="Q627" t="str">
        <f t="shared" si="2504"/>
        <v>&lt;/li&gt;&lt;li&gt;&lt;a href=|http://kingjbible.com/psalms/149.htm| title=|King James Bible| target=|_top|&gt;KJV&lt;/a&gt;</v>
      </c>
      <c r="R627" t="str">
        <f t="shared" si="2504"/>
        <v>&lt;/li&gt;&lt;li&gt;&lt;a href=|http://asvbible.com/psalms/149.htm| title=|American Standard Version| target=|_top|&gt;ASV&lt;/a&gt;</v>
      </c>
      <c r="S627" t="str">
        <f t="shared" si="2504"/>
        <v>&lt;/li&gt;&lt;li&gt;&lt;a href=|http://drb.scripturetext.com/psalms/149.htm| title=|Douay-Rheims Bible| target=|_top|&gt;DRB&lt;/a&gt;</v>
      </c>
      <c r="T627" t="str">
        <f t="shared" si="2504"/>
        <v>&lt;/li&gt;&lt;li&gt;&lt;a href=|http://erv.scripturetext.com/psalms/149.htm| title=|English Revised Version| target=|_top|&gt;ERV&lt;/a&gt;</v>
      </c>
      <c r="V627" t="str">
        <f>CONCATENATE("&lt;/li&gt;&lt;li&gt;&lt;a href=|http://",V1191,"/psalms/149.htm","| ","title=|",V1190,"| target=|_top|&gt;",V1192,"&lt;/a&gt;")</f>
        <v>&lt;/li&gt;&lt;li&gt;&lt;a href=|http://study.interlinearbible.org/psalms/149.htm| title=|Hebrew Study Bible| target=|_top|&gt;Heb Study&lt;/a&gt;</v>
      </c>
      <c r="W627" t="str">
        <f t="shared" si="2504"/>
        <v>&lt;/li&gt;&lt;li&gt;&lt;a href=|http://apostolic.interlinearbible.org/psalms/149.htm| title=|Apostolic Bible Polyglot Interlinear| target=|_top|&gt;Polyglot&lt;/a&gt;</v>
      </c>
      <c r="X627" t="str">
        <f t="shared" si="2504"/>
        <v>&lt;/li&gt;&lt;li&gt;&lt;a href=|http://interlinearbible.org/psalms/149.htm| title=|Interlinear Bible| target=|_top|&gt;Interlin&lt;/a&gt;</v>
      </c>
      <c r="Y627" t="str">
        <f t="shared" ref="Y627" si="2505">CONCATENATE("&lt;/li&gt;&lt;li&gt;&lt;a href=|http://",Y1191,"/psalms/149.htm","| ","title=|",Y1190,"| target=|_top|&gt;",Y1192,"&lt;/a&gt;")</f>
        <v>&lt;/li&gt;&lt;li&gt;&lt;a href=|http://bibleoutline.org/psalms/149.htm| title=|Outline with People and Places List| target=|_top|&gt;Outline&lt;/a&gt;</v>
      </c>
      <c r="Z627" t="str">
        <f t="shared" si="2504"/>
        <v>&lt;/li&gt;&lt;li&gt;&lt;a href=|http://kjvs.scripturetext.com/psalms/149.htm| title=|King James Bible with Strong's Numbers| target=|_top|&gt;Strong's&lt;/a&gt;</v>
      </c>
      <c r="AA627" t="str">
        <f t="shared" si="2504"/>
        <v>&lt;/li&gt;&lt;li&gt;&lt;a href=|http://childrensbibleonline.com/psalms/149.htm| title=|The Children's Bible| target=|_top|&gt;Children's&lt;/a&gt;</v>
      </c>
      <c r="AB627" s="2" t="str">
        <f t="shared" si="2504"/>
        <v>&lt;/li&gt;&lt;li&gt;&lt;a href=|http://tsk.scripturetext.com/psalms/149.htm| title=|Treasury of Scripture Knowledge| target=|_top|&gt;TSK&lt;/a&gt;</v>
      </c>
      <c r="AC627" t="str">
        <f>CONCATENATE("&lt;a href=|http://",AC1191,"/psalms/149.htm","| ","title=|",AC1190,"| target=|_top|&gt;",AC1192,"&lt;/a&gt;")</f>
        <v>&lt;a href=|http://parallelbible.com/psalms/149.htm| title=|Parallel Chapters| target=|_top|&gt;PAR&lt;/a&gt;</v>
      </c>
      <c r="AD627" s="2" t="str">
        <f t="shared" ref="AD627:AK627" si="2506">CONCATENATE("&lt;/li&gt;&lt;li&gt;&lt;a href=|http://",AD1191,"/psalms/149.htm","| ","title=|",AD1190,"| target=|_top|&gt;",AD1192,"&lt;/a&gt;")</f>
        <v>&lt;/li&gt;&lt;li&gt;&lt;a href=|http://gsb.biblecommenter.com/psalms/149.htm| title=|Geneva Study Bible| target=|_top|&gt;GSB&lt;/a&gt;</v>
      </c>
      <c r="AE627" s="2" t="str">
        <f t="shared" si="2506"/>
        <v>&lt;/li&gt;&lt;li&gt;&lt;a href=|http://jfb.biblecommenter.com/psalms/149.htm| title=|Jamieson-Fausset-Brown Bible Commentary| target=|_top|&gt;JFB&lt;/a&gt;</v>
      </c>
      <c r="AF627" s="2" t="str">
        <f t="shared" si="2506"/>
        <v>&lt;/li&gt;&lt;li&gt;&lt;a href=|http://kjt.biblecommenter.com/psalms/149.htm| title=|King James Translators' Notes| target=|_top|&gt;KJT&lt;/a&gt;</v>
      </c>
      <c r="AG627" s="2" t="str">
        <f t="shared" si="2506"/>
        <v>&lt;/li&gt;&lt;li&gt;&lt;a href=|http://mhc.biblecommenter.com/psalms/149.htm| title=|Matthew Henry's Concise Commentary| target=|_top|&gt;MHC&lt;/a&gt;</v>
      </c>
      <c r="AH627" s="2" t="str">
        <f t="shared" si="2506"/>
        <v>&lt;/li&gt;&lt;li&gt;&lt;a href=|http://sco.biblecommenter.com/psalms/149.htm| title=|Scofield Reference Notes| target=|_top|&gt;SCO&lt;/a&gt;</v>
      </c>
      <c r="AI627" s="2" t="str">
        <f t="shared" si="2506"/>
        <v>&lt;/li&gt;&lt;li&gt;&lt;a href=|http://wes.biblecommenter.com/psalms/149.htm| title=|Wesley's Notes on the Bible| target=|_top|&gt;WES&lt;/a&gt;</v>
      </c>
      <c r="AJ627" t="str">
        <f t="shared" si="2506"/>
        <v>&lt;/li&gt;&lt;li&gt;&lt;a href=|http://worldebible.com/psalms/149.htm| title=|World English Bible| target=|_top|&gt;WEB&lt;/a&gt;</v>
      </c>
      <c r="AK627" t="str">
        <f t="shared" si="2506"/>
        <v>&lt;/li&gt;&lt;li&gt;&lt;a href=|http://yltbible.com/psalms/149.htm| title=|Young's Literal Translation| target=|_top|&gt;YLT&lt;/a&gt;</v>
      </c>
      <c r="AL627" t="str">
        <f>CONCATENATE("&lt;a href=|http://",AL1191,"/psalms/149.htm","| ","title=|",AL1190,"| target=|_top|&gt;",AL1192,"&lt;/a&gt;")</f>
        <v>&lt;a href=|http://kjv.us/psalms/149.htm| title=|American King James Version| target=|_top|&gt;AKJ&lt;/a&gt;</v>
      </c>
      <c r="AM627" t="str">
        <f t="shared" ref="AM627:AN627" si="2507">CONCATENATE("&lt;/li&gt;&lt;li&gt;&lt;a href=|http://",AM1191,"/psalms/149.htm","| ","title=|",AM1190,"| target=|_top|&gt;",AM1192,"&lt;/a&gt;")</f>
        <v>&lt;/li&gt;&lt;li&gt;&lt;a href=|http://basicenglishbible.com/psalms/149.htm| title=|Bible in Basic English| target=|_top|&gt;BBE&lt;/a&gt;</v>
      </c>
      <c r="AN627" t="str">
        <f t="shared" si="2507"/>
        <v>&lt;/li&gt;&lt;li&gt;&lt;a href=|http://darbybible.com/psalms/149.htm| title=|Darby Bible Translation| target=|_top|&gt;DBY&lt;/a&gt;</v>
      </c>
      <c r="AO62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2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2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27" t="str">
        <f>CONCATENATE("&lt;/li&gt;&lt;li&gt;&lt;a href=|http://",AR1191,"/psalms/149.htm","| ","title=|",AR1190,"| target=|_top|&gt;",AR1192,"&lt;/a&gt;")</f>
        <v>&lt;/li&gt;&lt;li&gt;&lt;a href=|http://websterbible.com/psalms/149.htm| title=|Webster's Bible Translation| target=|_top|&gt;WBS&lt;/a&gt;</v>
      </c>
      <c r="AS62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27" t="str">
        <f>CONCATENATE("&lt;/li&gt;&lt;li&gt;&lt;a href=|http://",AT1191,"/psalms/149-1.htm","| ","title=|",AT1190,"| target=|_top|&gt;",AT1192,"&lt;/a&gt;")</f>
        <v>&lt;/li&gt;&lt;li&gt;&lt;a href=|http://biblebrowser.com/psalms/149-1.htm| title=|Split View| target=|_top|&gt;Split&lt;/a&gt;</v>
      </c>
      <c r="AU627" s="2" t="s">
        <v>1276</v>
      </c>
      <c r="AV627" t="s">
        <v>64</v>
      </c>
    </row>
    <row r="628" spans="1:48">
      <c r="A628" t="s">
        <v>622</v>
      </c>
      <c r="B628" t="s">
        <v>1132</v>
      </c>
      <c r="C628" t="s">
        <v>624</v>
      </c>
      <c r="D628" t="s">
        <v>1268</v>
      </c>
      <c r="E628" t="s">
        <v>1277</v>
      </c>
      <c r="F628" t="s">
        <v>1304</v>
      </c>
      <c r="G628" t="s">
        <v>1266</v>
      </c>
      <c r="H628" t="s">
        <v>1305</v>
      </c>
      <c r="I628" t="s">
        <v>1303</v>
      </c>
      <c r="J628" t="s">
        <v>1267</v>
      </c>
      <c r="K628" t="s">
        <v>1275</v>
      </c>
      <c r="L628" s="2" t="s">
        <v>1274</v>
      </c>
      <c r="M628" t="str">
        <f t="shared" ref="M628:AB628" si="2508">CONCATENATE("&lt;/li&gt;&lt;li&gt;&lt;a href=|http://",M1191,"/psalms/150.htm","| ","title=|",M1190,"| target=|_top|&gt;",M1192,"&lt;/a&gt;")</f>
        <v>&lt;/li&gt;&lt;li&gt;&lt;a href=|http://niv.scripturetext.com/psalms/150.htm| title=|New International Version| target=|_top|&gt;NIV&lt;/a&gt;</v>
      </c>
      <c r="N628" t="str">
        <f t="shared" si="2508"/>
        <v>&lt;/li&gt;&lt;li&gt;&lt;a href=|http://nlt.scripturetext.com/psalms/150.htm| title=|New Living Translation| target=|_top|&gt;NLT&lt;/a&gt;</v>
      </c>
      <c r="O628" t="str">
        <f t="shared" si="2508"/>
        <v>&lt;/li&gt;&lt;li&gt;&lt;a href=|http://nasb.scripturetext.com/psalms/150.htm| title=|New American Standard Bible| target=|_top|&gt;NAS&lt;/a&gt;</v>
      </c>
      <c r="P628" t="str">
        <f t="shared" si="2508"/>
        <v>&lt;/li&gt;&lt;li&gt;&lt;a href=|http://gwt.scripturetext.com/psalms/150.htm| title=|God's Word Translation| target=|_top|&gt;GWT&lt;/a&gt;</v>
      </c>
      <c r="Q628" t="str">
        <f t="shared" si="2508"/>
        <v>&lt;/li&gt;&lt;li&gt;&lt;a href=|http://kingjbible.com/psalms/150.htm| title=|King James Bible| target=|_top|&gt;KJV&lt;/a&gt;</v>
      </c>
      <c r="R628" t="str">
        <f t="shared" si="2508"/>
        <v>&lt;/li&gt;&lt;li&gt;&lt;a href=|http://asvbible.com/psalms/150.htm| title=|American Standard Version| target=|_top|&gt;ASV&lt;/a&gt;</v>
      </c>
      <c r="S628" t="str">
        <f t="shared" si="2508"/>
        <v>&lt;/li&gt;&lt;li&gt;&lt;a href=|http://drb.scripturetext.com/psalms/150.htm| title=|Douay-Rheims Bible| target=|_top|&gt;DRB&lt;/a&gt;</v>
      </c>
      <c r="T628" t="str">
        <f t="shared" si="2508"/>
        <v>&lt;/li&gt;&lt;li&gt;&lt;a href=|http://erv.scripturetext.com/psalms/150.htm| title=|English Revised Version| target=|_top|&gt;ERV&lt;/a&gt;</v>
      </c>
      <c r="V628" t="str">
        <f>CONCATENATE("&lt;/li&gt;&lt;li&gt;&lt;a href=|http://",V1191,"/psalms/150.htm","| ","title=|",V1190,"| target=|_top|&gt;",V1192,"&lt;/a&gt;")</f>
        <v>&lt;/li&gt;&lt;li&gt;&lt;a href=|http://study.interlinearbible.org/psalms/150.htm| title=|Hebrew Study Bible| target=|_top|&gt;Heb Study&lt;/a&gt;</v>
      </c>
      <c r="W628" t="str">
        <f t="shared" si="2508"/>
        <v>&lt;/li&gt;&lt;li&gt;&lt;a href=|http://apostolic.interlinearbible.org/psalms/150.htm| title=|Apostolic Bible Polyglot Interlinear| target=|_top|&gt;Polyglot&lt;/a&gt;</v>
      </c>
      <c r="X628" t="str">
        <f t="shared" si="2508"/>
        <v>&lt;/li&gt;&lt;li&gt;&lt;a href=|http://interlinearbible.org/psalms/150.htm| title=|Interlinear Bible| target=|_top|&gt;Interlin&lt;/a&gt;</v>
      </c>
      <c r="Y628" t="str">
        <f t="shared" ref="Y628" si="2509">CONCATENATE("&lt;/li&gt;&lt;li&gt;&lt;a href=|http://",Y1191,"/psalms/150.htm","| ","title=|",Y1190,"| target=|_top|&gt;",Y1192,"&lt;/a&gt;")</f>
        <v>&lt;/li&gt;&lt;li&gt;&lt;a href=|http://bibleoutline.org/psalms/150.htm| title=|Outline with People and Places List| target=|_top|&gt;Outline&lt;/a&gt;</v>
      </c>
      <c r="Z628" t="str">
        <f t="shared" si="2508"/>
        <v>&lt;/li&gt;&lt;li&gt;&lt;a href=|http://kjvs.scripturetext.com/psalms/150.htm| title=|King James Bible with Strong's Numbers| target=|_top|&gt;Strong's&lt;/a&gt;</v>
      </c>
      <c r="AA628" t="str">
        <f t="shared" si="2508"/>
        <v>&lt;/li&gt;&lt;li&gt;&lt;a href=|http://childrensbibleonline.com/psalms/150.htm| title=|The Children's Bible| target=|_top|&gt;Children's&lt;/a&gt;</v>
      </c>
      <c r="AB628" s="2" t="str">
        <f t="shared" si="2508"/>
        <v>&lt;/li&gt;&lt;li&gt;&lt;a href=|http://tsk.scripturetext.com/psalms/150.htm| title=|Treasury of Scripture Knowledge| target=|_top|&gt;TSK&lt;/a&gt;</v>
      </c>
      <c r="AC628" t="str">
        <f>CONCATENATE("&lt;a href=|http://",AC1191,"/psalms/150.htm","| ","title=|",AC1190,"| target=|_top|&gt;",AC1192,"&lt;/a&gt;")</f>
        <v>&lt;a href=|http://parallelbible.com/psalms/150.htm| title=|Parallel Chapters| target=|_top|&gt;PAR&lt;/a&gt;</v>
      </c>
      <c r="AD628" s="2" t="str">
        <f t="shared" ref="AD628:AK628" si="2510">CONCATENATE("&lt;/li&gt;&lt;li&gt;&lt;a href=|http://",AD1191,"/psalms/150.htm","| ","title=|",AD1190,"| target=|_top|&gt;",AD1192,"&lt;/a&gt;")</f>
        <v>&lt;/li&gt;&lt;li&gt;&lt;a href=|http://gsb.biblecommenter.com/psalms/150.htm| title=|Geneva Study Bible| target=|_top|&gt;GSB&lt;/a&gt;</v>
      </c>
      <c r="AE628" s="2" t="str">
        <f t="shared" si="2510"/>
        <v>&lt;/li&gt;&lt;li&gt;&lt;a href=|http://jfb.biblecommenter.com/psalms/150.htm| title=|Jamieson-Fausset-Brown Bible Commentary| target=|_top|&gt;JFB&lt;/a&gt;</v>
      </c>
      <c r="AF628" s="2" t="str">
        <f t="shared" si="2510"/>
        <v>&lt;/li&gt;&lt;li&gt;&lt;a href=|http://kjt.biblecommenter.com/psalms/150.htm| title=|King James Translators' Notes| target=|_top|&gt;KJT&lt;/a&gt;</v>
      </c>
      <c r="AG628" s="2" t="str">
        <f t="shared" si="2510"/>
        <v>&lt;/li&gt;&lt;li&gt;&lt;a href=|http://mhc.biblecommenter.com/psalms/150.htm| title=|Matthew Henry's Concise Commentary| target=|_top|&gt;MHC&lt;/a&gt;</v>
      </c>
      <c r="AH628" s="2" t="str">
        <f t="shared" si="2510"/>
        <v>&lt;/li&gt;&lt;li&gt;&lt;a href=|http://sco.biblecommenter.com/psalms/150.htm| title=|Scofield Reference Notes| target=|_top|&gt;SCO&lt;/a&gt;</v>
      </c>
      <c r="AI628" s="2" t="str">
        <f t="shared" si="2510"/>
        <v>&lt;/li&gt;&lt;li&gt;&lt;a href=|http://wes.biblecommenter.com/psalms/150.htm| title=|Wesley's Notes on the Bible| target=|_top|&gt;WES&lt;/a&gt;</v>
      </c>
      <c r="AJ628" t="str">
        <f t="shared" si="2510"/>
        <v>&lt;/li&gt;&lt;li&gt;&lt;a href=|http://worldebible.com/psalms/150.htm| title=|World English Bible| target=|_top|&gt;WEB&lt;/a&gt;</v>
      </c>
      <c r="AK628" t="str">
        <f t="shared" si="2510"/>
        <v>&lt;/li&gt;&lt;li&gt;&lt;a href=|http://yltbible.com/psalms/150.htm| title=|Young's Literal Translation| target=|_top|&gt;YLT&lt;/a&gt;</v>
      </c>
      <c r="AL628" t="str">
        <f>CONCATENATE("&lt;a href=|http://",AL1191,"/psalms/150.htm","| ","title=|",AL1190,"| target=|_top|&gt;",AL1192,"&lt;/a&gt;")</f>
        <v>&lt;a href=|http://kjv.us/psalms/150.htm| title=|American King James Version| target=|_top|&gt;AKJ&lt;/a&gt;</v>
      </c>
      <c r="AM628" t="str">
        <f t="shared" ref="AM628:AN628" si="2511">CONCATENATE("&lt;/li&gt;&lt;li&gt;&lt;a href=|http://",AM1191,"/psalms/150.htm","| ","title=|",AM1190,"| target=|_top|&gt;",AM1192,"&lt;/a&gt;")</f>
        <v>&lt;/li&gt;&lt;li&gt;&lt;a href=|http://basicenglishbible.com/psalms/150.htm| title=|Bible in Basic English| target=|_top|&gt;BBE&lt;/a&gt;</v>
      </c>
      <c r="AN628" t="str">
        <f t="shared" si="2511"/>
        <v>&lt;/li&gt;&lt;li&gt;&lt;a href=|http://darbybible.com/psalms/150.htm| title=|Darby Bible Translation| target=|_top|&gt;DBY&lt;/a&gt;</v>
      </c>
      <c r="AO62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2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2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28" t="str">
        <f>CONCATENATE("&lt;/li&gt;&lt;li&gt;&lt;a href=|http://",AR1191,"/psalms/150.htm","| ","title=|",AR1190,"| target=|_top|&gt;",AR1192,"&lt;/a&gt;")</f>
        <v>&lt;/li&gt;&lt;li&gt;&lt;a href=|http://websterbible.com/psalms/150.htm| title=|Webster's Bible Translation| target=|_top|&gt;WBS&lt;/a&gt;</v>
      </c>
      <c r="AS62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28" t="str">
        <f>CONCATENATE("&lt;/li&gt;&lt;li&gt;&lt;a href=|http://",AT1191,"/psalms/150-1.htm","| ","title=|",AT1190,"| target=|_top|&gt;",AT1192,"&lt;/a&gt;")</f>
        <v>&lt;/li&gt;&lt;li&gt;&lt;a href=|http://biblebrowser.com/psalms/150-1.htm| title=|Split View| target=|_top|&gt;Split&lt;/a&gt;</v>
      </c>
      <c r="AU628" s="2" t="s">
        <v>1276</v>
      </c>
      <c r="AV628" t="s">
        <v>64</v>
      </c>
    </row>
    <row r="629" spans="1:48">
      <c r="A629" t="s">
        <v>622</v>
      </c>
      <c r="B629" t="s">
        <v>1133</v>
      </c>
      <c r="C629" t="s">
        <v>624</v>
      </c>
      <c r="D629" t="s">
        <v>1268</v>
      </c>
      <c r="E629" t="s">
        <v>1277</v>
      </c>
      <c r="F629" t="s">
        <v>1304</v>
      </c>
      <c r="G629" t="s">
        <v>1266</v>
      </c>
      <c r="H629" t="s">
        <v>1305</v>
      </c>
      <c r="I629" t="s">
        <v>1303</v>
      </c>
      <c r="J629" t="s">
        <v>1267</v>
      </c>
      <c r="K629" t="s">
        <v>1275</v>
      </c>
      <c r="L629" s="2" t="s">
        <v>1274</v>
      </c>
      <c r="M629" t="str">
        <f t="shared" ref="M629:AB629" si="2512">CONCATENATE("&lt;/li&gt;&lt;li&gt;&lt;a href=|http://",M1191,"/proverbs/1.htm","| ","title=|",M1190,"| target=|_top|&gt;",M1192,"&lt;/a&gt;")</f>
        <v>&lt;/li&gt;&lt;li&gt;&lt;a href=|http://niv.scripturetext.com/proverbs/1.htm| title=|New International Version| target=|_top|&gt;NIV&lt;/a&gt;</v>
      </c>
      <c r="N629" t="str">
        <f t="shared" si="2512"/>
        <v>&lt;/li&gt;&lt;li&gt;&lt;a href=|http://nlt.scripturetext.com/proverbs/1.htm| title=|New Living Translation| target=|_top|&gt;NLT&lt;/a&gt;</v>
      </c>
      <c r="O629" t="str">
        <f t="shared" si="2512"/>
        <v>&lt;/li&gt;&lt;li&gt;&lt;a href=|http://nasb.scripturetext.com/proverbs/1.htm| title=|New American Standard Bible| target=|_top|&gt;NAS&lt;/a&gt;</v>
      </c>
      <c r="P629" t="str">
        <f t="shared" si="2512"/>
        <v>&lt;/li&gt;&lt;li&gt;&lt;a href=|http://gwt.scripturetext.com/proverbs/1.htm| title=|God's Word Translation| target=|_top|&gt;GWT&lt;/a&gt;</v>
      </c>
      <c r="Q629" t="str">
        <f t="shared" si="2512"/>
        <v>&lt;/li&gt;&lt;li&gt;&lt;a href=|http://kingjbible.com/proverbs/1.htm| title=|King James Bible| target=|_top|&gt;KJV&lt;/a&gt;</v>
      </c>
      <c r="R629" t="str">
        <f t="shared" si="2512"/>
        <v>&lt;/li&gt;&lt;li&gt;&lt;a href=|http://asvbible.com/proverbs/1.htm| title=|American Standard Version| target=|_top|&gt;ASV&lt;/a&gt;</v>
      </c>
      <c r="S629" t="str">
        <f t="shared" si="2512"/>
        <v>&lt;/li&gt;&lt;li&gt;&lt;a href=|http://drb.scripturetext.com/proverbs/1.htm| title=|Douay-Rheims Bible| target=|_top|&gt;DRB&lt;/a&gt;</v>
      </c>
      <c r="T629" t="str">
        <f t="shared" si="2512"/>
        <v>&lt;/li&gt;&lt;li&gt;&lt;a href=|http://erv.scripturetext.com/proverbs/1.htm| title=|English Revised Version| target=|_top|&gt;ERV&lt;/a&gt;</v>
      </c>
      <c r="V629" t="str">
        <f>CONCATENATE("&lt;/li&gt;&lt;li&gt;&lt;a href=|http://",V1191,"/proverbs/1.htm","| ","title=|",V1190,"| target=|_top|&gt;",V1192,"&lt;/a&gt;")</f>
        <v>&lt;/li&gt;&lt;li&gt;&lt;a href=|http://study.interlinearbible.org/proverbs/1.htm| title=|Hebrew Study Bible| target=|_top|&gt;Heb Study&lt;/a&gt;</v>
      </c>
      <c r="W629" t="str">
        <f t="shared" si="2512"/>
        <v>&lt;/li&gt;&lt;li&gt;&lt;a href=|http://apostolic.interlinearbible.org/proverbs/1.htm| title=|Apostolic Bible Polyglot Interlinear| target=|_top|&gt;Polyglot&lt;/a&gt;</v>
      </c>
      <c r="X629" t="str">
        <f t="shared" si="2512"/>
        <v>&lt;/li&gt;&lt;li&gt;&lt;a href=|http://interlinearbible.org/proverbs/1.htm| title=|Interlinear Bible| target=|_top|&gt;Interlin&lt;/a&gt;</v>
      </c>
      <c r="Y629" t="str">
        <f t="shared" ref="Y629" si="2513">CONCATENATE("&lt;/li&gt;&lt;li&gt;&lt;a href=|http://",Y1191,"/proverbs/1.htm","| ","title=|",Y1190,"| target=|_top|&gt;",Y1192,"&lt;/a&gt;")</f>
        <v>&lt;/li&gt;&lt;li&gt;&lt;a href=|http://bibleoutline.org/proverbs/1.htm| title=|Outline with People and Places List| target=|_top|&gt;Outline&lt;/a&gt;</v>
      </c>
      <c r="Z629" t="str">
        <f t="shared" si="2512"/>
        <v>&lt;/li&gt;&lt;li&gt;&lt;a href=|http://kjvs.scripturetext.com/proverbs/1.htm| title=|King James Bible with Strong's Numbers| target=|_top|&gt;Strong's&lt;/a&gt;</v>
      </c>
      <c r="AA629" t="str">
        <f t="shared" si="2512"/>
        <v>&lt;/li&gt;&lt;li&gt;&lt;a href=|http://childrensbibleonline.com/proverbs/1.htm| title=|The Children's Bible| target=|_top|&gt;Children's&lt;/a&gt;</v>
      </c>
      <c r="AB629" s="2" t="str">
        <f t="shared" si="2512"/>
        <v>&lt;/li&gt;&lt;li&gt;&lt;a href=|http://tsk.scripturetext.com/proverbs/1.htm| title=|Treasury of Scripture Knowledge| target=|_top|&gt;TSK&lt;/a&gt;</v>
      </c>
      <c r="AC629" t="str">
        <f>CONCATENATE("&lt;a href=|http://",AC1191,"/proverbs/1.htm","| ","title=|",AC1190,"| target=|_top|&gt;",AC1192,"&lt;/a&gt;")</f>
        <v>&lt;a href=|http://parallelbible.com/proverbs/1.htm| title=|Parallel Chapters| target=|_top|&gt;PAR&lt;/a&gt;</v>
      </c>
      <c r="AD629" s="2" t="str">
        <f t="shared" ref="AD629:AK629" si="2514">CONCATENATE("&lt;/li&gt;&lt;li&gt;&lt;a href=|http://",AD1191,"/proverbs/1.htm","| ","title=|",AD1190,"| target=|_top|&gt;",AD1192,"&lt;/a&gt;")</f>
        <v>&lt;/li&gt;&lt;li&gt;&lt;a href=|http://gsb.biblecommenter.com/proverbs/1.htm| title=|Geneva Study Bible| target=|_top|&gt;GSB&lt;/a&gt;</v>
      </c>
      <c r="AE629" s="2" t="str">
        <f t="shared" si="2514"/>
        <v>&lt;/li&gt;&lt;li&gt;&lt;a href=|http://jfb.biblecommenter.com/proverbs/1.htm| title=|Jamieson-Fausset-Brown Bible Commentary| target=|_top|&gt;JFB&lt;/a&gt;</v>
      </c>
      <c r="AF629" s="2" t="str">
        <f t="shared" si="2514"/>
        <v>&lt;/li&gt;&lt;li&gt;&lt;a href=|http://kjt.biblecommenter.com/proverbs/1.htm| title=|King James Translators' Notes| target=|_top|&gt;KJT&lt;/a&gt;</v>
      </c>
      <c r="AG629" s="2" t="str">
        <f t="shared" si="2514"/>
        <v>&lt;/li&gt;&lt;li&gt;&lt;a href=|http://mhc.biblecommenter.com/proverbs/1.htm| title=|Matthew Henry's Concise Commentary| target=|_top|&gt;MHC&lt;/a&gt;</v>
      </c>
      <c r="AH629" s="2" t="str">
        <f t="shared" si="2514"/>
        <v>&lt;/li&gt;&lt;li&gt;&lt;a href=|http://sco.biblecommenter.com/proverbs/1.htm| title=|Scofield Reference Notes| target=|_top|&gt;SCO&lt;/a&gt;</v>
      </c>
      <c r="AI629" s="2" t="str">
        <f t="shared" si="2514"/>
        <v>&lt;/li&gt;&lt;li&gt;&lt;a href=|http://wes.biblecommenter.com/proverbs/1.htm| title=|Wesley's Notes on the Bible| target=|_top|&gt;WES&lt;/a&gt;</v>
      </c>
      <c r="AJ629" t="str">
        <f t="shared" si="2514"/>
        <v>&lt;/li&gt;&lt;li&gt;&lt;a href=|http://worldebible.com/proverbs/1.htm| title=|World English Bible| target=|_top|&gt;WEB&lt;/a&gt;</v>
      </c>
      <c r="AK629" t="str">
        <f t="shared" si="2514"/>
        <v>&lt;/li&gt;&lt;li&gt;&lt;a href=|http://yltbible.com/proverbs/1.htm| title=|Young's Literal Translation| target=|_top|&gt;YLT&lt;/a&gt;</v>
      </c>
      <c r="AL629" t="str">
        <f>CONCATENATE("&lt;a href=|http://",AL1191,"/proverbs/1.htm","| ","title=|",AL1190,"| target=|_top|&gt;",AL1192,"&lt;/a&gt;")</f>
        <v>&lt;a href=|http://kjv.us/proverbs/1.htm| title=|American King James Version| target=|_top|&gt;AKJ&lt;/a&gt;</v>
      </c>
      <c r="AM629" t="str">
        <f t="shared" ref="AM629:AN629" si="2515">CONCATENATE("&lt;/li&gt;&lt;li&gt;&lt;a href=|http://",AM1191,"/proverbs/1.htm","| ","title=|",AM1190,"| target=|_top|&gt;",AM1192,"&lt;/a&gt;")</f>
        <v>&lt;/li&gt;&lt;li&gt;&lt;a href=|http://basicenglishbible.com/proverbs/1.htm| title=|Bible in Basic English| target=|_top|&gt;BBE&lt;/a&gt;</v>
      </c>
      <c r="AN629" t="str">
        <f t="shared" si="2515"/>
        <v>&lt;/li&gt;&lt;li&gt;&lt;a href=|http://darbybible.com/proverbs/1.htm| title=|Darby Bible Translation| target=|_top|&gt;DBY&lt;/a&gt;</v>
      </c>
      <c r="AO62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2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2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29" t="str">
        <f>CONCATENATE("&lt;/li&gt;&lt;li&gt;&lt;a href=|http://",AR1191,"/proverbs/1.htm","| ","title=|",AR1190,"| target=|_top|&gt;",AR1192,"&lt;/a&gt;")</f>
        <v>&lt;/li&gt;&lt;li&gt;&lt;a href=|http://websterbible.com/proverbs/1.htm| title=|Webster's Bible Translation| target=|_top|&gt;WBS&lt;/a&gt;</v>
      </c>
      <c r="AS62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29" t="str">
        <f>CONCATENATE("&lt;/li&gt;&lt;li&gt;&lt;a href=|http://",AT1191,"/proverbs/1-1.htm","| ","title=|",AT1190,"| target=|_top|&gt;",AT1192,"&lt;/a&gt;")</f>
        <v>&lt;/li&gt;&lt;li&gt;&lt;a href=|http://biblebrowser.com/proverbs/1-1.htm| title=|Split View| target=|_top|&gt;Split&lt;/a&gt;</v>
      </c>
      <c r="AU629" s="2" t="s">
        <v>1276</v>
      </c>
      <c r="AV629" t="s">
        <v>64</v>
      </c>
    </row>
    <row r="630" spans="1:48">
      <c r="A630" t="s">
        <v>622</v>
      </c>
      <c r="B630" t="s">
        <v>1134</v>
      </c>
      <c r="C630" t="s">
        <v>624</v>
      </c>
      <c r="D630" t="s">
        <v>1268</v>
      </c>
      <c r="E630" t="s">
        <v>1277</v>
      </c>
      <c r="F630" t="s">
        <v>1304</v>
      </c>
      <c r="G630" t="s">
        <v>1266</v>
      </c>
      <c r="H630" t="s">
        <v>1305</v>
      </c>
      <c r="I630" t="s">
        <v>1303</v>
      </c>
      <c r="J630" t="s">
        <v>1267</v>
      </c>
      <c r="K630" t="s">
        <v>1275</v>
      </c>
      <c r="L630" s="2" t="s">
        <v>1274</v>
      </c>
      <c r="M630" t="str">
        <f t="shared" ref="M630:AB630" si="2516">CONCATENATE("&lt;/li&gt;&lt;li&gt;&lt;a href=|http://",M1191,"/proverbs/2.htm","| ","title=|",M1190,"| target=|_top|&gt;",M1192,"&lt;/a&gt;")</f>
        <v>&lt;/li&gt;&lt;li&gt;&lt;a href=|http://niv.scripturetext.com/proverbs/2.htm| title=|New International Version| target=|_top|&gt;NIV&lt;/a&gt;</v>
      </c>
      <c r="N630" t="str">
        <f t="shared" si="2516"/>
        <v>&lt;/li&gt;&lt;li&gt;&lt;a href=|http://nlt.scripturetext.com/proverbs/2.htm| title=|New Living Translation| target=|_top|&gt;NLT&lt;/a&gt;</v>
      </c>
      <c r="O630" t="str">
        <f t="shared" si="2516"/>
        <v>&lt;/li&gt;&lt;li&gt;&lt;a href=|http://nasb.scripturetext.com/proverbs/2.htm| title=|New American Standard Bible| target=|_top|&gt;NAS&lt;/a&gt;</v>
      </c>
      <c r="P630" t="str">
        <f t="shared" si="2516"/>
        <v>&lt;/li&gt;&lt;li&gt;&lt;a href=|http://gwt.scripturetext.com/proverbs/2.htm| title=|God's Word Translation| target=|_top|&gt;GWT&lt;/a&gt;</v>
      </c>
      <c r="Q630" t="str">
        <f t="shared" si="2516"/>
        <v>&lt;/li&gt;&lt;li&gt;&lt;a href=|http://kingjbible.com/proverbs/2.htm| title=|King James Bible| target=|_top|&gt;KJV&lt;/a&gt;</v>
      </c>
      <c r="R630" t="str">
        <f t="shared" si="2516"/>
        <v>&lt;/li&gt;&lt;li&gt;&lt;a href=|http://asvbible.com/proverbs/2.htm| title=|American Standard Version| target=|_top|&gt;ASV&lt;/a&gt;</v>
      </c>
      <c r="S630" t="str">
        <f t="shared" si="2516"/>
        <v>&lt;/li&gt;&lt;li&gt;&lt;a href=|http://drb.scripturetext.com/proverbs/2.htm| title=|Douay-Rheims Bible| target=|_top|&gt;DRB&lt;/a&gt;</v>
      </c>
      <c r="T630" t="str">
        <f t="shared" si="2516"/>
        <v>&lt;/li&gt;&lt;li&gt;&lt;a href=|http://erv.scripturetext.com/proverbs/2.htm| title=|English Revised Version| target=|_top|&gt;ERV&lt;/a&gt;</v>
      </c>
      <c r="V630" t="str">
        <f>CONCATENATE("&lt;/li&gt;&lt;li&gt;&lt;a href=|http://",V1191,"/proverbs/2.htm","| ","title=|",V1190,"| target=|_top|&gt;",V1192,"&lt;/a&gt;")</f>
        <v>&lt;/li&gt;&lt;li&gt;&lt;a href=|http://study.interlinearbible.org/proverbs/2.htm| title=|Hebrew Study Bible| target=|_top|&gt;Heb Study&lt;/a&gt;</v>
      </c>
      <c r="W630" t="str">
        <f t="shared" si="2516"/>
        <v>&lt;/li&gt;&lt;li&gt;&lt;a href=|http://apostolic.interlinearbible.org/proverbs/2.htm| title=|Apostolic Bible Polyglot Interlinear| target=|_top|&gt;Polyglot&lt;/a&gt;</v>
      </c>
      <c r="X630" t="str">
        <f t="shared" si="2516"/>
        <v>&lt;/li&gt;&lt;li&gt;&lt;a href=|http://interlinearbible.org/proverbs/2.htm| title=|Interlinear Bible| target=|_top|&gt;Interlin&lt;/a&gt;</v>
      </c>
      <c r="Y630" t="str">
        <f t="shared" ref="Y630" si="2517">CONCATENATE("&lt;/li&gt;&lt;li&gt;&lt;a href=|http://",Y1191,"/proverbs/2.htm","| ","title=|",Y1190,"| target=|_top|&gt;",Y1192,"&lt;/a&gt;")</f>
        <v>&lt;/li&gt;&lt;li&gt;&lt;a href=|http://bibleoutline.org/proverbs/2.htm| title=|Outline with People and Places List| target=|_top|&gt;Outline&lt;/a&gt;</v>
      </c>
      <c r="Z630" t="str">
        <f t="shared" si="2516"/>
        <v>&lt;/li&gt;&lt;li&gt;&lt;a href=|http://kjvs.scripturetext.com/proverbs/2.htm| title=|King James Bible with Strong's Numbers| target=|_top|&gt;Strong's&lt;/a&gt;</v>
      </c>
      <c r="AA630" t="str">
        <f t="shared" si="2516"/>
        <v>&lt;/li&gt;&lt;li&gt;&lt;a href=|http://childrensbibleonline.com/proverbs/2.htm| title=|The Children's Bible| target=|_top|&gt;Children's&lt;/a&gt;</v>
      </c>
      <c r="AB630" s="2" t="str">
        <f t="shared" si="2516"/>
        <v>&lt;/li&gt;&lt;li&gt;&lt;a href=|http://tsk.scripturetext.com/proverbs/2.htm| title=|Treasury of Scripture Knowledge| target=|_top|&gt;TSK&lt;/a&gt;</v>
      </c>
      <c r="AC630" t="str">
        <f>CONCATENATE("&lt;a href=|http://",AC1191,"/proverbs/2.htm","| ","title=|",AC1190,"| target=|_top|&gt;",AC1192,"&lt;/a&gt;")</f>
        <v>&lt;a href=|http://parallelbible.com/proverbs/2.htm| title=|Parallel Chapters| target=|_top|&gt;PAR&lt;/a&gt;</v>
      </c>
      <c r="AD630" s="2" t="str">
        <f t="shared" ref="AD630:AK630" si="2518">CONCATENATE("&lt;/li&gt;&lt;li&gt;&lt;a href=|http://",AD1191,"/proverbs/2.htm","| ","title=|",AD1190,"| target=|_top|&gt;",AD1192,"&lt;/a&gt;")</f>
        <v>&lt;/li&gt;&lt;li&gt;&lt;a href=|http://gsb.biblecommenter.com/proverbs/2.htm| title=|Geneva Study Bible| target=|_top|&gt;GSB&lt;/a&gt;</v>
      </c>
      <c r="AE630" s="2" t="str">
        <f t="shared" si="2518"/>
        <v>&lt;/li&gt;&lt;li&gt;&lt;a href=|http://jfb.biblecommenter.com/proverbs/2.htm| title=|Jamieson-Fausset-Brown Bible Commentary| target=|_top|&gt;JFB&lt;/a&gt;</v>
      </c>
      <c r="AF630" s="2" t="str">
        <f t="shared" si="2518"/>
        <v>&lt;/li&gt;&lt;li&gt;&lt;a href=|http://kjt.biblecommenter.com/proverbs/2.htm| title=|King James Translators' Notes| target=|_top|&gt;KJT&lt;/a&gt;</v>
      </c>
      <c r="AG630" s="2" t="str">
        <f t="shared" si="2518"/>
        <v>&lt;/li&gt;&lt;li&gt;&lt;a href=|http://mhc.biblecommenter.com/proverbs/2.htm| title=|Matthew Henry's Concise Commentary| target=|_top|&gt;MHC&lt;/a&gt;</v>
      </c>
      <c r="AH630" s="2" t="str">
        <f t="shared" si="2518"/>
        <v>&lt;/li&gt;&lt;li&gt;&lt;a href=|http://sco.biblecommenter.com/proverbs/2.htm| title=|Scofield Reference Notes| target=|_top|&gt;SCO&lt;/a&gt;</v>
      </c>
      <c r="AI630" s="2" t="str">
        <f t="shared" si="2518"/>
        <v>&lt;/li&gt;&lt;li&gt;&lt;a href=|http://wes.biblecommenter.com/proverbs/2.htm| title=|Wesley's Notes on the Bible| target=|_top|&gt;WES&lt;/a&gt;</v>
      </c>
      <c r="AJ630" t="str">
        <f t="shared" si="2518"/>
        <v>&lt;/li&gt;&lt;li&gt;&lt;a href=|http://worldebible.com/proverbs/2.htm| title=|World English Bible| target=|_top|&gt;WEB&lt;/a&gt;</v>
      </c>
      <c r="AK630" t="str">
        <f t="shared" si="2518"/>
        <v>&lt;/li&gt;&lt;li&gt;&lt;a href=|http://yltbible.com/proverbs/2.htm| title=|Young's Literal Translation| target=|_top|&gt;YLT&lt;/a&gt;</v>
      </c>
      <c r="AL630" t="str">
        <f>CONCATENATE("&lt;a href=|http://",AL1191,"/proverbs/2.htm","| ","title=|",AL1190,"| target=|_top|&gt;",AL1192,"&lt;/a&gt;")</f>
        <v>&lt;a href=|http://kjv.us/proverbs/2.htm| title=|American King James Version| target=|_top|&gt;AKJ&lt;/a&gt;</v>
      </c>
      <c r="AM630" t="str">
        <f t="shared" ref="AM630:AN630" si="2519">CONCATENATE("&lt;/li&gt;&lt;li&gt;&lt;a href=|http://",AM1191,"/proverbs/2.htm","| ","title=|",AM1190,"| target=|_top|&gt;",AM1192,"&lt;/a&gt;")</f>
        <v>&lt;/li&gt;&lt;li&gt;&lt;a href=|http://basicenglishbible.com/proverbs/2.htm| title=|Bible in Basic English| target=|_top|&gt;BBE&lt;/a&gt;</v>
      </c>
      <c r="AN630" t="str">
        <f t="shared" si="2519"/>
        <v>&lt;/li&gt;&lt;li&gt;&lt;a href=|http://darbybible.com/proverbs/2.htm| title=|Darby Bible Translation| target=|_top|&gt;DBY&lt;/a&gt;</v>
      </c>
      <c r="AO63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3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3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30" t="str">
        <f>CONCATENATE("&lt;/li&gt;&lt;li&gt;&lt;a href=|http://",AR1191,"/proverbs/2.htm","| ","title=|",AR1190,"| target=|_top|&gt;",AR1192,"&lt;/a&gt;")</f>
        <v>&lt;/li&gt;&lt;li&gt;&lt;a href=|http://websterbible.com/proverbs/2.htm| title=|Webster's Bible Translation| target=|_top|&gt;WBS&lt;/a&gt;</v>
      </c>
      <c r="AS63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30" t="str">
        <f>CONCATENATE("&lt;/li&gt;&lt;li&gt;&lt;a href=|http://",AT1191,"/proverbs/2-1.htm","| ","title=|",AT1190,"| target=|_top|&gt;",AT1192,"&lt;/a&gt;")</f>
        <v>&lt;/li&gt;&lt;li&gt;&lt;a href=|http://biblebrowser.com/proverbs/2-1.htm| title=|Split View| target=|_top|&gt;Split&lt;/a&gt;</v>
      </c>
      <c r="AU630" s="2" t="s">
        <v>1276</v>
      </c>
      <c r="AV630" t="s">
        <v>64</v>
      </c>
    </row>
    <row r="631" spans="1:48">
      <c r="A631" t="s">
        <v>622</v>
      </c>
      <c r="B631" t="s">
        <v>1135</v>
      </c>
      <c r="C631" t="s">
        <v>624</v>
      </c>
      <c r="D631" t="s">
        <v>1268</v>
      </c>
      <c r="E631" t="s">
        <v>1277</v>
      </c>
      <c r="F631" t="s">
        <v>1304</v>
      </c>
      <c r="G631" t="s">
        <v>1266</v>
      </c>
      <c r="H631" t="s">
        <v>1305</v>
      </c>
      <c r="I631" t="s">
        <v>1303</v>
      </c>
      <c r="J631" t="s">
        <v>1267</v>
      </c>
      <c r="K631" t="s">
        <v>1275</v>
      </c>
      <c r="L631" s="2" t="s">
        <v>1274</v>
      </c>
      <c r="M631" t="str">
        <f t="shared" ref="M631:AB631" si="2520">CONCATENATE("&lt;/li&gt;&lt;li&gt;&lt;a href=|http://",M1191,"/proverbs/3.htm","| ","title=|",M1190,"| target=|_top|&gt;",M1192,"&lt;/a&gt;")</f>
        <v>&lt;/li&gt;&lt;li&gt;&lt;a href=|http://niv.scripturetext.com/proverbs/3.htm| title=|New International Version| target=|_top|&gt;NIV&lt;/a&gt;</v>
      </c>
      <c r="N631" t="str">
        <f t="shared" si="2520"/>
        <v>&lt;/li&gt;&lt;li&gt;&lt;a href=|http://nlt.scripturetext.com/proverbs/3.htm| title=|New Living Translation| target=|_top|&gt;NLT&lt;/a&gt;</v>
      </c>
      <c r="O631" t="str">
        <f t="shared" si="2520"/>
        <v>&lt;/li&gt;&lt;li&gt;&lt;a href=|http://nasb.scripturetext.com/proverbs/3.htm| title=|New American Standard Bible| target=|_top|&gt;NAS&lt;/a&gt;</v>
      </c>
      <c r="P631" t="str">
        <f t="shared" si="2520"/>
        <v>&lt;/li&gt;&lt;li&gt;&lt;a href=|http://gwt.scripturetext.com/proverbs/3.htm| title=|God's Word Translation| target=|_top|&gt;GWT&lt;/a&gt;</v>
      </c>
      <c r="Q631" t="str">
        <f t="shared" si="2520"/>
        <v>&lt;/li&gt;&lt;li&gt;&lt;a href=|http://kingjbible.com/proverbs/3.htm| title=|King James Bible| target=|_top|&gt;KJV&lt;/a&gt;</v>
      </c>
      <c r="R631" t="str">
        <f t="shared" si="2520"/>
        <v>&lt;/li&gt;&lt;li&gt;&lt;a href=|http://asvbible.com/proverbs/3.htm| title=|American Standard Version| target=|_top|&gt;ASV&lt;/a&gt;</v>
      </c>
      <c r="S631" t="str">
        <f t="shared" si="2520"/>
        <v>&lt;/li&gt;&lt;li&gt;&lt;a href=|http://drb.scripturetext.com/proverbs/3.htm| title=|Douay-Rheims Bible| target=|_top|&gt;DRB&lt;/a&gt;</v>
      </c>
      <c r="T631" t="str">
        <f t="shared" si="2520"/>
        <v>&lt;/li&gt;&lt;li&gt;&lt;a href=|http://erv.scripturetext.com/proverbs/3.htm| title=|English Revised Version| target=|_top|&gt;ERV&lt;/a&gt;</v>
      </c>
      <c r="V631" t="str">
        <f>CONCATENATE("&lt;/li&gt;&lt;li&gt;&lt;a href=|http://",V1191,"/proverbs/3.htm","| ","title=|",V1190,"| target=|_top|&gt;",V1192,"&lt;/a&gt;")</f>
        <v>&lt;/li&gt;&lt;li&gt;&lt;a href=|http://study.interlinearbible.org/proverbs/3.htm| title=|Hebrew Study Bible| target=|_top|&gt;Heb Study&lt;/a&gt;</v>
      </c>
      <c r="W631" t="str">
        <f t="shared" si="2520"/>
        <v>&lt;/li&gt;&lt;li&gt;&lt;a href=|http://apostolic.interlinearbible.org/proverbs/3.htm| title=|Apostolic Bible Polyglot Interlinear| target=|_top|&gt;Polyglot&lt;/a&gt;</v>
      </c>
      <c r="X631" t="str">
        <f t="shared" si="2520"/>
        <v>&lt;/li&gt;&lt;li&gt;&lt;a href=|http://interlinearbible.org/proverbs/3.htm| title=|Interlinear Bible| target=|_top|&gt;Interlin&lt;/a&gt;</v>
      </c>
      <c r="Y631" t="str">
        <f t="shared" ref="Y631" si="2521">CONCATENATE("&lt;/li&gt;&lt;li&gt;&lt;a href=|http://",Y1191,"/proverbs/3.htm","| ","title=|",Y1190,"| target=|_top|&gt;",Y1192,"&lt;/a&gt;")</f>
        <v>&lt;/li&gt;&lt;li&gt;&lt;a href=|http://bibleoutline.org/proverbs/3.htm| title=|Outline with People and Places List| target=|_top|&gt;Outline&lt;/a&gt;</v>
      </c>
      <c r="Z631" t="str">
        <f t="shared" si="2520"/>
        <v>&lt;/li&gt;&lt;li&gt;&lt;a href=|http://kjvs.scripturetext.com/proverbs/3.htm| title=|King James Bible with Strong's Numbers| target=|_top|&gt;Strong's&lt;/a&gt;</v>
      </c>
      <c r="AA631" t="str">
        <f t="shared" si="2520"/>
        <v>&lt;/li&gt;&lt;li&gt;&lt;a href=|http://childrensbibleonline.com/proverbs/3.htm| title=|The Children's Bible| target=|_top|&gt;Children's&lt;/a&gt;</v>
      </c>
      <c r="AB631" s="2" t="str">
        <f t="shared" si="2520"/>
        <v>&lt;/li&gt;&lt;li&gt;&lt;a href=|http://tsk.scripturetext.com/proverbs/3.htm| title=|Treasury of Scripture Knowledge| target=|_top|&gt;TSK&lt;/a&gt;</v>
      </c>
      <c r="AC631" t="str">
        <f>CONCATENATE("&lt;a href=|http://",AC1191,"/proverbs/3.htm","| ","title=|",AC1190,"| target=|_top|&gt;",AC1192,"&lt;/a&gt;")</f>
        <v>&lt;a href=|http://parallelbible.com/proverbs/3.htm| title=|Parallel Chapters| target=|_top|&gt;PAR&lt;/a&gt;</v>
      </c>
      <c r="AD631" s="2" t="str">
        <f t="shared" ref="AD631:AK631" si="2522">CONCATENATE("&lt;/li&gt;&lt;li&gt;&lt;a href=|http://",AD1191,"/proverbs/3.htm","| ","title=|",AD1190,"| target=|_top|&gt;",AD1192,"&lt;/a&gt;")</f>
        <v>&lt;/li&gt;&lt;li&gt;&lt;a href=|http://gsb.biblecommenter.com/proverbs/3.htm| title=|Geneva Study Bible| target=|_top|&gt;GSB&lt;/a&gt;</v>
      </c>
      <c r="AE631" s="2" t="str">
        <f t="shared" si="2522"/>
        <v>&lt;/li&gt;&lt;li&gt;&lt;a href=|http://jfb.biblecommenter.com/proverbs/3.htm| title=|Jamieson-Fausset-Brown Bible Commentary| target=|_top|&gt;JFB&lt;/a&gt;</v>
      </c>
      <c r="AF631" s="2" t="str">
        <f t="shared" si="2522"/>
        <v>&lt;/li&gt;&lt;li&gt;&lt;a href=|http://kjt.biblecommenter.com/proverbs/3.htm| title=|King James Translators' Notes| target=|_top|&gt;KJT&lt;/a&gt;</v>
      </c>
      <c r="AG631" s="2" t="str">
        <f t="shared" si="2522"/>
        <v>&lt;/li&gt;&lt;li&gt;&lt;a href=|http://mhc.biblecommenter.com/proverbs/3.htm| title=|Matthew Henry's Concise Commentary| target=|_top|&gt;MHC&lt;/a&gt;</v>
      </c>
      <c r="AH631" s="2" t="str">
        <f t="shared" si="2522"/>
        <v>&lt;/li&gt;&lt;li&gt;&lt;a href=|http://sco.biblecommenter.com/proverbs/3.htm| title=|Scofield Reference Notes| target=|_top|&gt;SCO&lt;/a&gt;</v>
      </c>
      <c r="AI631" s="2" t="str">
        <f t="shared" si="2522"/>
        <v>&lt;/li&gt;&lt;li&gt;&lt;a href=|http://wes.biblecommenter.com/proverbs/3.htm| title=|Wesley's Notes on the Bible| target=|_top|&gt;WES&lt;/a&gt;</v>
      </c>
      <c r="AJ631" t="str">
        <f t="shared" si="2522"/>
        <v>&lt;/li&gt;&lt;li&gt;&lt;a href=|http://worldebible.com/proverbs/3.htm| title=|World English Bible| target=|_top|&gt;WEB&lt;/a&gt;</v>
      </c>
      <c r="AK631" t="str">
        <f t="shared" si="2522"/>
        <v>&lt;/li&gt;&lt;li&gt;&lt;a href=|http://yltbible.com/proverbs/3.htm| title=|Young's Literal Translation| target=|_top|&gt;YLT&lt;/a&gt;</v>
      </c>
      <c r="AL631" t="str">
        <f>CONCATENATE("&lt;a href=|http://",AL1191,"/proverbs/3.htm","| ","title=|",AL1190,"| target=|_top|&gt;",AL1192,"&lt;/a&gt;")</f>
        <v>&lt;a href=|http://kjv.us/proverbs/3.htm| title=|American King James Version| target=|_top|&gt;AKJ&lt;/a&gt;</v>
      </c>
      <c r="AM631" t="str">
        <f t="shared" ref="AM631:AN631" si="2523">CONCATENATE("&lt;/li&gt;&lt;li&gt;&lt;a href=|http://",AM1191,"/proverbs/3.htm","| ","title=|",AM1190,"| target=|_top|&gt;",AM1192,"&lt;/a&gt;")</f>
        <v>&lt;/li&gt;&lt;li&gt;&lt;a href=|http://basicenglishbible.com/proverbs/3.htm| title=|Bible in Basic English| target=|_top|&gt;BBE&lt;/a&gt;</v>
      </c>
      <c r="AN631" t="str">
        <f t="shared" si="2523"/>
        <v>&lt;/li&gt;&lt;li&gt;&lt;a href=|http://darbybible.com/proverbs/3.htm| title=|Darby Bible Translation| target=|_top|&gt;DBY&lt;/a&gt;</v>
      </c>
      <c r="AO63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3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3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31" t="str">
        <f>CONCATENATE("&lt;/li&gt;&lt;li&gt;&lt;a href=|http://",AR1191,"/proverbs/3.htm","| ","title=|",AR1190,"| target=|_top|&gt;",AR1192,"&lt;/a&gt;")</f>
        <v>&lt;/li&gt;&lt;li&gt;&lt;a href=|http://websterbible.com/proverbs/3.htm| title=|Webster's Bible Translation| target=|_top|&gt;WBS&lt;/a&gt;</v>
      </c>
      <c r="AS63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31" t="str">
        <f>CONCATENATE("&lt;/li&gt;&lt;li&gt;&lt;a href=|http://",AT1191,"/proverbs/3-1.htm","| ","title=|",AT1190,"| target=|_top|&gt;",AT1192,"&lt;/a&gt;")</f>
        <v>&lt;/li&gt;&lt;li&gt;&lt;a href=|http://biblebrowser.com/proverbs/3-1.htm| title=|Split View| target=|_top|&gt;Split&lt;/a&gt;</v>
      </c>
      <c r="AU631" s="2" t="s">
        <v>1276</v>
      </c>
      <c r="AV631" t="s">
        <v>64</v>
      </c>
    </row>
    <row r="632" spans="1:48">
      <c r="A632" t="s">
        <v>622</v>
      </c>
      <c r="B632" t="s">
        <v>1136</v>
      </c>
      <c r="C632" t="s">
        <v>624</v>
      </c>
      <c r="D632" t="s">
        <v>1268</v>
      </c>
      <c r="E632" t="s">
        <v>1277</v>
      </c>
      <c r="F632" t="s">
        <v>1304</v>
      </c>
      <c r="G632" t="s">
        <v>1266</v>
      </c>
      <c r="H632" t="s">
        <v>1305</v>
      </c>
      <c r="I632" t="s">
        <v>1303</v>
      </c>
      <c r="J632" t="s">
        <v>1267</v>
      </c>
      <c r="K632" t="s">
        <v>1275</v>
      </c>
      <c r="L632" s="2" t="s">
        <v>1274</v>
      </c>
      <c r="M632" t="str">
        <f t="shared" ref="M632:AB632" si="2524">CONCATENATE("&lt;/li&gt;&lt;li&gt;&lt;a href=|http://",M1191,"/proverbs/4.htm","| ","title=|",M1190,"| target=|_top|&gt;",M1192,"&lt;/a&gt;")</f>
        <v>&lt;/li&gt;&lt;li&gt;&lt;a href=|http://niv.scripturetext.com/proverbs/4.htm| title=|New International Version| target=|_top|&gt;NIV&lt;/a&gt;</v>
      </c>
      <c r="N632" t="str">
        <f t="shared" si="2524"/>
        <v>&lt;/li&gt;&lt;li&gt;&lt;a href=|http://nlt.scripturetext.com/proverbs/4.htm| title=|New Living Translation| target=|_top|&gt;NLT&lt;/a&gt;</v>
      </c>
      <c r="O632" t="str">
        <f t="shared" si="2524"/>
        <v>&lt;/li&gt;&lt;li&gt;&lt;a href=|http://nasb.scripturetext.com/proverbs/4.htm| title=|New American Standard Bible| target=|_top|&gt;NAS&lt;/a&gt;</v>
      </c>
      <c r="P632" t="str">
        <f t="shared" si="2524"/>
        <v>&lt;/li&gt;&lt;li&gt;&lt;a href=|http://gwt.scripturetext.com/proverbs/4.htm| title=|God's Word Translation| target=|_top|&gt;GWT&lt;/a&gt;</v>
      </c>
      <c r="Q632" t="str">
        <f t="shared" si="2524"/>
        <v>&lt;/li&gt;&lt;li&gt;&lt;a href=|http://kingjbible.com/proverbs/4.htm| title=|King James Bible| target=|_top|&gt;KJV&lt;/a&gt;</v>
      </c>
      <c r="R632" t="str">
        <f t="shared" si="2524"/>
        <v>&lt;/li&gt;&lt;li&gt;&lt;a href=|http://asvbible.com/proverbs/4.htm| title=|American Standard Version| target=|_top|&gt;ASV&lt;/a&gt;</v>
      </c>
      <c r="S632" t="str">
        <f t="shared" si="2524"/>
        <v>&lt;/li&gt;&lt;li&gt;&lt;a href=|http://drb.scripturetext.com/proverbs/4.htm| title=|Douay-Rheims Bible| target=|_top|&gt;DRB&lt;/a&gt;</v>
      </c>
      <c r="T632" t="str">
        <f t="shared" si="2524"/>
        <v>&lt;/li&gt;&lt;li&gt;&lt;a href=|http://erv.scripturetext.com/proverbs/4.htm| title=|English Revised Version| target=|_top|&gt;ERV&lt;/a&gt;</v>
      </c>
      <c r="V632" t="str">
        <f>CONCATENATE("&lt;/li&gt;&lt;li&gt;&lt;a href=|http://",V1191,"/proverbs/4.htm","| ","title=|",V1190,"| target=|_top|&gt;",V1192,"&lt;/a&gt;")</f>
        <v>&lt;/li&gt;&lt;li&gt;&lt;a href=|http://study.interlinearbible.org/proverbs/4.htm| title=|Hebrew Study Bible| target=|_top|&gt;Heb Study&lt;/a&gt;</v>
      </c>
      <c r="W632" t="str">
        <f t="shared" si="2524"/>
        <v>&lt;/li&gt;&lt;li&gt;&lt;a href=|http://apostolic.interlinearbible.org/proverbs/4.htm| title=|Apostolic Bible Polyglot Interlinear| target=|_top|&gt;Polyglot&lt;/a&gt;</v>
      </c>
      <c r="X632" t="str">
        <f t="shared" si="2524"/>
        <v>&lt;/li&gt;&lt;li&gt;&lt;a href=|http://interlinearbible.org/proverbs/4.htm| title=|Interlinear Bible| target=|_top|&gt;Interlin&lt;/a&gt;</v>
      </c>
      <c r="Y632" t="str">
        <f t="shared" ref="Y632" si="2525">CONCATENATE("&lt;/li&gt;&lt;li&gt;&lt;a href=|http://",Y1191,"/proverbs/4.htm","| ","title=|",Y1190,"| target=|_top|&gt;",Y1192,"&lt;/a&gt;")</f>
        <v>&lt;/li&gt;&lt;li&gt;&lt;a href=|http://bibleoutline.org/proverbs/4.htm| title=|Outline with People and Places List| target=|_top|&gt;Outline&lt;/a&gt;</v>
      </c>
      <c r="Z632" t="str">
        <f t="shared" si="2524"/>
        <v>&lt;/li&gt;&lt;li&gt;&lt;a href=|http://kjvs.scripturetext.com/proverbs/4.htm| title=|King James Bible with Strong's Numbers| target=|_top|&gt;Strong's&lt;/a&gt;</v>
      </c>
      <c r="AA632" t="str">
        <f t="shared" si="2524"/>
        <v>&lt;/li&gt;&lt;li&gt;&lt;a href=|http://childrensbibleonline.com/proverbs/4.htm| title=|The Children's Bible| target=|_top|&gt;Children's&lt;/a&gt;</v>
      </c>
      <c r="AB632" s="2" t="str">
        <f t="shared" si="2524"/>
        <v>&lt;/li&gt;&lt;li&gt;&lt;a href=|http://tsk.scripturetext.com/proverbs/4.htm| title=|Treasury of Scripture Knowledge| target=|_top|&gt;TSK&lt;/a&gt;</v>
      </c>
      <c r="AC632" t="str">
        <f>CONCATENATE("&lt;a href=|http://",AC1191,"/proverbs/4.htm","| ","title=|",AC1190,"| target=|_top|&gt;",AC1192,"&lt;/a&gt;")</f>
        <v>&lt;a href=|http://parallelbible.com/proverbs/4.htm| title=|Parallel Chapters| target=|_top|&gt;PAR&lt;/a&gt;</v>
      </c>
      <c r="AD632" s="2" t="str">
        <f t="shared" ref="AD632:AK632" si="2526">CONCATENATE("&lt;/li&gt;&lt;li&gt;&lt;a href=|http://",AD1191,"/proverbs/4.htm","| ","title=|",AD1190,"| target=|_top|&gt;",AD1192,"&lt;/a&gt;")</f>
        <v>&lt;/li&gt;&lt;li&gt;&lt;a href=|http://gsb.biblecommenter.com/proverbs/4.htm| title=|Geneva Study Bible| target=|_top|&gt;GSB&lt;/a&gt;</v>
      </c>
      <c r="AE632" s="2" t="str">
        <f t="shared" si="2526"/>
        <v>&lt;/li&gt;&lt;li&gt;&lt;a href=|http://jfb.biblecommenter.com/proverbs/4.htm| title=|Jamieson-Fausset-Brown Bible Commentary| target=|_top|&gt;JFB&lt;/a&gt;</v>
      </c>
      <c r="AF632" s="2" t="str">
        <f t="shared" si="2526"/>
        <v>&lt;/li&gt;&lt;li&gt;&lt;a href=|http://kjt.biblecommenter.com/proverbs/4.htm| title=|King James Translators' Notes| target=|_top|&gt;KJT&lt;/a&gt;</v>
      </c>
      <c r="AG632" s="2" t="str">
        <f t="shared" si="2526"/>
        <v>&lt;/li&gt;&lt;li&gt;&lt;a href=|http://mhc.biblecommenter.com/proverbs/4.htm| title=|Matthew Henry's Concise Commentary| target=|_top|&gt;MHC&lt;/a&gt;</v>
      </c>
      <c r="AH632" s="2" t="str">
        <f t="shared" si="2526"/>
        <v>&lt;/li&gt;&lt;li&gt;&lt;a href=|http://sco.biblecommenter.com/proverbs/4.htm| title=|Scofield Reference Notes| target=|_top|&gt;SCO&lt;/a&gt;</v>
      </c>
      <c r="AI632" s="2" t="str">
        <f t="shared" si="2526"/>
        <v>&lt;/li&gt;&lt;li&gt;&lt;a href=|http://wes.biblecommenter.com/proverbs/4.htm| title=|Wesley's Notes on the Bible| target=|_top|&gt;WES&lt;/a&gt;</v>
      </c>
      <c r="AJ632" t="str">
        <f t="shared" si="2526"/>
        <v>&lt;/li&gt;&lt;li&gt;&lt;a href=|http://worldebible.com/proverbs/4.htm| title=|World English Bible| target=|_top|&gt;WEB&lt;/a&gt;</v>
      </c>
      <c r="AK632" t="str">
        <f t="shared" si="2526"/>
        <v>&lt;/li&gt;&lt;li&gt;&lt;a href=|http://yltbible.com/proverbs/4.htm| title=|Young's Literal Translation| target=|_top|&gt;YLT&lt;/a&gt;</v>
      </c>
      <c r="AL632" t="str">
        <f>CONCATENATE("&lt;a href=|http://",AL1191,"/proverbs/4.htm","| ","title=|",AL1190,"| target=|_top|&gt;",AL1192,"&lt;/a&gt;")</f>
        <v>&lt;a href=|http://kjv.us/proverbs/4.htm| title=|American King James Version| target=|_top|&gt;AKJ&lt;/a&gt;</v>
      </c>
      <c r="AM632" t="str">
        <f t="shared" ref="AM632:AN632" si="2527">CONCATENATE("&lt;/li&gt;&lt;li&gt;&lt;a href=|http://",AM1191,"/proverbs/4.htm","| ","title=|",AM1190,"| target=|_top|&gt;",AM1192,"&lt;/a&gt;")</f>
        <v>&lt;/li&gt;&lt;li&gt;&lt;a href=|http://basicenglishbible.com/proverbs/4.htm| title=|Bible in Basic English| target=|_top|&gt;BBE&lt;/a&gt;</v>
      </c>
      <c r="AN632" t="str">
        <f t="shared" si="2527"/>
        <v>&lt;/li&gt;&lt;li&gt;&lt;a href=|http://darbybible.com/proverbs/4.htm| title=|Darby Bible Translation| target=|_top|&gt;DBY&lt;/a&gt;</v>
      </c>
      <c r="AO63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3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3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32" t="str">
        <f>CONCATENATE("&lt;/li&gt;&lt;li&gt;&lt;a href=|http://",AR1191,"/proverbs/4.htm","| ","title=|",AR1190,"| target=|_top|&gt;",AR1192,"&lt;/a&gt;")</f>
        <v>&lt;/li&gt;&lt;li&gt;&lt;a href=|http://websterbible.com/proverbs/4.htm| title=|Webster's Bible Translation| target=|_top|&gt;WBS&lt;/a&gt;</v>
      </c>
      <c r="AS63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32" t="str">
        <f>CONCATENATE("&lt;/li&gt;&lt;li&gt;&lt;a href=|http://",AT1191,"/proverbs/4-1.htm","| ","title=|",AT1190,"| target=|_top|&gt;",AT1192,"&lt;/a&gt;")</f>
        <v>&lt;/li&gt;&lt;li&gt;&lt;a href=|http://biblebrowser.com/proverbs/4-1.htm| title=|Split View| target=|_top|&gt;Split&lt;/a&gt;</v>
      </c>
      <c r="AU632" s="2" t="s">
        <v>1276</v>
      </c>
      <c r="AV632" t="s">
        <v>64</v>
      </c>
    </row>
    <row r="633" spans="1:48">
      <c r="A633" t="s">
        <v>622</v>
      </c>
      <c r="B633" t="s">
        <v>1137</v>
      </c>
      <c r="C633" t="s">
        <v>624</v>
      </c>
      <c r="D633" t="s">
        <v>1268</v>
      </c>
      <c r="E633" t="s">
        <v>1277</v>
      </c>
      <c r="F633" t="s">
        <v>1304</v>
      </c>
      <c r="G633" t="s">
        <v>1266</v>
      </c>
      <c r="H633" t="s">
        <v>1305</v>
      </c>
      <c r="I633" t="s">
        <v>1303</v>
      </c>
      <c r="J633" t="s">
        <v>1267</v>
      </c>
      <c r="K633" t="s">
        <v>1275</v>
      </c>
      <c r="L633" s="2" t="s">
        <v>1274</v>
      </c>
      <c r="M633" t="str">
        <f t="shared" ref="M633:AB633" si="2528">CONCATENATE("&lt;/li&gt;&lt;li&gt;&lt;a href=|http://",M1191,"/proverbs/5.htm","| ","title=|",M1190,"| target=|_top|&gt;",M1192,"&lt;/a&gt;")</f>
        <v>&lt;/li&gt;&lt;li&gt;&lt;a href=|http://niv.scripturetext.com/proverbs/5.htm| title=|New International Version| target=|_top|&gt;NIV&lt;/a&gt;</v>
      </c>
      <c r="N633" t="str">
        <f t="shared" si="2528"/>
        <v>&lt;/li&gt;&lt;li&gt;&lt;a href=|http://nlt.scripturetext.com/proverbs/5.htm| title=|New Living Translation| target=|_top|&gt;NLT&lt;/a&gt;</v>
      </c>
      <c r="O633" t="str">
        <f t="shared" si="2528"/>
        <v>&lt;/li&gt;&lt;li&gt;&lt;a href=|http://nasb.scripturetext.com/proverbs/5.htm| title=|New American Standard Bible| target=|_top|&gt;NAS&lt;/a&gt;</v>
      </c>
      <c r="P633" t="str">
        <f t="shared" si="2528"/>
        <v>&lt;/li&gt;&lt;li&gt;&lt;a href=|http://gwt.scripturetext.com/proverbs/5.htm| title=|God's Word Translation| target=|_top|&gt;GWT&lt;/a&gt;</v>
      </c>
      <c r="Q633" t="str">
        <f t="shared" si="2528"/>
        <v>&lt;/li&gt;&lt;li&gt;&lt;a href=|http://kingjbible.com/proverbs/5.htm| title=|King James Bible| target=|_top|&gt;KJV&lt;/a&gt;</v>
      </c>
      <c r="R633" t="str">
        <f t="shared" si="2528"/>
        <v>&lt;/li&gt;&lt;li&gt;&lt;a href=|http://asvbible.com/proverbs/5.htm| title=|American Standard Version| target=|_top|&gt;ASV&lt;/a&gt;</v>
      </c>
      <c r="S633" t="str">
        <f t="shared" si="2528"/>
        <v>&lt;/li&gt;&lt;li&gt;&lt;a href=|http://drb.scripturetext.com/proverbs/5.htm| title=|Douay-Rheims Bible| target=|_top|&gt;DRB&lt;/a&gt;</v>
      </c>
      <c r="T633" t="str">
        <f t="shared" si="2528"/>
        <v>&lt;/li&gt;&lt;li&gt;&lt;a href=|http://erv.scripturetext.com/proverbs/5.htm| title=|English Revised Version| target=|_top|&gt;ERV&lt;/a&gt;</v>
      </c>
      <c r="V633" t="str">
        <f>CONCATENATE("&lt;/li&gt;&lt;li&gt;&lt;a href=|http://",V1191,"/proverbs/5.htm","| ","title=|",V1190,"| target=|_top|&gt;",V1192,"&lt;/a&gt;")</f>
        <v>&lt;/li&gt;&lt;li&gt;&lt;a href=|http://study.interlinearbible.org/proverbs/5.htm| title=|Hebrew Study Bible| target=|_top|&gt;Heb Study&lt;/a&gt;</v>
      </c>
      <c r="W633" t="str">
        <f t="shared" si="2528"/>
        <v>&lt;/li&gt;&lt;li&gt;&lt;a href=|http://apostolic.interlinearbible.org/proverbs/5.htm| title=|Apostolic Bible Polyglot Interlinear| target=|_top|&gt;Polyglot&lt;/a&gt;</v>
      </c>
      <c r="X633" t="str">
        <f t="shared" si="2528"/>
        <v>&lt;/li&gt;&lt;li&gt;&lt;a href=|http://interlinearbible.org/proverbs/5.htm| title=|Interlinear Bible| target=|_top|&gt;Interlin&lt;/a&gt;</v>
      </c>
      <c r="Y633" t="str">
        <f t="shared" ref="Y633" si="2529">CONCATENATE("&lt;/li&gt;&lt;li&gt;&lt;a href=|http://",Y1191,"/proverbs/5.htm","| ","title=|",Y1190,"| target=|_top|&gt;",Y1192,"&lt;/a&gt;")</f>
        <v>&lt;/li&gt;&lt;li&gt;&lt;a href=|http://bibleoutline.org/proverbs/5.htm| title=|Outline with People and Places List| target=|_top|&gt;Outline&lt;/a&gt;</v>
      </c>
      <c r="Z633" t="str">
        <f t="shared" si="2528"/>
        <v>&lt;/li&gt;&lt;li&gt;&lt;a href=|http://kjvs.scripturetext.com/proverbs/5.htm| title=|King James Bible with Strong's Numbers| target=|_top|&gt;Strong's&lt;/a&gt;</v>
      </c>
      <c r="AA633" t="str">
        <f t="shared" si="2528"/>
        <v>&lt;/li&gt;&lt;li&gt;&lt;a href=|http://childrensbibleonline.com/proverbs/5.htm| title=|The Children's Bible| target=|_top|&gt;Children's&lt;/a&gt;</v>
      </c>
      <c r="AB633" s="2" t="str">
        <f t="shared" si="2528"/>
        <v>&lt;/li&gt;&lt;li&gt;&lt;a href=|http://tsk.scripturetext.com/proverbs/5.htm| title=|Treasury of Scripture Knowledge| target=|_top|&gt;TSK&lt;/a&gt;</v>
      </c>
      <c r="AC633" t="str">
        <f>CONCATENATE("&lt;a href=|http://",AC1191,"/proverbs/5.htm","| ","title=|",AC1190,"| target=|_top|&gt;",AC1192,"&lt;/a&gt;")</f>
        <v>&lt;a href=|http://parallelbible.com/proverbs/5.htm| title=|Parallel Chapters| target=|_top|&gt;PAR&lt;/a&gt;</v>
      </c>
      <c r="AD633" s="2" t="str">
        <f t="shared" ref="AD633:AK633" si="2530">CONCATENATE("&lt;/li&gt;&lt;li&gt;&lt;a href=|http://",AD1191,"/proverbs/5.htm","| ","title=|",AD1190,"| target=|_top|&gt;",AD1192,"&lt;/a&gt;")</f>
        <v>&lt;/li&gt;&lt;li&gt;&lt;a href=|http://gsb.biblecommenter.com/proverbs/5.htm| title=|Geneva Study Bible| target=|_top|&gt;GSB&lt;/a&gt;</v>
      </c>
      <c r="AE633" s="2" t="str">
        <f t="shared" si="2530"/>
        <v>&lt;/li&gt;&lt;li&gt;&lt;a href=|http://jfb.biblecommenter.com/proverbs/5.htm| title=|Jamieson-Fausset-Brown Bible Commentary| target=|_top|&gt;JFB&lt;/a&gt;</v>
      </c>
      <c r="AF633" s="2" t="str">
        <f t="shared" si="2530"/>
        <v>&lt;/li&gt;&lt;li&gt;&lt;a href=|http://kjt.biblecommenter.com/proverbs/5.htm| title=|King James Translators' Notes| target=|_top|&gt;KJT&lt;/a&gt;</v>
      </c>
      <c r="AG633" s="2" t="str">
        <f t="shared" si="2530"/>
        <v>&lt;/li&gt;&lt;li&gt;&lt;a href=|http://mhc.biblecommenter.com/proverbs/5.htm| title=|Matthew Henry's Concise Commentary| target=|_top|&gt;MHC&lt;/a&gt;</v>
      </c>
      <c r="AH633" s="2" t="str">
        <f t="shared" si="2530"/>
        <v>&lt;/li&gt;&lt;li&gt;&lt;a href=|http://sco.biblecommenter.com/proverbs/5.htm| title=|Scofield Reference Notes| target=|_top|&gt;SCO&lt;/a&gt;</v>
      </c>
      <c r="AI633" s="2" t="str">
        <f t="shared" si="2530"/>
        <v>&lt;/li&gt;&lt;li&gt;&lt;a href=|http://wes.biblecommenter.com/proverbs/5.htm| title=|Wesley's Notes on the Bible| target=|_top|&gt;WES&lt;/a&gt;</v>
      </c>
      <c r="AJ633" t="str">
        <f t="shared" si="2530"/>
        <v>&lt;/li&gt;&lt;li&gt;&lt;a href=|http://worldebible.com/proverbs/5.htm| title=|World English Bible| target=|_top|&gt;WEB&lt;/a&gt;</v>
      </c>
      <c r="AK633" t="str">
        <f t="shared" si="2530"/>
        <v>&lt;/li&gt;&lt;li&gt;&lt;a href=|http://yltbible.com/proverbs/5.htm| title=|Young's Literal Translation| target=|_top|&gt;YLT&lt;/a&gt;</v>
      </c>
      <c r="AL633" t="str">
        <f>CONCATENATE("&lt;a href=|http://",AL1191,"/proverbs/5.htm","| ","title=|",AL1190,"| target=|_top|&gt;",AL1192,"&lt;/a&gt;")</f>
        <v>&lt;a href=|http://kjv.us/proverbs/5.htm| title=|American King James Version| target=|_top|&gt;AKJ&lt;/a&gt;</v>
      </c>
      <c r="AM633" t="str">
        <f t="shared" ref="AM633:AN633" si="2531">CONCATENATE("&lt;/li&gt;&lt;li&gt;&lt;a href=|http://",AM1191,"/proverbs/5.htm","| ","title=|",AM1190,"| target=|_top|&gt;",AM1192,"&lt;/a&gt;")</f>
        <v>&lt;/li&gt;&lt;li&gt;&lt;a href=|http://basicenglishbible.com/proverbs/5.htm| title=|Bible in Basic English| target=|_top|&gt;BBE&lt;/a&gt;</v>
      </c>
      <c r="AN633" t="str">
        <f t="shared" si="2531"/>
        <v>&lt;/li&gt;&lt;li&gt;&lt;a href=|http://darbybible.com/proverbs/5.htm| title=|Darby Bible Translation| target=|_top|&gt;DBY&lt;/a&gt;</v>
      </c>
      <c r="AO63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3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3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33" t="str">
        <f>CONCATENATE("&lt;/li&gt;&lt;li&gt;&lt;a href=|http://",AR1191,"/proverbs/5.htm","| ","title=|",AR1190,"| target=|_top|&gt;",AR1192,"&lt;/a&gt;")</f>
        <v>&lt;/li&gt;&lt;li&gt;&lt;a href=|http://websterbible.com/proverbs/5.htm| title=|Webster's Bible Translation| target=|_top|&gt;WBS&lt;/a&gt;</v>
      </c>
      <c r="AS63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33" t="str">
        <f>CONCATENATE("&lt;/li&gt;&lt;li&gt;&lt;a href=|http://",AT1191,"/proverbs/5-1.htm","| ","title=|",AT1190,"| target=|_top|&gt;",AT1192,"&lt;/a&gt;")</f>
        <v>&lt;/li&gt;&lt;li&gt;&lt;a href=|http://biblebrowser.com/proverbs/5-1.htm| title=|Split View| target=|_top|&gt;Split&lt;/a&gt;</v>
      </c>
      <c r="AU633" s="2" t="s">
        <v>1276</v>
      </c>
      <c r="AV633" t="s">
        <v>64</v>
      </c>
    </row>
    <row r="634" spans="1:48">
      <c r="A634" t="s">
        <v>622</v>
      </c>
      <c r="B634" t="s">
        <v>1138</v>
      </c>
      <c r="C634" t="s">
        <v>624</v>
      </c>
      <c r="D634" t="s">
        <v>1268</v>
      </c>
      <c r="E634" t="s">
        <v>1277</v>
      </c>
      <c r="F634" t="s">
        <v>1304</v>
      </c>
      <c r="G634" t="s">
        <v>1266</v>
      </c>
      <c r="H634" t="s">
        <v>1305</v>
      </c>
      <c r="I634" t="s">
        <v>1303</v>
      </c>
      <c r="J634" t="s">
        <v>1267</v>
      </c>
      <c r="K634" t="s">
        <v>1275</v>
      </c>
      <c r="L634" s="2" t="s">
        <v>1274</v>
      </c>
      <c r="M634" t="str">
        <f t="shared" ref="M634:AB634" si="2532">CONCATENATE("&lt;/li&gt;&lt;li&gt;&lt;a href=|http://",M1191,"/proverbs/6.htm","| ","title=|",M1190,"| target=|_top|&gt;",M1192,"&lt;/a&gt;")</f>
        <v>&lt;/li&gt;&lt;li&gt;&lt;a href=|http://niv.scripturetext.com/proverbs/6.htm| title=|New International Version| target=|_top|&gt;NIV&lt;/a&gt;</v>
      </c>
      <c r="N634" t="str">
        <f t="shared" si="2532"/>
        <v>&lt;/li&gt;&lt;li&gt;&lt;a href=|http://nlt.scripturetext.com/proverbs/6.htm| title=|New Living Translation| target=|_top|&gt;NLT&lt;/a&gt;</v>
      </c>
      <c r="O634" t="str">
        <f t="shared" si="2532"/>
        <v>&lt;/li&gt;&lt;li&gt;&lt;a href=|http://nasb.scripturetext.com/proverbs/6.htm| title=|New American Standard Bible| target=|_top|&gt;NAS&lt;/a&gt;</v>
      </c>
      <c r="P634" t="str">
        <f t="shared" si="2532"/>
        <v>&lt;/li&gt;&lt;li&gt;&lt;a href=|http://gwt.scripturetext.com/proverbs/6.htm| title=|God's Word Translation| target=|_top|&gt;GWT&lt;/a&gt;</v>
      </c>
      <c r="Q634" t="str">
        <f t="shared" si="2532"/>
        <v>&lt;/li&gt;&lt;li&gt;&lt;a href=|http://kingjbible.com/proverbs/6.htm| title=|King James Bible| target=|_top|&gt;KJV&lt;/a&gt;</v>
      </c>
      <c r="R634" t="str">
        <f t="shared" si="2532"/>
        <v>&lt;/li&gt;&lt;li&gt;&lt;a href=|http://asvbible.com/proverbs/6.htm| title=|American Standard Version| target=|_top|&gt;ASV&lt;/a&gt;</v>
      </c>
      <c r="S634" t="str">
        <f t="shared" si="2532"/>
        <v>&lt;/li&gt;&lt;li&gt;&lt;a href=|http://drb.scripturetext.com/proverbs/6.htm| title=|Douay-Rheims Bible| target=|_top|&gt;DRB&lt;/a&gt;</v>
      </c>
      <c r="T634" t="str">
        <f t="shared" si="2532"/>
        <v>&lt;/li&gt;&lt;li&gt;&lt;a href=|http://erv.scripturetext.com/proverbs/6.htm| title=|English Revised Version| target=|_top|&gt;ERV&lt;/a&gt;</v>
      </c>
      <c r="V634" t="str">
        <f>CONCATENATE("&lt;/li&gt;&lt;li&gt;&lt;a href=|http://",V1191,"/proverbs/6.htm","| ","title=|",V1190,"| target=|_top|&gt;",V1192,"&lt;/a&gt;")</f>
        <v>&lt;/li&gt;&lt;li&gt;&lt;a href=|http://study.interlinearbible.org/proverbs/6.htm| title=|Hebrew Study Bible| target=|_top|&gt;Heb Study&lt;/a&gt;</v>
      </c>
      <c r="W634" t="str">
        <f t="shared" si="2532"/>
        <v>&lt;/li&gt;&lt;li&gt;&lt;a href=|http://apostolic.interlinearbible.org/proverbs/6.htm| title=|Apostolic Bible Polyglot Interlinear| target=|_top|&gt;Polyglot&lt;/a&gt;</v>
      </c>
      <c r="X634" t="str">
        <f t="shared" si="2532"/>
        <v>&lt;/li&gt;&lt;li&gt;&lt;a href=|http://interlinearbible.org/proverbs/6.htm| title=|Interlinear Bible| target=|_top|&gt;Interlin&lt;/a&gt;</v>
      </c>
      <c r="Y634" t="str">
        <f t="shared" ref="Y634" si="2533">CONCATENATE("&lt;/li&gt;&lt;li&gt;&lt;a href=|http://",Y1191,"/proverbs/6.htm","| ","title=|",Y1190,"| target=|_top|&gt;",Y1192,"&lt;/a&gt;")</f>
        <v>&lt;/li&gt;&lt;li&gt;&lt;a href=|http://bibleoutline.org/proverbs/6.htm| title=|Outline with People and Places List| target=|_top|&gt;Outline&lt;/a&gt;</v>
      </c>
      <c r="Z634" t="str">
        <f t="shared" si="2532"/>
        <v>&lt;/li&gt;&lt;li&gt;&lt;a href=|http://kjvs.scripturetext.com/proverbs/6.htm| title=|King James Bible with Strong's Numbers| target=|_top|&gt;Strong's&lt;/a&gt;</v>
      </c>
      <c r="AA634" t="str">
        <f t="shared" si="2532"/>
        <v>&lt;/li&gt;&lt;li&gt;&lt;a href=|http://childrensbibleonline.com/proverbs/6.htm| title=|The Children's Bible| target=|_top|&gt;Children's&lt;/a&gt;</v>
      </c>
      <c r="AB634" s="2" t="str">
        <f t="shared" si="2532"/>
        <v>&lt;/li&gt;&lt;li&gt;&lt;a href=|http://tsk.scripturetext.com/proverbs/6.htm| title=|Treasury of Scripture Knowledge| target=|_top|&gt;TSK&lt;/a&gt;</v>
      </c>
      <c r="AC634" t="str">
        <f>CONCATENATE("&lt;a href=|http://",AC1191,"/proverbs/6.htm","| ","title=|",AC1190,"| target=|_top|&gt;",AC1192,"&lt;/a&gt;")</f>
        <v>&lt;a href=|http://parallelbible.com/proverbs/6.htm| title=|Parallel Chapters| target=|_top|&gt;PAR&lt;/a&gt;</v>
      </c>
      <c r="AD634" s="2" t="str">
        <f t="shared" ref="AD634:AK634" si="2534">CONCATENATE("&lt;/li&gt;&lt;li&gt;&lt;a href=|http://",AD1191,"/proverbs/6.htm","| ","title=|",AD1190,"| target=|_top|&gt;",AD1192,"&lt;/a&gt;")</f>
        <v>&lt;/li&gt;&lt;li&gt;&lt;a href=|http://gsb.biblecommenter.com/proverbs/6.htm| title=|Geneva Study Bible| target=|_top|&gt;GSB&lt;/a&gt;</v>
      </c>
      <c r="AE634" s="2" t="str">
        <f t="shared" si="2534"/>
        <v>&lt;/li&gt;&lt;li&gt;&lt;a href=|http://jfb.biblecommenter.com/proverbs/6.htm| title=|Jamieson-Fausset-Brown Bible Commentary| target=|_top|&gt;JFB&lt;/a&gt;</v>
      </c>
      <c r="AF634" s="2" t="str">
        <f t="shared" si="2534"/>
        <v>&lt;/li&gt;&lt;li&gt;&lt;a href=|http://kjt.biblecommenter.com/proverbs/6.htm| title=|King James Translators' Notes| target=|_top|&gt;KJT&lt;/a&gt;</v>
      </c>
      <c r="AG634" s="2" t="str">
        <f t="shared" si="2534"/>
        <v>&lt;/li&gt;&lt;li&gt;&lt;a href=|http://mhc.biblecommenter.com/proverbs/6.htm| title=|Matthew Henry's Concise Commentary| target=|_top|&gt;MHC&lt;/a&gt;</v>
      </c>
      <c r="AH634" s="2" t="str">
        <f t="shared" si="2534"/>
        <v>&lt;/li&gt;&lt;li&gt;&lt;a href=|http://sco.biblecommenter.com/proverbs/6.htm| title=|Scofield Reference Notes| target=|_top|&gt;SCO&lt;/a&gt;</v>
      </c>
      <c r="AI634" s="2" t="str">
        <f t="shared" si="2534"/>
        <v>&lt;/li&gt;&lt;li&gt;&lt;a href=|http://wes.biblecommenter.com/proverbs/6.htm| title=|Wesley's Notes on the Bible| target=|_top|&gt;WES&lt;/a&gt;</v>
      </c>
      <c r="AJ634" t="str">
        <f t="shared" si="2534"/>
        <v>&lt;/li&gt;&lt;li&gt;&lt;a href=|http://worldebible.com/proverbs/6.htm| title=|World English Bible| target=|_top|&gt;WEB&lt;/a&gt;</v>
      </c>
      <c r="AK634" t="str">
        <f t="shared" si="2534"/>
        <v>&lt;/li&gt;&lt;li&gt;&lt;a href=|http://yltbible.com/proverbs/6.htm| title=|Young's Literal Translation| target=|_top|&gt;YLT&lt;/a&gt;</v>
      </c>
      <c r="AL634" t="str">
        <f>CONCATENATE("&lt;a href=|http://",AL1191,"/proverbs/6.htm","| ","title=|",AL1190,"| target=|_top|&gt;",AL1192,"&lt;/a&gt;")</f>
        <v>&lt;a href=|http://kjv.us/proverbs/6.htm| title=|American King James Version| target=|_top|&gt;AKJ&lt;/a&gt;</v>
      </c>
      <c r="AM634" t="str">
        <f t="shared" ref="AM634:AN634" si="2535">CONCATENATE("&lt;/li&gt;&lt;li&gt;&lt;a href=|http://",AM1191,"/proverbs/6.htm","| ","title=|",AM1190,"| target=|_top|&gt;",AM1192,"&lt;/a&gt;")</f>
        <v>&lt;/li&gt;&lt;li&gt;&lt;a href=|http://basicenglishbible.com/proverbs/6.htm| title=|Bible in Basic English| target=|_top|&gt;BBE&lt;/a&gt;</v>
      </c>
      <c r="AN634" t="str">
        <f t="shared" si="2535"/>
        <v>&lt;/li&gt;&lt;li&gt;&lt;a href=|http://darbybible.com/proverbs/6.htm| title=|Darby Bible Translation| target=|_top|&gt;DBY&lt;/a&gt;</v>
      </c>
      <c r="AO63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3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3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34" t="str">
        <f>CONCATENATE("&lt;/li&gt;&lt;li&gt;&lt;a href=|http://",AR1191,"/proverbs/6.htm","| ","title=|",AR1190,"| target=|_top|&gt;",AR1192,"&lt;/a&gt;")</f>
        <v>&lt;/li&gt;&lt;li&gt;&lt;a href=|http://websterbible.com/proverbs/6.htm| title=|Webster's Bible Translation| target=|_top|&gt;WBS&lt;/a&gt;</v>
      </c>
      <c r="AS63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34" t="str">
        <f>CONCATENATE("&lt;/li&gt;&lt;li&gt;&lt;a href=|http://",AT1191,"/proverbs/6-1.htm","| ","title=|",AT1190,"| target=|_top|&gt;",AT1192,"&lt;/a&gt;")</f>
        <v>&lt;/li&gt;&lt;li&gt;&lt;a href=|http://biblebrowser.com/proverbs/6-1.htm| title=|Split View| target=|_top|&gt;Split&lt;/a&gt;</v>
      </c>
      <c r="AU634" s="2" t="s">
        <v>1276</v>
      </c>
      <c r="AV634" t="s">
        <v>64</v>
      </c>
    </row>
    <row r="635" spans="1:48">
      <c r="A635" t="s">
        <v>622</v>
      </c>
      <c r="B635" t="s">
        <v>1139</v>
      </c>
      <c r="C635" t="s">
        <v>624</v>
      </c>
      <c r="D635" t="s">
        <v>1268</v>
      </c>
      <c r="E635" t="s">
        <v>1277</v>
      </c>
      <c r="F635" t="s">
        <v>1304</v>
      </c>
      <c r="G635" t="s">
        <v>1266</v>
      </c>
      <c r="H635" t="s">
        <v>1305</v>
      </c>
      <c r="I635" t="s">
        <v>1303</v>
      </c>
      <c r="J635" t="s">
        <v>1267</v>
      </c>
      <c r="K635" t="s">
        <v>1275</v>
      </c>
      <c r="L635" s="2" t="s">
        <v>1274</v>
      </c>
      <c r="M635" t="str">
        <f t="shared" ref="M635:AB635" si="2536">CONCATENATE("&lt;/li&gt;&lt;li&gt;&lt;a href=|http://",M1191,"/proverbs/7.htm","| ","title=|",M1190,"| target=|_top|&gt;",M1192,"&lt;/a&gt;")</f>
        <v>&lt;/li&gt;&lt;li&gt;&lt;a href=|http://niv.scripturetext.com/proverbs/7.htm| title=|New International Version| target=|_top|&gt;NIV&lt;/a&gt;</v>
      </c>
      <c r="N635" t="str">
        <f t="shared" si="2536"/>
        <v>&lt;/li&gt;&lt;li&gt;&lt;a href=|http://nlt.scripturetext.com/proverbs/7.htm| title=|New Living Translation| target=|_top|&gt;NLT&lt;/a&gt;</v>
      </c>
      <c r="O635" t="str">
        <f t="shared" si="2536"/>
        <v>&lt;/li&gt;&lt;li&gt;&lt;a href=|http://nasb.scripturetext.com/proverbs/7.htm| title=|New American Standard Bible| target=|_top|&gt;NAS&lt;/a&gt;</v>
      </c>
      <c r="P635" t="str">
        <f t="shared" si="2536"/>
        <v>&lt;/li&gt;&lt;li&gt;&lt;a href=|http://gwt.scripturetext.com/proverbs/7.htm| title=|God's Word Translation| target=|_top|&gt;GWT&lt;/a&gt;</v>
      </c>
      <c r="Q635" t="str">
        <f t="shared" si="2536"/>
        <v>&lt;/li&gt;&lt;li&gt;&lt;a href=|http://kingjbible.com/proverbs/7.htm| title=|King James Bible| target=|_top|&gt;KJV&lt;/a&gt;</v>
      </c>
      <c r="R635" t="str">
        <f t="shared" si="2536"/>
        <v>&lt;/li&gt;&lt;li&gt;&lt;a href=|http://asvbible.com/proverbs/7.htm| title=|American Standard Version| target=|_top|&gt;ASV&lt;/a&gt;</v>
      </c>
      <c r="S635" t="str">
        <f t="shared" si="2536"/>
        <v>&lt;/li&gt;&lt;li&gt;&lt;a href=|http://drb.scripturetext.com/proverbs/7.htm| title=|Douay-Rheims Bible| target=|_top|&gt;DRB&lt;/a&gt;</v>
      </c>
      <c r="T635" t="str">
        <f t="shared" si="2536"/>
        <v>&lt;/li&gt;&lt;li&gt;&lt;a href=|http://erv.scripturetext.com/proverbs/7.htm| title=|English Revised Version| target=|_top|&gt;ERV&lt;/a&gt;</v>
      </c>
      <c r="V635" t="str">
        <f>CONCATENATE("&lt;/li&gt;&lt;li&gt;&lt;a href=|http://",V1191,"/proverbs/7.htm","| ","title=|",V1190,"| target=|_top|&gt;",V1192,"&lt;/a&gt;")</f>
        <v>&lt;/li&gt;&lt;li&gt;&lt;a href=|http://study.interlinearbible.org/proverbs/7.htm| title=|Hebrew Study Bible| target=|_top|&gt;Heb Study&lt;/a&gt;</v>
      </c>
      <c r="W635" t="str">
        <f t="shared" si="2536"/>
        <v>&lt;/li&gt;&lt;li&gt;&lt;a href=|http://apostolic.interlinearbible.org/proverbs/7.htm| title=|Apostolic Bible Polyglot Interlinear| target=|_top|&gt;Polyglot&lt;/a&gt;</v>
      </c>
      <c r="X635" t="str">
        <f t="shared" si="2536"/>
        <v>&lt;/li&gt;&lt;li&gt;&lt;a href=|http://interlinearbible.org/proverbs/7.htm| title=|Interlinear Bible| target=|_top|&gt;Interlin&lt;/a&gt;</v>
      </c>
      <c r="Y635" t="str">
        <f t="shared" ref="Y635" si="2537">CONCATENATE("&lt;/li&gt;&lt;li&gt;&lt;a href=|http://",Y1191,"/proverbs/7.htm","| ","title=|",Y1190,"| target=|_top|&gt;",Y1192,"&lt;/a&gt;")</f>
        <v>&lt;/li&gt;&lt;li&gt;&lt;a href=|http://bibleoutline.org/proverbs/7.htm| title=|Outline with People and Places List| target=|_top|&gt;Outline&lt;/a&gt;</v>
      </c>
      <c r="Z635" t="str">
        <f t="shared" si="2536"/>
        <v>&lt;/li&gt;&lt;li&gt;&lt;a href=|http://kjvs.scripturetext.com/proverbs/7.htm| title=|King James Bible with Strong's Numbers| target=|_top|&gt;Strong's&lt;/a&gt;</v>
      </c>
      <c r="AA635" t="str">
        <f t="shared" si="2536"/>
        <v>&lt;/li&gt;&lt;li&gt;&lt;a href=|http://childrensbibleonline.com/proverbs/7.htm| title=|The Children's Bible| target=|_top|&gt;Children's&lt;/a&gt;</v>
      </c>
      <c r="AB635" s="2" t="str">
        <f t="shared" si="2536"/>
        <v>&lt;/li&gt;&lt;li&gt;&lt;a href=|http://tsk.scripturetext.com/proverbs/7.htm| title=|Treasury of Scripture Knowledge| target=|_top|&gt;TSK&lt;/a&gt;</v>
      </c>
      <c r="AC635" t="str">
        <f>CONCATENATE("&lt;a href=|http://",AC1191,"/proverbs/7.htm","| ","title=|",AC1190,"| target=|_top|&gt;",AC1192,"&lt;/a&gt;")</f>
        <v>&lt;a href=|http://parallelbible.com/proverbs/7.htm| title=|Parallel Chapters| target=|_top|&gt;PAR&lt;/a&gt;</v>
      </c>
      <c r="AD635" s="2" t="str">
        <f t="shared" ref="AD635:AK635" si="2538">CONCATENATE("&lt;/li&gt;&lt;li&gt;&lt;a href=|http://",AD1191,"/proverbs/7.htm","| ","title=|",AD1190,"| target=|_top|&gt;",AD1192,"&lt;/a&gt;")</f>
        <v>&lt;/li&gt;&lt;li&gt;&lt;a href=|http://gsb.biblecommenter.com/proverbs/7.htm| title=|Geneva Study Bible| target=|_top|&gt;GSB&lt;/a&gt;</v>
      </c>
      <c r="AE635" s="2" t="str">
        <f t="shared" si="2538"/>
        <v>&lt;/li&gt;&lt;li&gt;&lt;a href=|http://jfb.biblecommenter.com/proverbs/7.htm| title=|Jamieson-Fausset-Brown Bible Commentary| target=|_top|&gt;JFB&lt;/a&gt;</v>
      </c>
      <c r="AF635" s="2" t="str">
        <f t="shared" si="2538"/>
        <v>&lt;/li&gt;&lt;li&gt;&lt;a href=|http://kjt.biblecommenter.com/proverbs/7.htm| title=|King James Translators' Notes| target=|_top|&gt;KJT&lt;/a&gt;</v>
      </c>
      <c r="AG635" s="2" t="str">
        <f t="shared" si="2538"/>
        <v>&lt;/li&gt;&lt;li&gt;&lt;a href=|http://mhc.biblecommenter.com/proverbs/7.htm| title=|Matthew Henry's Concise Commentary| target=|_top|&gt;MHC&lt;/a&gt;</v>
      </c>
      <c r="AH635" s="2" t="str">
        <f t="shared" si="2538"/>
        <v>&lt;/li&gt;&lt;li&gt;&lt;a href=|http://sco.biblecommenter.com/proverbs/7.htm| title=|Scofield Reference Notes| target=|_top|&gt;SCO&lt;/a&gt;</v>
      </c>
      <c r="AI635" s="2" t="str">
        <f t="shared" si="2538"/>
        <v>&lt;/li&gt;&lt;li&gt;&lt;a href=|http://wes.biblecommenter.com/proverbs/7.htm| title=|Wesley's Notes on the Bible| target=|_top|&gt;WES&lt;/a&gt;</v>
      </c>
      <c r="AJ635" t="str">
        <f t="shared" si="2538"/>
        <v>&lt;/li&gt;&lt;li&gt;&lt;a href=|http://worldebible.com/proverbs/7.htm| title=|World English Bible| target=|_top|&gt;WEB&lt;/a&gt;</v>
      </c>
      <c r="AK635" t="str">
        <f t="shared" si="2538"/>
        <v>&lt;/li&gt;&lt;li&gt;&lt;a href=|http://yltbible.com/proverbs/7.htm| title=|Young's Literal Translation| target=|_top|&gt;YLT&lt;/a&gt;</v>
      </c>
      <c r="AL635" t="str">
        <f>CONCATENATE("&lt;a href=|http://",AL1191,"/proverbs/7.htm","| ","title=|",AL1190,"| target=|_top|&gt;",AL1192,"&lt;/a&gt;")</f>
        <v>&lt;a href=|http://kjv.us/proverbs/7.htm| title=|American King James Version| target=|_top|&gt;AKJ&lt;/a&gt;</v>
      </c>
      <c r="AM635" t="str">
        <f t="shared" ref="AM635:AN635" si="2539">CONCATENATE("&lt;/li&gt;&lt;li&gt;&lt;a href=|http://",AM1191,"/proverbs/7.htm","| ","title=|",AM1190,"| target=|_top|&gt;",AM1192,"&lt;/a&gt;")</f>
        <v>&lt;/li&gt;&lt;li&gt;&lt;a href=|http://basicenglishbible.com/proverbs/7.htm| title=|Bible in Basic English| target=|_top|&gt;BBE&lt;/a&gt;</v>
      </c>
      <c r="AN635" t="str">
        <f t="shared" si="2539"/>
        <v>&lt;/li&gt;&lt;li&gt;&lt;a href=|http://darbybible.com/proverbs/7.htm| title=|Darby Bible Translation| target=|_top|&gt;DBY&lt;/a&gt;</v>
      </c>
      <c r="AO63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3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3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35" t="str">
        <f>CONCATENATE("&lt;/li&gt;&lt;li&gt;&lt;a href=|http://",AR1191,"/proverbs/7.htm","| ","title=|",AR1190,"| target=|_top|&gt;",AR1192,"&lt;/a&gt;")</f>
        <v>&lt;/li&gt;&lt;li&gt;&lt;a href=|http://websterbible.com/proverbs/7.htm| title=|Webster's Bible Translation| target=|_top|&gt;WBS&lt;/a&gt;</v>
      </c>
      <c r="AS63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35" t="str">
        <f>CONCATENATE("&lt;/li&gt;&lt;li&gt;&lt;a href=|http://",AT1191,"/proverbs/7-1.htm","| ","title=|",AT1190,"| target=|_top|&gt;",AT1192,"&lt;/a&gt;")</f>
        <v>&lt;/li&gt;&lt;li&gt;&lt;a href=|http://biblebrowser.com/proverbs/7-1.htm| title=|Split View| target=|_top|&gt;Split&lt;/a&gt;</v>
      </c>
      <c r="AU635" s="2" t="s">
        <v>1276</v>
      </c>
      <c r="AV635" t="s">
        <v>64</v>
      </c>
    </row>
    <row r="636" spans="1:48">
      <c r="A636" t="s">
        <v>622</v>
      </c>
      <c r="B636" t="s">
        <v>1140</v>
      </c>
      <c r="C636" t="s">
        <v>624</v>
      </c>
      <c r="D636" t="s">
        <v>1268</v>
      </c>
      <c r="E636" t="s">
        <v>1277</v>
      </c>
      <c r="F636" t="s">
        <v>1304</v>
      </c>
      <c r="G636" t="s">
        <v>1266</v>
      </c>
      <c r="H636" t="s">
        <v>1305</v>
      </c>
      <c r="I636" t="s">
        <v>1303</v>
      </c>
      <c r="J636" t="s">
        <v>1267</v>
      </c>
      <c r="K636" t="s">
        <v>1275</v>
      </c>
      <c r="L636" s="2" t="s">
        <v>1274</v>
      </c>
      <c r="M636" t="str">
        <f t="shared" ref="M636:AB636" si="2540">CONCATENATE("&lt;/li&gt;&lt;li&gt;&lt;a href=|http://",M1191,"/proverbs/8.htm","| ","title=|",M1190,"| target=|_top|&gt;",M1192,"&lt;/a&gt;")</f>
        <v>&lt;/li&gt;&lt;li&gt;&lt;a href=|http://niv.scripturetext.com/proverbs/8.htm| title=|New International Version| target=|_top|&gt;NIV&lt;/a&gt;</v>
      </c>
      <c r="N636" t="str">
        <f t="shared" si="2540"/>
        <v>&lt;/li&gt;&lt;li&gt;&lt;a href=|http://nlt.scripturetext.com/proverbs/8.htm| title=|New Living Translation| target=|_top|&gt;NLT&lt;/a&gt;</v>
      </c>
      <c r="O636" t="str">
        <f t="shared" si="2540"/>
        <v>&lt;/li&gt;&lt;li&gt;&lt;a href=|http://nasb.scripturetext.com/proverbs/8.htm| title=|New American Standard Bible| target=|_top|&gt;NAS&lt;/a&gt;</v>
      </c>
      <c r="P636" t="str">
        <f t="shared" si="2540"/>
        <v>&lt;/li&gt;&lt;li&gt;&lt;a href=|http://gwt.scripturetext.com/proverbs/8.htm| title=|God's Word Translation| target=|_top|&gt;GWT&lt;/a&gt;</v>
      </c>
      <c r="Q636" t="str">
        <f t="shared" si="2540"/>
        <v>&lt;/li&gt;&lt;li&gt;&lt;a href=|http://kingjbible.com/proverbs/8.htm| title=|King James Bible| target=|_top|&gt;KJV&lt;/a&gt;</v>
      </c>
      <c r="R636" t="str">
        <f t="shared" si="2540"/>
        <v>&lt;/li&gt;&lt;li&gt;&lt;a href=|http://asvbible.com/proverbs/8.htm| title=|American Standard Version| target=|_top|&gt;ASV&lt;/a&gt;</v>
      </c>
      <c r="S636" t="str">
        <f t="shared" si="2540"/>
        <v>&lt;/li&gt;&lt;li&gt;&lt;a href=|http://drb.scripturetext.com/proverbs/8.htm| title=|Douay-Rheims Bible| target=|_top|&gt;DRB&lt;/a&gt;</v>
      </c>
      <c r="T636" t="str">
        <f t="shared" si="2540"/>
        <v>&lt;/li&gt;&lt;li&gt;&lt;a href=|http://erv.scripturetext.com/proverbs/8.htm| title=|English Revised Version| target=|_top|&gt;ERV&lt;/a&gt;</v>
      </c>
      <c r="V636" t="str">
        <f>CONCATENATE("&lt;/li&gt;&lt;li&gt;&lt;a href=|http://",V1191,"/proverbs/8.htm","| ","title=|",V1190,"| target=|_top|&gt;",V1192,"&lt;/a&gt;")</f>
        <v>&lt;/li&gt;&lt;li&gt;&lt;a href=|http://study.interlinearbible.org/proverbs/8.htm| title=|Hebrew Study Bible| target=|_top|&gt;Heb Study&lt;/a&gt;</v>
      </c>
      <c r="W636" t="str">
        <f t="shared" si="2540"/>
        <v>&lt;/li&gt;&lt;li&gt;&lt;a href=|http://apostolic.interlinearbible.org/proverbs/8.htm| title=|Apostolic Bible Polyglot Interlinear| target=|_top|&gt;Polyglot&lt;/a&gt;</v>
      </c>
      <c r="X636" t="str">
        <f t="shared" si="2540"/>
        <v>&lt;/li&gt;&lt;li&gt;&lt;a href=|http://interlinearbible.org/proverbs/8.htm| title=|Interlinear Bible| target=|_top|&gt;Interlin&lt;/a&gt;</v>
      </c>
      <c r="Y636" t="str">
        <f t="shared" ref="Y636" si="2541">CONCATENATE("&lt;/li&gt;&lt;li&gt;&lt;a href=|http://",Y1191,"/proverbs/8.htm","| ","title=|",Y1190,"| target=|_top|&gt;",Y1192,"&lt;/a&gt;")</f>
        <v>&lt;/li&gt;&lt;li&gt;&lt;a href=|http://bibleoutline.org/proverbs/8.htm| title=|Outline with People and Places List| target=|_top|&gt;Outline&lt;/a&gt;</v>
      </c>
      <c r="Z636" t="str">
        <f t="shared" si="2540"/>
        <v>&lt;/li&gt;&lt;li&gt;&lt;a href=|http://kjvs.scripturetext.com/proverbs/8.htm| title=|King James Bible with Strong's Numbers| target=|_top|&gt;Strong's&lt;/a&gt;</v>
      </c>
      <c r="AA636" t="str">
        <f t="shared" si="2540"/>
        <v>&lt;/li&gt;&lt;li&gt;&lt;a href=|http://childrensbibleonline.com/proverbs/8.htm| title=|The Children's Bible| target=|_top|&gt;Children's&lt;/a&gt;</v>
      </c>
      <c r="AB636" s="2" t="str">
        <f t="shared" si="2540"/>
        <v>&lt;/li&gt;&lt;li&gt;&lt;a href=|http://tsk.scripturetext.com/proverbs/8.htm| title=|Treasury of Scripture Knowledge| target=|_top|&gt;TSK&lt;/a&gt;</v>
      </c>
      <c r="AC636" t="str">
        <f>CONCATENATE("&lt;a href=|http://",AC1191,"/proverbs/8.htm","| ","title=|",AC1190,"| target=|_top|&gt;",AC1192,"&lt;/a&gt;")</f>
        <v>&lt;a href=|http://parallelbible.com/proverbs/8.htm| title=|Parallel Chapters| target=|_top|&gt;PAR&lt;/a&gt;</v>
      </c>
      <c r="AD636" s="2" t="str">
        <f t="shared" ref="AD636:AK636" si="2542">CONCATENATE("&lt;/li&gt;&lt;li&gt;&lt;a href=|http://",AD1191,"/proverbs/8.htm","| ","title=|",AD1190,"| target=|_top|&gt;",AD1192,"&lt;/a&gt;")</f>
        <v>&lt;/li&gt;&lt;li&gt;&lt;a href=|http://gsb.biblecommenter.com/proverbs/8.htm| title=|Geneva Study Bible| target=|_top|&gt;GSB&lt;/a&gt;</v>
      </c>
      <c r="AE636" s="2" t="str">
        <f t="shared" si="2542"/>
        <v>&lt;/li&gt;&lt;li&gt;&lt;a href=|http://jfb.biblecommenter.com/proverbs/8.htm| title=|Jamieson-Fausset-Brown Bible Commentary| target=|_top|&gt;JFB&lt;/a&gt;</v>
      </c>
      <c r="AF636" s="2" t="str">
        <f t="shared" si="2542"/>
        <v>&lt;/li&gt;&lt;li&gt;&lt;a href=|http://kjt.biblecommenter.com/proverbs/8.htm| title=|King James Translators' Notes| target=|_top|&gt;KJT&lt;/a&gt;</v>
      </c>
      <c r="AG636" s="2" t="str">
        <f t="shared" si="2542"/>
        <v>&lt;/li&gt;&lt;li&gt;&lt;a href=|http://mhc.biblecommenter.com/proverbs/8.htm| title=|Matthew Henry's Concise Commentary| target=|_top|&gt;MHC&lt;/a&gt;</v>
      </c>
      <c r="AH636" s="2" t="str">
        <f t="shared" si="2542"/>
        <v>&lt;/li&gt;&lt;li&gt;&lt;a href=|http://sco.biblecommenter.com/proverbs/8.htm| title=|Scofield Reference Notes| target=|_top|&gt;SCO&lt;/a&gt;</v>
      </c>
      <c r="AI636" s="2" t="str">
        <f t="shared" si="2542"/>
        <v>&lt;/li&gt;&lt;li&gt;&lt;a href=|http://wes.biblecommenter.com/proverbs/8.htm| title=|Wesley's Notes on the Bible| target=|_top|&gt;WES&lt;/a&gt;</v>
      </c>
      <c r="AJ636" t="str">
        <f t="shared" si="2542"/>
        <v>&lt;/li&gt;&lt;li&gt;&lt;a href=|http://worldebible.com/proverbs/8.htm| title=|World English Bible| target=|_top|&gt;WEB&lt;/a&gt;</v>
      </c>
      <c r="AK636" t="str">
        <f t="shared" si="2542"/>
        <v>&lt;/li&gt;&lt;li&gt;&lt;a href=|http://yltbible.com/proverbs/8.htm| title=|Young's Literal Translation| target=|_top|&gt;YLT&lt;/a&gt;</v>
      </c>
      <c r="AL636" t="str">
        <f>CONCATENATE("&lt;a href=|http://",AL1191,"/proverbs/8.htm","| ","title=|",AL1190,"| target=|_top|&gt;",AL1192,"&lt;/a&gt;")</f>
        <v>&lt;a href=|http://kjv.us/proverbs/8.htm| title=|American King James Version| target=|_top|&gt;AKJ&lt;/a&gt;</v>
      </c>
      <c r="AM636" t="str">
        <f t="shared" ref="AM636:AN636" si="2543">CONCATENATE("&lt;/li&gt;&lt;li&gt;&lt;a href=|http://",AM1191,"/proverbs/8.htm","| ","title=|",AM1190,"| target=|_top|&gt;",AM1192,"&lt;/a&gt;")</f>
        <v>&lt;/li&gt;&lt;li&gt;&lt;a href=|http://basicenglishbible.com/proverbs/8.htm| title=|Bible in Basic English| target=|_top|&gt;BBE&lt;/a&gt;</v>
      </c>
      <c r="AN636" t="str">
        <f t="shared" si="2543"/>
        <v>&lt;/li&gt;&lt;li&gt;&lt;a href=|http://darbybible.com/proverbs/8.htm| title=|Darby Bible Translation| target=|_top|&gt;DBY&lt;/a&gt;</v>
      </c>
      <c r="AO63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3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3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36" t="str">
        <f>CONCATENATE("&lt;/li&gt;&lt;li&gt;&lt;a href=|http://",AR1191,"/proverbs/8.htm","| ","title=|",AR1190,"| target=|_top|&gt;",AR1192,"&lt;/a&gt;")</f>
        <v>&lt;/li&gt;&lt;li&gt;&lt;a href=|http://websterbible.com/proverbs/8.htm| title=|Webster's Bible Translation| target=|_top|&gt;WBS&lt;/a&gt;</v>
      </c>
      <c r="AS63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36" t="str">
        <f>CONCATENATE("&lt;/li&gt;&lt;li&gt;&lt;a href=|http://",AT1191,"/proverbs/8-1.htm","| ","title=|",AT1190,"| target=|_top|&gt;",AT1192,"&lt;/a&gt;")</f>
        <v>&lt;/li&gt;&lt;li&gt;&lt;a href=|http://biblebrowser.com/proverbs/8-1.htm| title=|Split View| target=|_top|&gt;Split&lt;/a&gt;</v>
      </c>
      <c r="AU636" s="2" t="s">
        <v>1276</v>
      </c>
      <c r="AV636" t="s">
        <v>64</v>
      </c>
    </row>
    <row r="637" spans="1:48">
      <c r="A637" t="s">
        <v>622</v>
      </c>
      <c r="B637" t="s">
        <v>1141</v>
      </c>
      <c r="C637" t="s">
        <v>624</v>
      </c>
      <c r="D637" t="s">
        <v>1268</v>
      </c>
      <c r="E637" t="s">
        <v>1277</v>
      </c>
      <c r="F637" t="s">
        <v>1304</v>
      </c>
      <c r="G637" t="s">
        <v>1266</v>
      </c>
      <c r="H637" t="s">
        <v>1305</v>
      </c>
      <c r="I637" t="s">
        <v>1303</v>
      </c>
      <c r="J637" t="s">
        <v>1267</v>
      </c>
      <c r="K637" t="s">
        <v>1275</v>
      </c>
      <c r="L637" s="2" t="s">
        <v>1274</v>
      </c>
      <c r="M637" t="str">
        <f t="shared" ref="M637:AB637" si="2544">CONCATENATE("&lt;/li&gt;&lt;li&gt;&lt;a href=|http://",M1191,"/proverbs/9.htm","| ","title=|",M1190,"| target=|_top|&gt;",M1192,"&lt;/a&gt;")</f>
        <v>&lt;/li&gt;&lt;li&gt;&lt;a href=|http://niv.scripturetext.com/proverbs/9.htm| title=|New International Version| target=|_top|&gt;NIV&lt;/a&gt;</v>
      </c>
      <c r="N637" t="str">
        <f t="shared" si="2544"/>
        <v>&lt;/li&gt;&lt;li&gt;&lt;a href=|http://nlt.scripturetext.com/proverbs/9.htm| title=|New Living Translation| target=|_top|&gt;NLT&lt;/a&gt;</v>
      </c>
      <c r="O637" t="str">
        <f t="shared" si="2544"/>
        <v>&lt;/li&gt;&lt;li&gt;&lt;a href=|http://nasb.scripturetext.com/proverbs/9.htm| title=|New American Standard Bible| target=|_top|&gt;NAS&lt;/a&gt;</v>
      </c>
      <c r="P637" t="str">
        <f t="shared" si="2544"/>
        <v>&lt;/li&gt;&lt;li&gt;&lt;a href=|http://gwt.scripturetext.com/proverbs/9.htm| title=|God's Word Translation| target=|_top|&gt;GWT&lt;/a&gt;</v>
      </c>
      <c r="Q637" t="str">
        <f t="shared" si="2544"/>
        <v>&lt;/li&gt;&lt;li&gt;&lt;a href=|http://kingjbible.com/proverbs/9.htm| title=|King James Bible| target=|_top|&gt;KJV&lt;/a&gt;</v>
      </c>
      <c r="R637" t="str">
        <f t="shared" si="2544"/>
        <v>&lt;/li&gt;&lt;li&gt;&lt;a href=|http://asvbible.com/proverbs/9.htm| title=|American Standard Version| target=|_top|&gt;ASV&lt;/a&gt;</v>
      </c>
      <c r="S637" t="str">
        <f t="shared" si="2544"/>
        <v>&lt;/li&gt;&lt;li&gt;&lt;a href=|http://drb.scripturetext.com/proverbs/9.htm| title=|Douay-Rheims Bible| target=|_top|&gt;DRB&lt;/a&gt;</v>
      </c>
      <c r="T637" t="str">
        <f t="shared" si="2544"/>
        <v>&lt;/li&gt;&lt;li&gt;&lt;a href=|http://erv.scripturetext.com/proverbs/9.htm| title=|English Revised Version| target=|_top|&gt;ERV&lt;/a&gt;</v>
      </c>
      <c r="V637" t="str">
        <f>CONCATENATE("&lt;/li&gt;&lt;li&gt;&lt;a href=|http://",V1191,"/proverbs/9.htm","| ","title=|",V1190,"| target=|_top|&gt;",V1192,"&lt;/a&gt;")</f>
        <v>&lt;/li&gt;&lt;li&gt;&lt;a href=|http://study.interlinearbible.org/proverbs/9.htm| title=|Hebrew Study Bible| target=|_top|&gt;Heb Study&lt;/a&gt;</v>
      </c>
      <c r="W637" t="str">
        <f t="shared" si="2544"/>
        <v>&lt;/li&gt;&lt;li&gt;&lt;a href=|http://apostolic.interlinearbible.org/proverbs/9.htm| title=|Apostolic Bible Polyglot Interlinear| target=|_top|&gt;Polyglot&lt;/a&gt;</v>
      </c>
      <c r="X637" t="str">
        <f t="shared" si="2544"/>
        <v>&lt;/li&gt;&lt;li&gt;&lt;a href=|http://interlinearbible.org/proverbs/9.htm| title=|Interlinear Bible| target=|_top|&gt;Interlin&lt;/a&gt;</v>
      </c>
      <c r="Y637" t="str">
        <f t="shared" ref="Y637" si="2545">CONCATENATE("&lt;/li&gt;&lt;li&gt;&lt;a href=|http://",Y1191,"/proverbs/9.htm","| ","title=|",Y1190,"| target=|_top|&gt;",Y1192,"&lt;/a&gt;")</f>
        <v>&lt;/li&gt;&lt;li&gt;&lt;a href=|http://bibleoutline.org/proverbs/9.htm| title=|Outline with People and Places List| target=|_top|&gt;Outline&lt;/a&gt;</v>
      </c>
      <c r="Z637" t="str">
        <f t="shared" si="2544"/>
        <v>&lt;/li&gt;&lt;li&gt;&lt;a href=|http://kjvs.scripturetext.com/proverbs/9.htm| title=|King James Bible with Strong's Numbers| target=|_top|&gt;Strong's&lt;/a&gt;</v>
      </c>
      <c r="AA637" t="str">
        <f t="shared" si="2544"/>
        <v>&lt;/li&gt;&lt;li&gt;&lt;a href=|http://childrensbibleonline.com/proverbs/9.htm| title=|The Children's Bible| target=|_top|&gt;Children's&lt;/a&gt;</v>
      </c>
      <c r="AB637" s="2" t="str">
        <f t="shared" si="2544"/>
        <v>&lt;/li&gt;&lt;li&gt;&lt;a href=|http://tsk.scripturetext.com/proverbs/9.htm| title=|Treasury of Scripture Knowledge| target=|_top|&gt;TSK&lt;/a&gt;</v>
      </c>
      <c r="AC637" t="str">
        <f>CONCATENATE("&lt;a href=|http://",AC1191,"/proverbs/9.htm","| ","title=|",AC1190,"| target=|_top|&gt;",AC1192,"&lt;/a&gt;")</f>
        <v>&lt;a href=|http://parallelbible.com/proverbs/9.htm| title=|Parallel Chapters| target=|_top|&gt;PAR&lt;/a&gt;</v>
      </c>
      <c r="AD637" s="2" t="str">
        <f t="shared" ref="AD637:AK637" si="2546">CONCATENATE("&lt;/li&gt;&lt;li&gt;&lt;a href=|http://",AD1191,"/proverbs/9.htm","| ","title=|",AD1190,"| target=|_top|&gt;",AD1192,"&lt;/a&gt;")</f>
        <v>&lt;/li&gt;&lt;li&gt;&lt;a href=|http://gsb.biblecommenter.com/proverbs/9.htm| title=|Geneva Study Bible| target=|_top|&gt;GSB&lt;/a&gt;</v>
      </c>
      <c r="AE637" s="2" t="str">
        <f t="shared" si="2546"/>
        <v>&lt;/li&gt;&lt;li&gt;&lt;a href=|http://jfb.biblecommenter.com/proverbs/9.htm| title=|Jamieson-Fausset-Brown Bible Commentary| target=|_top|&gt;JFB&lt;/a&gt;</v>
      </c>
      <c r="AF637" s="2" t="str">
        <f t="shared" si="2546"/>
        <v>&lt;/li&gt;&lt;li&gt;&lt;a href=|http://kjt.biblecommenter.com/proverbs/9.htm| title=|King James Translators' Notes| target=|_top|&gt;KJT&lt;/a&gt;</v>
      </c>
      <c r="AG637" s="2" t="str">
        <f t="shared" si="2546"/>
        <v>&lt;/li&gt;&lt;li&gt;&lt;a href=|http://mhc.biblecommenter.com/proverbs/9.htm| title=|Matthew Henry's Concise Commentary| target=|_top|&gt;MHC&lt;/a&gt;</v>
      </c>
      <c r="AH637" s="2" t="str">
        <f t="shared" si="2546"/>
        <v>&lt;/li&gt;&lt;li&gt;&lt;a href=|http://sco.biblecommenter.com/proverbs/9.htm| title=|Scofield Reference Notes| target=|_top|&gt;SCO&lt;/a&gt;</v>
      </c>
      <c r="AI637" s="2" t="str">
        <f t="shared" si="2546"/>
        <v>&lt;/li&gt;&lt;li&gt;&lt;a href=|http://wes.biblecommenter.com/proverbs/9.htm| title=|Wesley's Notes on the Bible| target=|_top|&gt;WES&lt;/a&gt;</v>
      </c>
      <c r="AJ637" t="str">
        <f t="shared" si="2546"/>
        <v>&lt;/li&gt;&lt;li&gt;&lt;a href=|http://worldebible.com/proverbs/9.htm| title=|World English Bible| target=|_top|&gt;WEB&lt;/a&gt;</v>
      </c>
      <c r="AK637" t="str">
        <f t="shared" si="2546"/>
        <v>&lt;/li&gt;&lt;li&gt;&lt;a href=|http://yltbible.com/proverbs/9.htm| title=|Young's Literal Translation| target=|_top|&gt;YLT&lt;/a&gt;</v>
      </c>
      <c r="AL637" t="str">
        <f>CONCATENATE("&lt;a href=|http://",AL1191,"/proverbs/9.htm","| ","title=|",AL1190,"| target=|_top|&gt;",AL1192,"&lt;/a&gt;")</f>
        <v>&lt;a href=|http://kjv.us/proverbs/9.htm| title=|American King James Version| target=|_top|&gt;AKJ&lt;/a&gt;</v>
      </c>
      <c r="AM637" t="str">
        <f t="shared" ref="AM637:AN637" si="2547">CONCATENATE("&lt;/li&gt;&lt;li&gt;&lt;a href=|http://",AM1191,"/proverbs/9.htm","| ","title=|",AM1190,"| target=|_top|&gt;",AM1192,"&lt;/a&gt;")</f>
        <v>&lt;/li&gt;&lt;li&gt;&lt;a href=|http://basicenglishbible.com/proverbs/9.htm| title=|Bible in Basic English| target=|_top|&gt;BBE&lt;/a&gt;</v>
      </c>
      <c r="AN637" t="str">
        <f t="shared" si="2547"/>
        <v>&lt;/li&gt;&lt;li&gt;&lt;a href=|http://darbybible.com/proverbs/9.htm| title=|Darby Bible Translation| target=|_top|&gt;DBY&lt;/a&gt;</v>
      </c>
      <c r="AO63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3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3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37" t="str">
        <f>CONCATENATE("&lt;/li&gt;&lt;li&gt;&lt;a href=|http://",AR1191,"/proverbs/9.htm","| ","title=|",AR1190,"| target=|_top|&gt;",AR1192,"&lt;/a&gt;")</f>
        <v>&lt;/li&gt;&lt;li&gt;&lt;a href=|http://websterbible.com/proverbs/9.htm| title=|Webster's Bible Translation| target=|_top|&gt;WBS&lt;/a&gt;</v>
      </c>
      <c r="AS63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37" t="str">
        <f>CONCATENATE("&lt;/li&gt;&lt;li&gt;&lt;a href=|http://",AT1191,"/proverbs/9-1.htm","| ","title=|",AT1190,"| target=|_top|&gt;",AT1192,"&lt;/a&gt;")</f>
        <v>&lt;/li&gt;&lt;li&gt;&lt;a href=|http://biblebrowser.com/proverbs/9-1.htm| title=|Split View| target=|_top|&gt;Split&lt;/a&gt;</v>
      </c>
      <c r="AU637" s="2" t="s">
        <v>1276</v>
      </c>
      <c r="AV637" t="s">
        <v>64</v>
      </c>
    </row>
    <row r="638" spans="1:48">
      <c r="A638" t="s">
        <v>622</v>
      </c>
      <c r="B638" t="s">
        <v>1142</v>
      </c>
      <c r="C638" t="s">
        <v>624</v>
      </c>
      <c r="D638" t="s">
        <v>1268</v>
      </c>
      <c r="E638" t="s">
        <v>1277</v>
      </c>
      <c r="F638" t="s">
        <v>1304</v>
      </c>
      <c r="G638" t="s">
        <v>1266</v>
      </c>
      <c r="H638" t="s">
        <v>1305</v>
      </c>
      <c r="I638" t="s">
        <v>1303</v>
      </c>
      <c r="J638" t="s">
        <v>1267</v>
      </c>
      <c r="K638" t="s">
        <v>1275</v>
      </c>
      <c r="L638" s="2" t="s">
        <v>1274</v>
      </c>
      <c r="M638" t="str">
        <f t="shared" ref="M638:AB638" si="2548">CONCATENATE("&lt;/li&gt;&lt;li&gt;&lt;a href=|http://",M1191,"/proverbs/10.htm","| ","title=|",M1190,"| target=|_top|&gt;",M1192,"&lt;/a&gt;")</f>
        <v>&lt;/li&gt;&lt;li&gt;&lt;a href=|http://niv.scripturetext.com/proverbs/10.htm| title=|New International Version| target=|_top|&gt;NIV&lt;/a&gt;</v>
      </c>
      <c r="N638" t="str">
        <f t="shared" si="2548"/>
        <v>&lt;/li&gt;&lt;li&gt;&lt;a href=|http://nlt.scripturetext.com/proverbs/10.htm| title=|New Living Translation| target=|_top|&gt;NLT&lt;/a&gt;</v>
      </c>
      <c r="O638" t="str">
        <f t="shared" si="2548"/>
        <v>&lt;/li&gt;&lt;li&gt;&lt;a href=|http://nasb.scripturetext.com/proverbs/10.htm| title=|New American Standard Bible| target=|_top|&gt;NAS&lt;/a&gt;</v>
      </c>
      <c r="P638" t="str">
        <f t="shared" si="2548"/>
        <v>&lt;/li&gt;&lt;li&gt;&lt;a href=|http://gwt.scripturetext.com/proverbs/10.htm| title=|God's Word Translation| target=|_top|&gt;GWT&lt;/a&gt;</v>
      </c>
      <c r="Q638" t="str">
        <f t="shared" si="2548"/>
        <v>&lt;/li&gt;&lt;li&gt;&lt;a href=|http://kingjbible.com/proverbs/10.htm| title=|King James Bible| target=|_top|&gt;KJV&lt;/a&gt;</v>
      </c>
      <c r="R638" t="str">
        <f t="shared" si="2548"/>
        <v>&lt;/li&gt;&lt;li&gt;&lt;a href=|http://asvbible.com/proverbs/10.htm| title=|American Standard Version| target=|_top|&gt;ASV&lt;/a&gt;</v>
      </c>
      <c r="S638" t="str">
        <f t="shared" si="2548"/>
        <v>&lt;/li&gt;&lt;li&gt;&lt;a href=|http://drb.scripturetext.com/proverbs/10.htm| title=|Douay-Rheims Bible| target=|_top|&gt;DRB&lt;/a&gt;</v>
      </c>
      <c r="T638" t="str">
        <f t="shared" si="2548"/>
        <v>&lt;/li&gt;&lt;li&gt;&lt;a href=|http://erv.scripturetext.com/proverbs/10.htm| title=|English Revised Version| target=|_top|&gt;ERV&lt;/a&gt;</v>
      </c>
      <c r="V638" t="str">
        <f>CONCATENATE("&lt;/li&gt;&lt;li&gt;&lt;a href=|http://",V1191,"/proverbs/10.htm","| ","title=|",V1190,"| target=|_top|&gt;",V1192,"&lt;/a&gt;")</f>
        <v>&lt;/li&gt;&lt;li&gt;&lt;a href=|http://study.interlinearbible.org/proverbs/10.htm| title=|Hebrew Study Bible| target=|_top|&gt;Heb Study&lt;/a&gt;</v>
      </c>
      <c r="W638" t="str">
        <f t="shared" si="2548"/>
        <v>&lt;/li&gt;&lt;li&gt;&lt;a href=|http://apostolic.interlinearbible.org/proverbs/10.htm| title=|Apostolic Bible Polyglot Interlinear| target=|_top|&gt;Polyglot&lt;/a&gt;</v>
      </c>
      <c r="X638" t="str">
        <f t="shared" si="2548"/>
        <v>&lt;/li&gt;&lt;li&gt;&lt;a href=|http://interlinearbible.org/proverbs/10.htm| title=|Interlinear Bible| target=|_top|&gt;Interlin&lt;/a&gt;</v>
      </c>
      <c r="Y638" t="str">
        <f t="shared" ref="Y638" si="2549">CONCATENATE("&lt;/li&gt;&lt;li&gt;&lt;a href=|http://",Y1191,"/proverbs/10.htm","| ","title=|",Y1190,"| target=|_top|&gt;",Y1192,"&lt;/a&gt;")</f>
        <v>&lt;/li&gt;&lt;li&gt;&lt;a href=|http://bibleoutline.org/proverbs/10.htm| title=|Outline with People and Places List| target=|_top|&gt;Outline&lt;/a&gt;</v>
      </c>
      <c r="Z638" t="str">
        <f t="shared" si="2548"/>
        <v>&lt;/li&gt;&lt;li&gt;&lt;a href=|http://kjvs.scripturetext.com/proverbs/10.htm| title=|King James Bible with Strong's Numbers| target=|_top|&gt;Strong's&lt;/a&gt;</v>
      </c>
      <c r="AA638" t="str">
        <f t="shared" si="2548"/>
        <v>&lt;/li&gt;&lt;li&gt;&lt;a href=|http://childrensbibleonline.com/proverbs/10.htm| title=|The Children's Bible| target=|_top|&gt;Children's&lt;/a&gt;</v>
      </c>
      <c r="AB638" s="2" t="str">
        <f t="shared" si="2548"/>
        <v>&lt;/li&gt;&lt;li&gt;&lt;a href=|http://tsk.scripturetext.com/proverbs/10.htm| title=|Treasury of Scripture Knowledge| target=|_top|&gt;TSK&lt;/a&gt;</v>
      </c>
      <c r="AC638" t="str">
        <f>CONCATENATE("&lt;a href=|http://",AC1191,"/proverbs/10.htm","| ","title=|",AC1190,"| target=|_top|&gt;",AC1192,"&lt;/a&gt;")</f>
        <v>&lt;a href=|http://parallelbible.com/proverbs/10.htm| title=|Parallel Chapters| target=|_top|&gt;PAR&lt;/a&gt;</v>
      </c>
      <c r="AD638" s="2" t="str">
        <f t="shared" ref="AD638:AK638" si="2550">CONCATENATE("&lt;/li&gt;&lt;li&gt;&lt;a href=|http://",AD1191,"/proverbs/10.htm","| ","title=|",AD1190,"| target=|_top|&gt;",AD1192,"&lt;/a&gt;")</f>
        <v>&lt;/li&gt;&lt;li&gt;&lt;a href=|http://gsb.biblecommenter.com/proverbs/10.htm| title=|Geneva Study Bible| target=|_top|&gt;GSB&lt;/a&gt;</v>
      </c>
      <c r="AE638" s="2" t="str">
        <f t="shared" si="2550"/>
        <v>&lt;/li&gt;&lt;li&gt;&lt;a href=|http://jfb.biblecommenter.com/proverbs/10.htm| title=|Jamieson-Fausset-Brown Bible Commentary| target=|_top|&gt;JFB&lt;/a&gt;</v>
      </c>
      <c r="AF638" s="2" t="str">
        <f t="shared" si="2550"/>
        <v>&lt;/li&gt;&lt;li&gt;&lt;a href=|http://kjt.biblecommenter.com/proverbs/10.htm| title=|King James Translators' Notes| target=|_top|&gt;KJT&lt;/a&gt;</v>
      </c>
      <c r="AG638" s="2" t="str">
        <f t="shared" si="2550"/>
        <v>&lt;/li&gt;&lt;li&gt;&lt;a href=|http://mhc.biblecommenter.com/proverbs/10.htm| title=|Matthew Henry's Concise Commentary| target=|_top|&gt;MHC&lt;/a&gt;</v>
      </c>
      <c r="AH638" s="2" t="str">
        <f t="shared" si="2550"/>
        <v>&lt;/li&gt;&lt;li&gt;&lt;a href=|http://sco.biblecommenter.com/proverbs/10.htm| title=|Scofield Reference Notes| target=|_top|&gt;SCO&lt;/a&gt;</v>
      </c>
      <c r="AI638" s="2" t="str">
        <f t="shared" si="2550"/>
        <v>&lt;/li&gt;&lt;li&gt;&lt;a href=|http://wes.biblecommenter.com/proverbs/10.htm| title=|Wesley's Notes on the Bible| target=|_top|&gt;WES&lt;/a&gt;</v>
      </c>
      <c r="AJ638" t="str">
        <f t="shared" si="2550"/>
        <v>&lt;/li&gt;&lt;li&gt;&lt;a href=|http://worldebible.com/proverbs/10.htm| title=|World English Bible| target=|_top|&gt;WEB&lt;/a&gt;</v>
      </c>
      <c r="AK638" t="str">
        <f t="shared" si="2550"/>
        <v>&lt;/li&gt;&lt;li&gt;&lt;a href=|http://yltbible.com/proverbs/10.htm| title=|Young's Literal Translation| target=|_top|&gt;YLT&lt;/a&gt;</v>
      </c>
      <c r="AL638" t="str">
        <f>CONCATENATE("&lt;a href=|http://",AL1191,"/proverbs/10.htm","| ","title=|",AL1190,"| target=|_top|&gt;",AL1192,"&lt;/a&gt;")</f>
        <v>&lt;a href=|http://kjv.us/proverbs/10.htm| title=|American King James Version| target=|_top|&gt;AKJ&lt;/a&gt;</v>
      </c>
      <c r="AM638" t="str">
        <f t="shared" ref="AM638:AN638" si="2551">CONCATENATE("&lt;/li&gt;&lt;li&gt;&lt;a href=|http://",AM1191,"/proverbs/10.htm","| ","title=|",AM1190,"| target=|_top|&gt;",AM1192,"&lt;/a&gt;")</f>
        <v>&lt;/li&gt;&lt;li&gt;&lt;a href=|http://basicenglishbible.com/proverbs/10.htm| title=|Bible in Basic English| target=|_top|&gt;BBE&lt;/a&gt;</v>
      </c>
      <c r="AN638" t="str">
        <f t="shared" si="2551"/>
        <v>&lt;/li&gt;&lt;li&gt;&lt;a href=|http://darbybible.com/proverbs/10.htm| title=|Darby Bible Translation| target=|_top|&gt;DBY&lt;/a&gt;</v>
      </c>
      <c r="AO63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3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3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38" t="str">
        <f>CONCATENATE("&lt;/li&gt;&lt;li&gt;&lt;a href=|http://",AR1191,"/proverbs/10.htm","| ","title=|",AR1190,"| target=|_top|&gt;",AR1192,"&lt;/a&gt;")</f>
        <v>&lt;/li&gt;&lt;li&gt;&lt;a href=|http://websterbible.com/proverbs/10.htm| title=|Webster's Bible Translation| target=|_top|&gt;WBS&lt;/a&gt;</v>
      </c>
      <c r="AS63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38" t="str">
        <f>CONCATENATE("&lt;/li&gt;&lt;li&gt;&lt;a href=|http://",AT1191,"/proverbs/10-1.htm","| ","title=|",AT1190,"| target=|_top|&gt;",AT1192,"&lt;/a&gt;")</f>
        <v>&lt;/li&gt;&lt;li&gt;&lt;a href=|http://biblebrowser.com/proverbs/10-1.htm| title=|Split View| target=|_top|&gt;Split&lt;/a&gt;</v>
      </c>
      <c r="AU638" s="2" t="s">
        <v>1276</v>
      </c>
      <c r="AV638" t="s">
        <v>64</v>
      </c>
    </row>
    <row r="639" spans="1:48">
      <c r="A639" t="s">
        <v>622</v>
      </c>
      <c r="B639" t="s">
        <v>1143</v>
      </c>
      <c r="C639" t="s">
        <v>624</v>
      </c>
      <c r="D639" t="s">
        <v>1268</v>
      </c>
      <c r="E639" t="s">
        <v>1277</v>
      </c>
      <c r="F639" t="s">
        <v>1304</v>
      </c>
      <c r="G639" t="s">
        <v>1266</v>
      </c>
      <c r="H639" t="s">
        <v>1305</v>
      </c>
      <c r="I639" t="s">
        <v>1303</v>
      </c>
      <c r="J639" t="s">
        <v>1267</v>
      </c>
      <c r="K639" t="s">
        <v>1275</v>
      </c>
      <c r="L639" s="2" t="s">
        <v>1274</v>
      </c>
      <c r="M639" t="str">
        <f t="shared" ref="M639:AB639" si="2552">CONCATENATE("&lt;/li&gt;&lt;li&gt;&lt;a href=|http://",M1191,"/proverbs/11.htm","| ","title=|",M1190,"| target=|_top|&gt;",M1192,"&lt;/a&gt;")</f>
        <v>&lt;/li&gt;&lt;li&gt;&lt;a href=|http://niv.scripturetext.com/proverbs/11.htm| title=|New International Version| target=|_top|&gt;NIV&lt;/a&gt;</v>
      </c>
      <c r="N639" t="str">
        <f t="shared" si="2552"/>
        <v>&lt;/li&gt;&lt;li&gt;&lt;a href=|http://nlt.scripturetext.com/proverbs/11.htm| title=|New Living Translation| target=|_top|&gt;NLT&lt;/a&gt;</v>
      </c>
      <c r="O639" t="str">
        <f t="shared" si="2552"/>
        <v>&lt;/li&gt;&lt;li&gt;&lt;a href=|http://nasb.scripturetext.com/proverbs/11.htm| title=|New American Standard Bible| target=|_top|&gt;NAS&lt;/a&gt;</v>
      </c>
      <c r="P639" t="str">
        <f t="shared" si="2552"/>
        <v>&lt;/li&gt;&lt;li&gt;&lt;a href=|http://gwt.scripturetext.com/proverbs/11.htm| title=|God's Word Translation| target=|_top|&gt;GWT&lt;/a&gt;</v>
      </c>
      <c r="Q639" t="str">
        <f t="shared" si="2552"/>
        <v>&lt;/li&gt;&lt;li&gt;&lt;a href=|http://kingjbible.com/proverbs/11.htm| title=|King James Bible| target=|_top|&gt;KJV&lt;/a&gt;</v>
      </c>
      <c r="R639" t="str">
        <f t="shared" si="2552"/>
        <v>&lt;/li&gt;&lt;li&gt;&lt;a href=|http://asvbible.com/proverbs/11.htm| title=|American Standard Version| target=|_top|&gt;ASV&lt;/a&gt;</v>
      </c>
      <c r="S639" t="str">
        <f t="shared" si="2552"/>
        <v>&lt;/li&gt;&lt;li&gt;&lt;a href=|http://drb.scripturetext.com/proverbs/11.htm| title=|Douay-Rheims Bible| target=|_top|&gt;DRB&lt;/a&gt;</v>
      </c>
      <c r="T639" t="str">
        <f t="shared" si="2552"/>
        <v>&lt;/li&gt;&lt;li&gt;&lt;a href=|http://erv.scripturetext.com/proverbs/11.htm| title=|English Revised Version| target=|_top|&gt;ERV&lt;/a&gt;</v>
      </c>
      <c r="V639" t="str">
        <f>CONCATENATE("&lt;/li&gt;&lt;li&gt;&lt;a href=|http://",V1191,"/proverbs/11.htm","| ","title=|",V1190,"| target=|_top|&gt;",V1192,"&lt;/a&gt;")</f>
        <v>&lt;/li&gt;&lt;li&gt;&lt;a href=|http://study.interlinearbible.org/proverbs/11.htm| title=|Hebrew Study Bible| target=|_top|&gt;Heb Study&lt;/a&gt;</v>
      </c>
      <c r="W639" t="str">
        <f t="shared" si="2552"/>
        <v>&lt;/li&gt;&lt;li&gt;&lt;a href=|http://apostolic.interlinearbible.org/proverbs/11.htm| title=|Apostolic Bible Polyglot Interlinear| target=|_top|&gt;Polyglot&lt;/a&gt;</v>
      </c>
      <c r="X639" t="str">
        <f t="shared" si="2552"/>
        <v>&lt;/li&gt;&lt;li&gt;&lt;a href=|http://interlinearbible.org/proverbs/11.htm| title=|Interlinear Bible| target=|_top|&gt;Interlin&lt;/a&gt;</v>
      </c>
      <c r="Y639" t="str">
        <f t="shared" ref="Y639" si="2553">CONCATENATE("&lt;/li&gt;&lt;li&gt;&lt;a href=|http://",Y1191,"/proverbs/11.htm","| ","title=|",Y1190,"| target=|_top|&gt;",Y1192,"&lt;/a&gt;")</f>
        <v>&lt;/li&gt;&lt;li&gt;&lt;a href=|http://bibleoutline.org/proverbs/11.htm| title=|Outline with People and Places List| target=|_top|&gt;Outline&lt;/a&gt;</v>
      </c>
      <c r="Z639" t="str">
        <f t="shared" si="2552"/>
        <v>&lt;/li&gt;&lt;li&gt;&lt;a href=|http://kjvs.scripturetext.com/proverbs/11.htm| title=|King James Bible with Strong's Numbers| target=|_top|&gt;Strong's&lt;/a&gt;</v>
      </c>
      <c r="AA639" t="str">
        <f t="shared" si="2552"/>
        <v>&lt;/li&gt;&lt;li&gt;&lt;a href=|http://childrensbibleonline.com/proverbs/11.htm| title=|The Children's Bible| target=|_top|&gt;Children's&lt;/a&gt;</v>
      </c>
      <c r="AB639" s="2" t="str">
        <f t="shared" si="2552"/>
        <v>&lt;/li&gt;&lt;li&gt;&lt;a href=|http://tsk.scripturetext.com/proverbs/11.htm| title=|Treasury of Scripture Knowledge| target=|_top|&gt;TSK&lt;/a&gt;</v>
      </c>
      <c r="AC639" t="str">
        <f>CONCATENATE("&lt;a href=|http://",AC1191,"/proverbs/11.htm","| ","title=|",AC1190,"| target=|_top|&gt;",AC1192,"&lt;/a&gt;")</f>
        <v>&lt;a href=|http://parallelbible.com/proverbs/11.htm| title=|Parallel Chapters| target=|_top|&gt;PAR&lt;/a&gt;</v>
      </c>
      <c r="AD639" s="2" t="str">
        <f t="shared" ref="AD639:AK639" si="2554">CONCATENATE("&lt;/li&gt;&lt;li&gt;&lt;a href=|http://",AD1191,"/proverbs/11.htm","| ","title=|",AD1190,"| target=|_top|&gt;",AD1192,"&lt;/a&gt;")</f>
        <v>&lt;/li&gt;&lt;li&gt;&lt;a href=|http://gsb.biblecommenter.com/proverbs/11.htm| title=|Geneva Study Bible| target=|_top|&gt;GSB&lt;/a&gt;</v>
      </c>
      <c r="AE639" s="2" t="str">
        <f t="shared" si="2554"/>
        <v>&lt;/li&gt;&lt;li&gt;&lt;a href=|http://jfb.biblecommenter.com/proverbs/11.htm| title=|Jamieson-Fausset-Brown Bible Commentary| target=|_top|&gt;JFB&lt;/a&gt;</v>
      </c>
      <c r="AF639" s="2" t="str">
        <f t="shared" si="2554"/>
        <v>&lt;/li&gt;&lt;li&gt;&lt;a href=|http://kjt.biblecommenter.com/proverbs/11.htm| title=|King James Translators' Notes| target=|_top|&gt;KJT&lt;/a&gt;</v>
      </c>
      <c r="AG639" s="2" t="str">
        <f t="shared" si="2554"/>
        <v>&lt;/li&gt;&lt;li&gt;&lt;a href=|http://mhc.biblecommenter.com/proverbs/11.htm| title=|Matthew Henry's Concise Commentary| target=|_top|&gt;MHC&lt;/a&gt;</v>
      </c>
      <c r="AH639" s="2" t="str">
        <f t="shared" si="2554"/>
        <v>&lt;/li&gt;&lt;li&gt;&lt;a href=|http://sco.biblecommenter.com/proverbs/11.htm| title=|Scofield Reference Notes| target=|_top|&gt;SCO&lt;/a&gt;</v>
      </c>
      <c r="AI639" s="2" t="str">
        <f t="shared" si="2554"/>
        <v>&lt;/li&gt;&lt;li&gt;&lt;a href=|http://wes.biblecommenter.com/proverbs/11.htm| title=|Wesley's Notes on the Bible| target=|_top|&gt;WES&lt;/a&gt;</v>
      </c>
      <c r="AJ639" t="str">
        <f t="shared" si="2554"/>
        <v>&lt;/li&gt;&lt;li&gt;&lt;a href=|http://worldebible.com/proverbs/11.htm| title=|World English Bible| target=|_top|&gt;WEB&lt;/a&gt;</v>
      </c>
      <c r="AK639" t="str">
        <f t="shared" si="2554"/>
        <v>&lt;/li&gt;&lt;li&gt;&lt;a href=|http://yltbible.com/proverbs/11.htm| title=|Young's Literal Translation| target=|_top|&gt;YLT&lt;/a&gt;</v>
      </c>
      <c r="AL639" t="str">
        <f>CONCATENATE("&lt;a href=|http://",AL1191,"/proverbs/11.htm","| ","title=|",AL1190,"| target=|_top|&gt;",AL1192,"&lt;/a&gt;")</f>
        <v>&lt;a href=|http://kjv.us/proverbs/11.htm| title=|American King James Version| target=|_top|&gt;AKJ&lt;/a&gt;</v>
      </c>
      <c r="AM639" t="str">
        <f t="shared" ref="AM639:AN639" si="2555">CONCATENATE("&lt;/li&gt;&lt;li&gt;&lt;a href=|http://",AM1191,"/proverbs/11.htm","| ","title=|",AM1190,"| target=|_top|&gt;",AM1192,"&lt;/a&gt;")</f>
        <v>&lt;/li&gt;&lt;li&gt;&lt;a href=|http://basicenglishbible.com/proverbs/11.htm| title=|Bible in Basic English| target=|_top|&gt;BBE&lt;/a&gt;</v>
      </c>
      <c r="AN639" t="str">
        <f t="shared" si="2555"/>
        <v>&lt;/li&gt;&lt;li&gt;&lt;a href=|http://darbybible.com/proverbs/11.htm| title=|Darby Bible Translation| target=|_top|&gt;DBY&lt;/a&gt;</v>
      </c>
      <c r="AO63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3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3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39" t="str">
        <f>CONCATENATE("&lt;/li&gt;&lt;li&gt;&lt;a href=|http://",AR1191,"/proverbs/11.htm","| ","title=|",AR1190,"| target=|_top|&gt;",AR1192,"&lt;/a&gt;")</f>
        <v>&lt;/li&gt;&lt;li&gt;&lt;a href=|http://websterbible.com/proverbs/11.htm| title=|Webster's Bible Translation| target=|_top|&gt;WBS&lt;/a&gt;</v>
      </c>
      <c r="AS63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39" t="str">
        <f>CONCATENATE("&lt;/li&gt;&lt;li&gt;&lt;a href=|http://",AT1191,"/proverbs/11-1.htm","| ","title=|",AT1190,"| target=|_top|&gt;",AT1192,"&lt;/a&gt;")</f>
        <v>&lt;/li&gt;&lt;li&gt;&lt;a href=|http://biblebrowser.com/proverbs/11-1.htm| title=|Split View| target=|_top|&gt;Split&lt;/a&gt;</v>
      </c>
      <c r="AU639" s="2" t="s">
        <v>1276</v>
      </c>
      <c r="AV639" t="s">
        <v>64</v>
      </c>
    </row>
    <row r="640" spans="1:48">
      <c r="A640" t="s">
        <v>622</v>
      </c>
      <c r="B640" t="s">
        <v>1144</v>
      </c>
      <c r="C640" t="s">
        <v>624</v>
      </c>
      <c r="D640" t="s">
        <v>1268</v>
      </c>
      <c r="E640" t="s">
        <v>1277</v>
      </c>
      <c r="F640" t="s">
        <v>1304</v>
      </c>
      <c r="G640" t="s">
        <v>1266</v>
      </c>
      <c r="H640" t="s">
        <v>1305</v>
      </c>
      <c r="I640" t="s">
        <v>1303</v>
      </c>
      <c r="J640" t="s">
        <v>1267</v>
      </c>
      <c r="K640" t="s">
        <v>1275</v>
      </c>
      <c r="L640" s="2" t="s">
        <v>1274</v>
      </c>
      <c r="M640" t="str">
        <f t="shared" ref="M640:AB640" si="2556">CONCATENATE("&lt;/li&gt;&lt;li&gt;&lt;a href=|http://",M1191,"/proverbs/12.htm","| ","title=|",M1190,"| target=|_top|&gt;",M1192,"&lt;/a&gt;")</f>
        <v>&lt;/li&gt;&lt;li&gt;&lt;a href=|http://niv.scripturetext.com/proverbs/12.htm| title=|New International Version| target=|_top|&gt;NIV&lt;/a&gt;</v>
      </c>
      <c r="N640" t="str">
        <f t="shared" si="2556"/>
        <v>&lt;/li&gt;&lt;li&gt;&lt;a href=|http://nlt.scripturetext.com/proverbs/12.htm| title=|New Living Translation| target=|_top|&gt;NLT&lt;/a&gt;</v>
      </c>
      <c r="O640" t="str">
        <f t="shared" si="2556"/>
        <v>&lt;/li&gt;&lt;li&gt;&lt;a href=|http://nasb.scripturetext.com/proverbs/12.htm| title=|New American Standard Bible| target=|_top|&gt;NAS&lt;/a&gt;</v>
      </c>
      <c r="P640" t="str">
        <f t="shared" si="2556"/>
        <v>&lt;/li&gt;&lt;li&gt;&lt;a href=|http://gwt.scripturetext.com/proverbs/12.htm| title=|God's Word Translation| target=|_top|&gt;GWT&lt;/a&gt;</v>
      </c>
      <c r="Q640" t="str">
        <f t="shared" si="2556"/>
        <v>&lt;/li&gt;&lt;li&gt;&lt;a href=|http://kingjbible.com/proverbs/12.htm| title=|King James Bible| target=|_top|&gt;KJV&lt;/a&gt;</v>
      </c>
      <c r="R640" t="str">
        <f t="shared" si="2556"/>
        <v>&lt;/li&gt;&lt;li&gt;&lt;a href=|http://asvbible.com/proverbs/12.htm| title=|American Standard Version| target=|_top|&gt;ASV&lt;/a&gt;</v>
      </c>
      <c r="S640" t="str">
        <f t="shared" si="2556"/>
        <v>&lt;/li&gt;&lt;li&gt;&lt;a href=|http://drb.scripturetext.com/proverbs/12.htm| title=|Douay-Rheims Bible| target=|_top|&gt;DRB&lt;/a&gt;</v>
      </c>
      <c r="T640" t="str">
        <f t="shared" si="2556"/>
        <v>&lt;/li&gt;&lt;li&gt;&lt;a href=|http://erv.scripturetext.com/proverbs/12.htm| title=|English Revised Version| target=|_top|&gt;ERV&lt;/a&gt;</v>
      </c>
      <c r="V640" t="str">
        <f>CONCATENATE("&lt;/li&gt;&lt;li&gt;&lt;a href=|http://",V1191,"/proverbs/12.htm","| ","title=|",V1190,"| target=|_top|&gt;",V1192,"&lt;/a&gt;")</f>
        <v>&lt;/li&gt;&lt;li&gt;&lt;a href=|http://study.interlinearbible.org/proverbs/12.htm| title=|Hebrew Study Bible| target=|_top|&gt;Heb Study&lt;/a&gt;</v>
      </c>
      <c r="W640" t="str">
        <f t="shared" si="2556"/>
        <v>&lt;/li&gt;&lt;li&gt;&lt;a href=|http://apostolic.interlinearbible.org/proverbs/12.htm| title=|Apostolic Bible Polyglot Interlinear| target=|_top|&gt;Polyglot&lt;/a&gt;</v>
      </c>
      <c r="X640" t="str">
        <f t="shared" si="2556"/>
        <v>&lt;/li&gt;&lt;li&gt;&lt;a href=|http://interlinearbible.org/proverbs/12.htm| title=|Interlinear Bible| target=|_top|&gt;Interlin&lt;/a&gt;</v>
      </c>
      <c r="Y640" t="str">
        <f t="shared" ref="Y640" si="2557">CONCATENATE("&lt;/li&gt;&lt;li&gt;&lt;a href=|http://",Y1191,"/proverbs/12.htm","| ","title=|",Y1190,"| target=|_top|&gt;",Y1192,"&lt;/a&gt;")</f>
        <v>&lt;/li&gt;&lt;li&gt;&lt;a href=|http://bibleoutline.org/proverbs/12.htm| title=|Outline with People and Places List| target=|_top|&gt;Outline&lt;/a&gt;</v>
      </c>
      <c r="Z640" t="str">
        <f t="shared" si="2556"/>
        <v>&lt;/li&gt;&lt;li&gt;&lt;a href=|http://kjvs.scripturetext.com/proverbs/12.htm| title=|King James Bible with Strong's Numbers| target=|_top|&gt;Strong's&lt;/a&gt;</v>
      </c>
      <c r="AA640" t="str">
        <f t="shared" si="2556"/>
        <v>&lt;/li&gt;&lt;li&gt;&lt;a href=|http://childrensbibleonline.com/proverbs/12.htm| title=|The Children's Bible| target=|_top|&gt;Children's&lt;/a&gt;</v>
      </c>
      <c r="AB640" s="2" t="str">
        <f t="shared" si="2556"/>
        <v>&lt;/li&gt;&lt;li&gt;&lt;a href=|http://tsk.scripturetext.com/proverbs/12.htm| title=|Treasury of Scripture Knowledge| target=|_top|&gt;TSK&lt;/a&gt;</v>
      </c>
      <c r="AC640" t="str">
        <f>CONCATENATE("&lt;a href=|http://",AC1191,"/proverbs/12.htm","| ","title=|",AC1190,"| target=|_top|&gt;",AC1192,"&lt;/a&gt;")</f>
        <v>&lt;a href=|http://parallelbible.com/proverbs/12.htm| title=|Parallel Chapters| target=|_top|&gt;PAR&lt;/a&gt;</v>
      </c>
      <c r="AD640" s="2" t="str">
        <f t="shared" ref="AD640:AK640" si="2558">CONCATENATE("&lt;/li&gt;&lt;li&gt;&lt;a href=|http://",AD1191,"/proverbs/12.htm","| ","title=|",AD1190,"| target=|_top|&gt;",AD1192,"&lt;/a&gt;")</f>
        <v>&lt;/li&gt;&lt;li&gt;&lt;a href=|http://gsb.biblecommenter.com/proverbs/12.htm| title=|Geneva Study Bible| target=|_top|&gt;GSB&lt;/a&gt;</v>
      </c>
      <c r="AE640" s="2" t="str">
        <f t="shared" si="2558"/>
        <v>&lt;/li&gt;&lt;li&gt;&lt;a href=|http://jfb.biblecommenter.com/proverbs/12.htm| title=|Jamieson-Fausset-Brown Bible Commentary| target=|_top|&gt;JFB&lt;/a&gt;</v>
      </c>
      <c r="AF640" s="2" t="str">
        <f t="shared" si="2558"/>
        <v>&lt;/li&gt;&lt;li&gt;&lt;a href=|http://kjt.biblecommenter.com/proverbs/12.htm| title=|King James Translators' Notes| target=|_top|&gt;KJT&lt;/a&gt;</v>
      </c>
      <c r="AG640" s="2" t="str">
        <f t="shared" si="2558"/>
        <v>&lt;/li&gt;&lt;li&gt;&lt;a href=|http://mhc.biblecommenter.com/proverbs/12.htm| title=|Matthew Henry's Concise Commentary| target=|_top|&gt;MHC&lt;/a&gt;</v>
      </c>
      <c r="AH640" s="2" t="str">
        <f t="shared" si="2558"/>
        <v>&lt;/li&gt;&lt;li&gt;&lt;a href=|http://sco.biblecommenter.com/proverbs/12.htm| title=|Scofield Reference Notes| target=|_top|&gt;SCO&lt;/a&gt;</v>
      </c>
      <c r="AI640" s="2" t="str">
        <f t="shared" si="2558"/>
        <v>&lt;/li&gt;&lt;li&gt;&lt;a href=|http://wes.biblecommenter.com/proverbs/12.htm| title=|Wesley's Notes on the Bible| target=|_top|&gt;WES&lt;/a&gt;</v>
      </c>
      <c r="AJ640" t="str">
        <f t="shared" si="2558"/>
        <v>&lt;/li&gt;&lt;li&gt;&lt;a href=|http://worldebible.com/proverbs/12.htm| title=|World English Bible| target=|_top|&gt;WEB&lt;/a&gt;</v>
      </c>
      <c r="AK640" t="str">
        <f t="shared" si="2558"/>
        <v>&lt;/li&gt;&lt;li&gt;&lt;a href=|http://yltbible.com/proverbs/12.htm| title=|Young's Literal Translation| target=|_top|&gt;YLT&lt;/a&gt;</v>
      </c>
      <c r="AL640" t="str">
        <f>CONCATENATE("&lt;a href=|http://",AL1191,"/proverbs/12.htm","| ","title=|",AL1190,"| target=|_top|&gt;",AL1192,"&lt;/a&gt;")</f>
        <v>&lt;a href=|http://kjv.us/proverbs/12.htm| title=|American King James Version| target=|_top|&gt;AKJ&lt;/a&gt;</v>
      </c>
      <c r="AM640" t="str">
        <f t="shared" ref="AM640:AN640" si="2559">CONCATENATE("&lt;/li&gt;&lt;li&gt;&lt;a href=|http://",AM1191,"/proverbs/12.htm","| ","title=|",AM1190,"| target=|_top|&gt;",AM1192,"&lt;/a&gt;")</f>
        <v>&lt;/li&gt;&lt;li&gt;&lt;a href=|http://basicenglishbible.com/proverbs/12.htm| title=|Bible in Basic English| target=|_top|&gt;BBE&lt;/a&gt;</v>
      </c>
      <c r="AN640" t="str">
        <f t="shared" si="2559"/>
        <v>&lt;/li&gt;&lt;li&gt;&lt;a href=|http://darbybible.com/proverbs/12.htm| title=|Darby Bible Translation| target=|_top|&gt;DBY&lt;/a&gt;</v>
      </c>
      <c r="AO64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4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4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40" t="str">
        <f>CONCATENATE("&lt;/li&gt;&lt;li&gt;&lt;a href=|http://",AR1191,"/proverbs/12.htm","| ","title=|",AR1190,"| target=|_top|&gt;",AR1192,"&lt;/a&gt;")</f>
        <v>&lt;/li&gt;&lt;li&gt;&lt;a href=|http://websterbible.com/proverbs/12.htm| title=|Webster's Bible Translation| target=|_top|&gt;WBS&lt;/a&gt;</v>
      </c>
      <c r="AS64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40" t="str">
        <f>CONCATENATE("&lt;/li&gt;&lt;li&gt;&lt;a href=|http://",AT1191,"/proverbs/12-1.htm","| ","title=|",AT1190,"| target=|_top|&gt;",AT1192,"&lt;/a&gt;")</f>
        <v>&lt;/li&gt;&lt;li&gt;&lt;a href=|http://biblebrowser.com/proverbs/12-1.htm| title=|Split View| target=|_top|&gt;Split&lt;/a&gt;</v>
      </c>
      <c r="AU640" s="2" t="s">
        <v>1276</v>
      </c>
      <c r="AV640" t="s">
        <v>64</v>
      </c>
    </row>
    <row r="641" spans="1:48">
      <c r="A641" t="s">
        <v>622</v>
      </c>
      <c r="B641" t="s">
        <v>1145</v>
      </c>
      <c r="C641" t="s">
        <v>624</v>
      </c>
      <c r="D641" t="s">
        <v>1268</v>
      </c>
      <c r="E641" t="s">
        <v>1277</v>
      </c>
      <c r="F641" t="s">
        <v>1304</v>
      </c>
      <c r="G641" t="s">
        <v>1266</v>
      </c>
      <c r="H641" t="s">
        <v>1305</v>
      </c>
      <c r="I641" t="s">
        <v>1303</v>
      </c>
      <c r="J641" t="s">
        <v>1267</v>
      </c>
      <c r="K641" t="s">
        <v>1275</v>
      </c>
      <c r="L641" s="2" t="s">
        <v>1274</v>
      </c>
      <c r="M641" t="str">
        <f t="shared" ref="M641:AB641" si="2560">CONCATENATE("&lt;/li&gt;&lt;li&gt;&lt;a href=|http://",M1191,"/proverbs/13.htm","| ","title=|",M1190,"| target=|_top|&gt;",M1192,"&lt;/a&gt;")</f>
        <v>&lt;/li&gt;&lt;li&gt;&lt;a href=|http://niv.scripturetext.com/proverbs/13.htm| title=|New International Version| target=|_top|&gt;NIV&lt;/a&gt;</v>
      </c>
      <c r="N641" t="str">
        <f t="shared" si="2560"/>
        <v>&lt;/li&gt;&lt;li&gt;&lt;a href=|http://nlt.scripturetext.com/proverbs/13.htm| title=|New Living Translation| target=|_top|&gt;NLT&lt;/a&gt;</v>
      </c>
      <c r="O641" t="str">
        <f t="shared" si="2560"/>
        <v>&lt;/li&gt;&lt;li&gt;&lt;a href=|http://nasb.scripturetext.com/proverbs/13.htm| title=|New American Standard Bible| target=|_top|&gt;NAS&lt;/a&gt;</v>
      </c>
      <c r="P641" t="str">
        <f t="shared" si="2560"/>
        <v>&lt;/li&gt;&lt;li&gt;&lt;a href=|http://gwt.scripturetext.com/proverbs/13.htm| title=|God's Word Translation| target=|_top|&gt;GWT&lt;/a&gt;</v>
      </c>
      <c r="Q641" t="str">
        <f t="shared" si="2560"/>
        <v>&lt;/li&gt;&lt;li&gt;&lt;a href=|http://kingjbible.com/proverbs/13.htm| title=|King James Bible| target=|_top|&gt;KJV&lt;/a&gt;</v>
      </c>
      <c r="R641" t="str">
        <f t="shared" si="2560"/>
        <v>&lt;/li&gt;&lt;li&gt;&lt;a href=|http://asvbible.com/proverbs/13.htm| title=|American Standard Version| target=|_top|&gt;ASV&lt;/a&gt;</v>
      </c>
      <c r="S641" t="str">
        <f t="shared" si="2560"/>
        <v>&lt;/li&gt;&lt;li&gt;&lt;a href=|http://drb.scripturetext.com/proverbs/13.htm| title=|Douay-Rheims Bible| target=|_top|&gt;DRB&lt;/a&gt;</v>
      </c>
      <c r="T641" t="str">
        <f t="shared" si="2560"/>
        <v>&lt;/li&gt;&lt;li&gt;&lt;a href=|http://erv.scripturetext.com/proverbs/13.htm| title=|English Revised Version| target=|_top|&gt;ERV&lt;/a&gt;</v>
      </c>
      <c r="V641" t="str">
        <f>CONCATENATE("&lt;/li&gt;&lt;li&gt;&lt;a href=|http://",V1191,"/proverbs/13.htm","| ","title=|",V1190,"| target=|_top|&gt;",V1192,"&lt;/a&gt;")</f>
        <v>&lt;/li&gt;&lt;li&gt;&lt;a href=|http://study.interlinearbible.org/proverbs/13.htm| title=|Hebrew Study Bible| target=|_top|&gt;Heb Study&lt;/a&gt;</v>
      </c>
      <c r="W641" t="str">
        <f t="shared" si="2560"/>
        <v>&lt;/li&gt;&lt;li&gt;&lt;a href=|http://apostolic.interlinearbible.org/proverbs/13.htm| title=|Apostolic Bible Polyglot Interlinear| target=|_top|&gt;Polyglot&lt;/a&gt;</v>
      </c>
      <c r="X641" t="str">
        <f t="shared" si="2560"/>
        <v>&lt;/li&gt;&lt;li&gt;&lt;a href=|http://interlinearbible.org/proverbs/13.htm| title=|Interlinear Bible| target=|_top|&gt;Interlin&lt;/a&gt;</v>
      </c>
      <c r="Y641" t="str">
        <f t="shared" ref="Y641" si="2561">CONCATENATE("&lt;/li&gt;&lt;li&gt;&lt;a href=|http://",Y1191,"/proverbs/13.htm","| ","title=|",Y1190,"| target=|_top|&gt;",Y1192,"&lt;/a&gt;")</f>
        <v>&lt;/li&gt;&lt;li&gt;&lt;a href=|http://bibleoutline.org/proverbs/13.htm| title=|Outline with People and Places List| target=|_top|&gt;Outline&lt;/a&gt;</v>
      </c>
      <c r="Z641" t="str">
        <f t="shared" si="2560"/>
        <v>&lt;/li&gt;&lt;li&gt;&lt;a href=|http://kjvs.scripturetext.com/proverbs/13.htm| title=|King James Bible with Strong's Numbers| target=|_top|&gt;Strong's&lt;/a&gt;</v>
      </c>
      <c r="AA641" t="str">
        <f t="shared" si="2560"/>
        <v>&lt;/li&gt;&lt;li&gt;&lt;a href=|http://childrensbibleonline.com/proverbs/13.htm| title=|The Children's Bible| target=|_top|&gt;Children's&lt;/a&gt;</v>
      </c>
      <c r="AB641" s="2" t="str">
        <f t="shared" si="2560"/>
        <v>&lt;/li&gt;&lt;li&gt;&lt;a href=|http://tsk.scripturetext.com/proverbs/13.htm| title=|Treasury of Scripture Knowledge| target=|_top|&gt;TSK&lt;/a&gt;</v>
      </c>
      <c r="AC641" t="str">
        <f>CONCATENATE("&lt;a href=|http://",AC1191,"/proverbs/13.htm","| ","title=|",AC1190,"| target=|_top|&gt;",AC1192,"&lt;/a&gt;")</f>
        <v>&lt;a href=|http://parallelbible.com/proverbs/13.htm| title=|Parallel Chapters| target=|_top|&gt;PAR&lt;/a&gt;</v>
      </c>
      <c r="AD641" s="2" t="str">
        <f t="shared" ref="AD641:AK641" si="2562">CONCATENATE("&lt;/li&gt;&lt;li&gt;&lt;a href=|http://",AD1191,"/proverbs/13.htm","| ","title=|",AD1190,"| target=|_top|&gt;",AD1192,"&lt;/a&gt;")</f>
        <v>&lt;/li&gt;&lt;li&gt;&lt;a href=|http://gsb.biblecommenter.com/proverbs/13.htm| title=|Geneva Study Bible| target=|_top|&gt;GSB&lt;/a&gt;</v>
      </c>
      <c r="AE641" s="2" t="str">
        <f t="shared" si="2562"/>
        <v>&lt;/li&gt;&lt;li&gt;&lt;a href=|http://jfb.biblecommenter.com/proverbs/13.htm| title=|Jamieson-Fausset-Brown Bible Commentary| target=|_top|&gt;JFB&lt;/a&gt;</v>
      </c>
      <c r="AF641" s="2" t="str">
        <f t="shared" si="2562"/>
        <v>&lt;/li&gt;&lt;li&gt;&lt;a href=|http://kjt.biblecommenter.com/proverbs/13.htm| title=|King James Translators' Notes| target=|_top|&gt;KJT&lt;/a&gt;</v>
      </c>
      <c r="AG641" s="2" t="str">
        <f t="shared" si="2562"/>
        <v>&lt;/li&gt;&lt;li&gt;&lt;a href=|http://mhc.biblecommenter.com/proverbs/13.htm| title=|Matthew Henry's Concise Commentary| target=|_top|&gt;MHC&lt;/a&gt;</v>
      </c>
      <c r="AH641" s="2" t="str">
        <f t="shared" si="2562"/>
        <v>&lt;/li&gt;&lt;li&gt;&lt;a href=|http://sco.biblecommenter.com/proverbs/13.htm| title=|Scofield Reference Notes| target=|_top|&gt;SCO&lt;/a&gt;</v>
      </c>
      <c r="AI641" s="2" t="str">
        <f t="shared" si="2562"/>
        <v>&lt;/li&gt;&lt;li&gt;&lt;a href=|http://wes.biblecommenter.com/proverbs/13.htm| title=|Wesley's Notes on the Bible| target=|_top|&gt;WES&lt;/a&gt;</v>
      </c>
      <c r="AJ641" t="str">
        <f t="shared" si="2562"/>
        <v>&lt;/li&gt;&lt;li&gt;&lt;a href=|http://worldebible.com/proverbs/13.htm| title=|World English Bible| target=|_top|&gt;WEB&lt;/a&gt;</v>
      </c>
      <c r="AK641" t="str">
        <f t="shared" si="2562"/>
        <v>&lt;/li&gt;&lt;li&gt;&lt;a href=|http://yltbible.com/proverbs/13.htm| title=|Young's Literal Translation| target=|_top|&gt;YLT&lt;/a&gt;</v>
      </c>
      <c r="AL641" t="str">
        <f>CONCATENATE("&lt;a href=|http://",AL1191,"/proverbs/13.htm","| ","title=|",AL1190,"| target=|_top|&gt;",AL1192,"&lt;/a&gt;")</f>
        <v>&lt;a href=|http://kjv.us/proverbs/13.htm| title=|American King James Version| target=|_top|&gt;AKJ&lt;/a&gt;</v>
      </c>
      <c r="AM641" t="str">
        <f t="shared" ref="AM641:AN641" si="2563">CONCATENATE("&lt;/li&gt;&lt;li&gt;&lt;a href=|http://",AM1191,"/proverbs/13.htm","| ","title=|",AM1190,"| target=|_top|&gt;",AM1192,"&lt;/a&gt;")</f>
        <v>&lt;/li&gt;&lt;li&gt;&lt;a href=|http://basicenglishbible.com/proverbs/13.htm| title=|Bible in Basic English| target=|_top|&gt;BBE&lt;/a&gt;</v>
      </c>
      <c r="AN641" t="str">
        <f t="shared" si="2563"/>
        <v>&lt;/li&gt;&lt;li&gt;&lt;a href=|http://darbybible.com/proverbs/13.htm| title=|Darby Bible Translation| target=|_top|&gt;DBY&lt;/a&gt;</v>
      </c>
      <c r="AO64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4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4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41" t="str">
        <f>CONCATENATE("&lt;/li&gt;&lt;li&gt;&lt;a href=|http://",AR1191,"/proverbs/13.htm","| ","title=|",AR1190,"| target=|_top|&gt;",AR1192,"&lt;/a&gt;")</f>
        <v>&lt;/li&gt;&lt;li&gt;&lt;a href=|http://websterbible.com/proverbs/13.htm| title=|Webster's Bible Translation| target=|_top|&gt;WBS&lt;/a&gt;</v>
      </c>
      <c r="AS64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41" t="str">
        <f>CONCATENATE("&lt;/li&gt;&lt;li&gt;&lt;a href=|http://",AT1191,"/proverbs/13-1.htm","| ","title=|",AT1190,"| target=|_top|&gt;",AT1192,"&lt;/a&gt;")</f>
        <v>&lt;/li&gt;&lt;li&gt;&lt;a href=|http://biblebrowser.com/proverbs/13-1.htm| title=|Split View| target=|_top|&gt;Split&lt;/a&gt;</v>
      </c>
      <c r="AU641" s="2" t="s">
        <v>1276</v>
      </c>
      <c r="AV641" t="s">
        <v>64</v>
      </c>
    </row>
    <row r="642" spans="1:48">
      <c r="A642" t="s">
        <v>622</v>
      </c>
      <c r="B642" t="s">
        <v>1146</v>
      </c>
      <c r="C642" t="s">
        <v>624</v>
      </c>
      <c r="D642" t="s">
        <v>1268</v>
      </c>
      <c r="E642" t="s">
        <v>1277</v>
      </c>
      <c r="F642" t="s">
        <v>1304</v>
      </c>
      <c r="G642" t="s">
        <v>1266</v>
      </c>
      <c r="H642" t="s">
        <v>1305</v>
      </c>
      <c r="I642" t="s">
        <v>1303</v>
      </c>
      <c r="J642" t="s">
        <v>1267</v>
      </c>
      <c r="K642" t="s">
        <v>1275</v>
      </c>
      <c r="L642" s="2" t="s">
        <v>1274</v>
      </c>
      <c r="M642" t="str">
        <f t="shared" ref="M642:AB642" si="2564">CONCATENATE("&lt;/li&gt;&lt;li&gt;&lt;a href=|http://",M1191,"/proverbs/14.htm","| ","title=|",M1190,"| target=|_top|&gt;",M1192,"&lt;/a&gt;")</f>
        <v>&lt;/li&gt;&lt;li&gt;&lt;a href=|http://niv.scripturetext.com/proverbs/14.htm| title=|New International Version| target=|_top|&gt;NIV&lt;/a&gt;</v>
      </c>
      <c r="N642" t="str">
        <f t="shared" si="2564"/>
        <v>&lt;/li&gt;&lt;li&gt;&lt;a href=|http://nlt.scripturetext.com/proverbs/14.htm| title=|New Living Translation| target=|_top|&gt;NLT&lt;/a&gt;</v>
      </c>
      <c r="O642" t="str">
        <f t="shared" si="2564"/>
        <v>&lt;/li&gt;&lt;li&gt;&lt;a href=|http://nasb.scripturetext.com/proverbs/14.htm| title=|New American Standard Bible| target=|_top|&gt;NAS&lt;/a&gt;</v>
      </c>
      <c r="P642" t="str">
        <f t="shared" si="2564"/>
        <v>&lt;/li&gt;&lt;li&gt;&lt;a href=|http://gwt.scripturetext.com/proverbs/14.htm| title=|God's Word Translation| target=|_top|&gt;GWT&lt;/a&gt;</v>
      </c>
      <c r="Q642" t="str">
        <f t="shared" si="2564"/>
        <v>&lt;/li&gt;&lt;li&gt;&lt;a href=|http://kingjbible.com/proverbs/14.htm| title=|King James Bible| target=|_top|&gt;KJV&lt;/a&gt;</v>
      </c>
      <c r="R642" t="str">
        <f t="shared" si="2564"/>
        <v>&lt;/li&gt;&lt;li&gt;&lt;a href=|http://asvbible.com/proverbs/14.htm| title=|American Standard Version| target=|_top|&gt;ASV&lt;/a&gt;</v>
      </c>
      <c r="S642" t="str">
        <f t="shared" si="2564"/>
        <v>&lt;/li&gt;&lt;li&gt;&lt;a href=|http://drb.scripturetext.com/proverbs/14.htm| title=|Douay-Rheims Bible| target=|_top|&gt;DRB&lt;/a&gt;</v>
      </c>
      <c r="T642" t="str">
        <f t="shared" si="2564"/>
        <v>&lt;/li&gt;&lt;li&gt;&lt;a href=|http://erv.scripturetext.com/proverbs/14.htm| title=|English Revised Version| target=|_top|&gt;ERV&lt;/a&gt;</v>
      </c>
      <c r="V642" t="str">
        <f>CONCATENATE("&lt;/li&gt;&lt;li&gt;&lt;a href=|http://",V1191,"/proverbs/14.htm","| ","title=|",V1190,"| target=|_top|&gt;",V1192,"&lt;/a&gt;")</f>
        <v>&lt;/li&gt;&lt;li&gt;&lt;a href=|http://study.interlinearbible.org/proverbs/14.htm| title=|Hebrew Study Bible| target=|_top|&gt;Heb Study&lt;/a&gt;</v>
      </c>
      <c r="W642" t="str">
        <f t="shared" si="2564"/>
        <v>&lt;/li&gt;&lt;li&gt;&lt;a href=|http://apostolic.interlinearbible.org/proverbs/14.htm| title=|Apostolic Bible Polyglot Interlinear| target=|_top|&gt;Polyglot&lt;/a&gt;</v>
      </c>
      <c r="X642" t="str">
        <f t="shared" si="2564"/>
        <v>&lt;/li&gt;&lt;li&gt;&lt;a href=|http://interlinearbible.org/proverbs/14.htm| title=|Interlinear Bible| target=|_top|&gt;Interlin&lt;/a&gt;</v>
      </c>
      <c r="Y642" t="str">
        <f t="shared" ref="Y642" si="2565">CONCATENATE("&lt;/li&gt;&lt;li&gt;&lt;a href=|http://",Y1191,"/proverbs/14.htm","| ","title=|",Y1190,"| target=|_top|&gt;",Y1192,"&lt;/a&gt;")</f>
        <v>&lt;/li&gt;&lt;li&gt;&lt;a href=|http://bibleoutline.org/proverbs/14.htm| title=|Outline with People and Places List| target=|_top|&gt;Outline&lt;/a&gt;</v>
      </c>
      <c r="Z642" t="str">
        <f t="shared" si="2564"/>
        <v>&lt;/li&gt;&lt;li&gt;&lt;a href=|http://kjvs.scripturetext.com/proverbs/14.htm| title=|King James Bible with Strong's Numbers| target=|_top|&gt;Strong's&lt;/a&gt;</v>
      </c>
      <c r="AA642" t="str">
        <f t="shared" si="2564"/>
        <v>&lt;/li&gt;&lt;li&gt;&lt;a href=|http://childrensbibleonline.com/proverbs/14.htm| title=|The Children's Bible| target=|_top|&gt;Children's&lt;/a&gt;</v>
      </c>
      <c r="AB642" s="2" t="str">
        <f t="shared" si="2564"/>
        <v>&lt;/li&gt;&lt;li&gt;&lt;a href=|http://tsk.scripturetext.com/proverbs/14.htm| title=|Treasury of Scripture Knowledge| target=|_top|&gt;TSK&lt;/a&gt;</v>
      </c>
      <c r="AC642" t="str">
        <f>CONCATENATE("&lt;a href=|http://",AC1191,"/proverbs/14.htm","| ","title=|",AC1190,"| target=|_top|&gt;",AC1192,"&lt;/a&gt;")</f>
        <v>&lt;a href=|http://parallelbible.com/proverbs/14.htm| title=|Parallel Chapters| target=|_top|&gt;PAR&lt;/a&gt;</v>
      </c>
      <c r="AD642" s="2" t="str">
        <f t="shared" ref="AD642:AK642" si="2566">CONCATENATE("&lt;/li&gt;&lt;li&gt;&lt;a href=|http://",AD1191,"/proverbs/14.htm","| ","title=|",AD1190,"| target=|_top|&gt;",AD1192,"&lt;/a&gt;")</f>
        <v>&lt;/li&gt;&lt;li&gt;&lt;a href=|http://gsb.biblecommenter.com/proverbs/14.htm| title=|Geneva Study Bible| target=|_top|&gt;GSB&lt;/a&gt;</v>
      </c>
      <c r="AE642" s="2" t="str">
        <f t="shared" si="2566"/>
        <v>&lt;/li&gt;&lt;li&gt;&lt;a href=|http://jfb.biblecommenter.com/proverbs/14.htm| title=|Jamieson-Fausset-Brown Bible Commentary| target=|_top|&gt;JFB&lt;/a&gt;</v>
      </c>
      <c r="AF642" s="2" t="str">
        <f t="shared" si="2566"/>
        <v>&lt;/li&gt;&lt;li&gt;&lt;a href=|http://kjt.biblecommenter.com/proverbs/14.htm| title=|King James Translators' Notes| target=|_top|&gt;KJT&lt;/a&gt;</v>
      </c>
      <c r="AG642" s="2" t="str">
        <f t="shared" si="2566"/>
        <v>&lt;/li&gt;&lt;li&gt;&lt;a href=|http://mhc.biblecommenter.com/proverbs/14.htm| title=|Matthew Henry's Concise Commentary| target=|_top|&gt;MHC&lt;/a&gt;</v>
      </c>
      <c r="AH642" s="2" t="str">
        <f t="shared" si="2566"/>
        <v>&lt;/li&gt;&lt;li&gt;&lt;a href=|http://sco.biblecommenter.com/proverbs/14.htm| title=|Scofield Reference Notes| target=|_top|&gt;SCO&lt;/a&gt;</v>
      </c>
      <c r="AI642" s="2" t="str">
        <f t="shared" si="2566"/>
        <v>&lt;/li&gt;&lt;li&gt;&lt;a href=|http://wes.biblecommenter.com/proverbs/14.htm| title=|Wesley's Notes on the Bible| target=|_top|&gt;WES&lt;/a&gt;</v>
      </c>
      <c r="AJ642" t="str">
        <f t="shared" si="2566"/>
        <v>&lt;/li&gt;&lt;li&gt;&lt;a href=|http://worldebible.com/proverbs/14.htm| title=|World English Bible| target=|_top|&gt;WEB&lt;/a&gt;</v>
      </c>
      <c r="AK642" t="str">
        <f t="shared" si="2566"/>
        <v>&lt;/li&gt;&lt;li&gt;&lt;a href=|http://yltbible.com/proverbs/14.htm| title=|Young's Literal Translation| target=|_top|&gt;YLT&lt;/a&gt;</v>
      </c>
      <c r="AL642" t="str">
        <f>CONCATENATE("&lt;a href=|http://",AL1191,"/proverbs/14.htm","| ","title=|",AL1190,"| target=|_top|&gt;",AL1192,"&lt;/a&gt;")</f>
        <v>&lt;a href=|http://kjv.us/proverbs/14.htm| title=|American King James Version| target=|_top|&gt;AKJ&lt;/a&gt;</v>
      </c>
      <c r="AM642" t="str">
        <f t="shared" ref="AM642:AN642" si="2567">CONCATENATE("&lt;/li&gt;&lt;li&gt;&lt;a href=|http://",AM1191,"/proverbs/14.htm","| ","title=|",AM1190,"| target=|_top|&gt;",AM1192,"&lt;/a&gt;")</f>
        <v>&lt;/li&gt;&lt;li&gt;&lt;a href=|http://basicenglishbible.com/proverbs/14.htm| title=|Bible in Basic English| target=|_top|&gt;BBE&lt;/a&gt;</v>
      </c>
      <c r="AN642" t="str">
        <f t="shared" si="2567"/>
        <v>&lt;/li&gt;&lt;li&gt;&lt;a href=|http://darbybible.com/proverbs/14.htm| title=|Darby Bible Translation| target=|_top|&gt;DBY&lt;/a&gt;</v>
      </c>
      <c r="AO64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4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4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42" t="str">
        <f>CONCATENATE("&lt;/li&gt;&lt;li&gt;&lt;a href=|http://",AR1191,"/proverbs/14.htm","| ","title=|",AR1190,"| target=|_top|&gt;",AR1192,"&lt;/a&gt;")</f>
        <v>&lt;/li&gt;&lt;li&gt;&lt;a href=|http://websterbible.com/proverbs/14.htm| title=|Webster's Bible Translation| target=|_top|&gt;WBS&lt;/a&gt;</v>
      </c>
      <c r="AS64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42" t="str">
        <f>CONCATENATE("&lt;/li&gt;&lt;li&gt;&lt;a href=|http://",AT1191,"/proverbs/14-1.htm","| ","title=|",AT1190,"| target=|_top|&gt;",AT1192,"&lt;/a&gt;")</f>
        <v>&lt;/li&gt;&lt;li&gt;&lt;a href=|http://biblebrowser.com/proverbs/14-1.htm| title=|Split View| target=|_top|&gt;Split&lt;/a&gt;</v>
      </c>
      <c r="AU642" s="2" t="s">
        <v>1276</v>
      </c>
      <c r="AV642" t="s">
        <v>64</v>
      </c>
    </row>
    <row r="643" spans="1:48">
      <c r="A643" t="s">
        <v>622</v>
      </c>
      <c r="B643" t="s">
        <v>1147</v>
      </c>
      <c r="C643" t="s">
        <v>624</v>
      </c>
      <c r="D643" t="s">
        <v>1268</v>
      </c>
      <c r="E643" t="s">
        <v>1277</v>
      </c>
      <c r="F643" t="s">
        <v>1304</v>
      </c>
      <c r="G643" t="s">
        <v>1266</v>
      </c>
      <c r="H643" t="s">
        <v>1305</v>
      </c>
      <c r="I643" t="s">
        <v>1303</v>
      </c>
      <c r="J643" t="s">
        <v>1267</v>
      </c>
      <c r="K643" t="s">
        <v>1275</v>
      </c>
      <c r="L643" s="2" t="s">
        <v>1274</v>
      </c>
      <c r="M643" t="str">
        <f t="shared" ref="M643:AB643" si="2568">CONCATENATE("&lt;/li&gt;&lt;li&gt;&lt;a href=|http://",M1191,"/proverbs/15.htm","| ","title=|",M1190,"| target=|_top|&gt;",M1192,"&lt;/a&gt;")</f>
        <v>&lt;/li&gt;&lt;li&gt;&lt;a href=|http://niv.scripturetext.com/proverbs/15.htm| title=|New International Version| target=|_top|&gt;NIV&lt;/a&gt;</v>
      </c>
      <c r="N643" t="str">
        <f t="shared" si="2568"/>
        <v>&lt;/li&gt;&lt;li&gt;&lt;a href=|http://nlt.scripturetext.com/proverbs/15.htm| title=|New Living Translation| target=|_top|&gt;NLT&lt;/a&gt;</v>
      </c>
      <c r="O643" t="str">
        <f t="shared" si="2568"/>
        <v>&lt;/li&gt;&lt;li&gt;&lt;a href=|http://nasb.scripturetext.com/proverbs/15.htm| title=|New American Standard Bible| target=|_top|&gt;NAS&lt;/a&gt;</v>
      </c>
      <c r="P643" t="str">
        <f t="shared" si="2568"/>
        <v>&lt;/li&gt;&lt;li&gt;&lt;a href=|http://gwt.scripturetext.com/proverbs/15.htm| title=|God's Word Translation| target=|_top|&gt;GWT&lt;/a&gt;</v>
      </c>
      <c r="Q643" t="str">
        <f t="shared" si="2568"/>
        <v>&lt;/li&gt;&lt;li&gt;&lt;a href=|http://kingjbible.com/proverbs/15.htm| title=|King James Bible| target=|_top|&gt;KJV&lt;/a&gt;</v>
      </c>
      <c r="R643" t="str">
        <f t="shared" si="2568"/>
        <v>&lt;/li&gt;&lt;li&gt;&lt;a href=|http://asvbible.com/proverbs/15.htm| title=|American Standard Version| target=|_top|&gt;ASV&lt;/a&gt;</v>
      </c>
      <c r="S643" t="str">
        <f t="shared" si="2568"/>
        <v>&lt;/li&gt;&lt;li&gt;&lt;a href=|http://drb.scripturetext.com/proverbs/15.htm| title=|Douay-Rheims Bible| target=|_top|&gt;DRB&lt;/a&gt;</v>
      </c>
      <c r="T643" t="str">
        <f t="shared" si="2568"/>
        <v>&lt;/li&gt;&lt;li&gt;&lt;a href=|http://erv.scripturetext.com/proverbs/15.htm| title=|English Revised Version| target=|_top|&gt;ERV&lt;/a&gt;</v>
      </c>
      <c r="V643" t="str">
        <f>CONCATENATE("&lt;/li&gt;&lt;li&gt;&lt;a href=|http://",V1191,"/proverbs/15.htm","| ","title=|",V1190,"| target=|_top|&gt;",V1192,"&lt;/a&gt;")</f>
        <v>&lt;/li&gt;&lt;li&gt;&lt;a href=|http://study.interlinearbible.org/proverbs/15.htm| title=|Hebrew Study Bible| target=|_top|&gt;Heb Study&lt;/a&gt;</v>
      </c>
      <c r="W643" t="str">
        <f t="shared" si="2568"/>
        <v>&lt;/li&gt;&lt;li&gt;&lt;a href=|http://apostolic.interlinearbible.org/proverbs/15.htm| title=|Apostolic Bible Polyglot Interlinear| target=|_top|&gt;Polyglot&lt;/a&gt;</v>
      </c>
      <c r="X643" t="str">
        <f t="shared" si="2568"/>
        <v>&lt;/li&gt;&lt;li&gt;&lt;a href=|http://interlinearbible.org/proverbs/15.htm| title=|Interlinear Bible| target=|_top|&gt;Interlin&lt;/a&gt;</v>
      </c>
      <c r="Y643" t="str">
        <f t="shared" ref="Y643" si="2569">CONCATENATE("&lt;/li&gt;&lt;li&gt;&lt;a href=|http://",Y1191,"/proverbs/15.htm","| ","title=|",Y1190,"| target=|_top|&gt;",Y1192,"&lt;/a&gt;")</f>
        <v>&lt;/li&gt;&lt;li&gt;&lt;a href=|http://bibleoutline.org/proverbs/15.htm| title=|Outline with People and Places List| target=|_top|&gt;Outline&lt;/a&gt;</v>
      </c>
      <c r="Z643" t="str">
        <f t="shared" si="2568"/>
        <v>&lt;/li&gt;&lt;li&gt;&lt;a href=|http://kjvs.scripturetext.com/proverbs/15.htm| title=|King James Bible with Strong's Numbers| target=|_top|&gt;Strong's&lt;/a&gt;</v>
      </c>
      <c r="AA643" t="str">
        <f t="shared" si="2568"/>
        <v>&lt;/li&gt;&lt;li&gt;&lt;a href=|http://childrensbibleonline.com/proverbs/15.htm| title=|The Children's Bible| target=|_top|&gt;Children's&lt;/a&gt;</v>
      </c>
      <c r="AB643" s="2" t="str">
        <f t="shared" si="2568"/>
        <v>&lt;/li&gt;&lt;li&gt;&lt;a href=|http://tsk.scripturetext.com/proverbs/15.htm| title=|Treasury of Scripture Knowledge| target=|_top|&gt;TSK&lt;/a&gt;</v>
      </c>
      <c r="AC643" t="str">
        <f>CONCATENATE("&lt;a href=|http://",AC1191,"/proverbs/15.htm","| ","title=|",AC1190,"| target=|_top|&gt;",AC1192,"&lt;/a&gt;")</f>
        <v>&lt;a href=|http://parallelbible.com/proverbs/15.htm| title=|Parallel Chapters| target=|_top|&gt;PAR&lt;/a&gt;</v>
      </c>
      <c r="AD643" s="2" t="str">
        <f t="shared" ref="AD643:AK643" si="2570">CONCATENATE("&lt;/li&gt;&lt;li&gt;&lt;a href=|http://",AD1191,"/proverbs/15.htm","| ","title=|",AD1190,"| target=|_top|&gt;",AD1192,"&lt;/a&gt;")</f>
        <v>&lt;/li&gt;&lt;li&gt;&lt;a href=|http://gsb.biblecommenter.com/proverbs/15.htm| title=|Geneva Study Bible| target=|_top|&gt;GSB&lt;/a&gt;</v>
      </c>
      <c r="AE643" s="2" t="str">
        <f t="shared" si="2570"/>
        <v>&lt;/li&gt;&lt;li&gt;&lt;a href=|http://jfb.biblecommenter.com/proverbs/15.htm| title=|Jamieson-Fausset-Brown Bible Commentary| target=|_top|&gt;JFB&lt;/a&gt;</v>
      </c>
      <c r="AF643" s="2" t="str">
        <f t="shared" si="2570"/>
        <v>&lt;/li&gt;&lt;li&gt;&lt;a href=|http://kjt.biblecommenter.com/proverbs/15.htm| title=|King James Translators' Notes| target=|_top|&gt;KJT&lt;/a&gt;</v>
      </c>
      <c r="AG643" s="2" t="str">
        <f t="shared" si="2570"/>
        <v>&lt;/li&gt;&lt;li&gt;&lt;a href=|http://mhc.biblecommenter.com/proverbs/15.htm| title=|Matthew Henry's Concise Commentary| target=|_top|&gt;MHC&lt;/a&gt;</v>
      </c>
      <c r="AH643" s="2" t="str">
        <f t="shared" si="2570"/>
        <v>&lt;/li&gt;&lt;li&gt;&lt;a href=|http://sco.biblecommenter.com/proverbs/15.htm| title=|Scofield Reference Notes| target=|_top|&gt;SCO&lt;/a&gt;</v>
      </c>
      <c r="AI643" s="2" t="str">
        <f t="shared" si="2570"/>
        <v>&lt;/li&gt;&lt;li&gt;&lt;a href=|http://wes.biblecommenter.com/proverbs/15.htm| title=|Wesley's Notes on the Bible| target=|_top|&gt;WES&lt;/a&gt;</v>
      </c>
      <c r="AJ643" t="str">
        <f t="shared" si="2570"/>
        <v>&lt;/li&gt;&lt;li&gt;&lt;a href=|http://worldebible.com/proverbs/15.htm| title=|World English Bible| target=|_top|&gt;WEB&lt;/a&gt;</v>
      </c>
      <c r="AK643" t="str">
        <f t="shared" si="2570"/>
        <v>&lt;/li&gt;&lt;li&gt;&lt;a href=|http://yltbible.com/proverbs/15.htm| title=|Young's Literal Translation| target=|_top|&gt;YLT&lt;/a&gt;</v>
      </c>
      <c r="AL643" t="str">
        <f>CONCATENATE("&lt;a href=|http://",AL1191,"/proverbs/15.htm","| ","title=|",AL1190,"| target=|_top|&gt;",AL1192,"&lt;/a&gt;")</f>
        <v>&lt;a href=|http://kjv.us/proverbs/15.htm| title=|American King James Version| target=|_top|&gt;AKJ&lt;/a&gt;</v>
      </c>
      <c r="AM643" t="str">
        <f t="shared" ref="AM643:AN643" si="2571">CONCATENATE("&lt;/li&gt;&lt;li&gt;&lt;a href=|http://",AM1191,"/proverbs/15.htm","| ","title=|",AM1190,"| target=|_top|&gt;",AM1192,"&lt;/a&gt;")</f>
        <v>&lt;/li&gt;&lt;li&gt;&lt;a href=|http://basicenglishbible.com/proverbs/15.htm| title=|Bible in Basic English| target=|_top|&gt;BBE&lt;/a&gt;</v>
      </c>
      <c r="AN643" t="str">
        <f t="shared" si="2571"/>
        <v>&lt;/li&gt;&lt;li&gt;&lt;a href=|http://darbybible.com/proverbs/15.htm| title=|Darby Bible Translation| target=|_top|&gt;DBY&lt;/a&gt;</v>
      </c>
      <c r="AO64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4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4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43" t="str">
        <f>CONCATENATE("&lt;/li&gt;&lt;li&gt;&lt;a href=|http://",AR1191,"/proverbs/15.htm","| ","title=|",AR1190,"| target=|_top|&gt;",AR1192,"&lt;/a&gt;")</f>
        <v>&lt;/li&gt;&lt;li&gt;&lt;a href=|http://websterbible.com/proverbs/15.htm| title=|Webster's Bible Translation| target=|_top|&gt;WBS&lt;/a&gt;</v>
      </c>
      <c r="AS64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43" t="str">
        <f>CONCATENATE("&lt;/li&gt;&lt;li&gt;&lt;a href=|http://",AT1191,"/proverbs/15-1.htm","| ","title=|",AT1190,"| target=|_top|&gt;",AT1192,"&lt;/a&gt;")</f>
        <v>&lt;/li&gt;&lt;li&gt;&lt;a href=|http://biblebrowser.com/proverbs/15-1.htm| title=|Split View| target=|_top|&gt;Split&lt;/a&gt;</v>
      </c>
      <c r="AU643" s="2" t="s">
        <v>1276</v>
      </c>
      <c r="AV643" t="s">
        <v>64</v>
      </c>
    </row>
    <row r="644" spans="1:48">
      <c r="A644" t="s">
        <v>622</v>
      </c>
      <c r="B644" t="s">
        <v>1148</v>
      </c>
      <c r="C644" t="s">
        <v>624</v>
      </c>
      <c r="D644" t="s">
        <v>1268</v>
      </c>
      <c r="E644" t="s">
        <v>1277</v>
      </c>
      <c r="F644" t="s">
        <v>1304</v>
      </c>
      <c r="G644" t="s">
        <v>1266</v>
      </c>
      <c r="H644" t="s">
        <v>1305</v>
      </c>
      <c r="I644" t="s">
        <v>1303</v>
      </c>
      <c r="J644" t="s">
        <v>1267</v>
      </c>
      <c r="K644" t="s">
        <v>1275</v>
      </c>
      <c r="L644" s="2" t="s">
        <v>1274</v>
      </c>
      <c r="M644" t="str">
        <f t="shared" ref="M644:AB644" si="2572">CONCATENATE("&lt;/li&gt;&lt;li&gt;&lt;a href=|http://",M1191,"/proverbs/16.htm","| ","title=|",M1190,"| target=|_top|&gt;",M1192,"&lt;/a&gt;")</f>
        <v>&lt;/li&gt;&lt;li&gt;&lt;a href=|http://niv.scripturetext.com/proverbs/16.htm| title=|New International Version| target=|_top|&gt;NIV&lt;/a&gt;</v>
      </c>
      <c r="N644" t="str">
        <f t="shared" si="2572"/>
        <v>&lt;/li&gt;&lt;li&gt;&lt;a href=|http://nlt.scripturetext.com/proverbs/16.htm| title=|New Living Translation| target=|_top|&gt;NLT&lt;/a&gt;</v>
      </c>
      <c r="O644" t="str">
        <f t="shared" si="2572"/>
        <v>&lt;/li&gt;&lt;li&gt;&lt;a href=|http://nasb.scripturetext.com/proverbs/16.htm| title=|New American Standard Bible| target=|_top|&gt;NAS&lt;/a&gt;</v>
      </c>
      <c r="P644" t="str">
        <f t="shared" si="2572"/>
        <v>&lt;/li&gt;&lt;li&gt;&lt;a href=|http://gwt.scripturetext.com/proverbs/16.htm| title=|God's Word Translation| target=|_top|&gt;GWT&lt;/a&gt;</v>
      </c>
      <c r="Q644" t="str">
        <f t="shared" si="2572"/>
        <v>&lt;/li&gt;&lt;li&gt;&lt;a href=|http://kingjbible.com/proverbs/16.htm| title=|King James Bible| target=|_top|&gt;KJV&lt;/a&gt;</v>
      </c>
      <c r="R644" t="str">
        <f t="shared" si="2572"/>
        <v>&lt;/li&gt;&lt;li&gt;&lt;a href=|http://asvbible.com/proverbs/16.htm| title=|American Standard Version| target=|_top|&gt;ASV&lt;/a&gt;</v>
      </c>
      <c r="S644" t="str">
        <f t="shared" si="2572"/>
        <v>&lt;/li&gt;&lt;li&gt;&lt;a href=|http://drb.scripturetext.com/proverbs/16.htm| title=|Douay-Rheims Bible| target=|_top|&gt;DRB&lt;/a&gt;</v>
      </c>
      <c r="T644" t="str">
        <f t="shared" si="2572"/>
        <v>&lt;/li&gt;&lt;li&gt;&lt;a href=|http://erv.scripturetext.com/proverbs/16.htm| title=|English Revised Version| target=|_top|&gt;ERV&lt;/a&gt;</v>
      </c>
      <c r="V644" t="str">
        <f>CONCATENATE("&lt;/li&gt;&lt;li&gt;&lt;a href=|http://",V1191,"/proverbs/16.htm","| ","title=|",V1190,"| target=|_top|&gt;",V1192,"&lt;/a&gt;")</f>
        <v>&lt;/li&gt;&lt;li&gt;&lt;a href=|http://study.interlinearbible.org/proverbs/16.htm| title=|Hebrew Study Bible| target=|_top|&gt;Heb Study&lt;/a&gt;</v>
      </c>
      <c r="W644" t="str">
        <f t="shared" si="2572"/>
        <v>&lt;/li&gt;&lt;li&gt;&lt;a href=|http://apostolic.interlinearbible.org/proverbs/16.htm| title=|Apostolic Bible Polyglot Interlinear| target=|_top|&gt;Polyglot&lt;/a&gt;</v>
      </c>
      <c r="X644" t="str">
        <f t="shared" si="2572"/>
        <v>&lt;/li&gt;&lt;li&gt;&lt;a href=|http://interlinearbible.org/proverbs/16.htm| title=|Interlinear Bible| target=|_top|&gt;Interlin&lt;/a&gt;</v>
      </c>
      <c r="Y644" t="str">
        <f t="shared" ref="Y644" si="2573">CONCATENATE("&lt;/li&gt;&lt;li&gt;&lt;a href=|http://",Y1191,"/proverbs/16.htm","| ","title=|",Y1190,"| target=|_top|&gt;",Y1192,"&lt;/a&gt;")</f>
        <v>&lt;/li&gt;&lt;li&gt;&lt;a href=|http://bibleoutline.org/proverbs/16.htm| title=|Outline with People and Places List| target=|_top|&gt;Outline&lt;/a&gt;</v>
      </c>
      <c r="Z644" t="str">
        <f t="shared" si="2572"/>
        <v>&lt;/li&gt;&lt;li&gt;&lt;a href=|http://kjvs.scripturetext.com/proverbs/16.htm| title=|King James Bible with Strong's Numbers| target=|_top|&gt;Strong's&lt;/a&gt;</v>
      </c>
      <c r="AA644" t="str">
        <f t="shared" si="2572"/>
        <v>&lt;/li&gt;&lt;li&gt;&lt;a href=|http://childrensbibleonline.com/proverbs/16.htm| title=|The Children's Bible| target=|_top|&gt;Children's&lt;/a&gt;</v>
      </c>
      <c r="AB644" s="2" t="str">
        <f t="shared" si="2572"/>
        <v>&lt;/li&gt;&lt;li&gt;&lt;a href=|http://tsk.scripturetext.com/proverbs/16.htm| title=|Treasury of Scripture Knowledge| target=|_top|&gt;TSK&lt;/a&gt;</v>
      </c>
      <c r="AC644" t="str">
        <f>CONCATENATE("&lt;a href=|http://",AC1191,"/proverbs/16.htm","| ","title=|",AC1190,"| target=|_top|&gt;",AC1192,"&lt;/a&gt;")</f>
        <v>&lt;a href=|http://parallelbible.com/proverbs/16.htm| title=|Parallel Chapters| target=|_top|&gt;PAR&lt;/a&gt;</v>
      </c>
      <c r="AD644" s="2" t="str">
        <f t="shared" ref="AD644:AK644" si="2574">CONCATENATE("&lt;/li&gt;&lt;li&gt;&lt;a href=|http://",AD1191,"/proverbs/16.htm","| ","title=|",AD1190,"| target=|_top|&gt;",AD1192,"&lt;/a&gt;")</f>
        <v>&lt;/li&gt;&lt;li&gt;&lt;a href=|http://gsb.biblecommenter.com/proverbs/16.htm| title=|Geneva Study Bible| target=|_top|&gt;GSB&lt;/a&gt;</v>
      </c>
      <c r="AE644" s="2" t="str">
        <f t="shared" si="2574"/>
        <v>&lt;/li&gt;&lt;li&gt;&lt;a href=|http://jfb.biblecommenter.com/proverbs/16.htm| title=|Jamieson-Fausset-Brown Bible Commentary| target=|_top|&gt;JFB&lt;/a&gt;</v>
      </c>
      <c r="AF644" s="2" t="str">
        <f t="shared" si="2574"/>
        <v>&lt;/li&gt;&lt;li&gt;&lt;a href=|http://kjt.biblecommenter.com/proverbs/16.htm| title=|King James Translators' Notes| target=|_top|&gt;KJT&lt;/a&gt;</v>
      </c>
      <c r="AG644" s="2" t="str">
        <f t="shared" si="2574"/>
        <v>&lt;/li&gt;&lt;li&gt;&lt;a href=|http://mhc.biblecommenter.com/proverbs/16.htm| title=|Matthew Henry's Concise Commentary| target=|_top|&gt;MHC&lt;/a&gt;</v>
      </c>
      <c r="AH644" s="2" t="str">
        <f t="shared" si="2574"/>
        <v>&lt;/li&gt;&lt;li&gt;&lt;a href=|http://sco.biblecommenter.com/proverbs/16.htm| title=|Scofield Reference Notes| target=|_top|&gt;SCO&lt;/a&gt;</v>
      </c>
      <c r="AI644" s="2" t="str">
        <f t="shared" si="2574"/>
        <v>&lt;/li&gt;&lt;li&gt;&lt;a href=|http://wes.biblecommenter.com/proverbs/16.htm| title=|Wesley's Notes on the Bible| target=|_top|&gt;WES&lt;/a&gt;</v>
      </c>
      <c r="AJ644" t="str">
        <f t="shared" si="2574"/>
        <v>&lt;/li&gt;&lt;li&gt;&lt;a href=|http://worldebible.com/proverbs/16.htm| title=|World English Bible| target=|_top|&gt;WEB&lt;/a&gt;</v>
      </c>
      <c r="AK644" t="str">
        <f t="shared" si="2574"/>
        <v>&lt;/li&gt;&lt;li&gt;&lt;a href=|http://yltbible.com/proverbs/16.htm| title=|Young's Literal Translation| target=|_top|&gt;YLT&lt;/a&gt;</v>
      </c>
      <c r="AL644" t="str">
        <f>CONCATENATE("&lt;a href=|http://",AL1191,"/proverbs/16.htm","| ","title=|",AL1190,"| target=|_top|&gt;",AL1192,"&lt;/a&gt;")</f>
        <v>&lt;a href=|http://kjv.us/proverbs/16.htm| title=|American King James Version| target=|_top|&gt;AKJ&lt;/a&gt;</v>
      </c>
      <c r="AM644" t="str">
        <f t="shared" ref="AM644:AN644" si="2575">CONCATENATE("&lt;/li&gt;&lt;li&gt;&lt;a href=|http://",AM1191,"/proverbs/16.htm","| ","title=|",AM1190,"| target=|_top|&gt;",AM1192,"&lt;/a&gt;")</f>
        <v>&lt;/li&gt;&lt;li&gt;&lt;a href=|http://basicenglishbible.com/proverbs/16.htm| title=|Bible in Basic English| target=|_top|&gt;BBE&lt;/a&gt;</v>
      </c>
      <c r="AN644" t="str">
        <f t="shared" si="2575"/>
        <v>&lt;/li&gt;&lt;li&gt;&lt;a href=|http://darbybible.com/proverbs/16.htm| title=|Darby Bible Translation| target=|_top|&gt;DBY&lt;/a&gt;</v>
      </c>
      <c r="AO64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4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4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44" t="str">
        <f>CONCATENATE("&lt;/li&gt;&lt;li&gt;&lt;a href=|http://",AR1191,"/proverbs/16.htm","| ","title=|",AR1190,"| target=|_top|&gt;",AR1192,"&lt;/a&gt;")</f>
        <v>&lt;/li&gt;&lt;li&gt;&lt;a href=|http://websterbible.com/proverbs/16.htm| title=|Webster's Bible Translation| target=|_top|&gt;WBS&lt;/a&gt;</v>
      </c>
      <c r="AS64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44" t="str">
        <f>CONCATENATE("&lt;/li&gt;&lt;li&gt;&lt;a href=|http://",AT1191,"/proverbs/16-1.htm","| ","title=|",AT1190,"| target=|_top|&gt;",AT1192,"&lt;/a&gt;")</f>
        <v>&lt;/li&gt;&lt;li&gt;&lt;a href=|http://biblebrowser.com/proverbs/16-1.htm| title=|Split View| target=|_top|&gt;Split&lt;/a&gt;</v>
      </c>
      <c r="AU644" s="2" t="s">
        <v>1276</v>
      </c>
      <c r="AV644" t="s">
        <v>64</v>
      </c>
    </row>
    <row r="645" spans="1:48">
      <c r="A645" t="s">
        <v>622</v>
      </c>
      <c r="B645" t="s">
        <v>1149</v>
      </c>
      <c r="C645" t="s">
        <v>624</v>
      </c>
      <c r="D645" t="s">
        <v>1268</v>
      </c>
      <c r="E645" t="s">
        <v>1277</v>
      </c>
      <c r="F645" t="s">
        <v>1304</v>
      </c>
      <c r="G645" t="s">
        <v>1266</v>
      </c>
      <c r="H645" t="s">
        <v>1305</v>
      </c>
      <c r="I645" t="s">
        <v>1303</v>
      </c>
      <c r="J645" t="s">
        <v>1267</v>
      </c>
      <c r="K645" t="s">
        <v>1275</v>
      </c>
      <c r="L645" s="2" t="s">
        <v>1274</v>
      </c>
      <c r="M645" t="str">
        <f t="shared" ref="M645:AB645" si="2576">CONCATENATE("&lt;/li&gt;&lt;li&gt;&lt;a href=|http://",M1191,"/proverbs/17.htm","| ","title=|",M1190,"| target=|_top|&gt;",M1192,"&lt;/a&gt;")</f>
        <v>&lt;/li&gt;&lt;li&gt;&lt;a href=|http://niv.scripturetext.com/proverbs/17.htm| title=|New International Version| target=|_top|&gt;NIV&lt;/a&gt;</v>
      </c>
      <c r="N645" t="str">
        <f t="shared" si="2576"/>
        <v>&lt;/li&gt;&lt;li&gt;&lt;a href=|http://nlt.scripturetext.com/proverbs/17.htm| title=|New Living Translation| target=|_top|&gt;NLT&lt;/a&gt;</v>
      </c>
      <c r="O645" t="str">
        <f t="shared" si="2576"/>
        <v>&lt;/li&gt;&lt;li&gt;&lt;a href=|http://nasb.scripturetext.com/proverbs/17.htm| title=|New American Standard Bible| target=|_top|&gt;NAS&lt;/a&gt;</v>
      </c>
      <c r="P645" t="str">
        <f t="shared" si="2576"/>
        <v>&lt;/li&gt;&lt;li&gt;&lt;a href=|http://gwt.scripturetext.com/proverbs/17.htm| title=|God's Word Translation| target=|_top|&gt;GWT&lt;/a&gt;</v>
      </c>
      <c r="Q645" t="str">
        <f t="shared" si="2576"/>
        <v>&lt;/li&gt;&lt;li&gt;&lt;a href=|http://kingjbible.com/proverbs/17.htm| title=|King James Bible| target=|_top|&gt;KJV&lt;/a&gt;</v>
      </c>
      <c r="R645" t="str">
        <f t="shared" si="2576"/>
        <v>&lt;/li&gt;&lt;li&gt;&lt;a href=|http://asvbible.com/proverbs/17.htm| title=|American Standard Version| target=|_top|&gt;ASV&lt;/a&gt;</v>
      </c>
      <c r="S645" t="str">
        <f t="shared" si="2576"/>
        <v>&lt;/li&gt;&lt;li&gt;&lt;a href=|http://drb.scripturetext.com/proverbs/17.htm| title=|Douay-Rheims Bible| target=|_top|&gt;DRB&lt;/a&gt;</v>
      </c>
      <c r="T645" t="str">
        <f t="shared" si="2576"/>
        <v>&lt;/li&gt;&lt;li&gt;&lt;a href=|http://erv.scripturetext.com/proverbs/17.htm| title=|English Revised Version| target=|_top|&gt;ERV&lt;/a&gt;</v>
      </c>
      <c r="V645" t="str">
        <f>CONCATENATE("&lt;/li&gt;&lt;li&gt;&lt;a href=|http://",V1191,"/proverbs/17.htm","| ","title=|",V1190,"| target=|_top|&gt;",V1192,"&lt;/a&gt;")</f>
        <v>&lt;/li&gt;&lt;li&gt;&lt;a href=|http://study.interlinearbible.org/proverbs/17.htm| title=|Hebrew Study Bible| target=|_top|&gt;Heb Study&lt;/a&gt;</v>
      </c>
      <c r="W645" t="str">
        <f t="shared" si="2576"/>
        <v>&lt;/li&gt;&lt;li&gt;&lt;a href=|http://apostolic.interlinearbible.org/proverbs/17.htm| title=|Apostolic Bible Polyglot Interlinear| target=|_top|&gt;Polyglot&lt;/a&gt;</v>
      </c>
      <c r="X645" t="str">
        <f t="shared" si="2576"/>
        <v>&lt;/li&gt;&lt;li&gt;&lt;a href=|http://interlinearbible.org/proverbs/17.htm| title=|Interlinear Bible| target=|_top|&gt;Interlin&lt;/a&gt;</v>
      </c>
      <c r="Y645" t="str">
        <f t="shared" ref="Y645" si="2577">CONCATENATE("&lt;/li&gt;&lt;li&gt;&lt;a href=|http://",Y1191,"/proverbs/17.htm","| ","title=|",Y1190,"| target=|_top|&gt;",Y1192,"&lt;/a&gt;")</f>
        <v>&lt;/li&gt;&lt;li&gt;&lt;a href=|http://bibleoutline.org/proverbs/17.htm| title=|Outline with People and Places List| target=|_top|&gt;Outline&lt;/a&gt;</v>
      </c>
      <c r="Z645" t="str">
        <f t="shared" si="2576"/>
        <v>&lt;/li&gt;&lt;li&gt;&lt;a href=|http://kjvs.scripturetext.com/proverbs/17.htm| title=|King James Bible with Strong's Numbers| target=|_top|&gt;Strong's&lt;/a&gt;</v>
      </c>
      <c r="AA645" t="str">
        <f t="shared" si="2576"/>
        <v>&lt;/li&gt;&lt;li&gt;&lt;a href=|http://childrensbibleonline.com/proverbs/17.htm| title=|The Children's Bible| target=|_top|&gt;Children's&lt;/a&gt;</v>
      </c>
      <c r="AB645" s="2" t="str">
        <f t="shared" si="2576"/>
        <v>&lt;/li&gt;&lt;li&gt;&lt;a href=|http://tsk.scripturetext.com/proverbs/17.htm| title=|Treasury of Scripture Knowledge| target=|_top|&gt;TSK&lt;/a&gt;</v>
      </c>
      <c r="AC645" t="str">
        <f>CONCATENATE("&lt;a href=|http://",AC1191,"/proverbs/17.htm","| ","title=|",AC1190,"| target=|_top|&gt;",AC1192,"&lt;/a&gt;")</f>
        <v>&lt;a href=|http://parallelbible.com/proverbs/17.htm| title=|Parallel Chapters| target=|_top|&gt;PAR&lt;/a&gt;</v>
      </c>
      <c r="AD645" s="2" t="str">
        <f t="shared" ref="AD645:AK645" si="2578">CONCATENATE("&lt;/li&gt;&lt;li&gt;&lt;a href=|http://",AD1191,"/proverbs/17.htm","| ","title=|",AD1190,"| target=|_top|&gt;",AD1192,"&lt;/a&gt;")</f>
        <v>&lt;/li&gt;&lt;li&gt;&lt;a href=|http://gsb.biblecommenter.com/proverbs/17.htm| title=|Geneva Study Bible| target=|_top|&gt;GSB&lt;/a&gt;</v>
      </c>
      <c r="AE645" s="2" t="str">
        <f t="shared" si="2578"/>
        <v>&lt;/li&gt;&lt;li&gt;&lt;a href=|http://jfb.biblecommenter.com/proverbs/17.htm| title=|Jamieson-Fausset-Brown Bible Commentary| target=|_top|&gt;JFB&lt;/a&gt;</v>
      </c>
      <c r="AF645" s="2" t="str">
        <f t="shared" si="2578"/>
        <v>&lt;/li&gt;&lt;li&gt;&lt;a href=|http://kjt.biblecommenter.com/proverbs/17.htm| title=|King James Translators' Notes| target=|_top|&gt;KJT&lt;/a&gt;</v>
      </c>
      <c r="AG645" s="2" t="str">
        <f t="shared" si="2578"/>
        <v>&lt;/li&gt;&lt;li&gt;&lt;a href=|http://mhc.biblecommenter.com/proverbs/17.htm| title=|Matthew Henry's Concise Commentary| target=|_top|&gt;MHC&lt;/a&gt;</v>
      </c>
      <c r="AH645" s="2" t="str">
        <f t="shared" si="2578"/>
        <v>&lt;/li&gt;&lt;li&gt;&lt;a href=|http://sco.biblecommenter.com/proverbs/17.htm| title=|Scofield Reference Notes| target=|_top|&gt;SCO&lt;/a&gt;</v>
      </c>
      <c r="AI645" s="2" t="str">
        <f t="shared" si="2578"/>
        <v>&lt;/li&gt;&lt;li&gt;&lt;a href=|http://wes.biblecommenter.com/proverbs/17.htm| title=|Wesley's Notes on the Bible| target=|_top|&gt;WES&lt;/a&gt;</v>
      </c>
      <c r="AJ645" t="str">
        <f t="shared" si="2578"/>
        <v>&lt;/li&gt;&lt;li&gt;&lt;a href=|http://worldebible.com/proverbs/17.htm| title=|World English Bible| target=|_top|&gt;WEB&lt;/a&gt;</v>
      </c>
      <c r="AK645" t="str">
        <f t="shared" si="2578"/>
        <v>&lt;/li&gt;&lt;li&gt;&lt;a href=|http://yltbible.com/proverbs/17.htm| title=|Young's Literal Translation| target=|_top|&gt;YLT&lt;/a&gt;</v>
      </c>
      <c r="AL645" t="str">
        <f>CONCATENATE("&lt;a href=|http://",AL1191,"/proverbs/17.htm","| ","title=|",AL1190,"| target=|_top|&gt;",AL1192,"&lt;/a&gt;")</f>
        <v>&lt;a href=|http://kjv.us/proverbs/17.htm| title=|American King James Version| target=|_top|&gt;AKJ&lt;/a&gt;</v>
      </c>
      <c r="AM645" t="str">
        <f t="shared" ref="AM645:AN645" si="2579">CONCATENATE("&lt;/li&gt;&lt;li&gt;&lt;a href=|http://",AM1191,"/proverbs/17.htm","| ","title=|",AM1190,"| target=|_top|&gt;",AM1192,"&lt;/a&gt;")</f>
        <v>&lt;/li&gt;&lt;li&gt;&lt;a href=|http://basicenglishbible.com/proverbs/17.htm| title=|Bible in Basic English| target=|_top|&gt;BBE&lt;/a&gt;</v>
      </c>
      <c r="AN645" t="str">
        <f t="shared" si="2579"/>
        <v>&lt;/li&gt;&lt;li&gt;&lt;a href=|http://darbybible.com/proverbs/17.htm| title=|Darby Bible Translation| target=|_top|&gt;DBY&lt;/a&gt;</v>
      </c>
      <c r="AO64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4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4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45" t="str">
        <f>CONCATENATE("&lt;/li&gt;&lt;li&gt;&lt;a href=|http://",AR1191,"/proverbs/17.htm","| ","title=|",AR1190,"| target=|_top|&gt;",AR1192,"&lt;/a&gt;")</f>
        <v>&lt;/li&gt;&lt;li&gt;&lt;a href=|http://websterbible.com/proverbs/17.htm| title=|Webster's Bible Translation| target=|_top|&gt;WBS&lt;/a&gt;</v>
      </c>
      <c r="AS64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45" t="str">
        <f>CONCATENATE("&lt;/li&gt;&lt;li&gt;&lt;a href=|http://",AT1191,"/proverbs/17-1.htm","| ","title=|",AT1190,"| target=|_top|&gt;",AT1192,"&lt;/a&gt;")</f>
        <v>&lt;/li&gt;&lt;li&gt;&lt;a href=|http://biblebrowser.com/proverbs/17-1.htm| title=|Split View| target=|_top|&gt;Split&lt;/a&gt;</v>
      </c>
      <c r="AU645" s="2" t="s">
        <v>1276</v>
      </c>
      <c r="AV645" t="s">
        <v>64</v>
      </c>
    </row>
    <row r="646" spans="1:48">
      <c r="A646" t="s">
        <v>622</v>
      </c>
      <c r="B646" t="s">
        <v>1150</v>
      </c>
      <c r="C646" t="s">
        <v>624</v>
      </c>
      <c r="D646" t="s">
        <v>1268</v>
      </c>
      <c r="E646" t="s">
        <v>1277</v>
      </c>
      <c r="F646" t="s">
        <v>1304</v>
      </c>
      <c r="G646" t="s">
        <v>1266</v>
      </c>
      <c r="H646" t="s">
        <v>1305</v>
      </c>
      <c r="I646" t="s">
        <v>1303</v>
      </c>
      <c r="J646" t="s">
        <v>1267</v>
      </c>
      <c r="K646" t="s">
        <v>1275</v>
      </c>
      <c r="L646" s="2" t="s">
        <v>1274</v>
      </c>
      <c r="M646" t="str">
        <f t="shared" ref="M646:AB646" si="2580">CONCATENATE("&lt;/li&gt;&lt;li&gt;&lt;a href=|http://",M1191,"/proverbs/18.htm","| ","title=|",M1190,"| target=|_top|&gt;",M1192,"&lt;/a&gt;")</f>
        <v>&lt;/li&gt;&lt;li&gt;&lt;a href=|http://niv.scripturetext.com/proverbs/18.htm| title=|New International Version| target=|_top|&gt;NIV&lt;/a&gt;</v>
      </c>
      <c r="N646" t="str">
        <f t="shared" si="2580"/>
        <v>&lt;/li&gt;&lt;li&gt;&lt;a href=|http://nlt.scripturetext.com/proverbs/18.htm| title=|New Living Translation| target=|_top|&gt;NLT&lt;/a&gt;</v>
      </c>
      <c r="O646" t="str">
        <f t="shared" si="2580"/>
        <v>&lt;/li&gt;&lt;li&gt;&lt;a href=|http://nasb.scripturetext.com/proverbs/18.htm| title=|New American Standard Bible| target=|_top|&gt;NAS&lt;/a&gt;</v>
      </c>
      <c r="P646" t="str">
        <f t="shared" si="2580"/>
        <v>&lt;/li&gt;&lt;li&gt;&lt;a href=|http://gwt.scripturetext.com/proverbs/18.htm| title=|God's Word Translation| target=|_top|&gt;GWT&lt;/a&gt;</v>
      </c>
      <c r="Q646" t="str">
        <f t="shared" si="2580"/>
        <v>&lt;/li&gt;&lt;li&gt;&lt;a href=|http://kingjbible.com/proverbs/18.htm| title=|King James Bible| target=|_top|&gt;KJV&lt;/a&gt;</v>
      </c>
      <c r="R646" t="str">
        <f t="shared" si="2580"/>
        <v>&lt;/li&gt;&lt;li&gt;&lt;a href=|http://asvbible.com/proverbs/18.htm| title=|American Standard Version| target=|_top|&gt;ASV&lt;/a&gt;</v>
      </c>
      <c r="S646" t="str">
        <f t="shared" si="2580"/>
        <v>&lt;/li&gt;&lt;li&gt;&lt;a href=|http://drb.scripturetext.com/proverbs/18.htm| title=|Douay-Rheims Bible| target=|_top|&gt;DRB&lt;/a&gt;</v>
      </c>
      <c r="T646" t="str">
        <f t="shared" si="2580"/>
        <v>&lt;/li&gt;&lt;li&gt;&lt;a href=|http://erv.scripturetext.com/proverbs/18.htm| title=|English Revised Version| target=|_top|&gt;ERV&lt;/a&gt;</v>
      </c>
      <c r="V646" t="str">
        <f>CONCATENATE("&lt;/li&gt;&lt;li&gt;&lt;a href=|http://",V1191,"/proverbs/18.htm","| ","title=|",V1190,"| target=|_top|&gt;",V1192,"&lt;/a&gt;")</f>
        <v>&lt;/li&gt;&lt;li&gt;&lt;a href=|http://study.interlinearbible.org/proverbs/18.htm| title=|Hebrew Study Bible| target=|_top|&gt;Heb Study&lt;/a&gt;</v>
      </c>
      <c r="W646" t="str">
        <f t="shared" si="2580"/>
        <v>&lt;/li&gt;&lt;li&gt;&lt;a href=|http://apostolic.interlinearbible.org/proverbs/18.htm| title=|Apostolic Bible Polyglot Interlinear| target=|_top|&gt;Polyglot&lt;/a&gt;</v>
      </c>
      <c r="X646" t="str">
        <f t="shared" si="2580"/>
        <v>&lt;/li&gt;&lt;li&gt;&lt;a href=|http://interlinearbible.org/proverbs/18.htm| title=|Interlinear Bible| target=|_top|&gt;Interlin&lt;/a&gt;</v>
      </c>
      <c r="Y646" t="str">
        <f t="shared" ref="Y646" si="2581">CONCATENATE("&lt;/li&gt;&lt;li&gt;&lt;a href=|http://",Y1191,"/proverbs/18.htm","| ","title=|",Y1190,"| target=|_top|&gt;",Y1192,"&lt;/a&gt;")</f>
        <v>&lt;/li&gt;&lt;li&gt;&lt;a href=|http://bibleoutline.org/proverbs/18.htm| title=|Outline with People and Places List| target=|_top|&gt;Outline&lt;/a&gt;</v>
      </c>
      <c r="Z646" t="str">
        <f t="shared" si="2580"/>
        <v>&lt;/li&gt;&lt;li&gt;&lt;a href=|http://kjvs.scripturetext.com/proverbs/18.htm| title=|King James Bible with Strong's Numbers| target=|_top|&gt;Strong's&lt;/a&gt;</v>
      </c>
      <c r="AA646" t="str">
        <f t="shared" si="2580"/>
        <v>&lt;/li&gt;&lt;li&gt;&lt;a href=|http://childrensbibleonline.com/proverbs/18.htm| title=|The Children's Bible| target=|_top|&gt;Children's&lt;/a&gt;</v>
      </c>
      <c r="AB646" s="2" t="str">
        <f t="shared" si="2580"/>
        <v>&lt;/li&gt;&lt;li&gt;&lt;a href=|http://tsk.scripturetext.com/proverbs/18.htm| title=|Treasury of Scripture Knowledge| target=|_top|&gt;TSK&lt;/a&gt;</v>
      </c>
      <c r="AC646" t="str">
        <f>CONCATENATE("&lt;a href=|http://",AC1191,"/proverbs/18.htm","| ","title=|",AC1190,"| target=|_top|&gt;",AC1192,"&lt;/a&gt;")</f>
        <v>&lt;a href=|http://parallelbible.com/proverbs/18.htm| title=|Parallel Chapters| target=|_top|&gt;PAR&lt;/a&gt;</v>
      </c>
      <c r="AD646" s="2" t="str">
        <f t="shared" ref="AD646:AK646" si="2582">CONCATENATE("&lt;/li&gt;&lt;li&gt;&lt;a href=|http://",AD1191,"/proverbs/18.htm","| ","title=|",AD1190,"| target=|_top|&gt;",AD1192,"&lt;/a&gt;")</f>
        <v>&lt;/li&gt;&lt;li&gt;&lt;a href=|http://gsb.biblecommenter.com/proverbs/18.htm| title=|Geneva Study Bible| target=|_top|&gt;GSB&lt;/a&gt;</v>
      </c>
      <c r="AE646" s="2" t="str">
        <f t="shared" si="2582"/>
        <v>&lt;/li&gt;&lt;li&gt;&lt;a href=|http://jfb.biblecommenter.com/proverbs/18.htm| title=|Jamieson-Fausset-Brown Bible Commentary| target=|_top|&gt;JFB&lt;/a&gt;</v>
      </c>
      <c r="AF646" s="2" t="str">
        <f t="shared" si="2582"/>
        <v>&lt;/li&gt;&lt;li&gt;&lt;a href=|http://kjt.biblecommenter.com/proverbs/18.htm| title=|King James Translators' Notes| target=|_top|&gt;KJT&lt;/a&gt;</v>
      </c>
      <c r="AG646" s="2" t="str">
        <f t="shared" si="2582"/>
        <v>&lt;/li&gt;&lt;li&gt;&lt;a href=|http://mhc.biblecommenter.com/proverbs/18.htm| title=|Matthew Henry's Concise Commentary| target=|_top|&gt;MHC&lt;/a&gt;</v>
      </c>
      <c r="AH646" s="2" t="str">
        <f t="shared" si="2582"/>
        <v>&lt;/li&gt;&lt;li&gt;&lt;a href=|http://sco.biblecommenter.com/proverbs/18.htm| title=|Scofield Reference Notes| target=|_top|&gt;SCO&lt;/a&gt;</v>
      </c>
      <c r="AI646" s="2" t="str">
        <f t="shared" si="2582"/>
        <v>&lt;/li&gt;&lt;li&gt;&lt;a href=|http://wes.biblecommenter.com/proverbs/18.htm| title=|Wesley's Notes on the Bible| target=|_top|&gt;WES&lt;/a&gt;</v>
      </c>
      <c r="AJ646" t="str">
        <f t="shared" si="2582"/>
        <v>&lt;/li&gt;&lt;li&gt;&lt;a href=|http://worldebible.com/proverbs/18.htm| title=|World English Bible| target=|_top|&gt;WEB&lt;/a&gt;</v>
      </c>
      <c r="AK646" t="str">
        <f t="shared" si="2582"/>
        <v>&lt;/li&gt;&lt;li&gt;&lt;a href=|http://yltbible.com/proverbs/18.htm| title=|Young's Literal Translation| target=|_top|&gt;YLT&lt;/a&gt;</v>
      </c>
      <c r="AL646" t="str">
        <f>CONCATENATE("&lt;a href=|http://",AL1191,"/proverbs/18.htm","| ","title=|",AL1190,"| target=|_top|&gt;",AL1192,"&lt;/a&gt;")</f>
        <v>&lt;a href=|http://kjv.us/proverbs/18.htm| title=|American King James Version| target=|_top|&gt;AKJ&lt;/a&gt;</v>
      </c>
      <c r="AM646" t="str">
        <f t="shared" ref="AM646:AN646" si="2583">CONCATENATE("&lt;/li&gt;&lt;li&gt;&lt;a href=|http://",AM1191,"/proverbs/18.htm","| ","title=|",AM1190,"| target=|_top|&gt;",AM1192,"&lt;/a&gt;")</f>
        <v>&lt;/li&gt;&lt;li&gt;&lt;a href=|http://basicenglishbible.com/proverbs/18.htm| title=|Bible in Basic English| target=|_top|&gt;BBE&lt;/a&gt;</v>
      </c>
      <c r="AN646" t="str">
        <f t="shared" si="2583"/>
        <v>&lt;/li&gt;&lt;li&gt;&lt;a href=|http://darbybible.com/proverbs/18.htm| title=|Darby Bible Translation| target=|_top|&gt;DBY&lt;/a&gt;</v>
      </c>
      <c r="AO64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4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4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46" t="str">
        <f>CONCATENATE("&lt;/li&gt;&lt;li&gt;&lt;a href=|http://",AR1191,"/proverbs/18.htm","| ","title=|",AR1190,"| target=|_top|&gt;",AR1192,"&lt;/a&gt;")</f>
        <v>&lt;/li&gt;&lt;li&gt;&lt;a href=|http://websterbible.com/proverbs/18.htm| title=|Webster's Bible Translation| target=|_top|&gt;WBS&lt;/a&gt;</v>
      </c>
      <c r="AS64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46" t="str">
        <f>CONCATENATE("&lt;/li&gt;&lt;li&gt;&lt;a href=|http://",AT1191,"/proverbs/18-1.htm","| ","title=|",AT1190,"| target=|_top|&gt;",AT1192,"&lt;/a&gt;")</f>
        <v>&lt;/li&gt;&lt;li&gt;&lt;a href=|http://biblebrowser.com/proverbs/18-1.htm| title=|Split View| target=|_top|&gt;Split&lt;/a&gt;</v>
      </c>
      <c r="AU646" s="2" t="s">
        <v>1276</v>
      </c>
      <c r="AV646" t="s">
        <v>64</v>
      </c>
    </row>
    <row r="647" spans="1:48">
      <c r="A647" t="s">
        <v>622</v>
      </c>
      <c r="B647" t="s">
        <v>1151</v>
      </c>
      <c r="C647" t="s">
        <v>624</v>
      </c>
      <c r="D647" t="s">
        <v>1268</v>
      </c>
      <c r="E647" t="s">
        <v>1277</v>
      </c>
      <c r="F647" t="s">
        <v>1304</v>
      </c>
      <c r="G647" t="s">
        <v>1266</v>
      </c>
      <c r="H647" t="s">
        <v>1305</v>
      </c>
      <c r="I647" t="s">
        <v>1303</v>
      </c>
      <c r="J647" t="s">
        <v>1267</v>
      </c>
      <c r="K647" t="s">
        <v>1275</v>
      </c>
      <c r="L647" s="2" t="s">
        <v>1274</v>
      </c>
      <c r="M647" t="str">
        <f t="shared" ref="M647:AB647" si="2584">CONCATENATE("&lt;/li&gt;&lt;li&gt;&lt;a href=|http://",M1191,"/proverbs/19.htm","| ","title=|",M1190,"| target=|_top|&gt;",M1192,"&lt;/a&gt;")</f>
        <v>&lt;/li&gt;&lt;li&gt;&lt;a href=|http://niv.scripturetext.com/proverbs/19.htm| title=|New International Version| target=|_top|&gt;NIV&lt;/a&gt;</v>
      </c>
      <c r="N647" t="str">
        <f t="shared" si="2584"/>
        <v>&lt;/li&gt;&lt;li&gt;&lt;a href=|http://nlt.scripturetext.com/proverbs/19.htm| title=|New Living Translation| target=|_top|&gt;NLT&lt;/a&gt;</v>
      </c>
      <c r="O647" t="str">
        <f t="shared" si="2584"/>
        <v>&lt;/li&gt;&lt;li&gt;&lt;a href=|http://nasb.scripturetext.com/proverbs/19.htm| title=|New American Standard Bible| target=|_top|&gt;NAS&lt;/a&gt;</v>
      </c>
      <c r="P647" t="str">
        <f t="shared" si="2584"/>
        <v>&lt;/li&gt;&lt;li&gt;&lt;a href=|http://gwt.scripturetext.com/proverbs/19.htm| title=|God's Word Translation| target=|_top|&gt;GWT&lt;/a&gt;</v>
      </c>
      <c r="Q647" t="str">
        <f t="shared" si="2584"/>
        <v>&lt;/li&gt;&lt;li&gt;&lt;a href=|http://kingjbible.com/proverbs/19.htm| title=|King James Bible| target=|_top|&gt;KJV&lt;/a&gt;</v>
      </c>
      <c r="R647" t="str">
        <f t="shared" si="2584"/>
        <v>&lt;/li&gt;&lt;li&gt;&lt;a href=|http://asvbible.com/proverbs/19.htm| title=|American Standard Version| target=|_top|&gt;ASV&lt;/a&gt;</v>
      </c>
      <c r="S647" t="str">
        <f t="shared" si="2584"/>
        <v>&lt;/li&gt;&lt;li&gt;&lt;a href=|http://drb.scripturetext.com/proverbs/19.htm| title=|Douay-Rheims Bible| target=|_top|&gt;DRB&lt;/a&gt;</v>
      </c>
      <c r="T647" t="str">
        <f t="shared" si="2584"/>
        <v>&lt;/li&gt;&lt;li&gt;&lt;a href=|http://erv.scripturetext.com/proverbs/19.htm| title=|English Revised Version| target=|_top|&gt;ERV&lt;/a&gt;</v>
      </c>
      <c r="V647" t="str">
        <f>CONCATENATE("&lt;/li&gt;&lt;li&gt;&lt;a href=|http://",V1191,"/proverbs/19.htm","| ","title=|",V1190,"| target=|_top|&gt;",V1192,"&lt;/a&gt;")</f>
        <v>&lt;/li&gt;&lt;li&gt;&lt;a href=|http://study.interlinearbible.org/proverbs/19.htm| title=|Hebrew Study Bible| target=|_top|&gt;Heb Study&lt;/a&gt;</v>
      </c>
      <c r="W647" t="str">
        <f t="shared" si="2584"/>
        <v>&lt;/li&gt;&lt;li&gt;&lt;a href=|http://apostolic.interlinearbible.org/proverbs/19.htm| title=|Apostolic Bible Polyglot Interlinear| target=|_top|&gt;Polyglot&lt;/a&gt;</v>
      </c>
      <c r="X647" t="str">
        <f t="shared" si="2584"/>
        <v>&lt;/li&gt;&lt;li&gt;&lt;a href=|http://interlinearbible.org/proverbs/19.htm| title=|Interlinear Bible| target=|_top|&gt;Interlin&lt;/a&gt;</v>
      </c>
      <c r="Y647" t="str">
        <f t="shared" ref="Y647" si="2585">CONCATENATE("&lt;/li&gt;&lt;li&gt;&lt;a href=|http://",Y1191,"/proverbs/19.htm","| ","title=|",Y1190,"| target=|_top|&gt;",Y1192,"&lt;/a&gt;")</f>
        <v>&lt;/li&gt;&lt;li&gt;&lt;a href=|http://bibleoutline.org/proverbs/19.htm| title=|Outline with People and Places List| target=|_top|&gt;Outline&lt;/a&gt;</v>
      </c>
      <c r="Z647" t="str">
        <f t="shared" si="2584"/>
        <v>&lt;/li&gt;&lt;li&gt;&lt;a href=|http://kjvs.scripturetext.com/proverbs/19.htm| title=|King James Bible with Strong's Numbers| target=|_top|&gt;Strong's&lt;/a&gt;</v>
      </c>
      <c r="AA647" t="str">
        <f t="shared" si="2584"/>
        <v>&lt;/li&gt;&lt;li&gt;&lt;a href=|http://childrensbibleonline.com/proverbs/19.htm| title=|The Children's Bible| target=|_top|&gt;Children's&lt;/a&gt;</v>
      </c>
      <c r="AB647" s="2" t="str">
        <f t="shared" si="2584"/>
        <v>&lt;/li&gt;&lt;li&gt;&lt;a href=|http://tsk.scripturetext.com/proverbs/19.htm| title=|Treasury of Scripture Knowledge| target=|_top|&gt;TSK&lt;/a&gt;</v>
      </c>
      <c r="AC647" t="str">
        <f>CONCATENATE("&lt;a href=|http://",AC1191,"/proverbs/19.htm","| ","title=|",AC1190,"| target=|_top|&gt;",AC1192,"&lt;/a&gt;")</f>
        <v>&lt;a href=|http://parallelbible.com/proverbs/19.htm| title=|Parallel Chapters| target=|_top|&gt;PAR&lt;/a&gt;</v>
      </c>
      <c r="AD647" s="2" t="str">
        <f t="shared" ref="AD647:AK647" si="2586">CONCATENATE("&lt;/li&gt;&lt;li&gt;&lt;a href=|http://",AD1191,"/proverbs/19.htm","| ","title=|",AD1190,"| target=|_top|&gt;",AD1192,"&lt;/a&gt;")</f>
        <v>&lt;/li&gt;&lt;li&gt;&lt;a href=|http://gsb.biblecommenter.com/proverbs/19.htm| title=|Geneva Study Bible| target=|_top|&gt;GSB&lt;/a&gt;</v>
      </c>
      <c r="AE647" s="2" t="str">
        <f t="shared" si="2586"/>
        <v>&lt;/li&gt;&lt;li&gt;&lt;a href=|http://jfb.biblecommenter.com/proverbs/19.htm| title=|Jamieson-Fausset-Brown Bible Commentary| target=|_top|&gt;JFB&lt;/a&gt;</v>
      </c>
      <c r="AF647" s="2" t="str">
        <f t="shared" si="2586"/>
        <v>&lt;/li&gt;&lt;li&gt;&lt;a href=|http://kjt.biblecommenter.com/proverbs/19.htm| title=|King James Translators' Notes| target=|_top|&gt;KJT&lt;/a&gt;</v>
      </c>
      <c r="AG647" s="2" t="str">
        <f t="shared" si="2586"/>
        <v>&lt;/li&gt;&lt;li&gt;&lt;a href=|http://mhc.biblecommenter.com/proverbs/19.htm| title=|Matthew Henry's Concise Commentary| target=|_top|&gt;MHC&lt;/a&gt;</v>
      </c>
      <c r="AH647" s="2" t="str">
        <f t="shared" si="2586"/>
        <v>&lt;/li&gt;&lt;li&gt;&lt;a href=|http://sco.biblecommenter.com/proverbs/19.htm| title=|Scofield Reference Notes| target=|_top|&gt;SCO&lt;/a&gt;</v>
      </c>
      <c r="AI647" s="2" t="str">
        <f t="shared" si="2586"/>
        <v>&lt;/li&gt;&lt;li&gt;&lt;a href=|http://wes.biblecommenter.com/proverbs/19.htm| title=|Wesley's Notes on the Bible| target=|_top|&gt;WES&lt;/a&gt;</v>
      </c>
      <c r="AJ647" t="str">
        <f t="shared" si="2586"/>
        <v>&lt;/li&gt;&lt;li&gt;&lt;a href=|http://worldebible.com/proverbs/19.htm| title=|World English Bible| target=|_top|&gt;WEB&lt;/a&gt;</v>
      </c>
      <c r="AK647" t="str">
        <f t="shared" si="2586"/>
        <v>&lt;/li&gt;&lt;li&gt;&lt;a href=|http://yltbible.com/proverbs/19.htm| title=|Young's Literal Translation| target=|_top|&gt;YLT&lt;/a&gt;</v>
      </c>
      <c r="AL647" t="str">
        <f>CONCATENATE("&lt;a href=|http://",AL1191,"/proverbs/19.htm","| ","title=|",AL1190,"| target=|_top|&gt;",AL1192,"&lt;/a&gt;")</f>
        <v>&lt;a href=|http://kjv.us/proverbs/19.htm| title=|American King James Version| target=|_top|&gt;AKJ&lt;/a&gt;</v>
      </c>
      <c r="AM647" t="str">
        <f t="shared" ref="AM647:AN647" si="2587">CONCATENATE("&lt;/li&gt;&lt;li&gt;&lt;a href=|http://",AM1191,"/proverbs/19.htm","| ","title=|",AM1190,"| target=|_top|&gt;",AM1192,"&lt;/a&gt;")</f>
        <v>&lt;/li&gt;&lt;li&gt;&lt;a href=|http://basicenglishbible.com/proverbs/19.htm| title=|Bible in Basic English| target=|_top|&gt;BBE&lt;/a&gt;</v>
      </c>
      <c r="AN647" t="str">
        <f t="shared" si="2587"/>
        <v>&lt;/li&gt;&lt;li&gt;&lt;a href=|http://darbybible.com/proverbs/19.htm| title=|Darby Bible Translation| target=|_top|&gt;DBY&lt;/a&gt;</v>
      </c>
      <c r="AO64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4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4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47" t="str">
        <f>CONCATENATE("&lt;/li&gt;&lt;li&gt;&lt;a href=|http://",AR1191,"/proverbs/19.htm","| ","title=|",AR1190,"| target=|_top|&gt;",AR1192,"&lt;/a&gt;")</f>
        <v>&lt;/li&gt;&lt;li&gt;&lt;a href=|http://websterbible.com/proverbs/19.htm| title=|Webster's Bible Translation| target=|_top|&gt;WBS&lt;/a&gt;</v>
      </c>
      <c r="AS64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47" t="str">
        <f>CONCATENATE("&lt;/li&gt;&lt;li&gt;&lt;a href=|http://",AT1191,"/proverbs/19-1.htm","| ","title=|",AT1190,"| target=|_top|&gt;",AT1192,"&lt;/a&gt;")</f>
        <v>&lt;/li&gt;&lt;li&gt;&lt;a href=|http://biblebrowser.com/proverbs/19-1.htm| title=|Split View| target=|_top|&gt;Split&lt;/a&gt;</v>
      </c>
      <c r="AU647" s="2" t="s">
        <v>1276</v>
      </c>
      <c r="AV647" t="s">
        <v>64</v>
      </c>
    </row>
    <row r="648" spans="1:48">
      <c r="A648" t="s">
        <v>622</v>
      </c>
      <c r="B648" t="s">
        <v>1152</v>
      </c>
      <c r="C648" t="s">
        <v>624</v>
      </c>
      <c r="D648" t="s">
        <v>1268</v>
      </c>
      <c r="E648" t="s">
        <v>1277</v>
      </c>
      <c r="F648" t="s">
        <v>1304</v>
      </c>
      <c r="G648" t="s">
        <v>1266</v>
      </c>
      <c r="H648" t="s">
        <v>1305</v>
      </c>
      <c r="I648" t="s">
        <v>1303</v>
      </c>
      <c r="J648" t="s">
        <v>1267</v>
      </c>
      <c r="K648" t="s">
        <v>1275</v>
      </c>
      <c r="L648" s="2" t="s">
        <v>1274</v>
      </c>
      <c r="M648" t="str">
        <f t="shared" ref="M648:AB648" si="2588">CONCATENATE("&lt;/li&gt;&lt;li&gt;&lt;a href=|http://",M1191,"/proverbs/20.htm","| ","title=|",M1190,"| target=|_top|&gt;",M1192,"&lt;/a&gt;")</f>
        <v>&lt;/li&gt;&lt;li&gt;&lt;a href=|http://niv.scripturetext.com/proverbs/20.htm| title=|New International Version| target=|_top|&gt;NIV&lt;/a&gt;</v>
      </c>
      <c r="N648" t="str">
        <f t="shared" si="2588"/>
        <v>&lt;/li&gt;&lt;li&gt;&lt;a href=|http://nlt.scripturetext.com/proverbs/20.htm| title=|New Living Translation| target=|_top|&gt;NLT&lt;/a&gt;</v>
      </c>
      <c r="O648" t="str">
        <f t="shared" si="2588"/>
        <v>&lt;/li&gt;&lt;li&gt;&lt;a href=|http://nasb.scripturetext.com/proverbs/20.htm| title=|New American Standard Bible| target=|_top|&gt;NAS&lt;/a&gt;</v>
      </c>
      <c r="P648" t="str">
        <f t="shared" si="2588"/>
        <v>&lt;/li&gt;&lt;li&gt;&lt;a href=|http://gwt.scripturetext.com/proverbs/20.htm| title=|God's Word Translation| target=|_top|&gt;GWT&lt;/a&gt;</v>
      </c>
      <c r="Q648" t="str">
        <f t="shared" si="2588"/>
        <v>&lt;/li&gt;&lt;li&gt;&lt;a href=|http://kingjbible.com/proverbs/20.htm| title=|King James Bible| target=|_top|&gt;KJV&lt;/a&gt;</v>
      </c>
      <c r="R648" t="str">
        <f t="shared" si="2588"/>
        <v>&lt;/li&gt;&lt;li&gt;&lt;a href=|http://asvbible.com/proverbs/20.htm| title=|American Standard Version| target=|_top|&gt;ASV&lt;/a&gt;</v>
      </c>
      <c r="S648" t="str">
        <f t="shared" si="2588"/>
        <v>&lt;/li&gt;&lt;li&gt;&lt;a href=|http://drb.scripturetext.com/proverbs/20.htm| title=|Douay-Rheims Bible| target=|_top|&gt;DRB&lt;/a&gt;</v>
      </c>
      <c r="T648" t="str">
        <f t="shared" si="2588"/>
        <v>&lt;/li&gt;&lt;li&gt;&lt;a href=|http://erv.scripturetext.com/proverbs/20.htm| title=|English Revised Version| target=|_top|&gt;ERV&lt;/a&gt;</v>
      </c>
      <c r="V648" t="str">
        <f>CONCATENATE("&lt;/li&gt;&lt;li&gt;&lt;a href=|http://",V1191,"/proverbs/20.htm","| ","title=|",V1190,"| target=|_top|&gt;",V1192,"&lt;/a&gt;")</f>
        <v>&lt;/li&gt;&lt;li&gt;&lt;a href=|http://study.interlinearbible.org/proverbs/20.htm| title=|Hebrew Study Bible| target=|_top|&gt;Heb Study&lt;/a&gt;</v>
      </c>
      <c r="W648" t="str">
        <f t="shared" si="2588"/>
        <v>&lt;/li&gt;&lt;li&gt;&lt;a href=|http://apostolic.interlinearbible.org/proverbs/20.htm| title=|Apostolic Bible Polyglot Interlinear| target=|_top|&gt;Polyglot&lt;/a&gt;</v>
      </c>
      <c r="X648" t="str">
        <f t="shared" si="2588"/>
        <v>&lt;/li&gt;&lt;li&gt;&lt;a href=|http://interlinearbible.org/proverbs/20.htm| title=|Interlinear Bible| target=|_top|&gt;Interlin&lt;/a&gt;</v>
      </c>
      <c r="Y648" t="str">
        <f t="shared" ref="Y648" si="2589">CONCATENATE("&lt;/li&gt;&lt;li&gt;&lt;a href=|http://",Y1191,"/proverbs/20.htm","| ","title=|",Y1190,"| target=|_top|&gt;",Y1192,"&lt;/a&gt;")</f>
        <v>&lt;/li&gt;&lt;li&gt;&lt;a href=|http://bibleoutline.org/proverbs/20.htm| title=|Outline with People and Places List| target=|_top|&gt;Outline&lt;/a&gt;</v>
      </c>
      <c r="Z648" t="str">
        <f t="shared" si="2588"/>
        <v>&lt;/li&gt;&lt;li&gt;&lt;a href=|http://kjvs.scripturetext.com/proverbs/20.htm| title=|King James Bible with Strong's Numbers| target=|_top|&gt;Strong's&lt;/a&gt;</v>
      </c>
      <c r="AA648" t="str">
        <f t="shared" si="2588"/>
        <v>&lt;/li&gt;&lt;li&gt;&lt;a href=|http://childrensbibleonline.com/proverbs/20.htm| title=|The Children's Bible| target=|_top|&gt;Children's&lt;/a&gt;</v>
      </c>
      <c r="AB648" s="2" t="str">
        <f t="shared" si="2588"/>
        <v>&lt;/li&gt;&lt;li&gt;&lt;a href=|http://tsk.scripturetext.com/proverbs/20.htm| title=|Treasury of Scripture Knowledge| target=|_top|&gt;TSK&lt;/a&gt;</v>
      </c>
      <c r="AC648" t="str">
        <f>CONCATENATE("&lt;a href=|http://",AC1191,"/proverbs/20.htm","| ","title=|",AC1190,"| target=|_top|&gt;",AC1192,"&lt;/a&gt;")</f>
        <v>&lt;a href=|http://parallelbible.com/proverbs/20.htm| title=|Parallel Chapters| target=|_top|&gt;PAR&lt;/a&gt;</v>
      </c>
      <c r="AD648" s="2" t="str">
        <f t="shared" ref="AD648:AK648" si="2590">CONCATENATE("&lt;/li&gt;&lt;li&gt;&lt;a href=|http://",AD1191,"/proverbs/20.htm","| ","title=|",AD1190,"| target=|_top|&gt;",AD1192,"&lt;/a&gt;")</f>
        <v>&lt;/li&gt;&lt;li&gt;&lt;a href=|http://gsb.biblecommenter.com/proverbs/20.htm| title=|Geneva Study Bible| target=|_top|&gt;GSB&lt;/a&gt;</v>
      </c>
      <c r="AE648" s="2" t="str">
        <f t="shared" si="2590"/>
        <v>&lt;/li&gt;&lt;li&gt;&lt;a href=|http://jfb.biblecommenter.com/proverbs/20.htm| title=|Jamieson-Fausset-Brown Bible Commentary| target=|_top|&gt;JFB&lt;/a&gt;</v>
      </c>
      <c r="AF648" s="2" t="str">
        <f t="shared" si="2590"/>
        <v>&lt;/li&gt;&lt;li&gt;&lt;a href=|http://kjt.biblecommenter.com/proverbs/20.htm| title=|King James Translators' Notes| target=|_top|&gt;KJT&lt;/a&gt;</v>
      </c>
      <c r="AG648" s="2" t="str">
        <f t="shared" si="2590"/>
        <v>&lt;/li&gt;&lt;li&gt;&lt;a href=|http://mhc.biblecommenter.com/proverbs/20.htm| title=|Matthew Henry's Concise Commentary| target=|_top|&gt;MHC&lt;/a&gt;</v>
      </c>
      <c r="AH648" s="2" t="str">
        <f t="shared" si="2590"/>
        <v>&lt;/li&gt;&lt;li&gt;&lt;a href=|http://sco.biblecommenter.com/proverbs/20.htm| title=|Scofield Reference Notes| target=|_top|&gt;SCO&lt;/a&gt;</v>
      </c>
      <c r="AI648" s="2" t="str">
        <f t="shared" si="2590"/>
        <v>&lt;/li&gt;&lt;li&gt;&lt;a href=|http://wes.biblecommenter.com/proverbs/20.htm| title=|Wesley's Notes on the Bible| target=|_top|&gt;WES&lt;/a&gt;</v>
      </c>
      <c r="AJ648" t="str">
        <f t="shared" si="2590"/>
        <v>&lt;/li&gt;&lt;li&gt;&lt;a href=|http://worldebible.com/proverbs/20.htm| title=|World English Bible| target=|_top|&gt;WEB&lt;/a&gt;</v>
      </c>
      <c r="AK648" t="str">
        <f t="shared" si="2590"/>
        <v>&lt;/li&gt;&lt;li&gt;&lt;a href=|http://yltbible.com/proverbs/20.htm| title=|Young's Literal Translation| target=|_top|&gt;YLT&lt;/a&gt;</v>
      </c>
      <c r="AL648" t="str">
        <f>CONCATENATE("&lt;a href=|http://",AL1191,"/proverbs/20.htm","| ","title=|",AL1190,"| target=|_top|&gt;",AL1192,"&lt;/a&gt;")</f>
        <v>&lt;a href=|http://kjv.us/proverbs/20.htm| title=|American King James Version| target=|_top|&gt;AKJ&lt;/a&gt;</v>
      </c>
      <c r="AM648" t="str">
        <f t="shared" ref="AM648:AN648" si="2591">CONCATENATE("&lt;/li&gt;&lt;li&gt;&lt;a href=|http://",AM1191,"/proverbs/20.htm","| ","title=|",AM1190,"| target=|_top|&gt;",AM1192,"&lt;/a&gt;")</f>
        <v>&lt;/li&gt;&lt;li&gt;&lt;a href=|http://basicenglishbible.com/proverbs/20.htm| title=|Bible in Basic English| target=|_top|&gt;BBE&lt;/a&gt;</v>
      </c>
      <c r="AN648" t="str">
        <f t="shared" si="2591"/>
        <v>&lt;/li&gt;&lt;li&gt;&lt;a href=|http://darbybible.com/proverbs/20.htm| title=|Darby Bible Translation| target=|_top|&gt;DBY&lt;/a&gt;</v>
      </c>
      <c r="AO64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4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4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48" t="str">
        <f>CONCATENATE("&lt;/li&gt;&lt;li&gt;&lt;a href=|http://",AR1191,"/proverbs/20.htm","| ","title=|",AR1190,"| target=|_top|&gt;",AR1192,"&lt;/a&gt;")</f>
        <v>&lt;/li&gt;&lt;li&gt;&lt;a href=|http://websterbible.com/proverbs/20.htm| title=|Webster's Bible Translation| target=|_top|&gt;WBS&lt;/a&gt;</v>
      </c>
      <c r="AS64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48" t="str">
        <f>CONCATENATE("&lt;/li&gt;&lt;li&gt;&lt;a href=|http://",AT1191,"/proverbs/20-1.htm","| ","title=|",AT1190,"| target=|_top|&gt;",AT1192,"&lt;/a&gt;")</f>
        <v>&lt;/li&gt;&lt;li&gt;&lt;a href=|http://biblebrowser.com/proverbs/20-1.htm| title=|Split View| target=|_top|&gt;Split&lt;/a&gt;</v>
      </c>
      <c r="AU648" s="2" t="s">
        <v>1276</v>
      </c>
      <c r="AV648" t="s">
        <v>64</v>
      </c>
    </row>
    <row r="649" spans="1:48">
      <c r="A649" t="s">
        <v>622</v>
      </c>
      <c r="B649" t="s">
        <v>1153</v>
      </c>
      <c r="C649" t="s">
        <v>624</v>
      </c>
      <c r="D649" t="s">
        <v>1268</v>
      </c>
      <c r="E649" t="s">
        <v>1277</v>
      </c>
      <c r="F649" t="s">
        <v>1304</v>
      </c>
      <c r="G649" t="s">
        <v>1266</v>
      </c>
      <c r="H649" t="s">
        <v>1305</v>
      </c>
      <c r="I649" t="s">
        <v>1303</v>
      </c>
      <c r="J649" t="s">
        <v>1267</v>
      </c>
      <c r="K649" t="s">
        <v>1275</v>
      </c>
      <c r="L649" s="2" t="s">
        <v>1274</v>
      </c>
      <c r="M649" t="str">
        <f t="shared" ref="M649:AB649" si="2592">CONCATENATE("&lt;/li&gt;&lt;li&gt;&lt;a href=|http://",M1191,"/proverbs/21.htm","| ","title=|",M1190,"| target=|_top|&gt;",M1192,"&lt;/a&gt;")</f>
        <v>&lt;/li&gt;&lt;li&gt;&lt;a href=|http://niv.scripturetext.com/proverbs/21.htm| title=|New International Version| target=|_top|&gt;NIV&lt;/a&gt;</v>
      </c>
      <c r="N649" t="str">
        <f t="shared" si="2592"/>
        <v>&lt;/li&gt;&lt;li&gt;&lt;a href=|http://nlt.scripturetext.com/proverbs/21.htm| title=|New Living Translation| target=|_top|&gt;NLT&lt;/a&gt;</v>
      </c>
      <c r="O649" t="str">
        <f t="shared" si="2592"/>
        <v>&lt;/li&gt;&lt;li&gt;&lt;a href=|http://nasb.scripturetext.com/proverbs/21.htm| title=|New American Standard Bible| target=|_top|&gt;NAS&lt;/a&gt;</v>
      </c>
      <c r="P649" t="str">
        <f t="shared" si="2592"/>
        <v>&lt;/li&gt;&lt;li&gt;&lt;a href=|http://gwt.scripturetext.com/proverbs/21.htm| title=|God's Word Translation| target=|_top|&gt;GWT&lt;/a&gt;</v>
      </c>
      <c r="Q649" t="str">
        <f t="shared" si="2592"/>
        <v>&lt;/li&gt;&lt;li&gt;&lt;a href=|http://kingjbible.com/proverbs/21.htm| title=|King James Bible| target=|_top|&gt;KJV&lt;/a&gt;</v>
      </c>
      <c r="R649" t="str">
        <f t="shared" si="2592"/>
        <v>&lt;/li&gt;&lt;li&gt;&lt;a href=|http://asvbible.com/proverbs/21.htm| title=|American Standard Version| target=|_top|&gt;ASV&lt;/a&gt;</v>
      </c>
      <c r="S649" t="str">
        <f t="shared" si="2592"/>
        <v>&lt;/li&gt;&lt;li&gt;&lt;a href=|http://drb.scripturetext.com/proverbs/21.htm| title=|Douay-Rheims Bible| target=|_top|&gt;DRB&lt;/a&gt;</v>
      </c>
      <c r="T649" t="str">
        <f t="shared" si="2592"/>
        <v>&lt;/li&gt;&lt;li&gt;&lt;a href=|http://erv.scripturetext.com/proverbs/21.htm| title=|English Revised Version| target=|_top|&gt;ERV&lt;/a&gt;</v>
      </c>
      <c r="V649" t="str">
        <f>CONCATENATE("&lt;/li&gt;&lt;li&gt;&lt;a href=|http://",V1191,"/proverbs/21.htm","| ","title=|",V1190,"| target=|_top|&gt;",V1192,"&lt;/a&gt;")</f>
        <v>&lt;/li&gt;&lt;li&gt;&lt;a href=|http://study.interlinearbible.org/proverbs/21.htm| title=|Hebrew Study Bible| target=|_top|&gt;Heb Study&lt;/a&gt;</v>
      </c>
      <c r="W649" t="str">
        <f t="shared" si="2592"/>
        <v>&lt;/li&gt;&lt;li&gt;&lt;a href=|http://apostolic.interlinearbible.org/proverbs/21.htm| title=|Apostolic Bible Polyglot Interlinear| target=|_top|&gt;Polyglot&lt;/a&gt;</v>
      </c>
      <c r="X649" t="str">
        <f t="shared" si="2592"/>
        <v>&lt;/li&gt;&lt;li&gt;&lt;a href=|http://interlinearbible.org/proverbs/21.htm| title=|Interlinear Bible| target=|_top|&gt;Interlin&lt;/a&gt;</v>
      </c>
      <c r="Y649" t="str">
        <f t="shared" ref="Y649" si="2593">CONCATENATE("&lt;/li&gt;&lt;li&gt;&lt;a href=|http://",Y1191,"/proverbs/21.htm","| ","title=|",Y1190,"| target=|_top|&gt;",Y1192,"&lt;/a&gt;")</f>
        <v>&lt;/li&gt;&lt;li&gt;&lt;a href=|http://bibleoutline.org/proverbs/21.htm| title=|Outline with People and Places List| target=|_top|&gt;Outline&lt;/a&gt;</v>
      </c>
      <c r="Z649" t="str">
        <f t="shared" si="2592"/>
        <v>&lt;/li&gt;&lt;li&gt;&lt;a href=|http://kjvs.scripturetext.com/proverbs/21.htm| title=|King James Bible with Strong's Numbers| target=|_top|&gt;Strong's&lt;/a&gt;</v>
      </c>
      <c r="AA649" t="str">
        <f t="shared" si="2592"/>
        <v>&lt;/li&gt;&lt;li&gt;&lt;a href=|http://childrensbibleonline.com/proverbs/21.htm| title=|The Children's Bible| target=|_top|&gt;Children's&lt;/a&gt;</v>
      </c>
      <c r="AB649" s="2" t="str">
        <f t="shared" si="2592"/>
        <v>&lt;/li&gt;&lt;li&gt;&lt;a href=|http://tsk.scripturetext.com/proverbs/21.htm| title=|Treasury of Scripture Knowledge| target=|_top|&gt;TSK&lt;/a&gt;</v>
      </c>
      <c r="AC649" t="str">
        <f>CONCATENATE("&lt;a href=|http://",AC1191,"/proverbs/21.htm","| ","title=|",AC1190,"| target=|_top|&gt;",AC1192,"&lt;/a&gt;")</f>
        <v>&lt;a href=|http://parallelbible.com/proverbs/21.htm| title=|Parallel Chapters| target=|_top|&gt;PAR&lt;/a&gt;</v>
      </c>
      <c r="AD649" s="2" t="str">
        <f t="shared" ref="AD649:AK649" si="2594">CONCATENATE("&lt;/li&gt;&lt;li&gt;&lt;a href=|http://",AD1191,"/proverbs/21.htm","| ","title=|",AD1190,"| target=|_top|&gt;",AD1192,"&lt;/a&gt;")</f>
        <v>&lt;/li&gt;&lt;li&gt;&lt;a href=|http://gsb.biblecommenter.com/proverbs/21.htm| title=|Geneva Study Bible| target=|_top|&gt;GSB&lt;/a&gt;</v>
      </c>
      <c r="AE649" s="2" t="str">
        <f t="shared" si="2594"/>
        <v>&lt;/li&gt;&lt;li&gt;&lt;a href=|http://jfb.biblecommenter.com/proverbs/21.htm| title=|Jamieson-Fausset-Brown Bible Commentary| target=|_top|&gt;JFB&lt;/a&gt;</v>
      </c>
      <c r="AF649" s="2" t="str">
        <f t="shared" si="2594"/>
        <v>&lt;/li&gt;&lt;li&gt;&lt;a href=|http://kjt.biblecommenter.com/proverbs/21.htm| title=|King James Translators' Notes| target=|_top|&gt;KJT&lt;/a&gt;</v>
      </c>
      <c r="AG649" s="2" t="str">
        <f t="shared" si="2594"/>
        <v>&lt;/li&gt;&lt;li&gt;&lt;a href=|http://mhc.biblecommenter.com/proverbs/21.htm| title=|Matthew Henry's Concise Commentary| target=|_top|&gt;MHC&lt;/a&gt;</v>
      </c>
      <c r="AH649" s="2" t="str">
        <f t="shared" si="2594"/>
        <v>&lt;/li&gt;&lt;li&gt;&lt;a href=|http://sco.biblecommenter.com/proverbs/21.htm| title=|Scofield Reference Notes| target=|_top|&gt;SCO&lt;/a&gt;</v>
      </c>
      <c r="AI649" s="2" t="str">
        <f t="shared" si="2594"/>
        <v>&lt;/li&gt;&lt;li&gt;&lt;a href=|http://wes.biblecommenter.com/proverbs/21.htm| title=|Wesley's Notes on the Bible| target=|_top|&gt;WES&lt;/a&gt;</v>
      </c>
      <c r="AJ649" t="str">
        <f t="shared" si="2594"/>
        <v>&lt;/li&gt;&lt;li&gt;&lt;a href=|http://worldebible.com/proverbs/21.htm| title=|World English Bible| target=|_top|&gt;WEB&lt;/a&gt;</v>
      </c>
      <c r="AK649" t="str">
        <f t="shared" si="2594"/>
        <v>&lt;/li&gt;&lt;li&gt;&lt;a href=|http://yltbible.com/proverbs/21.htm| title=|Young's Literal Translation| target=|_top|&gt;YLT&lt;/a&gt;</v>
      </c>
      <c r="AL649" t="str">
        <f>CONCATENATE("&lt;a href=|http://",AL1191,"/proverbs/21.htm","| ","title=|",AL1190,"| target=|_top|&gt;",AL1192,"&lt;/a&gt;")</f>
        <v>&lt;a href=|http://kjv.us/proverbs/21.htm| title=|American King James Version| target=|_top|&gt;AKJ&lt;/a&gt;</v>
      </c>
      <c r="AM649" t="str">
        <f t="shared" ref="AM649:AN649" si="2595">CONCATENATE("&lt;/li&gt;&lt;li&gt;&lt;a href=|http://",AM1191,"/proverbs/21.htm","| ","title=|",AM1190,"| target=|_top|&gt;",AM1192,"&lt;/a&gt;")</f>
        <v>&lt;/li&gt;&lt;li&gt;&lt;a href=|http://basicenglishbible.com/proverbs/21.htm| title=|Bible in Basic English| target=|_top|&gt;BBE&lt;/a&gt;</v>
      </c>
      <c r="AN649" t="str">
        <f t="shared" si="2595"/>
        <v>&lt;/li&gt;&lt;li&gt;&lt;a href=|http://darbybible.com/proverbs/21.htm| title=|Darby Bible Translation| target=|_top|&gt;DBY&lt;/a&gt;</v>
      </c>
      <c r="AO64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4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4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49" t="str">
        <f>CONCATENATE("&lt;/li&gt;&lt;li&gt;&lt;a href=|http://",AR1191,"/proverbs/21.htm","| ","title=|",AR1190,"| target=|_top|&gt;",AR1192,"&lt;/a&gt;")</f>
        <v>&lt;/li&gt;&lt;li&gt;&lt;a href=|http://websterbible.com/proverbs/21.htm| title=|Webster's Bible Translation| target=|_top|&gt;WBS&lt;/a&gt;</v>
      </c>
      <c r="AS64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49" t="str">
        <f>CONCATENATE("&lt;/li&gt;&lt;li&gt;&lt;a href=|http://",AT1191,"/proverbs/21-1.htm","| ","title=|",AT1190,"| target=|_top|&gt;",AT1192,"&lt;/a&gt;")</f>
        <v>&lt;/li&gt;&lt;li&gt;&lt;a href=|http://biblebrowser.com/proverbs/21-1.htm| title=|Split View| target=|_top|&gt;Split&lt;/a&gt;</v>
      </c>
      <c r="AU649" s="2" t="s">
        <v>1276</v>
      </c>
      <c r="AV649" t="s">
        <v>64</v>
      </c>
    </row>
    <row r="650" spans="1:48">
      <c r="A650" t="s">
        <v>622</v>
      </c>
      <c r="B650" t="s">
        <v>1154</v>
      </c>
      <c r="C650" t="s">
        <v>624</v>
      </c>
      <c r="D650" t="s">
        <v>1268</v>
      </c>
      <c r="E650" t="s">
        <v>1277</v>
      </c>
      <c r="F650" t="s">
        <v>1304</v>
      </c>
      <c r="G650" t="s">
        <v>1266</v>
      </c>
      <c r="H650" t="s">
        <v>1305</v>
      </c>
      <c r="I650" t="s">
        <v>1303</v>
      </c>
      <c r="J650" t="s">
        <v>1267</v>
      </c>
      <c r="K650" t="s">
        <v>1275</v>
      </c>
      <c r="L650" s="2" t="s">
        <v>1274</v>
      </c>
      <c r="M650" t="str">
        <f t="shared" ref="M650:AB650" si="2596">CONCATENATE("&lt;/li&gt;&lt;li&gt;&lt;a href=|http://",M1191,"/proverbs/22.htm","| ","title=|",M1190,"| target=|_top|&gt;",M1192,"&lt;/a&gt;")</f>
        <v>&lt;/li&gt;&lt;li&gt;&lt;a href=|http://niv.scripturetext.com/proverbs/22.htm| title=|New International Version| target=|_top|&gt;NIV&lt;/a&gt;</v>
      </c>
      <c r="N650" t="str">
        <f t="shared" si="2596"/>
        <v>&lt;/li&gt;&lt;li&gt;&lt;a href=|http://nlt.scripturetext.com/proverbs/22.htm| title=|New Living Translation| target=|_top|&gt;NLT&lt;/a&gt;</v>
      </c>
      <c r="O650" t="str">
        <f t="shared" si="2596"/>
        <v>&lt;/li&gt;&lt;li&gt;&lt;a href=|http://nasb.scripturetext.com/proverbs/22.htm| title=|New American Standard Bible| target=|_top|&gt;NAS&lt;/a&gt;</v>
      </c>
      <c r="P650" t="str">
        <f t="shared" si="2596"/>
        <v>&lt;/li&gt;&lt;li&gt;&lt;a href=|http://gwt.scripturetext.com/proverbs/22.htm| title=|God's Word Translation| target=|_top|&gt;GWT&lt;/a&gt;</v>
      </c>
      <c r="Q650" t="str">
        <f t="shared" si="2596"/>
        <v>&lt;/li&gt;&lt;li&gt;&lt;a href=|http://kingjbible.com/proverbs/22.htm| title=|King James Bible| target=|_top|&gt;KJV&lt;/a&gt;</v>
      </c>
      <c r="R650" t="str">
        <f t="shared" si="2596"/>
        <v>&lt;/li&gt;&lt;li&gt;&lt;a href=|http://asvbible.com/proverbs/22.htm| title=|American Standard Version| target=|_top|&gt;ASV&lt;/a&gt;</v>
      </c>
      <c r="S650" t="str">
        <f t="shared" si="2596"/>
        <v>&lt;/li&gt;&lt;li&gt;&lt;a href=|http://drb.scripturetext.com/proverbs/22.htm| title=|Douay-Rheims Bible| target=|_top|&gt;DRB&lt;/a&gt;</v>
      </c>
      <c r="T650" t="str">
        <f t="shared" si="2596"/>
        <v>&lt;/li&gt;&lt;li&gt;&lt;a href=|http://erv.scripturetext.com/proverbs/22.htm| title=|English Revised Version| target=|_top|&gt;ERV&lt;/a&gt;</v>
      </c>
      <c r="V650" t="str">
        <f>CONCATENATE("&lt;/li&gt;&lt;li&gt;&lt;a href=|http://",V1191,"/proverbs/22.htm","| ","title=|",V1190,"| target=|_top|&gt;",V1192,"&lt;/a&gt;")</f>
        <v>&lt;/li&gt;&lt;li&gt;&lt;a href=|http://study.interlinearbible.org/proverbs/22.htm| title=|Hebrew Study Bible| target=|_top|&gt;Heb Study&lt;/a&gt;</v>
      </c>
      <c r="W650" t="str">
        <f t="shared" si="2596"/>
        <v>&lt;/li&gt;&lt;li&gt;&lt;a href=|http://apostolic.interlinearbible.org/proverbs/22.htm| title=|Apostolic Bible Polyglot Interlinear| target=|_top|&gt;Polyglot&lt;/a&gt;</v>
      </c>
      <c r="X650" t="str">
        <f t="shared" si="2596"/>
        <v>&lt;/li&gt;&lt;li&gt;&lt;a href=|http://interlinearbible.org/proverbs/22.htm| title=|Interlinear Bible| target=|_top|&gt;Interlin&lt;/a&gt;</v>
      </c>
      <c r="Y650" t="str">
        <f t="shared" ref="Y650" si="2597">CONCATENATE("&lt;/li&gt;&lt;li&gt;&lt;a href=|http://",Y1191,"/proverbs/22.htm","| ","title=|",Y1190,"| target=|_top|&gt;",Y1192,"&lt;/a&gt;")</f>
        <v>&lt;/li&gt;&lt;li&gt;&lt;a href=|http://bibleoutline.org/proverbs/22.htm| title=|Outline with People and Places List| target=|_top|&gt;Outline&lt;/a&gt;</v>
      </c>
      <c r="Z650" t="str">
        <f t="shared" si="2596"/>
        <v>&lt;/li&gt;&lt;li&gt;&lt;a href=|http://kjvs.scripturetext.com/proverbs/22.htm| title=|King James Bible with Strong's Numbers| target=|_top|&gt;Strong's&lt;/a&gt;</v>
      </c>
      <c r="AA650" t="str">
        <f t="shared" si="2596"/>
        <v>&lt;/li&gt;&lt;li&gt;&lt;a href=|http://childrensbibleonline.com/proverbs/22.htm| title=|The Children's Bible| target=|_top|&gt;Children's&lt;/a&gt;</v>
      </c>
      <c r="AB650" s="2" t="str">
        <f t="shared" si="2596"/>
        <v>&lt;/li&gt;&lt;li&gt;&lt;a href=|http://tsk.scripturetext.com/proverbs/22.htm| title=|Treasury of Scripture Knowledge| target=|_top|&gt;TSK&lt;/a&gt;</v>
      </c>
      <c r="AC650" t="str">
        <f>CONCATENATE("&lt;a href=|http://",AC1191,"/proverbs/22.htm","| ","title=|",AC1190,"| target=|_top|&gt;",AC1192,"&lt;/a&gt;")</f>
        <v>&lt;a href=|http://parallelbible.com/proverbs/22.htm| title=|Parallel Chapters| target=|_top|&gt;PAR&lt;/a&gt;</v>
      </c>
      <c r="AD650" s="2" t="str">
        <f t="shared" ref="AD650:AK650" si="2598">CONCATENATE("&lt;/li&gt;&lt;li&gt;&lt;a href=|http://",AD1191,"/proverbs/22.htm","| ","title=|",AD1190,"| target=|_top|&gt;",AD1192,"&lt;/a&gt;")</f>
        <v>&lt;/li&gt;&lt;li&gt;&lt;a href=|http://gsb.biblecommenter.com/proverbs/22.htm| title=|Geneva Study Bible| target=|_top|&gt;GSB&lt;/a&gt;</v>
      </c>
      <c r="AE650" s="2" t="str">
        <f t="shared" si="2598"/>
        <v>&lt;/li&gt;&lt;li&gt;&lt;a href=|http://jfb.biblecommenter.com/proverbs/22.htm| title=|Jamieson-Fausset-Brown Bible Commentary| target=|_top|&gt;JFB&lt;/a&gt;</v>
      </c>
      <c r="AF650" s="2" t="str">
        <f t="shared" si="2598"/>
        <v>&lt;/li&gt;&lt;li&gt;&lt;a href=|http://kjt.biblecommenter.com/proverbs/22.htm| title=|King James Translators' Notes| target=|_top|&gt;KJT&lt;/a&gt;</v>
      </c>
      <c r="AG650" s="2" t="str">
        <f t="shared" si="2598"/>
        <v>&lt;/li&gt;&lt;li&gt;&lt;a href=|http://mhc.biblecommenter.com/proverbs/22.htm| title=|Matthew Henry's Concise Commentary| target=|_top|&gt;MHC&lt;/a&gt;</v>
      </c>
      <c r="AH650" s="2" t="str">
        <f t="shared" si="2598"/>
        <v>&lt;/li&gt;&lt;li&gt;&lt;a href=|http://sco.biblecommenter.com/proverbs/22.htm| title=|Scofield Reference Notes| target=|_top|&gt;SCO&lt;/a&gt;</v>
      </c>
      <c r="AI650" s="2" t="str">
        <f t="shared" si="2598"/>
        <v>&lt;/li&gt;&lt;li&gt;&lt;a href=|http://wes.biblecommenter.com/proverbs/22.htm| title=|Wesley's Notes on the Bible| target=|_top|&gt;WES&lt;/a&gt;</v>
      </c>
      <c r="AJ650" t="str">
        <f t="shared" si="2598"/>
        <v>&lt;/li&gt;&lt;li&gt;&lt;a href=|http://worldebible.com/proverbs/22.htm| title=|World English Bible| target=|_top|&gt;WEB&lt;/a&gt;</v>
      </c>
      <c r="AK650" t="str">
        <f t="shared" si="2598"/>
        <v>&lt;/li&gt;&lt;li&gt;&lt;a href=|http://yltbible.com/proverbs/22.htm| title=|Young's Literal Translation| target=|_top|&gt;YLT&lt;/a&gt;</v>
      </c>
      <c r="AL650" t="str">
        <f>CONCATENATE("&lt;a href=|http://",AL1191,"/proverbs/22.htm","| ","title=|",AL1190,"| target=|_top|&gt;",AL1192,"&lt;/a&gt;")</f>
        <v>&lt;a href=|http://kjv.us/proverbs/22.htm| title=|American King James Version| target=|_top|&gt;AKJ&lt;/a&gt;</v>
      </c>
      <c r="AM650" t="str">
        <f t="shared" ref="AM650:AN650" si="2599">CONCATENATE("&lt;/li&gt;&lt;li&gt;&lt;a href=|http://",AM1191,"/proverbs/22.htm","| ","title=|",AM1190,"| target=|_top|&gt;",AM1192,"&lt;/a&gt;")</f>
        <v>&lt;/li&gt;&lt;li&gt;&lt;a href=|http://basicenglishbible.com/proverbs/22.htm| title=|Bible in Basic English| target=|_top|&gt;BBE&lt;/a&gt;</v>
      </c>
      <c r="AN650" t="str">
        <f t="shared" si="2599"/>
        <v>&lt;/li&gt;&lt;li&gt;&lt;a href=|http://darbybible.com/proverbs/22.htm| title=|Darby Bible Translation| target=|_top|&gt;DBY&lt;/a&gt;</v>
      </c>
      <c r="AO65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5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5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50" t="str">
        <f>CONCATENATE("&lt;/li&gt;&lt;li&gt;&lt;a href=|http://",AR1191,"/proverbs/22.htm","| ","title=|",AR1190,"| target=|_top|&gt;",AR1192,"&lt;/a&gt;")</f>
        <v>&lt;/li&gt;&lt;li&gt;&lt;a href=|http://websterbible.com/proverbs/22.htm| title=|Webster's Bible Translation| target=|_top|&gt;WBS&lt;/a&gt;</v>
      </c>
      <c r="AS65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50" t="str">
        <f>CONCATENATE("&lt;/li&gt;&lt;li&gt;&lt;a href=|http://",AT1191,"/proverbs/22-1.htm","| ","title=|",AT1190,"| target=|_top|&gt;",AT1192,"&lt;/a&gt;")</f>
        <v>&lt;/li&gt;&lt;li&gt;&lt;a href=|http://biblebrowser.com/proverbs/22-1.htm| title=|Split View| target=|_top|&gt;Split&lt;/a&gt;</v>
      </c>
      <c r="AU650" s="2" t="s">
        <v>1276</v>
      </c>
      <c r="AV650" t="s">
        <v>64</v>
      </c>
    </row>
    <row r="651" spans="1:48">
      <c r="A651" t="s">
        <v>622</v>
      </c>
      <c r="B651" t="s">
        <v>1155</v>
      </c>
      <c r="C651" t="s">
        <v>624</v>
      </c>
      <c r="D651" t="s">
        <v>1268</v>
      </c>
      <c r="E651" t="s">
        <v>1277</v>
      </c>
      <c r="F651" t="s">
        <v>1304</v>
      </c>
      <c r="G651" t="s">
        <v>1266</v>
      </c>
      <c r="H651" t="s">
        <v>1305</v>
      </c>
      <c r="I651" t="s">
        <v>1303</v>
      </c>
      <c r="J651" t="s">
        <v>1267</v>
      </c>
      <c r="K651" t="s">
        <v>1275</v>
      </c>
      <c r="L651" s="2" t="s">
        <v>1274</v>
      </c>
      <c r="M651" t="str">
        <f t="shared" ref="M651:AB651" si="2600">CONCATENATE("&lt;/li&gt;&lt;li&gt;&lt;a href=|http://",M1191,"/proverbs/23.htm","| ","title=|",M1190,"| target=|_top|&gt;",M1192,"&lt;/a&gt;")</f>
        <v>&lt;/li&gt;&lt;li&gt;&lt;a href=|http://niv.scripturetext.com/proverbs/23.htm| title=|New International Version| target=|_top|&gt;NIV&lt;/a&gt;</v>
      </c>
      <c r="N651" t="str">
        <f t="shared" si="2600"/>
        <v>&lt;/li&gt;&lt;li&gt;&lt;a href=|http://nlt.scripturetext.com/proverbs/23.htm| title=|New Living Translation| target=|_top|&gt;NLT&lt;/a&gt;</v>
      </c>
      <c r="O651" t="str">
        <f t="shared" si="2600"/>
        <v>&lt;/li&gt;&lt;li&gt;&lt;a href=|http://nasb.scripturetext.com/proverbs/23.htm| title=|New American Standard Bible| target=|_top|&gt;NAS&lt;/a&gt;</v>
      </c>
      <c r="P651" t="str">
        <f t="shared" si="2600"/>
        <v>&lt;/li&gt;&lt;li&gt;&lt;a href=|http://gwt.scripturetext.com/proverbs/23.htm| title=|God's Word Translation| target=|_top|&gt;GWT&lt;/a&gt;</v>
      </c>
      <c r="Q651" t="str">
        <f t="shared" si="2600"/>
        <v>&lt;/li&gt;&lt;li&gt;&lt;a href=|http://kingjbible.com/proverbs/23.htm| title=|King James Bible| target=|_top|&gt;KJV&lt;/a&gt;</v>
      </c>
      <c r="R651" t="str">
        <f t="shared" si="2600"/>
        <v>&lt;/li&gt;&lt;li&gt;&lt;a href=|http://asvbible.com/proverbs/23.htm| title=|American Standard Version| target=|_top|&gt;ASV&lt;/a&gt;</v>
      </c>
      <c r="S651" t="str">
        <f t="shared" si="2600"/>
        <v>&lt;/li&gt;&lt;li&gt;&lt;a href=|http://drb.scripturetext.com/proverbs/23.htm| title=|Douay-Rheims Bible| target=|_top|&gt;DRB&lt;/a&gt;</v>
      </c>
      <c r="T651" t="str">
        <f t="shared" si="2600"/>
        <v>&lt;/li&gt;&lt;li&gt;&lt;a href=|http://erv.scripturetext.com/proverbs/23.htm| title=|English Revised Version| target=|_top|&gt;ERV&lt;/a&gt;</v>
      </c>
      <c r="V651" t="str">
        <f>CONCATENATE("&lt;/li&gt;&lt;li&gt;&lt;a href=|http://",V1191,"/proverbs/23.htm","| ","title=|",V1190,"| target=|_top|&gt;",V1192,"&lt;/a&gt;")</f>
        <v>&lt;/li&gt;&lt;li&gt;&lt;a href=|http://study.interlinearbible.org/proverbs/23.htm| title=|Hebrew Study Bible| target=|_top|&gt;Heb Study&lt;/a&gt;</v>
      </c>
      <c r="W651" t="str">
        <f t="shared" si="2600"/>
        <v>&lt;/li&gt;&lt;li&gt;&lt;a href=|http://apostolic.interlinearbible.org/proverbs/23.htm| title=|Apostolic Bible Polyglot Interlinear| target=|_top|&gt;Polyglot&lt;/a&gt;</v>
      </c>
      <c r="X651" t="str">
        <f t="shared" si="2600"/>
        <v>&lt;/li&gt;&lt;li&gt;&lt;a href=|http://interlinearbible.org/proverbs/23.htm| title=|Interlinear Bible| target=|_top|&gt;Interlin&lt;/a&gt;</v>
      </c>
      <c r="Y651" t="str">
        <f t="shared" ref="Y651" si="2601">CONCATENATE("&lt;/li&gt;&lt;li&gt;&lt;a href=|http://",Y1191,"/proverbs/23.htm","| ","title=|",Y1190,"| target=|_top|&gt;",Y1192,"&lt;/a&gt;")</f>
        <v>&lt;/li&gt;&lt;li&gt;&lt;a href=|http://bibleoutline.org/proverbs/23.htm| title=|Outline with People and Places List| target=|_top|&gt;Outline&lt;/a&gt;</v>
      </c>
      <c r="Z651" t="str">
        <f t="shared" si="2600"/>
        <v>&lt;/li&gt;&lt;li&gt;&lt;a href=|http://kjvs.scripturetext.com/proverbs/23.htm| title=|King James Bible with Strong's Numbers| target=|_top|&gt;Strong's&lt;/a&gt;</v>
      </c>
      <c r="AA651" t="str">
        <f t="shared" si="2600"/>
        <v>&lt;/li&gt;&lt;li&gt;&lt;a href=|http://childrensbibleonline.com/proverbs/23.htm| title=|The Children's Bible| target=|_top|&gt;Children's&lt;/a&gt;</v>
      </c>
      <c r="AB651" s="2" t="str">
        <f t="shared" si="2600"/>
        <v>&lt;/li&gt;&lt;li&gt;&lt;a href=|http://tsk.scripturetext.com/proverbs/23.htm| title=|Treasury of Scripture Knowledge| target=|_top|&gt;TSK&lt;/a&gt;</v>
      </c>
      <c r="AC651" t="str">
        <f>CONCATENATE("&lt;a href=|http://",AC1191,"/proverbs/23.htm","| ","title=|",AC1190,"| target=|_top|&gt;",AC1192,"&lt;/a&gt;")</f>
        <v>&lt;a href=|http://parallelbible.com/proverbs/23.htm| title=|Parallel Chapters| target=|_top|&gt;PAR&lt;/a&gt;</v>
      </c>
      <c r="AD651" s="2" t="str">
        <f t="shared" ref="AD651:AK651" si="2602">CONCATENATE("&lt;/li&gt;&lt;li&gt;&lt;a href=|http://",AD1191,"/proverbs/23.htm","| ","title=|",AD1190,"| target=|_top|&gt;",AD1192,"&lt;/a&gt;")</f>
        <v>&lt;/li&gt;&lt;li&gt;&lt;a href=|http://gsb.biblecommenter.com/proverbs/23.htm| title=|Geneva Study Bible| target=|_top|&gt;GSB&lt;/a&gt;</v>
      </c>
      <c r="AE651" s="2" t="str">
        <f t="shared" si="2602"/>
        <v>&lt;/li&gt;&lt;li&gt;&lt;a href=|http://jfb.biblecommenter.com/proverbs/23.htm| title=|Jamieson-Fausset-Brown Bible Commentary| target=|_top|&gt;JFB&lt;/a&gt;</v>
      </c>
      <c r="AF651" s="2" t="str">
        <f t="shared" si="2602"/>
        <v>&lt;/li&gt;&lt;li&gt;&lt;a href=|http://kjt.biblecommenter.com/proverbs/23.htm| title=|King James Translators' Notes| target=|_top|&gt;KJT&lt;/a&gt;</v>
      </c>
      <c r="AG651" s="2" t="str">
        <f t="shared" si="2602"/>
        <v>&lt;/li&gt;&lt;li&gt;&lt;a href=|http://mhc.biblecommenter.com/proverbs/23.htm| title=|Matthew Henry's Concise Commentary| target=|_top|&gt;MHC&lt;/a&gt;</v>
      </c>
      <c r="AH651" s="2" t="str">
        <f t="shared" si="2602"/>
        <v>&lt;/li&gt;&lt;li&gt;&lt;a href=|http://sco.biblecommenter.com/proverbs/23.htm| title=|Scofield Reference Notes| target=|_top|&gt;SCO&lt;/a&gt;</v>
      </c>
      <c r="AI651" s="2" t="str">
        <f t="shared" si="2602"/>
        <v>&lt;/li&gt;&lt;li&gt;&lt;a href=|http://wes.biblecommenter.com/proverbs/23.htm| title=|Wesley's Notes on the Bible| target=|_top|&gt;WES&lt;/a&gt;</v>
      </c>
      <c r="AJ651" t="str">
        <f t="shared" si="2602"/>
        <v>&lt;/li&gt;&lt;li&gt;&lt;a href=|http://worldebible.com/proverbs/23.htm| title=|World English Bible| target=|_top|&gt;WEB&lt;/a&gt;</v>
      </c>
      <c r="AK651" t="str">
        <f t="shared" si="2602"/>
        <v>&lt;/li&gt;&lt;li&gt;&lt;a href=|http://yltbible.com/proverbs/23.htm| title=|Young's Literal Translation| target=|_top|&gt;YLT&lt;/a&gt;</v>
      </c>
      <c r="AL651" t="str">
        <f>CONCATENATE("&lt;a href=|http://",AL1191,"/proverbs/23.htm","| ","title=|",AL1190,"| target=|_top|&gt;",AL1192,"&lt;/a&gt;")</f>
        <v>&lt;a href=|http://kjv.us/proverbs/23.htm| title=|American King James Version| target=|_top|&gt;AKJ&lt;/a&gt;</v>
      </c>
      <c r="AM651" t="str">
        <f t="shared" ref="AM651:AN651" si="2603">CONCATENATE("&lt;/li&gt;&lt;li&gt;&lt;a href=|http://",AM1191,"/proverbs/23.htm","| ","title=|",AM1190,"| target=|_top|&gt;",AM1192,"&lt;/a&gt;")</f>
        <v>&lt;/li&gt;&lt;li&gt;&lt;a href=|http://basicenglishbible.com/proverbs/23.htm| title=|Bible in Basic English| target=|_top|&gt;BBE&lt;/a&gt;</v>
      </c>
      <c r="AN651" t="str">
        <f t="shared" si="2603"/>
        <v>&lt;/li&gt;&lt;li&gt;&lt;a href=|http://darbybible.com/proverbs/23.htm| title=|Darby Bible Translation| target=|_top|&gt;DBY&lt;/a&gt;</v>
      </c>
      <c r="AO65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5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5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51" t="str">
        <f>CONCATENATE("&lt;/li&gt;&lt;li&gt;&lt;a href=|http://",AR1191,"/proverbs/23.htm","| ","title=|",AR1190,"| target=|_top|&gt;",AR1192,"&lt;/a&gt;")</f>
        <v>&lt;/li&gt;&lt;li&gt;&lt;a href=|http://websterbible.com/proverbs/23.htm| title=|Webster's Bible Translation| target=|_top|&gt;WBS&lt;/a&gt;</v>
      </c>
      <c r="AS65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51" t="str">
        <f>CONCATENATE("&lt;/li&gt;&lt;li&gt;&lt;a href=|http://",AT1191,"/proverbs/23-1.htm","| ","title=|",AT1190,"| target=|_top|&gt;",AT1192,"&lt;/a&gt;")</f>
        <v>&lt;/li&gt;&lt;li&gt;&lt;a href=|http://biblebrowser.com/proverbs/23-1.htm| title=|Split View| target=|_top|&gt;Split&lt;/a&gt;</v>
      </c>
      <c r="AU651" s="2" t="s">
        <v>1276</v>
      </c>
      <c r="AV651" t="s">
        <v>64</v>
      </c>
    </row>
    <row r="652" spans="1:48">
      <c r="A652" t="s">
        <v>622</v>
      </c>
      <c r="B652" t="s">
        <v>1156</v>
      </c>
      <c r="C652" t="s">
        <v>624</v>
      </c>
      <c r="D652" t="s">
        <v>1268</v>
      </c>
      <c r="E652" t="s">
        <v>1277</v>
      </c>
      <c r="F652" t="s">
        <v>1304</v>
      </c>
      <c r="G652" t="s">
        <v>1266</v>
      </c>
      <c r="H652" t="s">
        <v>1305</v>
      </c>
      <c r="I652" t="s">
        <v>1303</v>
      </c>
      <c r="J652" t="s">
        <v>1267</v>
      </c>
      <c r="K652" t="s">
        <v>1275</v>
      </c>
      <c r="L652" s="2" t="s">
        <v>1274</v>
      </c>
      <c r="M652" t="str">
        <f t="shared" ref="M652:AB652" si="2604">CONCATENATE("&lt;/li&gt;&lt;li&gt;&lt;a href=|http://",M1191,"/proverbs/24.htm","| ","title=|",M1190,"| target=|_top|&gt;",M1192,"&lt;/a&gt;")</f>
        <v>&lt;/li&gt;&lt;li&gt;&lt;a href=|http://niv.scripturetext.com/proverbs/24.htm| title=|New International Version| target=|_top|&gt;NIV&lt;/a&gt;</v>
      </c>
      <c r="N652" t="str">
        <f t="shared" si="2604"/>
        <v>&lt;/li&gt;&lt;li&gt;&lt;a href=|http://nlt.scripturetext.com/proverbs/24.htm| title=|New Living Translation| target=|_top|&gt;NLT&lt;/a&gt;</v>
      </c>
      <c r="O652" t="str">
        <f t="shared" si="2604"/>
        <v>&lt;/li&gt;&lt;li&gt;&lt;a href=|http://nasb.scripturetext.com/proverbs/24.htm| title=|New American Standard Bible| target=|_top|&gt;NAS&lt;/a&gt;</v>
      </c>
      <c r="P652" t="str">
        <f t="shared" si="2604"/>
        <v>&lt;/li&gt;&lt;li&gt;&lt;a href=|http://gwt.scripturetext.com/proverbs/24.htm| title=|God's Word Translation| target=|_top|&gt;GWT&lt;/a&gt;</v>
      </c>
      <c r="Q652" t="str">
        <f t="shared" si="2604"/>
        <v>&lt;/li&gt;&lt;li&gt;&lt;a href=|http://kingjbible.com/proverbs/24.htm| title=|King James Bible| target=|_top|&gt;KJV&lt;/a&gt;</v>
      </c>
      <c r="R652" t="str">
        <f t="shared" si="2604"/>
        <v>&lt;/li&gt;&lt;li&gt;&lt;a href=|http://asvbible.com/proverbs/24.htm| title=|American Standard Version| target=|_top|&gt;ASV&lt;/a&gt;</v>
      </c>
      <c r="S652" t="str">
        <f t="shared" si="2604"/>
        <v>&lt;/li&gt;&lt;li&gt;&lt;a href=|http://drb.scripturetext.com/proverbs/24.htm| title=|Douay-Rheims Bible| target=|_top|&gt;DRB&lt;/a&gt;</v>
      </c>
      <c r="T652" t="str">
        <f t="shared" si="2604"/>
        <v>&lt;/li&gt;&lt;li&gt;&lt;a href=|http://erv.scripturetext.com/proverbs/24.htm| title=|English Revised Version| target=|_top|&gt;ERV&lt;/a&gt;</v>
      </c>
      <c r="V652" t="str">
        <f>CONCATENATE("&lt;/li&gt;&lt;li&gt;&lt;a href=|http://",V1191,"/proverbs/24.htm","| ","title=|",V1190,"| target=|_top|&gt;",V1192,"&lt;/a&gt;")</f>
        <v>&lt;/li&gt;&lt;li&gt;&lt;a href=|http://study.interlinearbible.org/proverbs/24.htm| title=|Hebrew Study Bible| target=|_top|&gt;Heb Study&lt;/a&gt;</v>
      </c>
      <c r="W652" t="str">
        <f t="shared" si="2604"/>
        <v>&lt;/li&gt;&lt;li&gt;&lt;a href=|http://apostolic.interlinearbible.org/proverbs/24.htm| title=|Apostolic Bible Polyglot Interlinear| target=|_top|&gt;Polyglot&lt;/a&gt;</v>
      </c>
      <c r="X652" t="str">
        <f t="shared" si="2604"/>
        <v>&lt;/li&gt;&lt;li&gt;&lt;a href=|http://interlinearbible.org/proverbs/24.htm| title=|Interlinear Bible| target=|_top|&gt;Interlin&lt;/a&gt;</v>
      </c>
      <c r="Y652" t="str">
        <f t="shared" ref="Y652" si="2605">CONCATENATE("&lt;/li&gt;&lt;li&gt;&lt;a href=|http://",Y1191,"/proverbs/24.htm","| ","title=|",Y1190,"| target=|_top|&gt;",Y1192,"&lt;/a&gt;")</f>
        <v>&lt;/li&gt;&lt;li&gt;&lt;a href=|http://bibleoutline.org/proverbs/24.htm| title=|Outline with People and Places List| target=|_top|&gt;Outline&lt;/a&gt;</v>
      </c>
      <c r="Z652" t="str">
        <f t="shared" si="2604"/>
        <v>&lt;/li&gt;&lt;li&gt;&lt;a href=|http://kjvs.scripturetext.com/proverbs/24.htm| title=|King James Bible with Strong's Numbers| target=|_top|&gt;Strong's&lt;/a&gt;</v>
      </c>
      <c r="AA652" t="str">
        <f t="shared" si="2604"/>
        <v>&lt;/li&gt;&lt;li&gt;&lt;a href=|http://childrensbibleonline.com/proverbs/24.htm| title=|The Children's Bible| target=|_top|&gt;Children's&lt;/a&gt;</v>
      </c>
      <c r="AB652" s="2" t="str">
        <f t="shared" si="2604"/>
        <v>&lt;/li&gt;&lt;li&gt;&lt;a href=|http://tsk.scripturetext.com/proverbs/24.htm| title=|Treasury of Scripture Knowledge| target=|_top|&gt;TSK&lt;/a&gt;</v>
      </c>
      <c r="AC652" t="str">
        <f>CONCATENATE("&lt;a href=|http://",AC1191,"/proverbs/24.htm","| ","title=|",AC1190,"| target=|_top|&gt;",AC1192,"&lt;/a&gt;")</f>
        <v>&lt;a href=|http://parallelbible.com/proverbs/24.htm| title=|Parallel Chapters| target=|_top|&gt;PAR&lt;/a&gt;</v>
      </c>
      <c r="AD652" s="2" t="str">
        <f t="shared" ref="AD652:AK652" si="2606">CONCATENATE("&lt;/li&gt;&lt;li&gt;&lt;a href=|http://",AD1191,"/proverbs/24.htm","| ","title=|",AD1190,"| target=|_top|&gt;",AD1192,"&lt;/a&gt;")</f>
        <v>&lt;/li&gt;&lt;li&gt;&lt;a href=|http://gsb.biblecommenter.com/proverbs/24.htm| title=|Geneva Study Bible| target=|_top|&gt;GSB&lt;/a&gt;</v>
      </c>
      <c r="AE652" s="2" t="str">
        <f t="shared" si="2606"/>
        <v>&lt;/li&gt;&lt;li&gt;&lt;a href=|http://jfb.biblecommenter.com/proverbs/24.htm| title=|Jamieson-Fausset-Brown Bible Commentary| target=|_top|&gt;JFB&lt;/a&gt;</v>
      </c>
      <c r="AF652" s="2" t="str">
        <f t="shared" si="2606"/>
        <v>&lt;/li&gt;&lt;li&gt;&lt;a href=|http://kjt.biblecommenter.com/proverbs/24.htm| title=|King James Translators' Notes| target=|_top|&gt;KJT&lt;/a&gt;</v>
      </c>
      <c r="AG652" s="2" t="str">
        <f t="shared" si="2606"/>
        <v>&lt;/li&gt;&lt;li&gt;&lt;a href=|http://mhc.biblecommenter.com/proverbs/24.htm| title=|Matthew Henry's Concise Commentary| target=|_top|&gt;MHC&lt;/a&gt;</v>
      </c>
      <c r="AH652" s="2" t="str">
        <f t="shared" si="2606"/>
        <v>&lt;/li&gt;&lt;li&gt;&lt;a href=|http://sco.biblecommenter.com/proverbs/24.htm| title=|Scofield Reference Notes| target=|_top|&gt;SCO&lt;/a&gt;</v>
      </c>
      <c r="AI652" s="2" t="str">
        <f t="shared" si="2606"/>
        <v>&lt;/li&gt;&lt;li&gt;&lt;a href=|http://wes.biblecommenter.com/proverbs/24.htm| title=|Wesley's Notes on the Bible| target=|_top|&gt;WES&lt;/a&gt;</v>
      </c>
      <c r="AJ652" t="str">
        <f t="shared" si="2606"/>
        <v>&lt;/li&gt;&lt;li&gt;&lt;a href=|http://worldebible.com/proverbs/24.htm| title=|World English Bible| target=|_top|&gt;WEB&lt;/a&gt;</v>
      </c>
      <c r="AK652" t="str">
        <f t="shared" si="2606"/>
        <v>&lt;/li&gt;&lt;li&gt;&lt;a href=|http://yltbible.com/proverbs/24.htm| title=|Young's Literal Translation| target=|_top|&gt;YLT&lt;/a&gt;</v>
      </c>
      <c r="AL652" t="str">
        <f>CONCATENATE("&lt;a href=|http://",AL1191,"/proverbs/24.htm","| ","title=|",AL1190,"| target=|_top|&gt;",AL1192,"&lt;/a&gt;")</f>
        <v>&lt;a href=|http://kjv.us/proverbs/24.htm| title=|American King James Version| target=|_top|&gt;AKJ&lt;/a&gt;</v>
      </c>
      <c r="AM652" t="str">
        <f t="shared" ref="AM652:AN652" si="2607">CONCATENATE("&lt;/li&gt;&lt;li&gt;&lt;a href=|http://",AM1191,"/proverbs/24.htm","| ","title=|",AM1190,"| target=|_top|&gt;",AM1192,"&lt;/a&gt;")</f>
        <v>&lt;/li&gt;&lt;li&gt;&lt;a href=|http://basicenglishbible.com/proverbs/24.htm| title=|Bible in Basic English| target=|_top|&gt;BBE&lt;/a&gt;</v>
      </c>
      <c r="AN652" t="str">
        <f t="shared" si="2607"/>
        <v>&lt;/li&gt;&lt;li&gt;&lt;a href=|http://darbybible.com/proverbs/24.htm| title=|Darby Bible Translation| target=|_top|&gt;DBY&lt;/a&gt;</v>
      </c>
      <c r="AO65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5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5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52" t="str">
        <f>CONCATENATE("&lt;/li&gt;&lt;li&gt;&lt;a href=|http://",AR1191,"/proverbs/24.htm","| ","title=|",AR1190,"| target=|_top|&gt;",AR1192,"&lt;/a&gt;")</f>
        <v>&lt;/li&gt;&lt;li&gt;&lt;a href=|http://websterbible.com/proverbs/24.htm| title=|Webster's Bible Translation| target=|_top|&gt;WBS&lt;/a&gt;</v>
      </c>
      <c r="AS65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52" t="str">
        <f>CONCATENATE("&lt;/li&gt;&lt;li&gt;&lt;a href=|http://",AT1191,"/proverbs/24-1.htm","| ","title=|",AT1190,"| target=|_top|&gt;",AT1192,"&lt;/a&gt;")</f>
        <v>&lt;/li&gt;&lt;li&gt;&lt;a href=|http://biblebrowser.com/proverbs/24-1.htm| title=|Split View| target=|_top|&gt;Split&lt;/a&gt;</v>
      </c>
      <c r="AU652" s="2" t="s">
        <v>1276</v>
      </c>
      <c r="AV652" t="s">
        <v>64</v>
      </c>
    </row>
    <row r="653" spans="1:48">
      <c r="A653" t="s">
        <v>622</v>
      </c>
      <c r="B653" t="s">
        <v>1157</v>
      </c>
      <c r="C653" t="s">
        <v>624</v>
      </c>
      <c r="D653" t="s">
        <v>1268</v>
      </c>
      <c r="E653" t="s">
        <v>1277</v>
      </c>
      <c r="F653" t="s">
        <v>1304</v>
      </c>
      <c r="G653" t="s">
        <v>1266</v>
      </c>
      <c r="H653" t="s">
        <v>1305</v>
      </c>
      <c r="I653" t="s">
        <v>1303</v>
      </c>
      <c r="J653" t="s">
        <v>1267</v>
      </c>
      <c r="K653" t="s">
        <v>1275</v>
      </c>
      <c r="L653" s="2" t="s">
        <v>1274</v>
      </c>
      <c r="M653" t="str">
        <f t="shared" ref="M653:AB653" si="2608">CONCATENATE("&lt;/li&gt;&lt;li&gt;&lt;a href=|http://",M1191,"/proverbs/25.htm","| ","title=|",M1190,"| target=|_top|&gt;",M1192,"&lt;/a&gt;")</f>
        <v>&lt;/li&gt;&lt;li&gt;&lt;a href=|http://niv.scripturetext.com/proverbs/25.htm| title=|New International Version| target=|_top|&gt;NIV&lt;/a&gt;</v>
      </c>
      <c r="N653" t="str">
        <f t="shared" si="2608"/>
        <v>&lt;/li&gt;&lt;li&gt;&lt;a href=|http://nlt.scripturetext.com/proverbs/25.htm| title=|New Living Translation| target=|_top|&gt;NLT&lt;/a&gt;</v>
      </c>
      <c r="O653" t="str">
        <f t="shared" si="2608"/>
        <v>&lt;/li&gt;&lt;li&gt;&lt;a href=|http://nasb.scripturetext.com/proverbs/25.htm| title=|New American Standard Bible| target=|_top|&gt;NAS&lt;/a&gt;</v>
      </c>
      <c r="P653" t="str">
        <f t="shared" si="2608"/>
        <v>&lt;/li&gt;&lt;li&gt;&lt;a href=|http://gwt.scripturetext.com/proverbs/25.htm| title=|God's Word Translation| target=|_top|&gt;GWT&lt;/a&gt;</v>
      </c>
      <c r="Q653" t="str">
        <f t="shared" si="2608"/>
        <v>&lt;/li&gt;&lt;li&gt;&lt;a href=|http://kingjbible.com/proverbs/25.htm| title=|King James Bible| target=|_top|&gt;KJV&lt;/a&gt;</v>
      </c>
      <c r="R653" t="str">
        <f t="shared" si="2608"/>
        <v>&lt;/li&gt;&lt;li&gt;&lt;a href=|http://asvbible.com/proverbs/25.htm| title=|American Standard Version| target=|_top|&gt;ASV&lt;/a&gt;</v>
      </c>
      <c r="S653" t="str">
        <f t="shared" si="2608"/>
        <v>&lt;/li&gt;&lt;li&gt;&lt;a href=|http://drb.scripturetext.com/proverbs/25.htm| title=|Douay-Rheims Bible| target=|_top|&gt;DRB&lt;/a&gt;</v>
      </c>
      <c r="T653" t="str">
        <f t="shared" si="2608"/>
        <v>&lt;/li&gt;&lt;li&gt;&lt;a href=|http://erv.scripturetext.com/proverbs/25.htm| title=|English Revised Version| target=|_top|&gt;ERV&lt;/a&gt;</v>
      </c>
      <c r="V653" t="str">
        <f>CONCATENATE("&lt;/li&gt;&lt;li&gt;&lt;a href=|http://",V1191,"/proverbs/25.htm","| ","title=|",V1190,"| target=|_top|&gt;",V1192,"&lt;/a&gt;")</f>
        <v>&lt;/li&gt;&lt;li&gt;&lt;a href=|http://study.interlinearbible.org/proverbs/25.htm| title=|Hebrew Study Bible| target=|_top|&gt;Heb Study&lt;/a&gt;</v>
      </c>
      <c r="W653" t="str">
        <f t="shared" si="2608"/>
        <v>&lt;/li&gt;&lt;li&gt;&lt;a href=|http://apostolic.interlinearbible.org/proverbs/25.htm| title=|Apostolic Bible Polyglot Interlinear| target=|_top|&gt;Polyglot&lt;/a&gt;</v>
      </c>
      <c r="X653" t="str">
        <f t="shared" si="2608"/>
        <v>&lt;/li&gt;&lt;li&gt;&lt;a href=|http://interlinearbible.org/proverbs/25.htm| title=|Interlinear Bible| target=|_top|&gt;Interlin&lt;/a&gt;</v>
      </c>
      <c r="Y653" t="str">
        <f t="shared" ref="Y653" si="2609">CONCATENATE("&lt;/li&gt;&lt;li&gt;&lt;a href=|http://",Y1191,"/proverbs/25.htm","| ","title=|",Y1190,"| target=|_top|&gt;",Y1192,"&lt;/a&gt;")</f>
        <v>&lt;/li&gt;&lt;li&gt;&lt;a href=|http://bibleoutline.org/proverbs/25.htm| title=|Outline with People and Places List| target=|_top|&gt;Outline&lt;/a&gt;</v>
      </c>
      <c r="Z653" t="str">
        <f t="shared" si="2608"/>
        <v>&lt;/li&gt;&lt;li&gt;&lt;a href=|http://kjvs.scripturetext.com/proverbs/25.htm| title=|King James Bible with Strong's Numbers| target=|_top|&gt;Strong's&lt;/a&gt;</v>
      </c>
      <c r="AA653" t="str">
        <f t="shared" si="2608"/>
        <v>&lt;/li&gt;&lt;li&gt;&lt;a href=|http://childrensbibleonline.com/proverbs/25.htm| title=|The Children's Bible| target=|_top|&gt;Children's&lt;/a&gt;</v>
      </c>
      <c r="AB653" s="2" t="str">
        <f t="shared" si="2608"/>
        <v>&lt;/li&gt;&lt;li&gt;&lt;a href=|http://tsk.scripturetext.com/proverbs/25.htm| title=|Treasury of Scripture Knowledge| target=|_top|&gt;TSK&lt;/a&gt;</v>
      </c>
      <c r="AC653" t="str">
        <f>CONCATENATE("&lt;a href=|http://",AC1191,"/proverbs/25.htm","| ","title=|",AC1190,"| target=|_top|&gt;",AC1192,"&lt;/a&gt;")</f>
        <v>&lt;a href=|http://parallelbible.com/proverbs/25.htm| title=|Parallel Chapters| target=|_top|&gt;PAR&lt;/a&gt;</v>
      </c>
      <c r="AD653" s="2" t="str">
        <f t="shared" ref="AD653:AK653" si="2610">CONCATENATE("&lt;/li&gt;&lt;li&gt;&lt;a href=|http://",AD1191,"/proverbs/25.htm","| ","title=|",AD1190,"| target=|_top|&gt;",AD1192,"&lt;/a&gt;")</f>
        <v>&lt;/li&gt;&lt;li&gt;&lt;a href=|http://gsb.biblecommenter.com/proverbs/25.htm| title=|Geneva Study Bible| target=|_top|&gt;GSB&lt;/a&gt;</v>
      </c>
      <c r="AE653" s="2" t="str">
        <f t="shared" si="2610"/>
        <v>&lt;/li&gt;&lt;li&gt;&lt;a href=|http://jfb.biblecommenter.com/proverbs/25.htm| title=|Jamieson-Fausset-Brown Bible Commentary| target=|_top|&gt;JFB&lt;/a&gt;</v>
      </c>
      <c r="AF653" s="2" t="str">
        <f t="shared" si="2610"/>
        <v>&lt;/li&gt;&lt;li&gt;&lt;a href=|http://kjt.biblecommenter.com/proverbs/25.htm| title=|King James Translators' Notes| target=|_top|&gt;KJT&lt;/a&gt;</v>
      </c>
      <c r="AG653" s="2" t="str">
        <f t="shared" si="2610"/>
        <v>&lt;/li&gt;&lt;li&gt;&lt;a href=|http://mhc.biblecommenter.com/proverbs/25.htm| title=|Matthew Henry's Concise Commentary| target=|_top|&gt;MHC&lt;/a&gt;</v>
      </c>
      <c r="AH653" s="2" t="str">
        <f t="shared" si="2610"/>
        <v>&lt;/li&gt;&lt;li&gt;&lt;a href=|http://sco.biblecommenter.com/proverbs/25.htm| title=|Scofield Reference Notes| target=|_top|&gt;SCO&lt;/a&gt;</v>
      </c>
      <c r="AI653" s="2" t="str">
        <f t="shared" si="2610"/>
        <v>&lt;/li&gt;&lt;li&gt;&lt;a href=|http://wes.biblecommenter.com/proverbs/25.htm| title=|Wesley's Notes on the Bible| target=|_top|&gt;WES&lt;/a&gt;</v>
      </c>
      <c r="AJ653" t="str">
        <f t="shared" si="2610"/>
        <v>&lt;/li&gt;&lt;li&gt;&lt;a href=|http://worldebible.com/proverbs/25.htm| title=|World English Bible| target=|_top|&gt;WEB&lt;/a&gt;</v>
      </c>
      <c r="AK653" t="str">
        <f t="shared" si="2610"/>
        <v>&lt;/li&gt;&lt;li&gt;&lt;a href=|http://yltbible.com/proverbs/25.htm| title=|Young's Literal Translation| target=|_top|&gt;YLT&lt;/a&gt;</v>
      </c>
      <c r="AL653" t="str">
        <f>CONCATENATE("&lt;a href=|http://",AL1191,"/proverbs/25.htm","| ","title=|",AL1190,"| target=|_top|&gt;",AL1192,"&lt;/a&gt;")</f>
        <v>&lt;a href=|http://kjv.us/proverbs/25.htm| title=|American King James Version| target=|_top|&gt;AKJ&lt;/a&gt;</v>
      </c>
      <c r="AM653" t="str">
        <f t="shared" ref="AM653:AN653" si="2611">CONCATENATE("&lt;/li&gt;&lt;li&gt;&lt;a href=|http://",AM1191,"/proverbs/25.htm","| ","title=|",AM1190,"| target=|_top|&gt;",AM1192,"&lt;/a&gt;")</f>
        <v>&lt;/li&gt;&lt;li&gt;&lt;a href=|http://basicenglishbible.com/proverbs/25.htm| title=|Bible in Basic English| target=|_top|&gt;BBE&lt;/a&gt;</v>
      </c>
      <c r="AN653" t="str">
        <f t="shared" si="2611"/>
        <v>&lt;/li&gt;&lt;li&gt;&lt;a href=|http://darbybible.com/proverbs/25.htm| title=|Darby Bible Translation| target=|_top|&gt;DBY&lt;/a&gt;</v>
      </c>
      <c r="AO65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5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5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53" t="str">
        <f>CONCATENATE("&lt;/li&gt;&lt;li&gt;&lt;a href=|http://",AR1191,"/proverbs/25.htm","| ","title=|",AR1190,"| target=|_top|&gt;",AR1192,"&lt;/a&gt;")</f>
        <v>&lt;/li&gt;&lt;li&gt;&lt;a href=|http://websterbible.com/proverbs/25.htm| title=|Webster's Bible Translation| target=|_top|&gt;WBS&lt;/a&gt;</v>
      </c>
      <c r="AS65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53" t="str">
        <f>CONCATENATE("&lt;/li&gt;&lt;li&gt;&lt;a href=|http://",AT1191,"/proverbs/25-1.htm","| ","title=|",AT1190,"| target=|_top|&gt;",AT1192,"&lt;/a&gt;")</f>
        <v>&lt;/li&gt;&lt;li&gt;&lt;a href=|http://biblebrowser.com/proverbs/25-1.htm| title=|Split View| target=|_top|&gt;Split&lt;/a&gt;</v>
      </c>
      <c r="AU653" s="2" t="s">
        <v>1276</v>
      </c>
      <c r="AV653" t="s">
        <v>64</v>
      </c>
    </row>
    <row r="654" spans="1:48">
      <c r="A654" t="s">
        <v>622</v>
      </c>
      <c r="B654" t="s">
        <v>1158</v>
      </c>
      <c r="C654" t="s">
        <v>624</v>
      </c>
      <c r="D654" t="s">
        <v>1268</v>
      </c>
      <c r="E654" t="s">
        <v>1277</v>
      </c>
      <c r="F654" t="s">
        <v>1304</v>
      </c>
      <c r="G654" t="s">
        <v>1266</v>
      </c>
      <c r="H654" t="s">
        <v>1305</v>
      </c>
      <c r="I654" t="s">
        <v>1303</v>
      </c>
      <c r="J654" t="s">
        <v>1267</v>
      </c>
      <c r="K654" t="s">
        <v>1275</v>
      </c>
      <c r="L654" s="2" t="s">
        <v>1274</v>
      </c>
      <c r="M654" t="str">
        <f t="shared" ref="M654:AB654" si="2612">CONCATENATE("&lt;/li&gt;&lt;li&gt;&lt;a href=|http://",M1191,"/proverbs/26.htm","| ","title=|",M1190,"| target=|_top|&gt;",M1192,"&lt;/a&gt;")</f>
        <v>&lt;/li&gt;&lt;li&gt;&lt;a href=|http://niv.scripturetext.com/proverbs/26.htm| title=|New International Version| target=|_top|&gt;NIV&lt;/a&gt;</v>
      </c>
      <c r="N654" t="str">
        <f t="shared" si="2612"/>
        <v>&lt;/li&gt;&lt;li&gt;&lt;a href=|http://nlt.scripturetext.com/proverbs/26.htm| title=|New Living Translation| target=|_top|&gt;NLT&lt;/a&gt;</v>
      </c>
      <c r="O654" t="str">
        <f t="shared" si="2612"/>
        <v>&lt;/li&gt;&lt;li&gt;&lt;a href=|http://nasb.scripturetext.com/proverbs/26.htm| title=|New American Standard Bible| target=|_top|&gt;NAS&lt;/a&gt;</v>
      </c>
      <c r="P654" t="str">
        <f t="shared" si="2612"/>
        <v>&lt;/li&gt;&lt;li&gt;&lt;a href=|http://gwt.scripturetext.com/proverbs/26.htm| title=|God's Word Translation| target=|_top|&gt;GWT&lt;/a&gt;</v>
      </c>
      <c r="Q654" t="str">
        <f t="shared" si="2612"/>
        <v>&lt;/li&gt;&lt;li&gt;&lt;a href=|http://kingjbible.com/proverbs/26.htm| title=|King James Bible| target=|_top|&gt;KJV&lt;/a&gt;</v>
      </c>
      <c r="R654" t="str">
        <f t="shared" si="2612"/>
        <v>&lt;/li&gt;&lt;li&gt;&lt;a href=|http://asvbible.com/proverbs/26.htm| title=|American Standard Version| target=|_top|&gt;ASV&lt;/a&gt;</v>
      </c>
      <c r="S654" t="str">
        <f t="shared" si="2612"/>
        <v>&lt;/li&gt;&lt;li&gt;&lt;a href=|http://drb.scripturetext.com/proverbs/26.htm| title=|Douay-Rheims Bible| target=|_top|&gt;DRB&lt;/a&gt;</v>
      </c>
      <c r="T654" t="str">
        <f t="shared" si="2612"/>
        <v>&lt;/li&gt;&lt;li&gt;&lt;a href=|http://erv.scripturetext.com/proverbs/26.htm| title=|English Revised Version| target=|_top|&gt;ERV&lt;/a&gt;</v>
      </c>
      <c r="V654" t="str">
        <f>CONCATENATE("&lt;/li&gt;&lt;li&gt;&lt;a href=|http://",V1191,"/proverbs/26.htm","| ","title=|",V1190,"| target=|_top|&gt;",V1192,"&lt;/a&gt;")</f>
        <v>&lt;/li&gt;&lt;li&gt;&lt;a href=|http://study.interlinearbible.org/proverbs/26.htm| title=|Hebrew Study Bible| target=|_top|&gt;Heb Study&lt;/a&gt;</v>
      </c>
      <c r="W654" t="str">
        <f t="shared" si="2612"/>
        <v>&lt;/li&gt;&lt;li&gt;&lt;a href=|http://apostolic.interlinearbible.org/proverbs/26.htm| title=|Apostolic Bible Polyglot Interlinear| target=|_top|&gt;Polyglot&lt;/a&gt;</v>
      </c>
      <c r="X654" t="str">
        <f t="shared" si="2612"/>
        <v>&lt;/li&gt;&lt;li&gt;&lt;a href=|http://interlinearbible.org/proverbs/26.htm| title=|Interlinear Bible| target=|_top|&gt;Interlin&lt;/a&gt;</v>
      </c>
      <c r="Y654" t="str">
        <f t="shared" ref="Y654" si="2613">CONCATENATE("&lt;/li&gt;&lt;li&gt;&lt;a href=|http://",Y1191,"/proverbs/26.htm","| ","title=|",Y1190,"| target=|_top|&gt;",Y1192,"&lt;/a&gt;")</f>
        <v>&lt;/li&gt;&lt;li&gt;&lt;a href=|http://bibleoutline.org/proverbs/26.htm| title=|Outline with People and Places List| target=|_top|&gt;Outline&lt;/a&gt;</v>
      </c>
      <c r="Z654" t="str">
        <f t="shared" si="2612"/>
        <v>&lt;/li&gt;&lt;li&gt;&lt;a href=|http://kjvs.scripturetext.com/proverbs/26.htm| title=|King James Bible with Strong's Numbers| target=|_top|&gt;Strong's&lt;/a&gt;</v>
      </c>
      <c r="AA654" t="str">
        <f t="shared" si="2612"/>
        <v>&lt;/li&gt;&lt;li&gt;&lt;a href=|http://childrensbibleonline.com/proverbs/26.htm| title=|The Children's Bible| target=|_top|&gt;Children's&lt;/a&gt;</v>
      </c>
      <c r="AB654" s="2" t="str">
        <f t="shared" si="2612"/>
        <v>&lt;/li&gt;&lt;li&gt;&lt;a href=|http://tsk.scripturetext.com/proverbs/26.htm| title=|Treasury of Scripture Knowledge| target=|_top|&gt;TSK&lt;/a&gt;</v>
      </c>
      <c r="AC654" t="str">
        <f>CONCATENATE("&lt;a href=|http://",AC1191,"/proverbs/26.htm","| ","title=|",AC1190,"| target=|_top|&gt;",AC1192,"&lt;/a&gt;")</f>
        <v>&lt;a href=|http://parallelbible.com/proverbs/26.htm| title=|Parallel Chapters| target=|_top|&gt;PAR&lt;/a&gt;</v>
      </c>
      <c r="AD654" s="2" t="str">
        <f t="shared" ref="AD654:AK654" si="2614">CONCATENATE("&lt;/li&gt;&lt;li&gt;&lt;a href=|http://",AD1191,"/proverbs/26.htm","| ","title=|",AD1190,"| target=|_top|&gt;",AD1192,"&lt;/a&gt;")</f>
        <v>&lt;/li&gt;&lt;li&gt;&lt;a href=|http://gsb.biblecommenter.com/proverbs/26.htm| title=|Geneva Study Bible| target=|_top|&gt;GSB&lt;/a&gt;</v>
      </c>
      <c r="AE654" s="2" t="str">
        <f t="shared" si="2614"/>
        <v>&lt;/li&gt;&lt;li&gt;&lt;a href=|http://jfb.biblecommenter.com/proverbs/26.htm| title=|Jamieson-Fausset-Brown Bible Commentary| target=|_top|&gt;JFB&lt;/a&gt;</v>
      </c>
      <c r="AF654" s="2" t="str">
        <f t="shared" si="2614"/>
        <v>&lt;/li&gt;&lt;li&gt;&lt;a href=|http://kjt.biblecommenter.com/proverbs/26.htm| title=|King James Translators' Notes| target=|_top|&gt;KJT&lt;/a&gt;</v>
      </c>
      <c r="AG654" s="2" t="str">
        <f t="shared" si="2614"/>
        <v>&lt;/li&gt;&lt;li&gt;&lt;a href=|http://mhc.biblecommenter.com/proverbs/26.htm| title=|Matthew Henry's Concise Commentary| target=|_top|&gt;MHC&lt;/a&gt;</v>
      </c>
      <c r="AH654" s="2" t="str">
        <f t="shared" si="2614"/>
        <v>&lt;/li&gt;&lt;li&gt;&lt;a href=|http://sco.biblecommenter.com/proverbs/26.htm| title=|Scofield Reference Notes| target=|_top|&gt;SCO&lt;/a&gt;</v>
      </c>
      <c r="AI654" s="2" t="str">
        <f t="shared" si="2614"/>
        <v>&lt;/li&gt;&lt;li&gt;&lt;a href=|http://wes.biblecommenter.com/proverbs/26.htm| title=|Wesley's Notes on the Bible| target=|_top|&gt;WES&lt;/a&gt;</v>
      </c>
      <c r="AJ654" t="str">
        <f t="shared" si="2614"/>
        <v>&lt;/li&gt;&lt;li&gt;&lt;a href=|http://worldebible.com/proverbs/26.htm| title=|World English Bible| target=|_top|&gt;WEB&lt;/a&gt;</v>
      </c>
      <c r="AK654" t="str">
        <f t="shared" si="2614"/>
        <v>&lt;/li&gt;&lt;li&gt;&lt;a href=|http://yltbible.com/proverbs/26.htm| title=|Young's Literal Translation| target=|_top|&gt;YLT&lt;/a&gt;</v>
      </c>
      <c r="AL654" t="str">
        <f>CONCATENATE("&lt;a href=|http://",AL1191,"/proverbs/26.htm","| ","title=|",AL1190,"| target=|_top|&gt;",AL1192,"&lt;/a&gt;")</f>
        <v>&lt;a href=|http://kjv.us/proverbs/26.htm| title=|American King James Version| target=|_top|&gt;AKJ&lt;/a&gt;</v>
      </c>
      <c r="AM654" t="str">
        <f t="shared" ref="AM654:AN654" si="2615">CONCATENATE("&lt;/li&gt;&lt;li&gt;&lt;a href=|http://",AM1191,"/proverbs/26.htm","| ","title=|",AM1190,"| target=|_top|&gt;",AM1192,"&lt;/a&gt;")</f>
        <v>&lt;/li&gt;&lt;li&gt;&lt;a href=|http://basicenglishbible.com/proverbs/26.htm| title=|Bible in Basic English| target=|_top|&gt;BBE&lt;/a&gt;</v>
      </c>
      <c r="AN654" t="str">
        <f t="shared" si="2615"/>
        <v>&lt;/li&gt;&lt;li&gt;&lt;a href=|http://darbybible.com/proverbs/26.htm| title=|Darby Bible Translation| target=|_top|&gt;DBY&lt;/a&gt;</v>
      </c>
      <c r="AO65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5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5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54" t="str">
        <f>CONCATENATE("&lt;/li&gt;&lt;li&gt;&lt;a href=|http://",AR1191,"/proverbs/26.htm","| ","title=|",AR1190,"| target=|_top|&gt;",AR1192,"&lt;/a&gt;")</f>
        <v>&lt;/li&gt;&lt;li&gt;&lt;a href=|http://websterbible.com/proverbs/26.htm| title=|Webster's Bible Translation| target=|_top|&gt;WBS&lt;/a&gt;</v>
      </c>
      <c r="AS65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54" t="str">
        <f>CONCATENATE("&lt;/li&gt;&lt;li&gt;&lt;a href=|http://",AT1191,"/proverbs/26-1.htm","| ","title=|",AT1190,"| target=|_top|&gt;",AT1192,"&lt;/a&gt;")</f>
        <v>&lt;/li&gt;&lt;li&gt;&lt;a href=|http://biblebrowser.com/proverbs/26-1.htm| title=|Split View| target=|_top|&gt;Split&lt;/a&gt;</v>
      </c>
      <c r="AU654" s="2" t="s">
        <v>1276</v>
      </c>
      <c r="AV654" t="s">
        <v>64</v>
      </c>
    </row>
    <row r="655" spans="1:48">
      <c r="A655" t="s">
        <v>622</v>
      </c>
      <c r="B655" t="s">
        <v>1159</v>
      </c>
      <c r="C655" t="s">
        <v>624</v>
      </c>
      <c r="D655" t="s">
        <v>1268</v>
      </c>
      <c r="E655" t="s">
        <v>1277</v>
      </c>
      <c r="F655" t="s">
        <v>1304</v>
      </c>
      <c r="G655" t="s">
        <v>1266</v>
      </c>
      <c r="H655" t="s">
        <v>1305</v>
      </c>
      <c r="I655" t="s">
        <v>1303</v>
      </c>
      <c r="J655" t="s">
        <v>1267</v>
      </c>
      <c r="K655" t="s">
        <v>1275</v>
      </c>
      <c r="L655" s="2" t="s">
        <v>1274</v>
      </c>
      <c r="M655" t="str">
        <f t="shared" ref="M655:AB655" si="2616">CONCATENATE("&lt;/li&gt;&lt;li&gt;&lt;a href=|http://",M1191,"/proverbs/27.htm","| ","title=|",M1190,"| target=|_top|&gt;",M1192,"&lt;/a&gt;")</f>
        <v>&lt;/li&gt;&lt;li&gt;&lt;a href=|http://niv.scripturetext.com/proverbs/27.htm| title=|New International Version| target=|_top|&gt;NIV&lt;/a&gt;</v>
      </c>
      <c r="N655" t="str">
        <f t="shared" si="2616"/>
        <v>&lt;/li&gt;&lt;li&gt;&lt;a href=|http://nlt.scripturetext.com/proverbs/27.htm| title=|New Living Translation| target=|_top|&gt;NLT&lt;/a&gt;</v>
      </c>
      <c r="O655" t="str">
        <f t="shared" si="2616"/>
        <v>&lt;/li&gt;&lt;li&gt;&lt;a href=|http://nasb.scripturetext.com/proverbs/27.htm| title=|New American Standard Bible| target=|_top|&gt;NAS&lt;/a&gt;</v>
      </c>
      <c r="P655" t="str">
        <f t="shared" si="2616"/>
        <v>&lt;/li&gt;&lt;li&gt;&lt;a href=|http://gwt.scripturetext.com/proverbs/27.htm| title=|God's Word Translation| target=|_top|&gt;GWT&lt;/a&gt;</v>
      </c>
      <c r="Q655" t="str">
        <f t="shared" si="2616"/>
        <v>&lt;/li&gt;&lt;li&gt;&lt;a href=|http://kingjbible.com/proverbs/27.htm| title=|King James Bible| target=|_top|&gt;KJV&lt;/a&gt;</v>
      </c>
      <c r="R655" t="str">
        <f t="shared" si="2616"/>
        <v>&lt;/li&gt;&lt;li&gt;&lt;a href=|http://asvbible.com/proverbs/27.htm| title=|American Standard Version| target=|_top|&gt;ASV&lt;/a&gt;</v>
      </c>
      <c r="S655" t="str">
        <f t="shared" si="2616"/>
        <v>&lt;/li&gt;&lt;li&gt;&lt;a href=|http://drb.scripturetext.com/proverbs/27.htm| title=|Douay-Rheims Bible| target=|_top|&gt;DRB&lt;/a&gt;</v>
      </c>
      <c r="T655" t="str">
        <f t="shared" si="2616"/>
        <v>&lt;/li&gt;&lt;li&gt;&lt;a href=|http://erv.scripturetext.com/proverbs/27.htm| title=|English Revised Version| target=|_top|&gt;ERV&lt;/a&gt;</v>
      </c>
      <c r="V655" t="str">
        <f>CONCATENATE("&lt;/li&gt;&lt;li&gt;&lt;a href=|http://",V1191,"/proverbs/27.htm","| ","title=|",V1190,"| target=|_top|&gt;",V1192,"&lt;/a&gt;")</f>
        <v>&lt;/li&gt;&lt;li&gt;&lt;a href=|http://study.interlinearbible.org/proverbs/27.htm| title=|Hebrew Study Bible| target=|_top|&gt;Heb Study&lt;/a&gt;</v>
      </c>
      <c r="W655" t="str">
        <f t="shared" si="2616"/>
        <v>&lt;/li&gt;&lt;li&gt;&lt;a href=|http://apostolic.interlinearbible.org/proverbs/27.htm| title=|Apostolic Bible Polyglot Interlinear| target=|_top|&gt;Polyglot&lt;/a&gt;</v>
      </c>
      <c r="X655" t="str">
        <f t="shared" si="2616"/>
        <v>&lt;/li&gt;&lt;li&gt;&lt;a href=|http://interlinearbible.org/proverbs/27.htm| title=|Interlinear Bible| target=|_top|&gt;Interlin&lt;/a&gt;</v>
      </c>
      <c r="Y655" t="str">
        <f t="shared" ref="Y655" si="2617">CONCATENATE("&lt;/li&gt;&lt;li&gt;&lt;a href=|http://",Y1191,"/proverbs/27.htm","| ","title=|",Y1190,"| target=|_top|&gt;",Y1192,"&lt;/a&gt;")</f>
        <v>&lt;/li&gt;&lt;li&gt;&lt;a href=|http://bibleoutline.org/proverbs/27.htm| title=|Outline with People and Places List| target=|_top|&gt;Outline&lt;/a&gt;</v>
      </c>
      <c r="Z655" t="str">
        <f t="shared" si="2616"/>
        <v>&lt;/li&gt;&lt;li&gt;&lt;a href=|http://kjvs.scripturetext.com/proverbs/27.htm| title=|King James Bible with Strong's Numbers| target=|_top|&gt;Strong's&lt;/a&gt;</v>
      </c>
      <c r="AA655" t="str">
        <f t="shared" si="2616"/>
        <v>&lt;/li&gt;&lt;li&gt;&lt;a href=|http://childrensbibleonline.com/proverbs/27.htm| title=|The Children's Bible| target=|_top|&gt;Children's&lt;/a&gt;</v>
      </c>
      <c r="AB655" s="2" t="str">
        <f t="shared" si="2616"/>
        <v>&lt;/li&gt;&lt;li&gt;&lt;a href=|http://tsk.scripturetext.com/proverbs/27.htm| title=|Treasury of Scripture Knowledge| target=|_top|&gt;TSK&lt;/a&gt;</v>
      </c>
      <c r="AC655" t="str">
        <f>CONCATENATE("&lt;a href=|http://",AC1191,"/proverbs/27.htm","| ","title=|",AC1190,"| target=|_top|&gt;",AC1192,"&lt;/a&gt;")</f>
        <v>&lt;a href=|http://parallelbible.com/proverbs/27.htm| title=|Parallel Chapters| target=|_top|&gt;PAR&lt;/a&gt;</v>
      </c>
      <c r="AD655" s="2" t="str">
        <f t="shared" ref="AD655:AK655" si="2618">CONCATENATE("&lt;/li&gt;&lt;li&gt;&lt;a href=|http://",AD1191,"/proverbs/27.htm","| ","title=|",AD1190,"| target=|_top|&gt;",AD1192,"&lt;/a&gt;")</f>
        <v>&lt;/li&gt;&lt;li&gt;&lt;a href=|http://gsb.biblecommenter.com/proverbs/27.htm| title=|Geneva Study Bible| target=|_top|&gt;GSB&lt;/a&gt;</v>
      </c>
      <c r="AE655" s="2" t="str">
        <f t="shared" si="2618"/>
        <v>&lt;/li&gt;&lt;li&gt;&lt;a href=|http://jfb.biblecommenter.com/proverbs/27.htm| title=|Jamieson-Fausset-Brown Bible Commentary| target=|_top|&gt;JFB&lt;/a&gt;</v>
      </c>
      <c r="AF655" s="2" t="str">
        <f t="shared" si="2618"/>
        <v>&lt;/li&gt;&lt;li&gt;&lt;a href=|http://kjt.biblecommenter.com/proverbs/27.htm| title=|King James Translators' Notes| target=|_top|&gt;KJT&lt;/a&gt;</v>
      </c>
      <c r="AG655" s="2" t="str">
        <f t="shared" si="2618"/>
        <v>&lt;/li&gt;&lt;li&gt;&lt;a href=|http://mhc.biblecommenter.com/proverbs/27.htm| title=|Matthew Henry's Concise Commentary| target=|_top|&gt;MHC&lt;/a&gt;</v>
      </c>
      <c r="AH655" s="2" t="str">
        <f t="shared" si="2618"/>
        <v>&lt;/li&gt;&lt;li&gt;&lt;a href=|http://sco.biblecommenter.com/proverbs/27.htm| title=|Scofield Reference Notes| target=|_top|&gt;SCO&lt;/a&gt;</v>
      </c>
      <c r="AI655" s="2" t="str">
        <f t="shared" si="2618"/>
        <v>&lt;/li&gt;&lt;li&gt;&lt;a href=|http://wes.biblecommenter.com/proverbs/27.htm| title=|Wesley's Notes on the Bible| target=|_top|&gt;WES&lt;/a&gt;</v>
      </c>
      <c r="AJ655" t="str">
        <f t="shared" si="2618"/>
        <v>&lt;/li&gt;&lt;li&gt;&lt;a href=|http://worldebible.com/proverbs/27.htm| title=|World English Bible| target=|_top|&gt;WEB&lt;/a&gt;</v>
      </c>
      <c r="AK655" t="str">
        <f t="shared" si="2618"/>
        <v>&lt;/li&gt;&lt;li&gt;&lt;a href=|http://yltbible.com/proverbs/27.htm| title=|Young's Literal Translation| target=|_top|&gt;YLT&lt;/a&gt;</v>
      </c>
      <c r="AL655" t="str">
        <f>CONCATENATE("&lt;a href=|http://",AL1191,"/proverbs/27.htm","| ","title=|",AL1190,"| target=|_top|&gt;",AL1192,"&lt;/a&gt;")</f>
        <v>&lt;a href=|http://kjv.us/proverbs/27.htm| title=|American King James Version| target=|_top|&gt;AKJ&lt;/a&gt;</v>
      </c>
      <c r="AM655" t="str">
        <f t="shared" ref="AM655:AN655" si="2619">CONCATENATE("&lt;/li&gt;&lt;li&gt;&lt;a href=|http://",AM1191,"/proverbs/27.htm","| ","title=|",AM1190,"| target=|_top|&gt;",AM1192,"&lt;/a&gt;")</f>
        <v>&lt;/li&gt;&lt;li&gt;&lt;a href=|http://basicenglishbible.com/proverbs/27.htm| title=|Bible in Basic English| target=|_top|&gt;BBE&lt;/a&gt;</v>
      </c>
      <c r="AN655" t="str">
        <f t="shared" si="2619"/>
        <v>&lt;/li&gt;&lt;li&gt;&lt;a href=|http://darbybible.com/proverbs/27.htm| title=|Darby Bible Translation| target=|_top|&gt;DBY&lt;/a&gt;</v>
      </c>
      <c r="AO65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5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5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55" t="str">
        <f>CONCATENATE("&lt;/li&gt;&lt;li&gt;&lt;a href=|http://",AR1191,"/proverbs/27.htm","| ","title=|",AR1190,"| target=|_top|&gt;",AR1192,"&lt;/a&gt;")</f>
        <v>&lt;/li&gt;&lt;li&gt;&lt;a href=|http://websterbible.com/proverbs/27.htm| title=|Webster's Bible Translation| target=|_top|&gt;WBS&lt;/a&gt;</v>
      </c>
      <c r="AS65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55" t="str">
        <f>CONCATENATE("&lt;/li&gt;&lt;li&gt;&lt;a href=|http://",AT1191,"/proverbs/27-1.htm","| ","title=|",AT1190,"| target=|_top|&gt;",AT1192,"&lt;/a&gt;")</f>
        <v>&lt;/li&gt;&lt;li&gt;&lt;a href=|http://biblebrowser.com/proverbs/27-1.htm| title=|Split View| target=|_top|&gt;Split&lt;/a&gt;</v>
      </c>
      <c r="AU655" s="2" t="s">
        <v>1276</v>
      </c>
      <c r="AV655" t="s">
        <v>64</v>
      </c>
    </row>
    <row r="656" spans="1:48">
      <c r="A656" t="s">
        <v>622</v>
      </c>
      <c r="B656" t="s">
        <v>1160</v>
      </c>
      <c r="C656" t="s">
        <v>624</v>
      </c>
      <c r="D656" t="s">
        <v>1268</v>
      </c>
      <c r="E656" t="s">
        <v>1277</v>
      </c>
      <c r="F656" t="s">
        <v>1304</v>
      </c>
      <c r="G656" t="s">
        <v>1266</v>
      </c>
      <c r="H656" t="s">
        <v>1305</v>
      </c>
      <c r="I656" t="s">
        <v>1303</v>
      </c>
      <c r="J656" t="s">
        <v>1267</v>
      </c>
      <c r="K656" t="s">
        <v>1275</v>
      </c>
      <c r="L656" s="2" t="s">
        <v>1274</v>
      </c>
      <c r="M656" t="str">
        <f t="shared" ref="M656:AB656" si="2620">CONCATENATE("&lt;/li&gt;&lt;li&gt;&lt;a href=|http://",M1191,"/proverbs/28.htm","| ","title=|",M1190,"| target=|_top|&gt;",M1192,"&lt;/a&gt;")</f>
        <v>&lt;/li&gt;&lt;li&gt;&lt;a href=|http://niv.scripturetext.com/proverbs/28.htm| title=|New International Version| target=|_top|&gt;NIV&lt;/a&gt;</v>
      </c>
      <c r="N656" t="str">
        <f t="shared" si="2620"/>
        <v>&lt;/li&gt;&lt;li&gt;&lt;a href=|http://nlt.scripturetext.com/proverbs/28.htm| title=|New Living Translation| target=|_top|&gt;NLT&lt;/a&gt;</v>
      </c>
      <c r="O656" t="str">
        <f t="shared" si="2620"/>
        <v>&lt;/li&gt;&lt;li&gt;&lt;a href=|http://nasb.scripturetext.com/proverbs/28.htm| title=|New American Standard Bible| target=|_top|&gt;NAS&lt;/a&gt;</v>
      </c>
      <c r="P656" t="str">
        <f t="shared" si="2620"/>
        <v>&lt;/li&gt;&lt;li&gt;&lt;a href=|http://gwt.scripturetext.com/proverbs/28.htm| title=|God's Word Translation| target=|_top|&gt;GWT&lt;/a&gt;</v>
      </c>
      <c r="Q656" t="str">
        <f t="shared" si="2620"/>
        <v>&lt;/li&gt;&lt;li&gt;&lt;a href=|http://kingjbible.com/proverbs/28.htm| title=|King James Bible| target=|_top|&gt;KJV&lt;/a&gt;</v>
      </c>
      <c r="R656" t="str">
        <f t="shared" si="2620"/>
        <v>&lt;/li&gt;&lt;li&gt;&lt;a href=|http://asvbible.com/proverbs/28.htm| title=|American Standard Version| target=|_top|&gt;ASV&lt;/a&gt;</v>
      </c>
      <c r="S656" t="str">
        <f t="shared" si="2620"/>
        <v>&lt;/li&gt;&lt;li&gt;&lt;a href=|http://drb.scripturetext.com/proverbs/28.htm| title=|Douay-Rheims Bible| target=|_top|&gt;DRB&lt;/a&gt;</v>
      </c>
      <c r="T656" t="str">
        <f t="shared" si="2620"/>
        <v>&lt;/li&gt;&lt;li&gt;&lt;a href=|http://erv.scripturetext.com/proverbs/28.htm| title=|English Revised Version| target=|_top|&gt;ERV&lt;/a&gt;</v>
      </c>
      <c r="V656" t="str">
        <f>CONCATENATE("&lt;/li&gt;&lt;li&gt;&lt;a href=|http://",V1191,"/proverbs/28.htm","| ","title=|",V1190,"| target=|_top|&gt;",V1192,"&lt;/a&gt;")</f>
        <v>&lt;/li&gt;&lt;li&gt;&lt;a href=|http://study.interlinearbible.org/proverbs/28.htm| title=|Hebrew Study Bible| target=|_top|&gt;Heb Study&lt;/a&gt;</v>
      </c>
      <c r="W656" t="str">
        <f t="shared" si="2620"/>
        <v>&lt;/li&gt;&lt;li&gt;&lt;a href=|http://apostolic.interlinearbible.org/proverbs/28.htm| title=|Apostolic Bible Polyglot Interlinear| target=|_top|&gt;Polyglot&lt;/a&gt;</v>
      </c>
      <c r="X656" t="str">
        <f t="shared" si="2620"/>
        <v>&lt;/li&gt;&lt;li&gt;&lt;a href=|http://interlinearbible.org/proverbs/28.htm| title=|Interlinear Bible| target=|_top|&gt;Interlin&lt;/a&gt;</v>
      </c>
      <c r="Y656" t="str">
        <f t="shared" ref="Y656" si="2621">CONCATENATE("&lt;/li&gt;&lt;li&gt;&lt;a href=|http://",Y1191,"/proverbs/28.htm","| ","title=|",Y1190,"| target=|_top|&gt;",Y1192,"&lt;/a&gt;")</f>
        <v>&lt;/li&gt;&lt;li&gt;&lt;a href=|http://bibleoutline.org/proverbs/28.htm| title=|Outline with People and Places List| target=|_top|&gt;Outline&lt;/a&gt;</v>
      </c>
      <c r="Z656" t="str">
        <f t="shared" si="2620"/>
        <v>&lt;/li&gt;&lt;li&gt;&lt;a href=|http://kjvs.scripturetext.com/proverbs/28.htm| title=|King James Bible with Strong's Numbers| target=|_top|&gt;Strong's&lt;/a&gt;</v>
      </c>
      <c r="AA656" t="str">
        <f t="shared" si="2620"/>
        <v>&lt;/li&gt;&lt;li&gt;&lt;a href=|http://childrensbibleonline.com/proverbs/28.htm| title=|The Children's Bible| target=|_top|&gt;Children's&lt;/a&gt;</v>
      </c>
      <c r="AB656" s="2" t="str">
        <f t="shared" si="2620"/>
        <v>&lt;/li&gt;&lt;li&gt;&lt;a href=|http://tsk.scripturetext.com/proverbs/28.htm| title=|Treasury of Scripture Knowledge| target=|_top|&gt;TSK&lt;/a&gt;</v>
      </c>
      <c r="AC656" t="str">
        <f>CONCATENATE("&lt;a href=|http://",AC1191,"/proverbs/28.htm","| ","title=|",AC1190,"| target=|_top|&gt;",AC1192,"&lt;/a&gt;")</f>
        <v>&lt;a href=|http://parallelbible.com/proverbs/28.htm| title=|Parallel Chapters| target=|_top|&gt;PAR&lt;/a&gt;</v>
      </c>
      <c r="AD656" s="2" t="str">
        <f t="shared" ref="AD656:AK656" si="2622">CONCATENATE("&lt;/li&gt;&lt;li&gt;&lt;a href=|http://",AD1191,"/proverbs/28.htm","| ","title=|",AD1190,"| target=|_top|&gt;",AD1192,"&lt;/a&gt;")</f>
        <v>&lt;/li&gt;&lt;li&gt;&lt;a href=|http://gsb.biblecommenter.com/proverbs/28.htm| title=|Geneva Study Bible| target=|_top|&gt;GSB&lt;/a&gt;</v>
      </c>
      <c r="AE656" s="2" t="str">
        <f t="shared" si="2622"/>
        <v>&lt;/li&gt;&lt;li&gt;&lt;a href=|http://jfb.biblecommenter.com/proverbs/28.htm| title=|Jamieson-Fausset-Brown Bible Commentary| target=|_top|&gt;JFB&lt;/a&gt;</v>
      </c>
      <c r="AF656" s="2" t="str">
        <f t="shared" si="2622"/>
        <v>&lt;/li&gt;&lt;li&gt;&lt;a href=|http://kjt.biblecommenter.com/proverbs/28.htm| title=|King James Translators' Notes| target=|_top|&gt;KJT&lt;/a&gt;</v>
      </c>
      <c r="AG656" s="2" t="str">
        <f t="shared" si="2622"/>
        <v>&lt;/li&gt;&lt;li&gt;&lt;a href=|http://mhc.biblecommenter.com/proverbs/28.htm| title=|Matthew Henry's Concise Commentary| target=|_top|&gt;MHC&lt;/a&gt;</v>
      </c>
      <c r="AH656" s="2" t="str">
        <f t="shared" si="2622"/>
        <v>&lt;/li&gt;&lt;li&gt;&lt;a href=|http://sco.biblecommenter.com/proverbs/28.htm| title=|Scofield Reference Notes| target=|_top|&gt;SCO&lt;/a&gt;</v>
      </c>
      <c r="AI656" s="2" t="str">
        <f t="shared" si="2622"/>
        <v>&lt;/li&gt;&lt;li&gt;&lt;a href=|http://wes.biblecommenter.com/proverbs/28.htm| title=|Wesley's Notes on the Bible| target=|_top|&gt;WES&lt;/a&gt;</v>
      </c>
      <c r="AJ656" t="str">
        <f t="shared" si="2622"/>
        <v>&lt;/li&gt;&lt;li&gt;&lt;a href=|http://worldebible.com/proverbs/28.htm| title=|World English Bible| target=|_top|&gt;WEB&lt;/a&gt;</v>
      </c>
      <c r="AK656" t="str">
        <f t="shared" si="2622"/>
        <v>&lt;/li&gt;&lt;li&gt;&lt;a href=|http://yltbible.com/proverbs/28.htm| title=|Young's Literal Translation| target=|_top|&gt;YLT&lt;/a&gt;</v>
      </c>
      <c r="AL656" t="str">
        <f>CONCATENATE("&lt;a href=|http://",AL1191,"/proverbs/28.htm","| ","title=|",AL1190,"| target=|_top|&gt;",AL1192,"&lt;/a&gt;")</f>
        <v>&lt;a href=|http://kjv.us/proverbs/28.htm| title=|American King James Version| target=|_top|&gt;AKJ&lt;/a&gt;</v>
      </c>
      <c r="AM656" t="str">
        <f t="shared" ref="AM656:AN656" si="2623">CONCATENATE("&lt;/li&gt;&lt;li&gt;&lt;a href=|http://",AM1191,"/proverbs/28.htm","| ","title=|",AM1190,"| target=|_top|&gt;",AM1192,"&lt;/a&gt;")</f>
        <v>&lt;/li&gt;&lt;li&gt;&lt;a href=|http://basicenglishbible.com/proverbs/28.htm| title=|Bible in Basic English| target=|_top|&gt;BBE&lt;/a&gt;</v>
      </c>
      <c r="AN656" t="str">
        <f t="shared" si="2623"/>
        <v>&lt;/li&gt;&lt;li&gt;&lt;a href=|http://darbybible.com/proverbs/28.htm| title=|Darby Bible Translation| target=|_top|&gt;DBY&lt;/a&gt;</v>
      </c>
      <c r="AO65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5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5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56" t="str">
        <f>CONCATENATE("&lt;/li&gt;&lt;li&gt;&lt;a href=|http://",AR1191,"/proverbs/28.htm","| ","title=|",AR1190,"| target=|_top|&gt;",AR1192,"&lt;/a&gt;")</f>
        <v>&lt;/li&gt;&lt;li&gt;&lt;a href=|http://websterbible.com/proverbs/28.htm| title=|Webster's Bible Translation| target=|_top|&gt;WBS&lt;/a&gt;</v>
      </c>
      <c r="AS65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56" t="str">
        <f>CONCATENATE("&lt;/li&gt;&lt;li&gt;&lt;a href=|http://",AT1191,"/proverbs/28-1.htm","| ","title=|",AT1190,"| target=|_top|&gt;",AT1192,"&lt;/a&gt;")</f>
        <v>&lt;/li&gt;&lt;li&gt;&lt;a href=|http://biblebrowser.com/proverbs/28-1.htm| title=|Split View| target=|_top|&gt;Split&lt;/a&gt;</v>
      </c>
      <c r="AU656" s="2" t="s">
        <v>1276</v>
      </c>
      <c r="AV656" t="s">
        <v>64</v>
      </c>
    </row>
    <row r="657" spans="1:48">
      <c r="A657" t="s">
        <v>622</v>
      </c>
      <c r="B657" t="s">
        <v>1161</v>
      </c>
      <c r="C657" t="s">
        <v>624</v>
      </c>
      <c r="D657" t="s">
        <v>1268</v>
      </c>
      <c r="E657" t="s">
        <v>1277</v>
      </c>
      <c r="F657" t="s">
        <v>1304</v>
      </c>
      <c r="G657" t="s">
        <v>1266</v>
      </c>
      <c r="H657" t="s">
        <v>1305</v>
      </c>
      <c r="I657" t="s">
        <v>1303</v>
      </c>
      <c r="J657" t="s">
        <v>1267</v>
      </c>
      <c r="K657" t="s">
        <v>1275</v>
      </c>
      <c r="L657" s="2" t="s">
        <v>1274</v>
      </c>
      <c r="M657" t="str">
        <f t="shared" ref="M657:AB657" si="2624">CONCATENATE("&lt;/li&gt;&lt;li&gt;&lt;a href=|http://",M1191,"/proverbs/29.htm","| ","title=|",M1190,"| target=|_top|&gt;",M1192,"&lt;/a&gt;")</f>
        <v>&lt;/li&gt;&lt;li&gt;&lt;a href=|http://niv.scripturetext.com/proverbs/29.htm| title=|New International Version| target=|_top|&gt;NIV&lt;/a&gt;</v>
      </c>
      <c r="N657" t="str">
        <f t="shared" si="2624"/>
        <v>&lt;/li&gt;&lt;li&gt;&lt;a href=|http://nlt.scripturetext.com/proverbs/29.htm| title=|New Living Translation| target=|_top|&gt;NLT&lt;/a&gt;</v>
      </c>
      <c r="O657" t="str">
        <f t="shared" si="2624"/>
        <v>&lt;/li&gt;&lt;li&gt;&lt;a href=|http://nasb.scripturetext.com/proverbs/29.htm| title=|New American Standard Bible| target=|_top|&gt;NAS&lt;/a&gt;</v>
      </c>
      <c r="P657" t="str">
        <f t="shared" si="2624"/>
        <v>&lt;/li&gt;&lt;li&gt;&lt;a href=|http://gwt.scripturetext.com/proverbs/29.htm| title=|God's Word Translation| target=|_top|&gt;GWT&lt;/a&gt;</v>
      </c>
      <c r="Q657" t="str">
        <f t="shared" si="2624"/>
        <v>&lt;/li&gt;&lt;li&gt;&lt;a href=|http://kingjbible.com/proverbs/29.htm| title=|King James Bible| target=|_top|&gt;KJV&lt;/a&gt;</v>
      </c>
      <c r="R657" t="str">
        <f t="shared" si="2624"/>
        <v>&lt;/li&gt;&lt;li&gt;&lt;a href=|http://asvbible.com/proverbs/29.htm| title=|American Standard Version| target=|_top|&gt;ASV&lt;/a&gt;</v>
      </c>
      <c r="S657" t="str">
        <f t="shared" si="2624"/>
        <v>&lt;/li&gt;&lt;li&gt;&lt;a href=|http://drb.scripturetext.com/proverbs/29.htm| title=|Douay-Rheims Bible| target=|_top|&gt;DRB&lt;/a&gt;</v>
      </c>
      <c r="T657" t="str">
        <f t="shared" si="2624"/>
        <v>&lt;/li&gt;&lt;li&gt;&lt;a href=|http://erv.scripturetext.com/proverbs/29.htm| title=|English Revised Version| target=|_top|&gt;ERV&lt;/a&gt;</v>
      </c>
      <c r="V657" t="str">
        <f>CONCATENATE("&lt;/li&gt;&lt;li&gt;&lt;a href=|http://",V1191,"/proverbs/29.htm","| ","title=|",V1190,"| target=|_top|&gt;",V1192,"&lt;/a&gt;")</f>
        <v>&lt;/li&gt;&lt;li&gt;&lt;a href=|http://study.interlinearbible.org/proverbs/29.htm| title=|Hebrew Study Bible| target=|_top|&gt;Heb Study&lt;/a&gt;</v>
      </c>
      <c r="W657" t="str">
        <f t="shared" si="2624"/>
        <v>&lt;/li&gt;&lt;li&gt;&lt;a href=|http://apostolic.interlinearbible.org/proverbs/29.htm| title=|Apostolic Bible Polyglot Interlinear| target=|_top|&gt;Polyglot&lt;/a&gt;</v>
      </c>
      <c r="X657" t="str">
        <f t="shared" si="2624"/>
        <v>&lt;/li&gt;&lt;li&gt;&lt;a href=|http://interlinearbible.org/proverbs/29.htm| title=|Interlinear Bible| target=|_top|&gt;Interlin&lt;/a&gt;</v>
      </c>
      <c r="Y657" t="str">
        <f t="shared" ref="Y657" si="2625">CONCATENATE("&lt;/li&gt;&lt;li&gt;&lt;a href=|http://",Y1191,"/proverbs/29.htm","| ","title=|",Y1190,"| target=|_top|&gt;",Y1192,"&lt;/a&gt;")</f>
        <v>&lt;/li&gt;&lt;li&gt;&lt;a href=|http://bibleoutline.org/proverbs/29.htm| title=|Outline with People and Places List| target=|_top|&gt;Outline&lt;/a&gt;</v>
      </c>
      <c r="Z657" t="str">
        <f t="shared" si="2624"/>
        <v>&lt;/li&gt;&lt;li&gt;&lt;a href=|http://kjvs.scripturetext.com/proverbs/29.htm| title=|King James Bible with Strong's Numbers| target=|_top|&gt;Strong's&lt;/a&gt;</v>
      </c>
      <c r="AA657" t="str">
        <f t="shared" si="2624"/>
        <v>&lt;/li&gt;&lt;li&gt;&lt;a href=|http://childrensbibleonline.com/proverbs/29.htm| title=|The Children's Bible| target=|_top|&gt;Children's&lt;/a&gt;</v>
      </c>
      <c r="AB657" s="2" t="str">
        <f t="shared" si="2624"/>
        <v>&lt;/li&gt;&lt;li&gt;&lt;a href=|http://tsk.scripturetext.com/proverbs/29.htm| title=|Treasury of Scripture Knowledge| target=|_top|&gt;TSK&lt;/a&gt;</v>
      </c>
      <c r="AC657" t="str">
        <f>CONCATENATE("&lt;a href=|http://",AC1191,"/proverbs/29.htm","| ","title=|",AC1190,"| target=|_top|&gt;",AC1192,"&lt;/a&gt;")</f>
        <v>&lt;a href=|http://parallelbible.com/proverbs/29.htm| title=|Parallel Chapters| target=|_top|&gt;PAR&lt;/a&gt;</v>
      </c>
      <c r="AD657" s="2" t="str">
        <f t="shared" ref="AD657:AK657" si="2626">CONCATENATE("&lt;/li&gt;&lt;li&gt;&lt;a href=|http://",AD1191,"/proverbs/29.htm","| ","title=|",AD1190,"| target=|_top|&gt;",AD1192,"&lt;/a&gt;")</f>
        <v>&lt;/li&gt;&lt;li&gt;&lt;a href=|http://gsb.biblecommenter.com/proverbs/29.htm| title=|Geneva Study Bible| target=|_top|&gt;GSB&lt;/a&gt;</v>
      </c>
      <c r="AE657" s="2" t="str">
        <f t="shared" si="2626"/>
        <v>&lt;/li&gt;&lt;li&gt;&lt;a href=|http://jfb.biblecommenter.com/proverbs/29.htm| title=|Jamieson-Fausset-Brown Bible Commentary| target=|_top|&gt;JFB&lt;/a&gt;</v>
      </c>
      <c r="AF657" s="2" t="str">
        <f t="shared" si="2626"/>
        <v>&lt;/li&gt;&lt;li&gt;&lt;a href=|http://kjt.biblecommenter.com/proverbs/29.htm| title=|King James Translators' Notes| target=|_top|&gt;KJT&lt;/a&gt;</v>
      </c>
      <c r="AG657" s="2" t="str">
        <f t="shared" si="2626"/>
        <v>&lt;/li&gt;&lt;li&gt;&lt;a href=|http://mhc.biblecommenter.com/proverbs/29.htm| title=|Matthew Henry's Concise Commentary| target=|_top|&gt;MHC&lt;/a&gt;</v>
      </c>
      <c r="AH657" s="2" t="str">
        <f t="shared" si="2626"/>
        <v>&lt;/li&gt;&lt;li&gt;&lt;a href=|http://sco.biblecommenter.com/proverbs/29.htm| title=|Scofield Reference Notes| target=|_top|&gt;SCO&lt;/a&gt;</v>
      </c>
      <c r="AI657" s="2" t="str">
        <f t="shared" si="2626"/>
        <v>&lt;/li&gt;&lt;li&gt;&lt;a href=|http://wes.biblecommenter.com/proverbs/29.htm| title=|Wesley's Notes on the Bible| target=|_top|&gt;WES&lt;/a&gt;</v>
      </c>
      <c r="AJ657" t="str">
        <f t="shared" si="2626"/>
        <v>&lt;/li&gt;&lt;li&gt;&lt;a href=|http://worldebible.com/proverbs/29.htm| title=|World English Bible| target=|_top|&gt;WEB&lt;/a&gt;</v>
      </c>
      <c r="AK657" t="str">
        <f t="shared" si="2626"/>
        <v>&lt;/li&gt;&lt;li&gt;&lt;a href=|http://yltbible.com/proverbs/29.htm| title=|Young's Literal Translation| target=|_top|&gt;YLT&lt;/a&gt;</v>
      </c>
      <c r="AL657" t="str">
        <f>CONCATENATE("&lt;a href=|http://",AL1191,"/proverbs/29.htm","| ","title=|",AL1190,"| target=|_top|&gt;",AL1192,"&lt;/a&gt;")</f>
        <v>&lt;a href=|http://kjv.us/proverbs/29.htm| title=|American King James Version| target=|_top|&gt;AKJ&lt;/a&gt;</v>
      </c>
      <c r="AM657" t="str">
        <f t="shared" ref="AM657:AN657" si="2627">CONCATENATE("&lt;/li&gt;&lt;li&gt;&lt;a href=|http://",AM1191,"/proverbs/29.htm","| ","title=|",AM1190,"| target=|_top|&gt;",AM1192,"&lt;/a&gt;")</f>
        <v>&lt;/li&gt;&lt;li&gt;&lt;a href=|http://basicenglishbible.com/proverbs/29.htm| title=|Bible in Basic English| target=|_top|&gt;BBE&lt;/a&gt;</v>
      </c>
      <c r="AN657" t="str">
        <f t="shared" si="2627"/>
        <v>&lt;/li&gt;&lt;li&gt;&lt;a href=|http://darbybible.com/proverbs/29.htm| title=|Darby Bible Translation| target=|_top|&gt;DBY&lt;/a&gt;</v>
      </c>
      <c r="AO65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5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5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57" t="str">
        <f>CONCATENATE("&lt;/li&gt;&lt;li&gt;&lt;a href=|http://",AR1191,"/proverbs/29.htm","| ","title=|",AR1190,"| target=|_top|&gt;",AR1192,"&lt;/a&gt;")</f>
        <v>&lt;/li&gt;&lt;li&gt;&lt;a href=|http://websterbible.com/proverbs/29.htm| title=|Webster's Bible Translation| target=|_top|&gt;WBS&lt;/a&gt;</v>
      </c>
      <c r="AS65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57" t="str">
        <f>CONCATENATE("&lt;/li&gt;&lt;li&gt;&lt;a href=|http://",AT1191,"/proverbs/29-1.htm","| ","title=|",AT1190,"| target=|_top|&gt;",AT1192,"&lt;/a&gt;")</f>
        <v>&lt;/li&gt;&lt;li&gt;&lt;a href=|http://biblebrowser.com/proverbs/29-1.htm| title=|Split View| target=|_top|&gt;Split&lt;/a&gt;</v>
      </c>
      <c r="AU657" s="2" t="s">
        <v>1276</v>
      </c>
      <c r="AV657" t="s">
        <v>64</v>
      </c>
    </row>
    <row r="658" spans="1:48">
      <c r="A658" t="s">
        <v>622</v>
      </c>
      <c r="B658" t="s">
        <v>1162</v>
      </c>
      <c r="C658" t="s">
        <v>624</v>
      </c>
      <c r="D658" t="s">
        <v>1268</v>
      </c>
      <c r="E658" t="s">
        <v>1277</v>
      </c>
      <c r="F658" t="s">
        <v>1304</v>
      </c>
      <c r="G658" t="s">
        <v>1266</v>
      </c>
      <c r="H658" t="s">
        <v>1305</v>
      </c>
      <c r="I658" t="s">
        <v>1303</v>
      </c>
      <c r="J658" t="s">
        <v>1267</v>
      </c>
      <c r="K658" t="s">
        <v>1275</v>
      </c>
      <c r="L658" s="2" t="s">
        <v>1274</v>
      </c>
      <c r="M658" t="str">
        <f t="shared" ref="M658:AB658" si="2628">CONCATENATE("&lt;/li&gt;&lt;li&gt;&lt;a href=|http://",M1191,"/proverbs/30.htm","| ","title=|",M1190,"| target=|_top|&gt;",M1192,"&lt;/a&gt;")</f>
        <v>&lt;/li&gt;&lt;li&gt;&lt;a href=|http://niv.scripturetext.com/proverbs/30.htm| title=|New International Version| target=|_top|&gt;NIV&lt;/a&gt;</v>
      </c>
      <c r="N658" t="str">
        <f t="shared" si="2628"/>
        <v>&lt;/li&gt;&lt;li&gt;&lt;a href=|http://nlt.scripturetext.com/proverbs/30.htm| title=|New Living Translation| target=|_top|&gt;NLT&lt;/a&gt;</v>
      </c>
      <c r="O658" t="str">
        <f t="shared" si="2628"/>
        <v>&lt;/li&gt;&lt;li&gt;&lt;a href=|http://nasb.scripturetext.com/proverbs/30.htm| title=|New American Standard Bible| target=|_top|&gt;NAS&lt;/a&gt;</v>
      </c>
      <c r="P658" t="str">
        <f t="shared" si="2628"/>
        <v>&lt;/li&gt;&lt;li&gt;&lt;a href=|http://gwt.scripturetext.com/proverbs/30.htm| title=|God's Word Translation| target=|_top|&gt;GWT&lt;/a&gt;</v>
      </c>
      <c r="Q658" t="str">
        <f t="shared" si="2628"/>
        <v>&lt;/li&gt;&lt;li&gt;&lt;a href=|http://kingjbible.com/proverbs/30.htm| title=|King James Bible| target=|_top|&gt;KJV&lt;/a&gt;</v>
      </c>
      <c r="R658" t="str">
        <f t="shared" si="2628"/>
        <v>&lt;/li&gt;&lt;li&gt;&lt;a href=|http://asvbible.com/proverbs/30.htm| title=|American Standard Version| target=|_top|&gt;ASV&lt;/a&gt;</v>
      </c>
      <c r="S658" t="str">
        <f t="shared" si="2628"/>
        <v>&lt;/li&gt;&lt;li&gt;&lt;a href=|http://drb.scripturetext.com/proverbs/30.htm| title=|Douay-Rheims Bible| target=|_top|&gt;DRB&lt;/a&gt;</v>
      </c>
      <c r="T658" t="str">
        <f t="shared" si="2628"/>
        <v>&lt;/li&gt;&lt;li&gt;&lt;a href=|http://erv.scripturetext.com/proverbs/30.htm| title=|English Revised Version| target=|_top|&gt;ERV&lt;/a&gt;</v>
      </c>
      <c r="V658" t="str">
        <f>CONCATENATE("&lt;/li&gt;&lt;li&gt;&lt;a href=|http://",V1191,"/proverbs/30.htm","| ","title=|",V1190,"| target=|_top|&gt;",V1192,"&lt;/a&gt;")</f>
        <v>&lt;/li&gt;&lt;li&gt;&lt;a href=|http://study.interlinearbible.org/proverbs/30.htm| title=|Hebrew Study Bible| target=|_top|&gt;Heb Study&lt;/a&gt;</v>
      </c>
      <c r="W658" t="str">
        <f t="shared" si="2628"/>
        <v>&lt;/li&gt;&lt;li&gt;&lt;a href=|http://apostolic.interlinearbible.org/proverbs/30.htm| title=|Apostolic Bible Polyglot Interlinear| target=|_top|&gt;Polyglot&lt;/a&gt;</v>
      </c>
      <c r="X658" t="str">
        <f t="shared" si="2628"/>
        <v>&lt;/li&gt;&lt;li&gt;&lt;a href=|http://interlinearbible.org/proverbs/30.htm| title=|Interlinear Bible| target=|_top|&gt;Interlin&lt;/a&gt;</v>
      </c>
      <c r="Y658" t="str">
        <f t="shared" ref="Y658" si="2629">CONCATENATE("&lt;/li&gt;&lt;li&gt;&lt;a href=|http://",Y1191,"/proverbs/30.htm","| ","title=|",Y1190,"| target=|_top|&gt;",Y1192,"&lt;/a&gt;")</f>
        <v>&lt;/li&gt;&lt;li&gt;&lt;a href=|http://bibleoutline.org/proverbs/30.htm| title=|Outline with People and Places List| target=|_top|&gt;Outline&lt;/a&gt;</v>
      </c>
      <c r="Z658" t="str">
        <f t="shared" si="2628"/>
        <v>&lt;/li&gt;&lt;li&gt;&lt;a href=|http://kjvs.scripturetext.com/proverbs/30.htm| title=|King James Bible with Strong's Numbers| target=|_top|&gt;Strong's&lt;/a&gt;</v>
      </c>
      <c r="AA658" t="str">
        <f t="shared" si="2628"/>
        <v>&lt;/li&gt;&lt;li&gt;&lt;a href=|http://childrensbibleonline.com/proverbs/30.htm| title=|The Children's Bible| target=|_top|&gt;Children's&lt;/a&gt;</v>
      </c>
      <c r="AB658" s="2" t="str">
        <f t="shared" si="2628"/>
        <v>&lt;/li&gt;&lt;li&gt;&lt;a href=|http://tsk.scripturetext.com/proverbs/30.htm| title=|Treasury of Scripture Knowledge| target=|_top|&gt;TSK&lt;/a&gt;</v>
      </c>
      <c r="AC658" t="str">
        <f>CONCATENATE("&lt;a href=|http://",AC1191,"/proverbs/30.htm","| ","title=|",AC1190,"| target=|_top|&gt;",AC1192,"&lt;/a&gt;")</f>
        <v>&lt;a href=|http://parallelbible.com/proverbs/30.htm| title=|Parallel Chapters| target=|_top|&gt;PAR&lt;/a&gt;</v>
      </c>
      <c r="AD658" s="2" t="str">
        <f t="shared" ref="AD658:AK658" si="2630">CONCATENATE("&lt;/li&gt;&lt;li&gt;&lt;a href=|http://",AD1191,"/proverbs/30.htm","| ","title=|",AD1190,"| target=|_top|&gt;",AD1192,"&lt;/a&gt;")</f>
        <v>&lt;/li&gt;&lt;li&gt;&lt;a href=|http://gsb.biblecommenter.com/proverbs/30.htm| title=|Geneva Study Bible| target=|_top|&gt;GSB&lt;/a&gt;</v>
      </c>
      <c r="AE658" s="2" t="str">
        <f t="shared" si="2630"/>
        <v>&lt;/li&gt;&lt;li&gt;&lt;a href=|http://jfb.biblecommenter.com/proverbs/30.htm| title=|Jamieson-Fausset-Brown Bible Commentary| target=|_top|&gt;JFB&lt;/a&gt;</v>
      </c>
      <c r="AF658" s="2" t="str">
        <f t="shared" si="2630"/>
        <v>&lt;/li&gt;&lt;li&gt;&lt;a href=|http://kjt.biblecommenter.com/proverbs/30.htm| title=|King James Translators' Notes| target=|_top|&gt;KJT&lt;/a&gt;</v>
      </c>
      <c r="AG658" s="2" t="str">
        <f t="shared" si="2630"/>
        <v>&lt;/li&gt;&lt;li&gt;&lt;a href=|http://mhc.biblecommenter.com/proverbs/30.htm| title=|Matthew Henry's Concise Commentary| target=|_top|&gt;MHC&lt;/a&gt;</v>
      </c>
      <c r="AH658" s="2" t="str">
        <f t="shared" si="2630"/>
        <v>&lt;/li&gt;&lt;li&gt;&lt;a href=|http://sco.biblecommenter.com/proverbs/30.htm| title=|Scofield Reference Notes| target=|_top|&gt;SCO&lt;/a&gt;</v>
      </c>
      <c r="AI658" s="2" t="str">
        <f t="shared" si="2630"/>
        <v>&lt;/li&gt;&lt;li&gt;&lt;a href=|http://wes.biblecommenter.com/proverbs/30.htm| title=|Wesley's Notes on the Bible| target=|_top|&gt;WES&lt;/a&gt;</v>
      </c>
      <c r="AJ658" t="str">
        <f t="shared" si="2630"/>
        <v>&lt;/li&gt;&lt;li&gt;&lt;a href=|http://worldebible.com/proverbs/30.htm| title=|World English Bible| target=|_top|&gt;WEB&lt;/a&gt;</v>
      </c>
      <c r="AK658" t="str">
        <f t="shared" si="2630"/>
        <v>&lt;/li&gt;&lt;li&gt;&lt;a href=|http://yltbible.com/proverbs/30.htm| title=|Young's Literal Translation| target=|_top|&gt;YLT&lt;/a&gt;</v>
      </c>
      <c r="AL658" t="str">
        <f>CONCATENATE("&lt;a href=|http://",AL1191,"/proverbs/30.htm","| ","title=|",AL1190,"| target=|_top|&gt;",AL1192,"&lt;/a&gt;")</f>
        <v>&lt;a href=|http://kjv.us/proverbs/30.htm| title=|American King James Version| target=|_top|&gt;AKJ&lt;/a&gt;</v>
      </c>
      <c r="AM658" t="str">
        <f t="shared" ref="AM658:AN658" si="2631">CONCATENATE("&lt;/li&gt;&lt;li&gt;&lt;a href=|http://",AM1191,"/proverbs/30.htm","| ","title=|",AM1190,"| target=|_top|&gt;",AM1192,"&lt;/a&gt;")</f>
        <v>&lt;/li&gt;&lt;li&gt;&lt;a href=|http://basicenglishbible.com/proverbs/30.htm| title=|Bible in Basic English| target=|_top|&gt;BBE&lt;/a&gt;</v>
      </c>
      <c r="AN658" t="str">
        <f t="shared" si="2631"/>
        <v>&lt;/li&gt;&lt;li&gt;&lt;a href=|http://darbybible.com/proverbs/30.htm| title=|Darby Bible Translation| target=|_top|&gt;DBY&lt;/a&gt;</v>
      </c>
      <c r="AO65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5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5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58" t="str">
        <f>CONCATENATE("&lt;/li&gt;&lt;li&gt;&lt;a href=|http://",AR1191,"/proverbs/30.htm","| ","title=|",AR1190,"| target=|_top|&gt;",AR1192,"&lt;/a&gt;")</f>
        <v>&lt;/li&gt;&lt;li&gt;&lt;a href=|http://websterbible.com/proverbs/30.htm| title=|Webster's Bible Translation| target=|_top|&gt;WBS&lt;/a&gt;</v>
      </c>
      <c r="AS65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58" t="str">
        <f>CONCATENATE("&lt;/li&gt;&lt;li&gt;&lt;a href=|http://",AT1191,"/proverbs/30-1.htm","| ","title=|",AT1190,"| target=|_top|&gt;",AT1192,"&lt;/a&gt;")</f>
        <v>&lt;/li&gt;&lt;li&gt;&lt;a href=|http://biblebrowser.com/proverbs/30-1.htm| title=|Split View| target=|_top|&gt;Split&lt;/a&gt;</v>
      </c>
      <c r="AU658" s="2" t="s">
        <v>1276</v>
      </c>
      <c r="AV658" t="s">
        <v>64</v>
      </c>
    </row>
    <row r="659" spans="1:48">
      <c r="A659" t="s">
        <v>622</v>
      </c>
      <c r="B659" t="s">
        <v>1163</v>
      </c>
      <c r="C659" t="s">
        <v>624</v>
      </c>
      <c r="D659" t="s">
        <v>1268</v>
      </c>
      <c r="E659" t="s">
        <v>1277</v>
      </c>
      <c r="F659" t="s">
        <v>1304</v>
      </c>
      <c r="G659" t="s">
        <v>1266</v>
      </c>
      <c r="H659" t="s">
        <v>1305</v>
      </c>
      <c r="I659" t="s">
        <v>1303</v>
      </c>
      <c r="J659" t="s">
        <v>1267</v>
      </c>
      <c r="K659" t="s">
        <v>1275</v>
      </c>
      <c r="L659" s="2" t="s">
        <v>1274</v>
      </c>
      <c r="M659" t="str">
        <f t="shared" ref="M659:AB659" si="2632">CONCATENATE("&lt;/li&gt;&lt;li&gt;&lt;a href=|http://",M1191,"/proverbs/31.htm","| ","title=|",M1190,"| target=|_top|&gt;",M1192,"&lt;/a&gt;")</f>
        <v>&lt;/li&gt;&lt;li&gt;&lt;a href=|http://niv.scripturetext.com/proverbs/31.htm| title=|New International Version| target=|_top|&gt;NIV&lt;/a&gt;</v>
      </c>
      <c r="N659" t="str">
        <f t="shared" si="2632"/>
        <v>&lt;/li&gt;&lt;li&gt;&lt;a href=|http://nlt.scripturetext.com/proverbs/31.htm| title=|New Living Translation| target=|_top|&gt;NLT&lt;/a&gt;</v>
      </c>
      <c r="O659" t="str">
        <f t="shared" si="2632"/>
        <v>&lt;/li&gt;&lt;li&gt;&lt;a href=|http://nasb.scripturetext.com/proverbs/31.htm| title=|New American Standard Bible| target=|_top|&gt;NAS&lt;/a&gt;</v>
      </c>
      <c r="P659" t="str">
        <f t="shared" si="2632"/>
        <v>&lt;/li&gt;&lt;li&gt;&lt;a href=|http://gwt.scripturetext.com/proverbs/31.htm| title=|God's Word Translation| target=|_top|&gt;GWT&lt;/a&gt;</v>
      </c>
      <c r="Q659" t="str">
        <f t="shared" si="2632"/>
        <v>&lt;/li&gt;&lt;li&gt;&lt;a href=|http://kingjbible.com/proverbs/31.htm| title=|King James Bible| target=|_top|&gt;KJV&lt;/a&gt;</v>
      </c>
      <c r="R659" t="str">
        <f t="shared" si="2632"/>
        <v>&lt;/li&gt;&lt;li&gt;&lt;a href=|http://asvbible.com/proverbs/31.htm| title=|American Standard Version| target=|_top|&gt;ASV&lt;/a&gt;</v>
      </c>
      <c r="S659" t="str">
        <f t="shared" si="2632"/>
        <v>&lt;/li&gt;&lt;li&gt;&lt;a href=|http://drb.scripturetext.com/proverbs/31.htm| title=|Douay-Rheims Bible| target=|_top|&gt;DRB&lt;/a&gt;</v>
      </c>
      <c r="T659" t="str">
        <f t="shared" si="2632"/>
        <v>&lt;/li&gt;&lt;li&gt;&lt;a href=|http://erv.scripturetext.com/proverbs/31.htm| title=|English Revised Version| target=|_top|&gt;ERV&lt;/a&gt;</v>
      </c>
      <c r="V659" t="str">
        <f>CONCATENATE("&lt;/li&gt;&lt;li&gt;&lt;a href=|http://",V1191,"/proverbs/31.htm","| ","title=|",V1190,"| target=|_top|&gt;",V1192,"&lt;/a&gt;")</f>
        <v>&lt;/li&gt;&lt;li&gt;&lt;a href=|http://study.interlinearbible.org/proverbs/31.htm| title=|Hebrew Study Bible| target=|_top|&gt;Heb Study&lt;/a&gt;</v>
      </c>
      <c r="W659" t="str">
        <f t="shared" si="2632"/>
        <v>&lt;/li&gt;&lt;li&gt;&lt;a href=|http://apostolic.interlinearbible.org/proverbs/31.htm| title=|Apostolic Bible Polyglot Interlinear| target=|_top|&gt;Polyglot&lt;/a&gt;</v>
      </c>
      <c r="X659" t="str">
        <f t="shared" si="2632"/>
        <v>&lt;/li&gt;&lt;li&gt;&lt;a href=|http://interlinearbible.org/proverbs/31.htm| title=|Interlinear Bible| target=|_top|&gt;Interlin&lt;/a&gt;</v>
      </c>
      <c r="Y659" t="str">
        <f t="shared" ref="Y659" si="2633">CONCATENATE("&lt;/li&gt;&lt;li&gt;&lt;a href=|http://",Y1191,"/proverbs/31.htm","| ","title=|",Y1190,"| target=|_top|&gt;",Y1192,"&lt;/a&gt;")</f>
        <v>&lt;/li&gt;&lt;li&gt;&lt;a href=|http://bibleoutline.org/proverbs/31.htm| title=|Outline with People and Places List| target=|_top|&gt;Outline&lt;/a&gt;</v>
      </c>
      <c r="Z659" t="str">
        <f t="shared" si="2632"/>
        <v>&lt;/li&gt;&lt;li&gt;&lt;a href=|http://kjvs.scripturetext.com/proverbs/31.htm| title=|King James Bible with Strong's Numbers| target=|_top|&gt;Strong's&lt;/a&gt;</v>
      </c>
      <c r="AA659" t="str">
        <f t="shared" si="2632"/>
        <v>&lt;/li&gt;&lt;li&gt;&lt;a href=|http://childrensbibleonline.com/proverbs/31.htm| title=|The Children's Bible| target=|_top|&gt;Children's&lt;/a&gt;</v>
      </c>
      <c r="AB659" s="2" t="str">
        <f t="shared" si="2632"/>
        <v>&lt;/li&gt;&lt;li&gt;&lt;a href=|http://tsk.scripturetext.com/proverbs/31.htm| title=|Treasury of Scripture Knowledge| target=|_top|&gt;TSK&lt;/a&gt;</v>
      </c>
      <c r="AC659" t="str">
        <f>CONCATENATE("&lt;a href=|http://",AC1191,"/proverbs/31.htm","| ","title=|",AC1190,"| target=|_top|&gt;",AC1192,"&lt;/a&gt;")</f>
        <v>&lt;a href=|http://parallelbible.com/proverbs/31.htm| title=|Parallel Chapters| target=|_top|&gt;PAR&lt;/a&gt;</v>
      </c>
      <c r="AD659" s="2" t="str">
        <f t="shared" ref="AD659:AK659" si="2634">CONCATENATE("&lt;/li&gt;&lt;li&gt;&lt;a href=|http://",AD1191,"/proverbs/31.htm","| ","title=|",AD1190,"| target=|_top|&gt;",AD1192,"&lt;/a&gt;")</f>
        <v>&lt;/li&gt;&lt;li&gt;&lt;a href=|http://gsb.biblecommenter.com/proverbs/31.htm| title=|Geneva Study Bible| target=|_top|&gt;GSB&lt;/a&gt;</v>
      </c>
      <c r="AE659" s="2" t="str">
        <f t="shared" si="2634"/>
        <v>&lt;/li&gt;&lt;li&gt;&lt;a href=|http://jfb.biblecommenter.com/proverbs/31.htm| title=|Jamieson-Fausset-Brown Bible Commentary| target=|_top|&gt;JFB&lt;/a&gt;</v>
      </c>
      <c r="AF659" s="2" t="str">
        <f t="shared" si="2634"/>
        <v>&lt;/li&gt;&lt;li&gt;&lt;a href=|http://kjt.biblecommenter.com/proverbs/31.htm| title=|King James Translators' Notes| target=|_top|&gt;KJT&lt;/a&gt;</v>
      </c>
      <c r="AG659" s="2" t="str">
        <f t="shared" si="2634"/>
        <v>&lt;/li&gt;&lt;li&gt;&lt;a href=|http://mhc.biblecommenter.com/proverbs/31.htm| title=|Matthew Henry's Concise Commentary| target=|_top|&gt;MHC&lt;/a&gt;</v>
      </c>
      <c r="AH659" s="2" t="str">
        <f t="shared" si="2634"/>
        <v>&lt;/li&gt;&lt;li&gt;&lt;a href=|http://sco.biblecommenter.com/proverbs/31.htm| title=|Scofield Reference Notes| target=|_top|&gt;SCO&lt;/a&gt;</v>
      </c>
      <c r="AI659" s="2" t="str">
        <f t="shared" si="2634"/>
        <v>&lt;/li&gt;&lt;li&gt;&lt;a href=|http://wes.biblecommenter.com/proverbs/31.htm| title=|Wesley's Notes on the Bible| target=|_top|&gt;WES&lt;/a&gt;</v>
      </c>
      <c r="AJ659" t="str">
        <f t="shared" si="2634"/>
        <v>&lt;/li&gt;&lt;li&gt;&lt;a href=|http://worldebible.com/proverbs/31.htm| title=|World English Bible| target=|_top|&gt;WEB&lt;/a&gt;</v>
      </c>
      <c r="AK659" t="str">
        <f t="shared" si="2634"/>
        <v>&lt;/li&gt;&lt;li&gt;&lt;a href=|http://yltbible.com/proverbs/31.htm| title=|Young's Literal Translation| target=|_top|&gt;YLT&lt;/a&gt;</v>
      </c>
      <c r="AL659" t="str">
        <f>CONCATENATE("&lt;a href=|http://",AL1191,"/proverbs/31.htm","| ","title=|",AL1190,"| target=|_top|&gt;",AL1192,"&lt;/a&gt;")</f>
        <v>&lt;a href=|http://kjv.us/proverbs/31.htm| title=|American King James Version| target=|_top|&gt;AKJ&lt;/a&gt;</v>
      </c>
      <c r="AM659" t="str">
        <f t="shared" ref="AM659:AN659" si="2635">CONCATENATE("&lt;/li&gt;&lt;li&gt;&lt;a href=|http://",AM1191,"/proverbs/31.htm","| ","title=|",AM1190,"| target=|_top|&gt;",AM1192,"&lt;/a&gt;")</f>
        <v>&lt;/li&gt;&lt;li&gt;&lt;a href=|http://basicenglishbible.com/proverbs/31.htm| title=|Bible in Basic English| target=|_top|&gt;BBE&lt;/a&gt;</v>
      </c>
      <c r="AN659" t="str">
        <f t="shared" si="2635"/>
        <v>&lt;/li&gt;&lt;li&gt;&lt;a href=|http://darbybible.com/proverbs/31.htm| title=|Darby Bible Translation| target=|_top|&gt;DBY&lt;/a&gt;</v>
      </c>
      <c r="AO65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5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5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59" t="str">
        <f>CONCATENATE("&lt;/li&gt;&lt;li&gt;&lt;a href=|http://",AR1191,"/proverbs/31.htm","| ","title=|",AR1190,"| target=|_top|&gt;",AR1192,"&lt;/a&gt;")</f>
        <v>&lt;/li&gt;&lt;li&gt;&lt;a href=|http://websterbible.com/proverbs/31.htm| title=|Webster's Bible Translation| target=|_top|&gt;WBS&lt;/a&gt;</v>
      </c>
      <c r="AS65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59" t="str">
        <f>CONCATENATE("&lt;/li&gt;&lt;li&gt;&lt;a href=|http://",AT1191,"/proverbs/31-1.htm","| ","title=|",AT1190,"| target=|_top|&gt;",AT1192,"&lt;/a&gt;")</f>
        <v>&lt;/li&gt;&lt;li&gt;&lt;a href=|http://biblebrowser.com/proverbs/31-1.htm| title=|Split View| target=|_top|&gt;Split&lt;/a&gt;</v>
      </c>
      <c r="AU659" s="2" t="s">
        <v>1276</v>
      </c>
      <c r="AV659" t="s">
        <v>64</v>
      </c>
    </row>
    <row r="660" spans="1:48">
      <c r="A660" t="s">
        <v>622</v>
      </c>
      <c r="B660" t="s">
        <v>1164</v>
      </c>
      <c r="C660" t="s">
        <v>624</v>
      </c>
      <c r="D660" t="s">
        <v>1268</v>
      </c>
      <c r="E660" t="s">
        <v>1277</v>
      </c>
      <c r="F660" t="s">
        <v>1304</v>
      </c>
      <c r="G660" t="s">
        <v>1266</v>
      </c>
      <c r="H660" t="s">
        <v>1305</v>
      </c>
      <c r="I660" t="s">
        <v>1303</v>
      </c>
      <c r="J660" t="s">
        <v>1267</v>
      </c>
      <c r="K660" t="s">
        <v>1275</v>
      </c>
      <c r="L660" s="2" t="s">
        <v>1274</v>
      </c>
      <c r="M660" t="str">
        <f t="shared" ref="M660:AB660" si="2636">CONCATENATE("&lt;/li&gt;&lt;li&gt;&lt;a href=|http://",M1191,"/ecclesiastes/1.htm","| ","title=|",M1190,"| target=|_top|&gt;",M1192,"&lt;/a&gt;")</f>
        <v>&lt;/li&gt;&lt;li&gt;&lt;a href=|http://niv.scripturetext.com/ecclesiastes/1.htm| title=|New International Version| target=|_top|&gt;NIV&lt;/a&gt;</v>
      </c>
      <c r="N660" t="str">
        <f t="shared" si="2636"/>
        <v>&lt;/li&gt;&lt;li&gt;&lt;a href=|http://nlt.scripturetext.com/ecclesiastes/1.htm| title=|New Living Translation| target=|_top|&gt;NLT&lt;/a&gt;</v>
      </c>
      <c r="O660" t="str">
        <f t="shared" si="2636"/>
        <v>&lt;/li&gt;&lt;li&gt;&lt;a href=|http://nasb.scripturetext.com/ecclesiastes/1.htm| title=|New American Standard Bible| target=|_top|&gt;NAS&lt;/a&gt;</v>
      </c>
      <c r="P660" t="str">
        <f t="shared" si="2636"/>
        <v>&lt;/li&gt;&lt;li&gt;&lt;a href=|http://gwt.scripturetext.com/ecclesiastes/1.htm| title=|God's Word Translation| target=|_top|&gt;GWT&lt;/a&gt;</v>
      </c>
      <c r="Q660" t="str">
        <f t="shared" si="2636"/>
        <v>&lt;/li&gt;&lt;li&gt;&lt;a href=|http://kingjbible.com/ecclesiastes/1.htm| title=|King James Bible| target=|_top|&gt;KJV&lt;/a&gt;</v>
      </c>
      <c r="R660" t="str">
        <f t="shared" si="2636"/>
        <v>&lt;/li&gt;&lt;li&gt;&lt;a href=|http://asvbible.com/ecclesiastes/1.htm| title=|American Standard Version| target=|_top|&gt;ASV&lt;/a&gt;</v>
      </c>
      <c r="S660" t="str">
        <f t="shared" si="2636"/>
        <v>&lt;/li&gt;&lt;li&gt;&lt;a href=|http://drb.scripturetext.com/ecclesiastes/1.htm| title=|Douay-Rheims Bible| target=|_top|&gt;DRB&lt;/a&gt;</v>
      </c>
      <c r="T660" t="str">
        <f t="shared" si="2636"/>
        <v>&lt;/li&gt;&lt;li&gt;&lt;a href=|http://erv.scripturetext.com/ecclesiastes/1.htm| title=|English Revised Version| target=|_top|&gt;ERV&lt;/a&gt;</v>
      </c>
      <c r="V660" t="str">
        <f>CONCATENATE("&lt;/li&gt;&lt;li&gt;&lt;a href=|http://",V1191,"/ecclesiastes/1.htm","| ","title=|",V1190,"| target=|_top|&gt;",V1192,"&lt;/a&gt;")</f>
        <v>&lt;/li&gt;&lt;li&gt;&lt;a href=|http://study.interlinearbible.org/ecclesiastes/1.htm| title=|Hebrew Study Bible| target=|_top|&gt;Heb Study&lt;/a&gt;</v>
      </c>
      <c r="W660" t="str">
        <f t="shared" si="2636"/>
        <v>&lt;/li&gt;&lt;li&gt;&lt;a href=|http://apostolic.interlinearbible.org/ecclesiastes/1.htm| title=|Apostolic Bible Polyglot Interlinear| target=|_top|&gt;Polyglot&lt;/a&gt;</v>
      </c>
      <c r="X660" t="str">
        <f t="shared" si="2636"/>
        <v>&lt;/li&gt;&lt;li&gt;&lt;a href=|http://interlinearbible.org/ecclesiastes/1.htm| title=|Interlinear Bible| target=|_top|&gt;Interlin&lt;/a&gt;</v>
      </c>
      <c r="Y660" t="str">
        <f t="shared" ref="Y660" si="2637">CONCATENATE("&lt;/li&gt;&lt;li&gt;&lt;a href=|http://",Y1191,"/ecclesiastes/1.htm","| ","title=|",Y1190,"| target=|_top|&gt;",Y1192,"&lt;/a&gt;")</f>
        <v>&lt;/li&gt;&lt;li&gt;&lt;a href=|http://bibleoutline.org/ecclesiastes/1.htm| title=|Outline with People and Places List| target=|_top|&gt;Outline&lt;/a&gt;</v>
      </c>
      <c r="Z660" t="str">
        <f t="shared" si="2636"/>
        <v>&lt;/li&gt;&lt;li&gt;&lt;a href=|http://kjvs.scripturetext.com/ecclesiastes/1.htm| title=|King James Bible with Strong's Numbers| target=|_top|&gt;Strong's&lt;/a&gt;</v>
      </c>
      <c r="AA660" t="str">
        <f t="shared" si="2636"/>
        <v>&lt;/li&gt;&lt;li&gt;&lt;a href=|http://childrensbibleonline.com/ecclesiastes/1.htm| title=|The Children's Bible| target=|_top|&gt;Children's&lt;/a&gt;</v>
      </c>
      <c r="AB660" s="2" t="str">
        <f t="shared" si="2636"/>
        <v>&lt;/li&gt;&lt;li&gt;&lt;a href=|http://tsk.scripturetext.com/ecclesiastes/1.htm| title=|Treasury of Scripture Knowledge| target=|_top|&gt;TSK&lt;/a&gt;</v>
      </c>
      <c r="AC660" t="str">
        <f>CONCATENATE("&lt;a href=|http://",AC1191,"/ecclesiastes/1.htm","| ","title=|",AC1190,"| target=|_top|&gt;",AC1192,"&lt;/a&gt;")</f>
        <v>&lt;a href=|http://parallelbible.com/ecclesiastes/1.htm| title=|Parallel Chapters| target=|_top|&gt;PAR&lt;/a&gt;</v>
      </c>
      <c r="AD660" s="2" t="str">
        <f t="shared" ref="AD660:AK660" si="2638">CONCATENATE("&lt;/li&gt;&lt;li&gt;&lt;a href=|http://",AD1191,"/ecclesiastes/1.htm","| ","title=|",AD1190,"| target=|_top|&gt;",AD1192,"&lt;/a&gt;")</f>
        <v>&lt;/li&gt;&lt;li&gt;&lt;a href=|http://gsb.biblecommenter.com/ecclesiastes/1.htm| title=|Geneva Study Bible| target=|_top|&gt;GSB&lt;/a&gt;</v>
      </c>
      <c r="AE660" s="2" t="str">
        <f t="shared" si="2638"/>
        <v>&lt;/li&gt;&lt;li&gt;&lt;a href=|http://jfb.biblecommenter.com/ecclesiastes/1.htm| title=|Jamieson-Fausset-Brown Bible Commentary| target=|_top|&gt;JFB&lt;/a&gt;</v>
      </c>
      <c r="AF660" s="2" t="str">
        <f t="shared" si="2638"/>
        <v>&lt;/li&gt;&lt;li&gt;&lt;a href=|http://kjt.biblecommenter.com/ecclesiastes/1.htm| title=|King James Translators' Notes| target=|_top|&gt;KJT&lt;/a&gt;</v>
      </c>
      <c r="AG660" s="2" t="str">
        <f t="shared" si="2638"/>
        <v>&lt;/li&gt;&lt;li&gt;&lt;a href=|http://mhc.biblecommenter.com/ecclesiastes/1.htm| title=|Matthew Henry's Concise Commentary| target=|_top|&gt;MHC&lt;/a&gt;</v>
      </c>
      <c r="AH660" s="2" t="str">
        <f t="shared" si="2638"/>
        <v>&lt;/li&gt;&lt;li&gt;&lt;a href=|http://sco.biblecommenter.com/ecclesiastes/1.htm| title=|Scofield Reference Notes| target=|_top|&gt;SCO&lt;/a&gt;</v>
      </c>
      <c r="AI660" s="2" t="str">
        <f t="shared" si="2638"/>
        <v>&lt;/li&gt;&lt;li&gt;&lt;a href=|http://wes.biblecommenter.com/ecclesiastes/1.htm| title=|Wesley's Notes on the Bible| target=|_top|&gt;WES&lt;/a&gt;</v>
      </c>
      <c r="AJ660" t="str">
        <f t="shared" si="2638"/>
        <v>&lt;/li&gt;&lt;li&gt;&lt;a href=|http://worldebible.com/ecclesiastes/1.htm| title=|World English Bible| target=|_top|&gt;WEB&lt;/a&gt;</v>
      </c>
      <c r="AK660" t="str">
        <f t="shared" si="2638"/>
        <v>&lt;/li&gt;&lt;li&gt;&lt;a href=|http://yltbible.com/ecclesiastes/1.htm| title=|Young's Literal Translation| target=|_top|&gt;YLT&lt;/a&gt;</v>
      </c>
      <c r="AL660" t="str">
        <f>CONCATENATE("&lt;a href=|http://",AL1191,"/ecclesiastes/1.htm","| ","title=|",AL1190,"| target=|_top|&gt;",AL1192,"&lt;/a&gt;")</f>
        <v>&lt;a href=|http://kjv.us/ecclesiastes/1.htm| title=|American King James Version| target=|_top|&gt;AKJ&lt;/a&gt;</v>
      </c>
      <c r="AM660" t="str">
        <f t="shared" ref="AM660:AN660" si="2639">CONCATENATE("&lt;/li&gt;&lt;li&gt;&lt;a href=|http://",AM1191,"/ecclesiastes/1.htm","| ","title=|",AM1190,"| target=|_top|&gt;",AM1192,"&lt;/a&gt;")</f>
        <v>&lt;/li&gt;&lt;li&gt;&lt;a href=|http://basicenglishbible.com/ecclesiastes/1.htm| title=|Bible in Basic English| target=|_top|&gt;BBE&lt;/a&gt;</v>
      </c>
      <c r="AN660" t="str">
        <f t="shared" si="2639"/>
        <v>&lt;/li&gt;&lt;li&gt;&lt;a href=|http://darbybible.com/ecclesiastes/1.htm| title=|Darby Bible Translation| target=|_top|&gt;DBY&lt;/a&gt;</v>
      </c>
      <c r="AO66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6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6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60" t="str">
        <f>CONCATENATE("&lt;/li&gt;&lt;li&gt;&lt;a href=|http://",AR1191,"/ecclesiastes/1.htm","| ","title=|",AR1190,"| target=|_top|&gt;",AR1192,"&lt;/a&gt;")</f>
        <v>&lt;/li&gt;&lt;li&gt;&lt;a href=|http://websterbible.com/ecclesiastes/1.htm| title=|Webster's Bible Translation| target=|_top|&gt;WBS&lt;/a&gt;</v>
      </c>
      <c r="AS66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60" t="str">
        <f>CONCATENATE("&lt;/li&gt;&lt;li&gt;&lt;a href=|http://",AT1191,"/ecclesiastes/1-1.htm","| ","title=|",AT1190,"| target=|_top|&gt;",AT1192,"&lt;/a&gt;")</f>
        <v>&lt;/li&gt;&lt;li&gt;&lt;a href=|http://biblebrowser.com/ecclesiastes/1-1.htm| title=|Split View| target=|_top|&gt;Split&lt;/a&gt;</v>
      </c>
      <c r="AU660" s="2" t="s">
        <v>1276</v>
      </c>
      <c r="AV660" t="s">
        <v>64</v>
      </c>
    </row>
    <row r="661" spans="1:48">
      <c r="A661" t="s">
        <v>622</v>
      </c>
      <c r="B661" t="s">
        <v>1165</v>
      </c>
      <c r="C661" t="s">
        <v>624</v>
      </c>
      <c r="D661" t="s">
        <v>1268</v>
      </c>
      <c r="E661" t="s">
        <v>1277</v>
      </c>
      <c r="F661" t="s">
        <v>1304</v>
      </c>
      <c r="G661" t="s">
        <v>1266</v>
      </c>
      <c r="H661" t="s">
        <v>1305</v>
      </c>
      <c r="I661" t="s">
        <v>1303</v>
      </c>
      <c r="J661" t="s">
        <v>1267</v>
      </c>
      <c r="K661" t="s">
        <v>1275</v>
      </c>
      <c r="L661" s="2" t="s">
        <v>1274</v>
      </c>
      <c r="M661" t="str">
        <f t="shared" ref="M661:AB661" si="2640">CONCATENATE("&lt;/li&gt;&lt;li&gt;&lt;a href=|http://",M1191,"/ecclesiastes/2.htm","| ","title=|",M1190,"| target=|_top|&gt;",M1192,"&lt;/a&gt;")</f>
        <v>&lt;/li&gt;&lt;li&gt;&lt;a href=|http://niv.scripturetext.com/ecclesiastes/2.htm| title=|New International Version| target=|_top|&gt;NIV&lt;/a&gt;</v>
      </c>
      <c r="N661" t="str">
        <f t="shared" si="2640"/>
        <v>&lt;/li&gt;&lt;li&gt;&lt;a href=|http://nlt.scripturetext.com/ecclesiastes/2.htm| title=|New Living Translation| target=|_top|&gt;NLT&lt;/a&gt;</v>
      </c>
      <c r="O661" t="str">
        <f t="shared" si="2640"/>
        <v>&lt;/li&gt;&lt;li&gt;&lt;a href=|http://nasb.scripturetext.com/ecclesiastes/2.htm| title=|New American Standard Bible| target=|_top|&gt;NAS&lt;/a&gt;</v>
      </c>
      <c r="P661" t="str">
        <f t="shared" si="2640"/>
        <v>&lt;/li&gt;&lt;li&gt;&lt;a href=|http://gwt.scripturetext.com/ecclesiastes/2.htm| title=|God's Word Translation| target=|_top|&gt;GWT&lt;/a&gt;</v>
      </c>
      <c r="Q661" t="str">
        <f t="shared" si="2640"/>
        <v>&lt;/li&gt;&lt;li&gt;&lt;a href=|http://kingjbible.com/ecclesiastes/2.htm| title=|King James Bible| target=|_top|&gt;KJV&lt;/a&gt;</v>
      </c>
      <c r="R661" t="str">
        <f t="shared" si="2640"/>
        <v>&lt;/li&gt;&lt;li&gt;&lt;a href=|http://asvbible.com/ecclesiastes/2.htm| title=|American Standard Version| target=|_top|&gt;ASV&lt;/a&gt;</v>
      </c>
      <c r="S661" t="str">
        <f t="shared" si="2640"/>
        <v>&lt;/li&gt;&lt;li&gt;&lt;a href=|http://drb.scripturetext.com/ecclesiastes/2.htm| title=|Douay-Rheims Bible| target=|_top|&gt;DRB&lt;/a&gt;</v>
      </c>
      <c r="T661" t="str">
        <f t="shared" si="2640"/>
        <v>&lt;/li&gt;&lt;li&gt;&lt;a href=|http://erv.scripturetext.com/ecclesiastes/2.htm| title=|English Revised Version| target=|_top|&gt;ERV&lt;/a&gt;</v>
      </c>
      <c r="V661" t="str">
        <f>CONCATENATE("&lt;/li&gt;&lt;li&gt;&lt;a href=|http://",V1191,"/ecclesiastes/2.htm","| ","title=|",V1190,"| target=|_top|&gt;",V1192,"&lt;/a&gt;")</f>
        <v>&lt;/li&gt;&lt;li&gt;&lt;a href=|http://study.interlinearbible.org/ecclesiastes/2.htm| title=|Hebrew Study Bible| target=|_top|&gt;Heb Study&lt;/a&gt;</v>
      </c>
      <c r="W661" t="str">
        <f t="shared" si="2640"/>
        <v>&lt;/li&gt;&lt;li&gt;&lt;a href=|http://apostolic.interlinearbible.org/ecclesiastes/2.htm| title=|Apostolic Bible Polyglot Interlinear| target=|_top|&gt;Polyglot&lt;/a&gt;</v>
      </c>
      <c r="X661" t="str">
        <f t="shared" si="2640"/>
        <v>&lt;/li&gt;&lt;li&gt;&lt;a href=|http://interlinearbible.org/ecclesiastes/2.htm| title=|Interlinear Bible| target=|_top|&gt;Interlin&lt;/a&gt;</v>
      </c>
      <c r="Y661" t="str">
        <f t="shared" ref="Y661" si="2641">CONCATENATE("&lt;/li&gt;&lt;li&gt;&lt;a href=|http://",Y1191,"/ecclesiastes/2.htm","| ","title=|",Y1190,"| target=|_top|&gt;",Y1192,"&lt;/a&gt;")</f>
        <v>&lt;/li&gt;&lt;li&gt;&lt;a href=|http://bibleoutline.org/ecclesiastes/2.htm| title=|Outline with People and Places List| target=|_top|&gt;Outline&lt;/a&gt;</v>
      </c>
      <c r="Z661" t="str">
        <f t="shared" si="2640"/>
        <v>&lt;/li&gt;&lt;li&gt;&lt;a href=|http://kjvs.scripturetext.com/ecclesiastes/2.htm| title=|King James Bible with Strong's Numbers| target=|_top|&gt;Strong's&lt;/a&gt;</v>
      </c>
      <c r="AA661" t="str">
        <f t="shared" si="2640"/>
        <v>&lt;/li&gt;&lt;li&gt;&lt;a href=|http://childrensbibleonline.com/ecclesiastes/2.htm| title=|The Children's Bible| target=|_top|&gt;Children's&lt;/a&gt;</v>
      </c>
      <c r="AB661" s="2" t="str">
        <f t="shared" si="2640"/>
        <v>&lt;/li&gt;&lt;li&gt;&lt;a href=|http://tsk.scripturetext.com/ecclesiastes/2.htm| title=|Treasury of Scripture Knowledge| target=|_top|&gt;TSK&lt;/a&gt;</v>
      </c>
      <c r="AC661" t="str">
        <f>CONCATENATE("&lt;a href=|http://",AC1191,"/ecclesiastes/2.htm","| ","title=|",AC1190,"| target=|_top|&gt;",AC1192,"&lt;/a&gt;")</f>
        <v>&lt;a href=|http://parallelbible.com/ecclesiastes/2.htm| title=|Parallel Chapters| target=|_top|&gt;PAR&lt;/a&gt;</v>
      </c>
      <c r="AD661" s="2" t="str">
        <f t="shared" ref="AD661:AK661" si="2642">CONCATENATE("&lt;/li&gt;&lt;li&gt;&lt;a href=|http://",AD1191,"/ecclesiastes/2.htm","| ","title=|",AD1190,"| target=|_top|&gt;",AD1192,"&lt;/a&gt;")</f>
        <v>&lt;/li&gt;&lt;li&gt;&lt;a href=|http://gsb.biblecommenter.com/ecclesiastes/2.htm| title=|Geneva Study Bible| target=|_top|&gt;GSB&lt;/a&gt;</v>
      </c>
      <c r="AE661" s="2" t="str">
        <f t="shared" si="2642"/>
        <v>&lt;/li&gt;&lt;li&gt;&lt;a href=|http://jfb.biblecommenter.com/ecclesiastes/2.htm| title=|Jamieson-Fausset-Brown Bible Commentary| target=|_top|&gt;JFB&lt;/a&gt;</v>
      </c>
      <c r="AF661" s="2" t="str">
        <f t="shared" si="2642"/>
        <v>&lt;/li&gt;&lt;li&gt;&lt;a href=|http://kjt.biblecommenter.com/ecclesiastes/2.htm| title=|King James Translators' Notes| target=|_top|&gt;KJT&lt;/a&gt;</v>
      </c>
      <c r="AG661" s="2" t="str">
        <f t="shared" si="2642"/>
        <v>&lt;/li&gt;&lt;li&gt;&lt;a href=|http://mhc.biblecommenter.com/ecclesiastes/2.htm| title=|Matthew Henry's Concise Commentary| target=|_top|&gt;MHC&lt;/a&gt;</v>
      </c>
      <c r="AH661" s="2" t="str">
        <f t="shared" si="2642"/>
        <v>&lt;/li&gt;&lt;li&gt;&lt;a href=|http://sco.biblecommenter.com/ecclesiastes/2.htm| title=|Scofield Reference Notes| target=|_top|&gt;SCO&lt;/a&gt;</v>
      </c>
      <c r="AI661" s="2" t="str">
        <f t="shared" si="2642"/>
        <v>&lt;/li&gt;&lt;li&gt;&lt;a href=|http://wes.biblecommenter.com/ecclesiastes/2.htm| title=|Wesley's Notes on the Bible| target=|_top|&gt;WES&lt;/a&gt;</v>
      </c>
      <c r="AJ661" t="str">
        <f t="shared" si="2642"/>
        <v>&lt;/li&gt;&lt;li&gt;&lt;a href=|http://worldebible.com/ecclesiastes/2.htm| title=|World English Bible| target=|_top|&gt;WEB&lt;/a&gt;</v>
      </c>
      <c r="AK661" t="str">
        <f t="shared" si="2642"/>
        <v>&lt;/li&gt;&lt;li&gt;&lt;a href=|http://yltbible.com/ecclesiastes/2.htm| title=|Young's Literal Translation| target=|_top|&gt;YLT&lt;/a&gt;</v>
      </c>
      <c r="AL661" t="str">
        <f>CONCATENATE("&lt;a href=|http://",AL1191,"/ecclesiastes/2.htm","| ","title=|",AL1190,"| target=|_top|&gt;",AL1192,"&lt;/a&gt;")</f>
        <v>&lt;a href=|http://kjv.us/ecclesiastes/2.htm| title=|American King James Version| target=|_top|&gt;AKJ&lt;/a&gt;</v>
      </c>
      <c r="AM661" t="str">
        <f t="shared" ref="AM661:AN661" si="2643">CONCATENATE("&lt;/li&gt;&lt;li&gt;&lt;a href=|http://",AM1191,"/ecclesiastes/2.htm","| ","title=|",AM1190,"| target=|_top|&gt;",AM1192,"&lt;/a&gt;")</f>
        <v>&lt;/li&gt;&lt;li&gt;&lt;a href=|http://basicenglishbible.com/ecclesiastes/2.htm| title=|Bible in Basic English| target=|_top|&gt;BBE&lt;/a&gt;</v>
      </c>
      <c r="AN661" t="str">
        <f t="shared" si="2643"/>
        <v>&lt;/li&gt;&lt;li&gt;&lt;a href=|http://darbybible.com/ecclesiastes/2.htm| title=|Darby Bible Translation| target=|_top|&gt;DBY&lt;/a&gt;</v>
      </c>
      <c r="AO66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6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6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61" t="str">
        <f>CONCATENATE("&lt;/li&gt;&lt;li&gt;&lt;a href=|http://",AR1191,"/ecclesiastes/2.htm","| ","title=|",AR1190,"| target=|_top|&gt;",AR1192,"&lt;/a&gt;")</f>
        <v>&lt;/li&gt;&lt;li&gt;&lt;a href=|http://websterbible.com/ecclesiastes/2.htm| title=|Webster's Bible Translation| target=|_top|&gt;WBS&lt;/a&gt;</v>
      </c>
      <c r="AS66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61" t="str">
        <f>CONCATENATE("&lt;/li&gt;&lt;li&gt;&lt;a href=|http://",AT1191,"/ecclesiastes/2-1.htm","| ","title=|",AT1190,"| target=|_top|&gt;",AT1192,"&lt;/a&gt;")</f>
        <v>&lt;/li&gt;&lt;li&gt;&lt;a href=|http://biblebrowser.com/ecclesiastes/2-1.htm| title=|Split View| target=|_top|&gt;Split&lt;/a&gt;</v>
      </c>
      <c r="AU661" s="2" t="s">
        <v>1276</v>
      </c>
      <c r="AV661" t="s">
        <v>64</v>
      </c>
    </row>
    <row r="662" spans="1:48">
      <c r="A662" t="s">
        <v>622</v>
      </c>
      <c r="B662" t="s">
        <v>1166</v>
      </c>
      <c r="C662" t="s">
        <v>624</v>
      </c>
      <c r="D662" t="s">
        <v>1268</v>
      </c>
      <c r="E662" t="s">
        <v>1277</v>
      </c>
      <c r="F662" t="s">
        <v>1304</v>
      </c>
      <c r="G662" t="s">
        <v>1266</v>
      </c>
      <c r="H662" t="s">
        <v>1305</v>
      </c>
      <c r="I662" t="s">
        <v>1303</v>
      </c>
      <c r="J662" t="s">
        <v>1267</v>
      </c>
      <c r="K662" t="s">
        <v>1275</v>
      </c>
      <c r="L662" s="2" t="s">
        <v>1274</v>
      </c>
      <c r="M662" t="str">
        <f t="shared" ref="M662:AB662" si="2644">CONCATENATE("&lt;/li&gt;&lt;li&gt;&lt;a href=|http://",M1191,"/ecclesiastes/3.htm","| ","title=|",M1190,"| target=|_top|&gt;",M1192,"&lt;/a&gt;")</f>
        <v>&lt;/li&gt;&lt;li&gt;&lt;a href=|http://niv.scripturetext.com/ecclesiastes/3.htm| title=|New International Version| target=|_top|&gt;NIV&lt;/a&gt;</v>
      </c>
      <c r="N662" t="str">
        <f t="shared" si="2644"/>
        <v>&lt;/li&gt;&lt;li&gt;&lt;a href=|http://nlt.scripturetext.com/ecclesiastes/3.htm| title=|New Living Translation| target=|_top|&gt;NLT&lt;/a&gt;</v>
      </c>
      <c r="O662" t="str">
        <f t="shared" si="2644"/>
        <v>&lt;/li&gt;&lt;li&gt;&lt;a href=|http://nasb.scripturetext.com/ecclesiastes/3.htm| title=|New American Standard Bible| target=|_top|&gt;NAS&lt;/a&gt;</v>
      </c>
      <c r="P662" t="str">
        <f t="shared" si="2644"/>
        <v>&lt;/li&gt;&lt;li&gt;&lt;a href=|http://gwt.scripturetext.com/ecclesiastes/3.htm| title=|God's Word Translation| target=|_top|&gt;GWT&lt;/a&gt;</v>
      </c>
      <c r="Q662" t="str">
        <f t="shared" si="2644"/>
        <v>&lt;/li&gt;&lt;li&gt;&lt;a href=|http://kingjbible.com/ecclesiastes/3.htm| title=|King James Bible| target=|_top|&gt;KJV&lt;/a&gt;</v>
      </c>
      <c r="R662" t="str">
        <f t="shared" si="2644"/>
        <v>&lt;/li&gt;&lt;li&gt;&lt;a href=|http://asvbible.com/ecclesiastes/3.htm| title=|American Standard Version| target=|_top|&gt;ASV&lt;/a&gt;</v>
      </c>
      <c r="S662" t="str">
        <f t="shared" si="2644"/>
        <v>&lt;/li&gt;&lt;li&gt;&lt;a href=|http://drb.scripturetext.com/ecclesiastes/3.htm| title=|Douay-Rheims Bible| target=|_top|&gt;DRB&lt;/a&gt;</v>
      </c>
      <c r="T662" t="str">
        <f t="shared" si="2644"/>
        <v>&lt;/li&gt;&lt;li&gt;&lt;a href=|http://erv.scripturetext.com/ecclesiastes/3.htm| title=|English Revised Version| target=|_top|&gt;ERV&lt;/a&gt;</v>
      </c>
      <c r="V662" t="str">
        <f>CONCATENATE("&lt;/li&gt;&lt;li&gt;&lt;a href=|http://",V1191,"/ecclesiastes/3.htm","| ","title=|",V1190,"| target=|_top|&gt;",V1192,"&lt;/a&gt;")</f>
        <v>&lt;/li&gt;&lt;li&gt;&lt;a href=|http://study.interlinearbible.org/ecclesiastes/3.htm| title=|Hebrew Study Bible| target=|_top|&gt;Heb Study&lt;/a&gt;</v>
      </c>
      <c r="W662" t="str">
        <f t="shared" si="2644"/>
        <v>&lt;/li&gt;&lt;li&gt;&lt;a href=|http://apostolic.interlinearbible.org/ecclesiastes/3.htm| title=|Apostolic Bible Polyglot Interlinear| target=|_top|&gt;Polyglot&lt;/a&gt;</v>
      </c>
      <c r="X662" t="str">
        <f t="shared" si="2644"/>
        <v>&lt;/li&gt;&lt;li&gt;&lt;a href=|http://interlinearbible.org/ecclesiastes/3.htm| title=|Interlinear Bible| target=|_top|&gt;Interlin&lt;/a&gt;</v>
      </c>
      <c r="Y662" t="str">
        <f t="shared" ref="Y662" si="2645">CONCATENATE("&lt;/li&gt;&lt;li&gt;&lt;a href=|http://",Y1191,"/ecclesiastes/3.htm","| ","title=|",Y1190,"| target=|_top|&gt;",Y1192,"&lt;/a&gt;")</f>
        <v>&lt;/li&gt;&lt;li&gt;&lt;a href=|http://bibleoutline.org/ecclesiastes/3.htm| title=|Outline with People and Places List| target=|_top|&gt;Outline&lt;/a&gt;</v>
      </c>
      <c r="Z662" t="str">
        <f t="shared" si="2644"/>
        <v>&lt;/li&gt;&lt;li&gt;&lt;a href=|http://kjvs.scripturetext.com/ecclesiastes/3.htm| title=|King James Bible with Strong's Numbers| target=|_top|&gt;Strong's&lt;/a&gt;</v>
      </c>
      <c r="AA662" t="str">
        <f t="shared" si="2644"/>
        <v>&lt;/li&gt;&lt;li&gt;&lt;a href=|http://childrensbibleonline.com/ecclesiastes/3.htm| title=|The Children's Bible| target=|_top|&gt;Children's&lt;/a&gt;</v>
      </c>
      <c r="AB662" s="2" t="str">
        <f t="shared" si="2644"/>
        <v>&lt;/li&gt;&lt;li&gt;&lt;a href=|http://tsk.scripturetext.com/ecclesiastes/3.htm| title=|Treasury of Scripture Knowledge| target=|_top|&gt;TSK&lt;/a&gt;</v>
      </c>
      <c r="AC662" t="str">
        <f>CONCATENATE("&lt;a href=|http://",AC1191,"/ecclesiastes/3.htm","| ","title=|",AC1190,"| target=|_top|&gt;",AC1192,"&lt;/a&gt;")</f>
        <v>&lt;a href=|http://parallelbible.com/ecclesiastes/3.htm| title=|Parallel Chapters| target=|_top|&gt;PAR&lt;/a&gt;</v>
      </c>
      <c r="AD662" s="2" t="str">
        <f t="shared" ref="AD662:AK662" si="2646">CONCATENATE("&lt;/li&gt;&lt;li&gt;&lt;a href=|http://",AD1191,"/ecclesiastes/3.htm","| ","title=|",AD1190,"| target=|_top|&gt;",AD1192,"&lt;/a&gt;")</f>
        <v>&lt;/li&gt;&lt;li&gt;&lt;a href=|http://gsb.biblecommenter.com/ecclesiastes/3.htm| title=|Geneva Study Bible| target=|_top|&gt;GSB&lt;/a&gt;</v>
      </c>
      <c r="AE662" s="2" t="str">
        <f t="shared" si="2646"/>
        <v>&lt;/li&gt;&lt;li&gt;&lt;a href=|http://jfb.biblecommenter.com/ecclesiastes/3.htm| title=|Jamieson-Fausset-Brown Bible Commentary| target=|_top|&gt;JFB&lt;/a&gt;</v>
      </c>
      <c r="AF662" s="2" t="str">
        <f t="shared" si="2646"/>
        <v>&lt;/li&gt;&lt;li&gt;&lt;a href=|http://kjt.biblecommenter.com/ecclesiastes/3.htm| title=|King James Translators' Notes| target=|_top|&gt;KJT&lt;/a&gt;</v>
      </c>
      <c r="AG662" s="2" t="str">
        <f t="shared" si="2646"/>
        <v>&lt;/li&gt;&lt;li&gt;&lt;a href=|http://mhc.biblecommenter.com/ecclesiastes/3.htm| title=|Matthew Henry's Concise Commentary| target=|_top|&gt;MHC&lt;/a&gt;</v>
      </c>
      <c r="AH662" s="2" t="str">
        <f t="shared" si="2646"/>
        <v>&lt;/li&gt;&lt;li&gt;&lt;a href=|http://sco.biblecommenter.com/ecclesiastes/3.htm| title=|Scofield Reference Notes| target=|_top|&gt;SCO&lt;/a&gt;</v>
      </c>
      <c r="AI662" s="2" t="str">
        <f t="shared" si="2646"/>
        <v>&lt;/li&gt;&lt;li&gt;&lt;a href=|http://wes.biblecommenter.com/ecclesiastes/3.htm| title=|Wesley's Notes on the Bible| target=|_top|&gt;WES&lt;/a&gt;</v>
      </c>
      <c r="AJ662" t="str">
        <f t="shared" si="2646"/>
        <v>&lt;/li&gt;&lt;li&gt;&lt;a href=|http://worldebible.com/ecclesiastes/3.htm| title=|World English Bible| target=|_top|&gt;WEB&lt;/a&gt;</v>
      </c>
      <c r="AK662" t="str">
        <f t="shared" si="2646"/>
        <v>&lt;/li&gt;&lt;li&gt;&lt;a href=|http://yltbible.com/ecclesiastes/3.htm| title=|Young's Literal Translation| target=|_top|&gt;YLT&lt;/a&gt;</v>
      </c>
      <c r="AL662" t="str">
        <f>CONCATENATE("&lt;a href=|http://",AL1191,"/ecclesiastes/3.htm","| ","title=|",AL1190,"| target=|_top|&gt;",AL1192,"&lt;/a&gt;")</f>
        <v>&lt;a href=|http://kjv.us/ecclesiastes/3.htm| title=|American King James Version| target=|_top|&gt;AKJ&lt;/a&gt;</v>
      </c>
      <c r="AM662" t="str">
        <f t="shared" ref="AM662:AN662" si="2647">CONCATENATE("&lt;/li&gt;&lt;li&gt;&lt;a href=|http://",AM1191,"/ecclesiastes/3.htm","| ","title=|",AM1190,"| target=|_top|&gt;",AM1192,"&lt;/a&gt;")</f>
        <v>&lt;/li&gt;&lt;li&gt;&lt;a href=|http://basicenglishbible.com/ecclesiastes/3.htm| title=|Bible in Basic English| target=|_top|&gt;BBE&lt;/a&gt;</v>
      </c>
      <c r="AN662" t="str">
        <f t="shared" si="2647"/>
        <v>&lt;/li&gt;&lt;li&gt;&lt;a href=|http://darbybible.com/ecclesiastes/3.htm| title=|Darby Bible Translation| target=|_top|&gt;DBY&lt;/a&gt;</v>
      </c>
      <c r="AO66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6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6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62" t="str">
        <f>CONCATENATE("&lt;/li&gt;&lt;li&gt;&lt;a href=|http://",AR1191,"/ecclesiastes/3.htm","| ","title=|",AR1190,"| target=|_top|&gt;",AR1192,"&lt;/a&gt;")</f>
        <v>&lt;/li&gt;&lt;li&gt;&lt;a href=|http://websterbible.com/ecclesiastes/3.htm| title=|Webster's Bible Translation| target=|_top|&gt;WBS&lt;/a&gt;</v>
      </c>
      <c r="AS66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62" t="str">
        <f>CONCATENATE("&lt;/li&gt;&lt;li&gt;&lt;a href=|http://",AT1191,"/ecclesiastes/3-1.htm","| ","title=|",AT1190,"| target=|_top|&gt;",AT1192,"&lt;/a&gt;")</f>
        <v>&lt;/li&gt;&lt;li&gt;&lt;a href=|http://biblebrowser.com/ecclesiastes/3-1.htm| title=|Split View| target=|_top|&gt;Split&lt;/a&gt;</v>
      </c>
      <c r="AU662" s="2" t="s">
        <v>1276</v>
      </c>
      <c r="AV662" t="s">
        <v>64</v>
      </c>
    </row>
    <row r="663" spans="1:48">
      <c r="A663" t="s">
        <v>622</v>
      </c>
      <c r="B663" t="s">
        <v>1167</v>
      </c>
      <c r="C663" t="s">
        <v>624</v>
      </c>
      <c r="D663" t="s">
        <v>1268</v>
      </c>
      <c r="E663" t="s">
        <v>1277</v>
      </c>
      <c r="F663" t="s">
        <v>1304</v>
      </c>
      <c r="G663" t="s">
        <v>1266</v>
      </c>
      <c r="H663" t="s">
        <v>1305</v>
      </c>
      <c r="I663" t="s">
        <v>1303</v>
      </c>
      <c r="J663" t="s">
        <v>1267</v>
      </c>
      <c r="K663" t="s">
        <v>1275</v>
      </c>
      <c r="L663" s="2" t="s">
        <v>1274</v>
      </c>
      <c r="M663" t="str">
        <f t="shared" ref="M663:AB663" si="2648">CONCATENATE("&lt;/li&gt;&lt;li&gt;&lt;a href=|http://",M1191,"/ecclesiastes/4.htm","| ","title=|",M1190,"| target=|_top|&gt;",M1192,"&lt;/a&gt;")</f>
        <v>&lt;/li&gt;&lt;li&gt;&lt;a href=|http://niv.scripturetext.com/ecclesiastes/4.htm| title=|New International Version| target=|_top|&gt;NIV&lt;/a&gt;</v>
      </c>
      <c r="N663" t="str">
        <f t="shared" si="2648"/>
        <v>&lt;/li&gt;&lt;li&gt;&lt;a href=|http://nlt.scripturetext.com/ecclesiastes/4.htm| title=|New Living Translation| target=|_top|&gt;NLT&lt;/a&gt;</v>
      </c>
      <c r="O663" t="str">
        <f t="shared" si="2648"/>
        <v>&lt;/li&gt;&lt;li&gt;&lt;a href=|http://nasb.scripturetext.com/ecclesiastes/4.htm| title=|New American Standard Bible| target=|_top|&gt;NAS&lt;/a&gt;</v>
      </c>
      <c r="P663" t="str">
        <f t="shared" si="2648"/>
        <v>&lt;/li&gt;&lt;li&gt;&lt;a href=|http://gwt.scripturetext.com/ecclesiastes/4.htm| title=|God's Word Translation| target=|_top|&gt;GWT&lt;/a&gt;</v>
      </c>
      <c r="Q663" t="str">
        <f t="shared" si="2648"/>
        <v>&lt;/li&gt;&lt;li&gt;&lt;a href=|http://kingjbible.com/ecclesiastes/4.htm| title=|King James Bible| target=|_top|&gt;KJV&lt;/a&gt;</v>
      </c>
      <c r="R663" t="str">
        <f t="shared" si="2648"/>
        <v>&lt;/li&gt;&lt;li&gt;&lt;a href=|http://asvbible.com/ecclesiastes/4.htm| title=|American Standard Version| target=|_top|&gt;ASV&lt;/a&gt;</v>
      </c>
      <c r="S663" t="str">
        <f t="shared" si="2648"/>
        <v>&lt;/li&gt;&lt;li&gt;&lt;a href=|http://drb.scripturetext.com/ecclesiastes/4.htm| title=|Douay-Rheims Bible| target=|_top|&gt;DRB&lt;/a&gt;</v>
      </c>
      <c r="T663" t="str">
        <f t="shared" si="2648"/>
        <v>&lt;/li&gt;&lt;li&gt;&lt;a href=|http://erv.scripturetext.com/ecclesiastes/4.htm| title=|English Revised Version| target=|_top|&gt;ERV&lt;/a&gt;</v>
      </c>
      <c r="V663" t="str">
        <f>CONCATENATE("&lt;/li&gt;&lt;li&gt;&lt;a href=|http://",V1191,"/ecclesiastes/4.htm","| ","title=|",V1190,"| target=|_top|&gt;",V1192,"&lt;/a&gt;")</f>
        <v>&lt;/li&gt;&lt;li&gt;&lt;a href=|http://study.interlinearbible.org/ecclesiastes/4.htm| title=|Hebrew Study Bible| target=|_top|&gt;Heb Study&lt;/a&gt;</v>
      </c>
      <c r="W663" t="str">
        <f t="shared" si="2648"/>
        <v>&lt;/li&gt;&lt;li&gt;&lt;a href=|http://apostolic.interlinearbible.org/ecclesiastes/4.htm| title=|Apostolic Bible Polyglot Interlinear| target=|_top|&gt;Polyglot&lt;/a&gt;</v>
      </c>
      <c r="X663" t="str">
        <f t="shared" si="2648"/>
        <v>&lt;/li&gt;&lt;li&gt;&lt;a href=|http://interlinearbible.org/ecclesiastes/4.htm| title=|Interlinear Bible| target=|_top|&gt;Interlin&lt;/a&gt;</v>
      </c>
      <c r="Y663" t="str">
        <f t="shared" ref="Y663" si="2649">CONCATENATE("&lt;/li&gt;&lt;li&gt;&lt;a href=|http://",Y1191,"/ecclesiastes/4.htm","| ","title=|",Y1190,"| target=|_top|&gt;",Y1192,"&lt;/a&gt;")</f>
        <v>&lt;/li&gt;&lt;li&gt;&lt;a href=|http://bibleoutline.org/ecclesiastes/4.htm| title=|Outline with People and Places List| target=|_top|&gt;Outline&lt;/a&gt;</v>
      </c>
      <c r="Z663" t="str">
        <f t="shared" si="2648"/>
        <v>&lt;/li&gt;&lt;li&gt;&lt;a href=|http://kjvs.scripturetext.com/ecclesiastes/4.htm| title=|King James Bible with Strong's Numbers| target=|_top|&gt;Strong's&lt;/a&gt;</v>
      </c>
      <c r="AA663" t="str">
        <f t="shared" si="2648"/>
        <v>&lt;/li&gt;&lt;li&gt;&lt;a href=|http://childrensbibleonline.com/ecclesiastes/4.htm| title=|The Children's Bible| target=|_top|&gt;Children's&lt;/a&gt;</v>
      </c>
      <c r="AB663" s="2" t="str">
        <f t="shared" si="2648"/>
        <v>&lt;/li&gt;&lt;li&gt;&lt;a href=|http://tsk.scripturetext.com/ecclesiastes/4.htm| title=|Treasury of Scripture Knowledge| target=|_top|&gt;TSK&lt;/a&gt;</v>
      </c>
      <c r="AC663" t="str">
        <f>CONCATENATE("&lt;a href=|http://",AC1191,"/ecclesiastes/4.htm","| ","title=|",AC1190,"| target=|_top|&gt;",AC1192,"&lt;/a&gt;")</f>
        <v>&lt;a href=|http://parallelbible.com/ecclesiastes/4.htm| title=|Parallel Chapters| target=|_top|&gt;PAR&lt;/a&gt;</v>
      </c>
      <c r="AD663" s="2" t="str">
        <f t="shared" ref="AD663:AK663" si="2650">CONCATENATE("&lt;/li&gt;&lt;li&gt;&lt;a href=|http://",AD1191,"/ecclesiastes/4.htm","| ","title=|",AD1190,"| target=|_top|&gt;",AD1192,"&lt;/a&gt;")</f>
        <v>&lt;/li&gt;&lt;li&gt;&lt;a href=|http://gsb.biblecommenter.com/ecclesiastes/4.htm| title=|Geneva Study Bible| target=|_top|&gt;GSB&lt;/a&gt;</v>
      </c>
      <c r="AE663" s="2" t="str">
        <f t="shared" si="2650"/>
        <v>&lt;/li&gt;&lt;li&gt;&lt;a href=|http://jfb.biblecommenter.com/ecclesiastes/4.htm| title=|Jamieson-Fausset-Brown Bible Commentary| target=|_top|&gt;JFB&lt;/a&gt;</v>
      </c>
      <c r="AF663" s="2" t="str">
        <f t="shared" si="2650"/>
        <v>&lt;/li&gt;&lt;li&gt;&lt;a href=|http://kjt.biblecommenter.com/ecclesiastes/4.htm| title=|King James Translators' Notes| target=|_top|&gt;KJT&lt;/a&gt;</v>
      </c>
      <c r="AG663" s="2" t="str">
        <f t="shared" si="2650"/>
        <v>&lt;/li&gt;&lt;li&gt;&lt;a href=|http://mhc.biblecommenter.com/ecclesiastes/4.htm| title=|Matthew Henry's Concise Commentary| target=|_top|&gt;MHC&lt;/a&gt;</v>
      </c>
      <c r="AH663" s="2" t="str">
        <f t="shared" si="2650"/>
        <v>&lt;/li&gt;&lt;li&gt;&lt;a href=|http://sco.biblecommenter.com/ecclesiastes/4.htm| title=|Scofield Reference Notes| target=|_top|&gt;SCO&lt;/a&gt;</v>
      </c>
      <c r="AI663" s="2" t="str">
        <f t="shared" si="2650"/>
        <v>&lt;/li&gt;&lt;li&gt;&lt;a href=|http://wes.biblecommenter.com/ecclesiastes/4.htm| title=|Wesley's Notes on the Bible| target=|_top|&gt;WES&lt;/a&gt;</v>
      </c>
      <c r="AJ663" t="str">
        <f t="shared" si="2650"/>
        <v>&lt;/li&gt;&lt;li&gt;&lt;a href=|http://worldebible.com/ecclesiastes/4.htm| title=|World English Bible| target=|_top|&gt;WEB&lt;/a&gt;</v>
      </c>
      <c r="AK663" t="str">
        <f t="shared" si="2650"/>
        <v>&lt;/li&gt;&lt;li&gt;&lt;a href=|http://yltbible.com/ecclesiastes/4.htm| title=|Young's Literal Translation| target=|_top|&gt;YLT&lt;/a&gt;</v>
      </c>
      <c r="AL663" t="str">
        <f>CONCATENATE("&lt;a href=|http://",AL1191,"/ecclesiastes/4.htm","| ","title=|",AL1190,"| target=|_top|&gt;",AL1192,"&lt;/a&gt;")</f>
        <v>&lt;a href=|http://kjv.us/ecclesiastes/4.htm| title=|American King James Version| target=|_top|&gt;AKJ&lt;/a&gt;</v>
      </c>
      <c r="AM663" t="str">
        <f t="shared" ref="AM663:AN663" si="2651">CONCATENATE("&lt;/li&gt;&lt;li&gt;&lt;a href=|http://",AM1191,"/ecclesiastes/4.htm","| ","title=|",AM1190,"| target=|_top|&gt;",AM1192,"&lt;/a&gt;")</f>
        <v>&lt;/li&gt;&lt;li&gt;&lt;a href=|http://basicenglishbible.com/ecclesiastes/4.htm| title=|Bible in Basic English| target=|_top|&gt;BBE&lt;/a&gt;</v>
      </c>
      <c r="AN663" t="str">
        <f t="shared" si="2651"/>
        <v>&lt;/li&gt;&lt;li&gt;&lt;a href=|http://darbybible.com/ecclesiastes/4.htm| title=|Darby Bible Translation| target=|_top|&gt;DBY&lt;/a&gt;</v>
      </c>
      <c r="AO66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6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6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63" t="str">
        <f>CONCATENATE("&lt;/li&gt;&lt;li&gt;&lt;a href=|http://",AR1191,"/ecclesiastes/4.htm","| ","title=|",AR1190,"| target=|_top|&gt;",AR1192,"&lt;/a&gt;")</f>
        <v>&lt;/li&gt;&lt;li&gt;&lt;a href=|http://websterbible.com/ecclesiastes/4.htm| title=|Webster's Bible Translation| target=|_top|&gt;WBS&lt;/a&gt;</v>
      </c>
      <c r="AS66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63" t="str">
        <f>CONCATENATE("&lt;/li&gt;&lt;li&gt;&lt;a href=|http://",AT1191,"/ecclesiastes/4-1.htm","| ","title=|",AT1190,"| target=|_top|&gt;",AT1192,"&lt;/a&gt;")</f>
        <v>&lt;/li&gt;&lt;li&gt;&lt;a href=|http://biblebrowser.com/ecclesiastes/4-1.htm| title=|Split View| target=|_top|&gt;Split&lt;/a&gt;</v>
      </c>
      <c r="AU663" s="2" t="s">
        <v>1276</v>
      </c>
      <c r="AV663" t="s">
        <v>64</v>
      </c>
    </row>
    <row r="664" spans="1:48">
      <c r="A664" t="s">
        <v>622</v>
      </c>
      <c r="B664" t="s">
        <v>1168</v>
      </c>
      <c r="C664" t="s">
        <v>624</v>
      </c>
      <c r="D664" t="s">
        <v>1268</v>
      </c>
      <c r="E664" t="s">
        <v>1277</v>
      </c>
      <c r="F664" t="s">
        <v>1304</v>
      </c>
      <c r="G664" t="s">
        <v>1266</v>
      </c>
      <c r="H664" t="s">
        <v>1305</v>
      </c>
      <c r="I664" t="s">
        <v>1303</v>
      </c>
      <c r="J664" t="s">
        <v>1267</v>
      </c>
      <c r="K664" t="s">
        <v>1275</v>
      </c>
      <c r="L664" s="2" t="s">
        <v>1274</v>
      </c>
      <c r="M664" t="str">
        <f t="shared" ref="M664:AB664" si="2652">CONCATENATE("&lt;/li&gt;&lt;li&gt;&lt;a href=|http://",M1191,"/ecclesiastes/5.htm","| ","title=|",M1190,"| target=|_top|&gt;",M1192,"&lt;/a&gt;")</f>
        <v>&lt;/li&gt;&lt;li&gt;&lt;a href=|http://niv.scripturetext.com/ecclesiastes/5.htm| title=|New International Version| target=|_top|&gt;NIV&lt;/a&gt;</v>
      </c>
      <c r="N664" t="str">
        <f t="shared" si="2652"/>
        <v>&lt;/li&gt;&lt;li&gt;&lt;a href=|http://nlt.scripturetext.com/ecclesiastes/5.htm| title=|New Living Translation| target=|_top|&gt;NLT&lt;/a&gt;</v>
      </c>
      <c r="O664" t="str">
        <f t="shared" si="2652"/>
        <v>&lt;/li&gt;&lt;li&gt;&lt;a href=|http://nasb.scripturetext.com/ecclesiastes/5.htm| title=|New American Standard Bible| target=|_top|&gt;NAS&lt;/a&gt;</v>
      </c>
      <c r="P664" t="str">
        <f t="shared" si="2652"/>
        <v>&lt;/li&gt;&lt;li&gt;&lt;a href=|http://gwt.scripturetext.com/ecclesiastes/5.htm| title=|God's Word Translation| target=|_top|&gt;GWT&lt;/a&gt;</v>
      </c>
      <c r="Q664" t="str">
        <f t="shared" si="2652"/>
        <v>&lt;/li&gt;&lt;li&gt;&lt;a href=|http://kingjbible.com/ecclesiastes/5.htm| title=|King James Bible| target=|_top|&gt;KJV&lt;/a&gt;</v>
      </c>
      <c r="R664" t="str">
        <f t="shared" si="2652"/>
        <v>&lt;/li&gt;&lt;li&gt;&lt;a href=|http://asvbible.com/ecclesiastes/5.htm| title=|American Standard Version| target=|_top|&gt;ASV&lt;/a&gt;</v>
      </c>
      <c r="S664" t="str">
        <f t="shared" si="2652"/>
        <v>&lt;/li&gt;&lt;li&gt;&lt;a href=|http://drb.scripturetext.com/ecclesiastes/5.htm| title=|Douay-Rheims Bible| target=|_top|&gt;DRB&lt;/a&gt;</v>
      </c>
      <c r="T664" t="str">
        <f t="shared" si="2652"/>
        <v>&lt;/li&gt;&lt;li&gt;&lt;a href=|http://erv.scripturetext.com/ecclesiastes/5.htm| title=|English Revised Version| target=|_top|&gt;ERV&lt;/a&gt;</v>
      </c>
      <c r="V664" t="str">
        <f>CONCATENATE("&lt;/li&gt;&lt;li&gt;&lt;a href=|http://",V1191,"/ecclesiastes/5.htm","| ","title=|",V1190,"| target=|_top|&gt;",V1192,"&lt;/a&gt;")</f>
        <v>&lt;/li&gt;&lt;li&gt;&lt;a href=|http://study.interlinearbible.org/ecclesiastes/5.htm| title=|Hebrew Study Bible| target=|_top|&gt;Heb Study&lt;/a&gt;</v>
      </c>
      <c r="W664" t="str">
        <f t="shared" si="2652"/>
        <v>&lt;/li&gt;&lt;li&gt;&lt;a href=|http://apostolic.interlinearbible.org/ecclesiastes/5.htm| title=|Apostolic Bible Polyglot Interlinear| target=|_top|&gt;Polyglot&lt;/a&gt;</v>
      </c>
      <c r="X664" t="str">
        <f t="shared" si="2652"/>
        <v>&lt;/li&gt;&lt;li&gt;&lt;a href=|http://interlinearbible.org/ecclesiastes/5.htm| title=|Interlinear Bible| target=|_top|&gt;Interlin&lt;/a&gt;</v>
      </c>
      <c r="Y664" t="str">
        <f t="shared" ref="Y664" si="2653">CONCATENATE("&lt;/li&gt;&lt;li&gt;&lt;a href=|http://",Y1191,"/ecclesiastes/5.htm","| ","title=|",Y1190,"| target=|_top|&gt;",Y1192,"&lt;/a&gt;")</f>
        <v>&lt;/li&gt;&lt;li&gt;&lt;a href=|http://bibleoutline.org/ecclesiastes/5.htm| title=|Outline with People and Places List| target=|_top|&gt;Outline&lt;/a&gt;</v>
      </c>
      <c r="Z664" t="str">
        <f t="shared" si="2652"/>
        <v>&lt;/li&gt;&lt;li&gt;&lt;a href=|http://kjvs.scripturetext.com/ecclesiastes/5.htm| title=|King James Bible with Strong's Numbers| target=|_top|&gt;Strong's&lt;/a&gt;</v>
      </c>
      <c r="AA664" t="str">
        <f t="shared" si="2652"/>
        <v>&lt;/li&gt;&lt;li&gt;&lt;a href=|http://childrensbibleonline.com/ecclesiastes/5.htm| title=|The Children's Bible| target=|_top|&gt;Children's&lt;/a&gt;</v>
      </c>
      <c r="AB664" s="2" t="str">
        <f t="shared" si="2652"/>
        <v>&lt;/li&gt;&lt;li&gt;&lt;a href=|http://tsk.scripturetext.com/ecclesiastes/5.htm| title=|Treasury of Scripture Knowledge| target=|_top|&gt;TSK&lt;/a&gt;</v>
      </c>
      <c r="AC664" t="str">
        <f>CONCATENATE("&lt;a href=|http://",AC1191,"/ecclesiastes/5.htm","| ","title=|",AC1190,"| target=|_top|&gt;",AC1192,"&lt;/a&gt;")</f>
        <v>&lt;a href=|http://parallelbible.com/ecclesiastes/5.htm| title=|Parallel Chapters| target=|_top|&gt;PAR&lt;/a&gt;</v>
      </c>
      <c r="AD664" s="2" t="str">
        <f t="shared" ref="AD664:AK664" si="2654">CONCATENATE("&lt;/li&gt;&lt;li&gt;&lt;a href=|http://",AD1191,"/ecclesiastes/5.htm","| ","title=|",AD1190,"| target=|_top|&gt;",AD1192,"&lt;/a&gt;")</f>
        <v>&lt;/li&gt;&lt;li&gt;&lt;a href=|http://gsb.biblecommenter.com/ecclesiastes/5.htm| title=|Geneva Study Bible| target=|_top|&gt;GSB&lt;/a&gt;</v>
      </c>
      <c r="AE664" s="2" t="str">
        <f t="shared" si="2654"/>
        <v>&lt;/li&gt;&lt;li&gt;&lt;a href=|http://jfb.biblecommenter.com/ecclesiastes/5.htm| title=|Jamieson-Fausset-Brown Bible Commentary| target=|_top|&gt;JFB&lt;/a&gt;</v>
      </c>
      <c r="AF664" s="2" t="str">
        <f t="shared" si="2654"/>
        <v>&lt;/li&gt;&lt;li&gt;&lt;a href=|http://kjt.biblecommenter.com/ecclesiastes/5.htm| title=|King James Translators' Notes| target=|_top|&gt;KJT&lt;/a&gt;</v>
      </c>
      <c r="AG664" s="2" t="str">
        <f t="shared" si="2654"/>
        <v>&lt;/li&gt;&lt;li&gt;&lt;a href=|http://mhc.biblecommenter.com/ecclesiastes/5.htm| title=|Matthew Henry's Concise Commentary| target=|_top|&gt;MHC&lt;/a&gt;</v>
      </c>
      <c r="AH664" s="2" t="str">
        <f t="shared" si="2654"/>
        <v>&lt;/li&gt;&lt;li&gt;&lt;a href=|http://sco.biblecommenter.com/ecclesiastes/5.htm| title=|Scofield Reference Notes| target=|_top|&gt;SCO&lt;/a&gt;</v>
      </c>
      <c r="AI664" s="2" t="str">
        <f t="shared" si="2654"/>
        <v>&lt;/li&gt;&lt;li&gt;&lt;a href=|http://wes.biblecommenter.com/ecclesiastes/5.htm| title=|Wesley's Notes on the Bible| target=|_top|&gt;WES&lt;/a&gt;</v>
      </c>
      <c r="AJ664" t="str">
        <f t="shared" si="2654"/>
        <v>&lt;/li&gt;&lt;li&gt;&lt;a href=|http://worldebible.com/ecclesiastes/5.htm| title=|World English Bible| target=|_top|&gt;WEB&lt;/a&gt;</v>
      </c>
      <c r="AK664" t="str">
        <f t="shared" si="2654"/>
        <v>&lt;/li&gt;&lt;li&gt;&lt;a href=|http://yltbible.com/ecclesiastes/5.htm| title=|Young's Literal Translation| target=|_top|&gt;YLT&lt;/a&gt;</v>
      </c>
      <c r="AL664" t="str">
        <f>CONCATENATE("&lt;a href=|http://",AL1191,"/ecclesiastes/5.htm","| ","title=|",AL1190,"| target=|_top|&gt;",AL1192,"&lt;/a&gt;")</f>
        <v>&lt;a href=|http://kjv.us/ecclesiastes/5.htm| title=|American King James Version| target=|_top|&gt;AKJ&lt;/a&gt;</v>
      </c>
      <c r="AM664" t="str">
        <f t="shared" ref="AM664:AN664" si="2655">CONCATENATE("&lt;/li&gt;&lt;li&gt;&lt;a href=|http://",AM1191,"/ecclesiastes/5.htm","| ","title=|",AM1190,"| target=|_top|&gt;",AM1192,"&lt;/a&gt;")</f>
        <v>&lt;/li&gt;&lt;li&gt;&lt;a href=|http://basicenglishbible.com/ecclesiastes/5.htm| title=|Bible in Basic English| target=|_top|&gt;BBE&lt;/a&gt;</v>
      </c>
      <c r="AN664" t="str">
        <f t="shared" si="2655"/>
        <v>&lt;/li&gt;&lt;li&gt;&lt;a href=|http://darbybible.com/ecclesiastes/5.htm| title=|Darby Bible Translation| target=|_top|&gt;DBY&lt;/a&gt;</v>
      </c>
      <c r="AO66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6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6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64" t="str">
        <f>CONCATENATE("&lt;/li&gt;&lt;li&gt;&lt;a href=|http://",AR1191,"/ecclesiastes/5.htm","| ","title=|",AR1190,"| target=|_top|&gt;",AR1192,"&lt;/a&gt;")</f>
        <v>&lt;/li&gt;&lt;li&gt;&lt;a href=|http://websterbible.com/ecclesiastes/5.htm| title=|Webster's Bible Translation| target=|_top|&gt;WBS&lt;/a&gt;</v>
      </c>
      <c r="AS66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64" t="str">
        <f>CONCATENATE("&lt;/li&gt;&lt;li&gt;&lt;a href=|http://",AT1191,"/ecclesiastes/5-1.htm","| ","title=|",AT1190,"| target=|_top|&gt;",AT1192,"&lt;/a&gt;")</f>
        <v>&lt;/li&gt;&lt;li&gt;&lt;a href=|http://biblebrowser.com/ecclesiastes/5-1.htm| title=|Split View| target=|_top|&gt;Split&lt;/a&gt;</v>
      </c>
      <c r="AU664" s="2" t="s">
        <v>1276</v>
      </c>
      <c r="AV664" t="s">
        <v>64</v>
      </c>
    </row>
    <row r="665" spans="1:48">
      <c r="A665" t="s">
        <v>622</v>
      </c>
      <c r="B665" t="s">
        <v>1169</v>
      </c>
      <c r="C665" t="s">
        <v>624</v>
      </c>
      <c r="D665" t="s">
        <v>1268</v>
      </c>
      <c r="E665" t="s">
        <v>1277</v>
      </c>
      <c r="F665" t="s">
        <v>1304</v>
      </c>
      <c r="G665" t="s">
        <v>1266</v>
      </c>
      <c r="H665" t="s">
        <v>1305</v>
      </c>
      <c r="I665" t="s">
        <v>1303</v>
      </c>
      <c r="J665" t="s">
        <v>1267</v>
      </c>
      <c r="K665" t="s">
        <v>1275</v>
      </c>
      <c r="L665" s="2" t="s">
        <v>1274</v>
      </c>
      <c r="M665" t="str">
        <f t="shared" ref="M665:AB665" si="2656">CONCATENATE("&lt;/li&gt;&lt;li&gt;&lt;a href=|http://",M1191,"/ecclesiastes/6.htm","| ","title=|",M1190,"| target=|_top|&gt;",M1192,"&lt;/a&gt;")</f>
        <v>&lt;/li&gt;&lt;li&gt;&lt;a href=|http://niv.scripturetext.com/ecclesiastes/6.htm| title=|New International Version| target=|_top|&gt;NIV&lt;/a&gt;</v>
      </c>
      <c r="N665" t="str">
        <f t="shared" si="2656"/>
        <v>&lt;/li&gt;&lt;li&gt;&lt;a href=|http://nlt.scripturetext.com/ecclesiastes/6.htm| title=|New Living Translation| target=|_top|&gt;NLT&lt;/a&gt;</v>
      </c>
      <c r="O665" t="str">
        <f t="shared" si="2656"/>
        <v>&lt;/li&gt;&lt;li&gt;&lt;a href=|http://nasb.scripturetext.com/ecclesiastes/6.htm| title=|New American Standard Bible| target=|_top|&gt;NAS&lt;/a&gt;</v>
      </c>
      <c r="P665" t="str">
        <f t="shared" si="2656"/>
        <v>&lt;/li&gt;&lt;li&gt;&lt;a href=|http://gwt.scripturetext.com/ecclesiastes/6.htm| title=|God's Word Translation| target=|_top|&gt;GWT&lt;/a&gt;</v>
      </c>
      <c r="Q665" t="str">
        <f t="shared" si="2656"/>
        <v>&lt;/li&gt;&lt;li&gt;&lt;a href=|http://kingjbible.com/ecclesiastes/6.htm| title=|King James Bible| target=|_top|&gt;KJV&lt;/a&gt;</v>
      </c>
      <c r="R665" t="str">
        <f t="shared" si="2656"/>
        <v>&lt;/li&gt;&lt;li&gt;&lt;a href=|http://asvbible.com/ecclesiastes/6.htm| title=|American Standard Version| target=|_top|&gt;ASV&lt;/a&gt;</v>
      </c>
      <c r="S665" t="str">
        <f t="shared" si="2656"/>
        <v>&lt;/li&gt;&lt;li&gt;&lt;a href=|http://drb.scripturetext.com/ecclesiastes/6.htm| title=|Douay-Rheims Bible| target=|_top|&gt;DRB&lt;/a&gt;</v>
      </c>
      <c r="T665" t="str">
        <f t="shared" si="2656"/>
        <v>&lt;/li&gt;&lt;li&gt;&lt;a href=|http://erv.scripturetext.com/ecclesiastes/6.htm| title=|English Revised Version| target=|_top|&gt;ERV&lt;/a&gt;</v>
      </c>
      <c r="V665" t="str">
        <f>CONCATENATE("&lt;/li&gt;&lt;li&gt;&lt;a href=|http://",V1191,"/ecclesiastes/6.htm","| ","title=|",V1190,"| target=|_top|&gt;",V1192,"&lt;/a&gt;")</f>
        <v>&lt;/li&gt;&lt;li&gt;&lt;a href=|http://study.interlinearbible.org/ecclesiastes/6.htm| title=|Hebrew Study Bible| target=|_top|&gt;Heb Study&lt;/a&gt;</v>
      </c>
      <c r="W665" t="str">
        <f t="shared" si="2656"/>
        <v>&lt;/li&gt;&lt;li&gt;&lt;a href=|http://apostolic.interlinearbible.org/ecclesiastes/6.htm| title=|Apostolic Bible Polyglot Interlinear| target=|_top|&gt;Polyglot&lt;/a&gt;</v>
      </c>
      <c r="X665" t="str">
        <f t="shared" si="2656"/>
        <v>&lt;/li&gt;&lt;li&gt;&lt;a href=|http://interlinearbible.org/ecclesiastes/6.htm| title=|Interlinear Bible| target=|_top|&gt;Interlin&lt;/a&gt;</v>
      </c>
      <c r="Y665" t="str">
        <f t="shared" ref="Y665" si="2657">CONCATENATE("&lt;/li&gt;&lt;li&gt;&lt;a href=|http://",Y1191,"/ecclesiastes/6.htm","| ","title=|",Y1190,"| target=|_top|&gt;",Y1192,"&lt;/a&gt;")</f>
        <v>&lt;/li&gt;&lt;li&gt;&lt;a href=|http://bibleoutline.org/ecclesiastes/6.htm| title=|Outline with People and Places List| target=|_top|&gt;Outline&lt;/a&gt;</v>
      </c>
      <c r="Z665" t="str">
        <f t="shared" si="2656"/>
        <v>&lt;/li&gt;&lt;li&gt;&lt;a href=|http://kjvs.scripturetext.com/ecclesiastes/6.htm| title=|King James Bible with Strong's Numbers| target=|_top|&gt;Strong's&lt;/a&gt;</v>
      </c>
      <c r="AA665" t="str">
        <f t="shared" si="2656"/>
        <v>&lt;/li&gt;&lt;li&gt;&lt;a href=|http://childrensbibleonline.com/ecclesiastes/6.htm| title=|The Children's Bible| target=|_top|&gt;Children's&lt;/a&gt;</v>
      </c>
      <c r="AB665" s="2" t="str">
        <f t="shared" si="2656"/>
        <v>&lt;/li&gt;&lt;li&gt;&lt;a href=|http://tsk.scripturetext.com/ecclesiastes/6.htm| title=|Treasury of Scripture Knowledge| target=|_top|&gt;TSK&lt;/a&gt;</v>
      </c>
      <c r="AC665" t="str">
        <f>CONCATENATE("&lt;a href=|http://",AC1191,"/ecclesiastes/6.htm","| ","title=|",AC1190,"| target=|_top|&gt;",AC1192,"&lt;/a&gt;")</f>
        <v>&lt;a href=|http://parallelbible.com/ecclesiastes/6.htm| title=|Parallel Chapters| target=|_top|&gt;PAR&lt;/a&gt;</v>
      </c>
      <c r="AD665" s="2" t="str">
        <f t="shared" ref="AD665:AK665" si="2658">CONCATENATE("&lt;/li&gt;&lt;li&gt;&lt;a href=|http://",AD1191,"/ecclesiastes/6.htm","| ","title=|",AD1190,"| target=|_top|&gt;",AD1192,"&lt;/a&gt;")</f>
        <v>&lt;/li&gt;&lt;li&gt;&lt;a href=|http://gsb.biblecommenter.com/ecclesiastes/6.htm| title=|Geneva Study Bible| target=|_top|&gt;GSB&lt;/a&gt;</v>
      </c>
      <c r="AE665" s="2" t="str">
        <f t="shared" si="2658"/>
        <v>&lt;/li&gt;&lt;li&gt;&lt;a href=|http://jfb.biblecommenter.com/ecclesiastes/6.htm| title=|Jamieson-Fausset-Brown Bible Commentary| target=|_top|&gt;JFB&lt;/a&gt;</v>
      </c>
      <c r="AF665" s="2" t="str">
        <f t="shared" si="2658"/>
        <v>&lt;/li&gt;&lt;li&gt;&lt;a href=|http://kjt.biblecommenter.com/ecclesiastes/6.htm| title=|King James Translators' Notes| target=|_top|&gt;KJT&lt;/a&gt;</v>
      </c>
      <c r="AG665" s="2" t="str">
        <f t="shared" si="2658"/>
        <v>&lt;/li&gt;&lt;li&gt;&lt;a href=|http://mhc.biblecommenter.com/ecclesiastes/6.htm| title=|Matthew Henry's Concise Commentary| target=|_top|&gt;MHC&lt;/a&gt;</v>
      </c>
      <c r="AH665" s="2" t="str">
        <f t="shared" si="2658"/>
        <v>&lt;/li&gt;&lt;li&gt;&lt;a href=|http://sco.biblecommenter.com/ecclesiastes/6.htm| title=|Scofield Reference Notes| target=|_top|&gt;SCO&lt;/a&gt;</v>
      </c>
      <c r="AI665" s="2" t="str">
        <f t="shared" si="2658"/>
        <v>&lt;/li&gt;&lt;li&gt;&lt;a href=|http://wes.biblecommenter.com/ecclesiastes/6.htm| title=|Wesley's Notes on the Bible| target=|_top|&gt;WES&lt;/a&gt;</v>
      </c>
      <c r="AJ665" t="str">
        <f t="shared" si="2658"/>
        <v>&lt;/li&gt;&lt;li&gt;&lt;a href=|http://worldebible.com/ecclesiastes/6.htm| title=|World English Bible| target=|_top|&gt;WEB&lt;/a&gt;</v>
      </c>
      <c r="AK665" t="str">
        <f t="shared" si="2658"/>
        <v>&lt;/li&gt;&lt;li&gt;&lt;a href=|http://yltbible.com/ecclesiastes/6.htm| title=|Young's Literal Translation| target=|_top|&gt;YLT&lt;/a&gt;</v>
      </c>
      <c r="AL665" t="str">
        <f>CONCATENATE("&lt;a href=|http://",AL1191,"/ecclesiastes/6.htm","| ","title=|",AL1190,"| target=|_top|&gt;",AL1192,"&lt;/a&gt;")</f>
        <v>&lt;a href=|http://kjv.us/ecclesiastes/6.htm| title=|American King James Version| target=|_top|&gt;AKJ&lt;/a&gt;</v>
      </c>
      <c r="AM665" t="str">
        <f t="shared" ref="AM665:AN665" si="2659">CONCATENATE("&lt;/li&gt;&lt;li&gt;&lt;a href=|http://",AM1191,"/ecclesiastes/6.htm","| ","title=|",AM1190,"| target=|_top|&gt;",AM1192,"&lt;/a&gt;")</f>
        <v>&lt;/li&gt;&lt;li&gt;&lt;a href=|http://basicenglishbible.com/ecclesiastes/6.htm| title=|Bible in Basic English| target=|_top|&gt;BBE&lt;/a&gt;</v>
      </c>
      <c r="AN665" t="str">
        <f t="shared" si="2659"/>
        <v>&lt;/li&gt;&lt;li&gt;&lt;a href=|http://darbybible.com/ecclesiastes/6.htm| title=|Darby Bible Translation| target=|_top|&gt;DBY&lt;/a&gt;</v>
      </c>
      <c r="AO66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6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6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65" t="str">
        <f>CONCATENATE("&lt;/li&gt;&lt;li&gt;&lt;a href=|http://",AR1191,"/ecclesiastes/6.htm","| ","title=|",AR1190,"| target=|_top|&gt;",AR1192,"&lt;/a&gt;")</f>
        <v>&lt;/li&gt;&lt;li&gt;&lt;a href=|http://websterbible.com/ecclesiastes/6.htm| title=|Webster's Bible Translation| target=|_top|&gt;WBS&lt;/a&gt;</v>
      </c>
      <c r="AS66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65" t="str">
        <f>CONCATENATE("&lt;/li&gt;&lt;li&gt;&lt;a href=|http://",AT1191,"/ecclesiastes/6-1.htm","| ","title=|",AT1190,"| target=|_top|&gt;",AT1192,"&lt;/a&gt;")</f>
        <v>&lt;/li&gt;&lt;li&gt;&lt;a href=|http://biblebrowser.com/ecclesiastes/6-1.htm| title=|Split View| target=|_top|&gt;Split&lt;/a&gt;</v>
      </c>
      <c r="AU665" s="2" t="s">
        <v>1276</v>
      </c>
      <c r="AV665" t="s">
        <v>64</v>
      </c>
    </row>
    <row r="666" spans="1:48">
      <c r="A666" t="s">
        <v>622</v>
      </c>
      <c r="B666" t="s">
        <v>1170</v>
      </c>
      <c r="C666" t="s">
        <v>624</v>
      </c>
      <c r="D666" t="s">
        <v>1268</v>
      </c>
      <c r="E666" t="s">
        <v>1277</v>
      </c>
      <c r="F666" t="s">
        <v>1304</v>
      </c>
      <c r="G666" t="s">
        <v>1266</v>
      </c>
      <c r="H666" t="s">
        <v>1305</v>
      </c>
      <c r="I666" t="s">
        <v>1303</v>
      </c>
      <c r="J666" t="s">
        <v>1267</v>
      </c>
      <c r="K666" t="s">
        <v>1275</v>
      </c>
      <c r="L666" s="2" t="s">
        <v>1274</v>
      </c>
      <c r="M666" t="str">
        <f t="shared" ref="M666:AB666" si="2660">CONCATENATE("&lt;/li&gt;&lt;li&gt;&lt;a href=|http://",M1191,"/ecclesiastes/7.htm","| ","title=|",M1190,"| target=|_top|&gt;",M1192,"&lt;/a&gt;")</f>
        <v>&lt;/li&gt;&lt;li&gt;&lt;a href=|http://niv.scripturetext.com/ecclesiastes/7.htm| title=|New International Version| target=|_top|&gt;NIV&lt;/a&gt;</v>
      </c>
      <c r="N666" t="str">
        <f t="shared" si="2660"/>
        <v>&lt;/li&gt;&lt;li&gt;&lt;a href=|http://nlt.scripturetext.com/ecclesiastes/7.htm| title=|New Living Translation| target=|_top|&gt;NLT&lt;/a&gt;</v>
      </c>
      <c r="O666" t="str">
        <f t="shared" si="2660"/>
        <v>&lt;/li&gt;&lt;li&gt;&lt;a href=|http://nasb.scripturetext.com/ecclesiastes/7.htm| title=|New American Standard Bible| target=|_top|&gt;NAS&lt;/a&gt;</v>
      </c>
      <c r="P666" t="str">
        <f t="shared" si="2660"/>
        <v>&lt;/li&gt;&lt;li&gt;&lt;a href=|http://gwt.scripturetext.com/ecclesiastes/7.htm| title=|God's Word Translation| target=|_top|&gt;GWT&lt;/a&gt;</v>
      </c>
      <c r="Q666" t="str">
        <f t="shared" si="2660"/>
        <v>&lt;/li&gt;&lt;li&gt;&lt;a href=|http://kingjbible.com/ecclesiastes/7.htm| title=|King James Bible| target=|_top|&gt;KJV&lt;/a&gt;</v>
      </c>
      <c r="R666" t="str">
        <f t="shared" si="2660"/>
        <v>&lt;/li&gt;&lt;li&gt;&lt;a href=|http://asvbible.com/ecclesiastes/7.htm| title=|American Standard Version| target=|_top|&gt;ASV&lt;/a&gt;</v>
      </c>
      <c r="S666" t="str">
        <f t="shared" si="2660"/>
        <v>&lt;/li&gt;&lt;li&gt;&lt;a href=|http://drb.scripturetext.com/ecclesiastes/7.htm| title=|Douay-Rheims Bible| target=|_top|&gt;DRB&lt;/a&gt;</v>
      </c>
      <c r="T666" t="str">
        <f t="shared" si="2660"/>
        <v>&lt;/li&gt;&lt;li&gt;&lt;a href=|http://erv.scripturetext.com/ecclesiastes/7.htm| title=|English Revised Version| target=|_top|&gt;ERV&lt;/a&gt;</v>
      </c>
      <c r="V666" t="str">
        <f>CONCATENATE("&lt;/li&gt;&lt;li&gt;&lt;a href=|http://",V1191,"/ecclesiastes/7.htm","| ","title=|",V1190,"| target=|_top|&gt;",V1192,"&lt;/a&gt;")</f>
        <v>&lt;/li&gt;&lt;li&gt;&lt;a href=|http://study.interlinearbible.org/ecclesiastes/7.htm| title=|Hebrew Study Bible| target=|_top|&gt;Heb Study&lt;/a&gt;</v>
      </c>
      <c r="W666" t="str">
        <f t="shared" si="2660"/>
        <v>&lt;/li&gt;&lt;li&gt;&lt;a href=|http://apostolic.interlinearbible.org/ecclesiastes/7.htm| title=|Apostolic Bible Polyglot Interlinear| target=|_top|&gt;Polyglot&lt;/a&gt;</v>
      </c>
      <c r="X666" t="str">
        <f t="shared" si="2660"/>
        <v>&lt;/li&gt;&lt;li&gt;&lt;a href=|http://interlinearbible.org/ecclesiastes/7.htm| title=|Interlinear Bible| target=|_top|&gt;Interlin&lt;/a&gt;</v>
      </c>
      <c r="Y666" t="str">
        <f t="shared" ref="Y666" si="2661">CONCATENATE("&lt;/li&gt;&lt;li&gt;&lt;a href=|http://",Y1191,"/ecclesiastes/7.htm","| ","title=|",Y1190,"| target=|_top|&gt;",Y1192,"&lt;/a&gt;")</f>
        <v>&lt;/li&gt;&lt;li&gt;&lt;a href=|http://bibleoutline.org/ecclesiastes/7.htm| title=|Outline with People and Places List| target=|_top|&gt;Outline&lt;/a&gt;</v>
      </c>
      <c r="Z666" t="str">
        <f t="shared" si="2660"/>
        <v>&lt;/li&gt;&lt;li&gt;&lt;a href=|http://kjvs.scripturetext.com/ecclesiastes/7.htm| title=|King James Bible with Strong's Numbers| target=|_top|&gt;Strong's&lt;/a&gt;</v>
      </c>
      <c r="AA666" t="str">
        <f t="shared" si="2660"/>
        <v>&lt;/li&gt;&lt;li&gt;&lt;a href=|http://childrensbibleonline.com/ecclesiastes/7.htm| title=|The Children's Bible| target=|_top|&gt;Children's&lt;/a&gt;</v>
      </c>
      <c r="AB666" s="2" t="str">
        <f t="shared" si="2660"/>
        <v>&lt;/li&gt;&lt;li&gt;&lt;a href=|http://tsk.scripturetext.com/ecclesiastes/7.htm| title=|Treasury of Scripture Knowledge| target=|_top|&gt;TSK&lt;/a&gt;</v>
      </c>
      <c r="AC666" t="str">
        <f>CONCATENATE("&lt;a href=|http://",AC1191,"/ecclesiastes/7.htm","| ","title=|",AC1190,"| target=|_top|&gt;",AC1192,"&lt;/a&gt;")</f>
        <v>&lt;a href=|http://parallelbible.com/ecclesiastes/7.htm| title=|Parallel Chapters| target=|_top|&gt;PAR&lt;/a&gt;</v>
      </c>
      <c r="AD666" s="2" t="str">
        <f t="shared" ref="AD666:AK666" si="2662">CONCATENATE("&lt;/li&gt;&lt;li&gt;&lt;a href=|http://",AD1191,"/ecclesiastes/7.htm","| ","title=|",AD1190,"| target=|_top|&gt;",AD1192,"&lt;/a&gt;")</f>
        <v>&lt;/li&gt;&lt;li&gt;&lt;a href=|http://gsb.biblecommenter.com/ecclesiastes/7.htm| title=|Geneva Study Bible| target=|_top|&gt;GSB&lt;/a&gt;</v>
      </c>
      <c r="AE666" s="2" t="str">
        <f t="shared" si="2662"/>
        <v>&lt;/li&gt;&lt;li&gt;&lt;a href=|http://jfb.biblecommenter.com/ecclesiastes/7.htm| title=|Jamieson-Fausset-Brown Bible Commentary| target=|_top|&gt;JFB&lt;/a&gt;</v>
      </c>
      <c r="AF666" s="2" t="str">
        <f t="shared" si="2662"/>
        <v>&lt;/li&gt;&lt;li&gt;&lt;a href=|http://kjt.biblecommenter.com/ecclesiastes/7.htm| title=|King James Translators' Notes| target=|_top|&gt;KJT&lt;/a&gt;</v>
      </c>
      <c r="AG666" s="2" t="str">
        <f t="shared" si="2662"/>
        <v>&lt;/li&gt;&lt;li&gt;&lt;a href=|http://mhc.biblecommenter.com/ecclesiastes/7.htm| title=|Matthew Henry's Concise Commentary| target=|_top|&gt;MHC&lt;/a&gt;</v>
      </c>
      <c r="AH666" s="2" t="str">
        <f t="shared" si="2662"/>
        <v>&lt;/li&gt;&lt;li&gt;&lt;a href=|http://sco.biblecommenter.com/ecclesiastes/7.htm| title=|Scofield Reference Notes| target=|_top|&gt;SCO&lt;/a&gt;</v>
      </c>
      <c r="AI666" s="2" t="str">
        <f t="shared" si="2662"/>
        <v>&lt;/li&gt;&lt;li&gt;&lt;a href=|http://wes.biblecommenter.com/ecclesiastes/7.htm| title=|Wesley's Notes on the Bible| target=|_top|&gt;WES&lt;/a&gt;</v>
      </c>
      <c r="AJ666" t="str">
        <f t="shared" si="2662"/>
        <v>&lt;/li&gt;&lt;li&gt;&lt;a href=|http://worldebible.com/ecclesiastes/7.htm| title=|World English Bible| target=|_top|&gt;WEB&lt;/a&gt;</v>
      </c>
      <c r="AK666" t="str">
        <f t="shared" si="2662"/>
        <v>&lt;/li&gt;&lt;li&gt;&lt;a href=|http://yltbible.com/ecclesiastes/7.htm| title=|Young's Literal Translation| target=|_top|&gt;YLT&lt;/a&gt;</v>
      </c>
      <c r="AL666" t="str">
        <f>CONCATENATE("&lt;a href=|http://",AL1191,"/ecclesiastes/7.htm","| ","title=|",AL1190,"| target=|_top|&gt;",AL1192,"&lt;/a&gt;")</f>
        <v>&lt;a href=|http://kjv.us/ecclesiastes/7.htm| title=|American King James Version| target=|_top|&gt;AKJ&lt;/a&gt;</v>
      </c>
      <c r="AM666" t="str">
        <f t="shared" ref="AM666:AN666" si="2663">CONCATENATE("&lt;/li&gt;&lt;li&gt;&lt;a href=|http://",AM1191,"/ecclesiastes/7.htm","| ","title=|",AM1190,"| target=|_top|&gt;",AM1192,"&lt;/a&gt;")</f>
        <v>&lt;/li&gt;&lt;li&gt;&lt;a href=|http://basicenglishbible.com/ecclesiastes/7.htm| title=|Bible in Basic English| target=|_top|&gt;BBE&lt;/a&gt;</v>
      </c>
      <c r="AN666" t="str">
        <f t="shared" si="2663"/>
        <v>&lt;/li&gt;&lt;li&gt;&lt;a href=|http://darbybible.com/ecclesiastes/7.htm| title=|Darby Bible Translation| target=|_top|&gt;DBY&lt;/a&gt;</v>
      </c>
      <c r="AO66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6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6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66" t="str">
        <f>CONCATENATE("&lt;/li&gt;&lt;li&gt;&lt;a href=|http://",AR1191,"/ecclesiastes/7.htm","| ","title=|",AR1190,"| target=|_top|&gt;",AR1192,"&lt;/a&gt;")</f>
        <v>&lt;/li&gt;&lt;li&gt;&lt;a href=|http://websterbible.com/ecclesiastes/7.htm| title=|Webster's Bible Translation| target=|_top|&gt;WBS&lt;/a&gt;</v>
      </c>
      <c r="AS66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66" t="str">
        <f>CONCATENATE("&lt;/li&gt;&lt;li&gt;&lt;a href=|http://",AT1191,"/ecclesiastes/7-1.htm","| ","title=|",AT1190,"| target=|_top|&gt;",AT1192,"&lt;/a&gt;")</f>
        <v>&lt;/li&gt;&lt;li&gt;&lt;a href=|http://biblebrowser.com/ecclesiastes/7-1.htm| title=|Split View| target=|_top|&gt;Split&lt;/a&gt;</v>
      </c>
      <c r="AU666" s="2" t="s">
        <v>1276</v>
      </c>
      <c r="AV666" t="s">
        <v>64</v>
      </c>
    </row>
    <row r="667" spans="1:48">
      <c r="A667" t="s">
        <v>622</v>
      </c>
      <c r="B667" t="s">
        <v>1171</v>
      </c>
      <c r="C667" t="s">
        <v>624</v>
      </c>
      <c r="D667" t="s">
        <v>1268</v>
      </c>
      <c r="E667" t="s">
        <v>1277</v>
      </c>
      <c r="F667" t="s">
        <v>1304</v>
      </c>
      <c r="G667" t="s">
        <v>1266</v>
      </c>
      <c r="H667" t="s">
        <v>1305</v>
      </c>
      <c r="I667" t="s">
        <v>1303</v>
      </c>
      <c r="J667" t="s">
        <v>1267</v>
      </c>
      <c r="K667" t="s">
        <v>1275</v>
      </c>
      <c r="L667" s="2" t="s">
        <v>1274</v>
      </c>
      <c r="M667" t="str">
        <f t="shared" ref="M667:AB667" si="2664">CONCATENATE("&lt;/li&gt;&lt;li&gt;&lt;a href=|http://",M1191,"/ecclesiastes/8.htm","| ","title=|",M1190,"| target=|_top|&gt;",M1192,"&lt;/a&gt;")</f>
        <v>&lt;/li&gt;&lt;li&gt;&lt;a href=|http://niv.scripturetext.com/ecclesiastes/8.htm| title=|New International Version| target=|_top|&gt;NIV&lt;/a&gt;</v>
      </c>
      <c r="N667" t="str">
        <f t="shared" si="2664"/>
        <v>&lt;/li&gt;&lt;li&gt;&lt;a href=|http://nlt.scripturetext.com/ecclesiastes/8.htm| title=|New Living Translation| target=|_top|&gt;NLT&lt;/a&gt;</v>
      </c>
      <c r="O667" t="str">
        <f t="shared" si="2664"/>
        <v>&lt;/li&gt;&lt;li&gt;&lt;a href=|http://nasb.scripturetext.com/ecclesiastes/8.htm| title=|New American Standard Bible| target=|_top|&gt;NAS&lt;/a&gt;</v>
      </c>
      <c r="P667" t="str">
        <f t="shared" si="2664"/>
        <v>&lt;/li&gt;&lt;li&gt;&lt;a href=|http://gwt.scripturetext.com/ecclesiastes/8.htm| title=|God's Word Translation| target=|_top|&gt;GWT&lt;/a&gt;</v>
      </c>
      <c r="Q667" t="str">
        <f t="shared" si="2664"/>
        <v>&lt;/li&gt;&lt;li&gt;&lt;a href=|http://kingjbible.com/ecclesiastes/8.htm| title=|King James Bible| target=|_top|&gt;KJV&lt;/a&gt;</v>
      </c>
      <c r="R667" t="str">
        <f t="shared" si="2664"/>
        <v>&lt;/li&gt;&lt;li&gt;&lt;a href=|http://asvbible.com/ecclesiastes/8.htm| title=|American Standard Version| target=|_top|&gt;ASV&lt;/a&gt;</v>
      </c>
      <c r="S667" t="str">
        <f t="shared" si="2664"/>
        <v>&lt;/li&gt;&lt;li&gt;&lt;a href=|http://drb.scripturetext.com/ecclesiastes/8.htm| title=|Douay-Rheims Bible| target=|_top|&gt;DRB&lt;/a&gt;</v>
      </c>
      <c r="T667" t="str">
        <f t="shared" si="2664"/>
        <v>&lt;/li&gt;&lt;li&gt;&lt;a href=|http://erv.scripturetext.com/ecclesiastes/8.htm| title=|English Revised Version| target=|_top|&gt;ERV&lt;/a&gt;</v>
      </c>
      <c r="V667" t="str">
        <f>CONCATENATE("&lt;/li&gt;&lt;li&gt;&lt;a href=|http://",V1191,"/ecclesiastes/8.htm","| ","title=|",V1190,"| target=|_top|&gt;",V1192,"&lt;/a&gt;")</f>
        <v>&lt;/li&gt;&lt;li&gt;&lt;a href=|http://study.interlinearbible.org/ecclesiastes/8.htm| title=|Hebrew Study Bible| target=|_top|&gt;Heb Study&lt;/a&gt;</v>
      </c>
      <c r="W667" t="str">
        <f t="shared" si="2664"/>
        <v>&lt;/li&gt;&lt;li&gt;&lt;a href=|http://apostolic.interlinearbible.org/ecclesiastes/8.htm| title=|Apostolic Bible Polyglot Interlinear| target=|_top|&gt;Polyglot&lt;/a&gt;</v>
      </c>
      <c r="X667" t="str">
        <f t="shared" si="2664"/>
        <v>&lt;/li&gt;&lt;li&gt;&lt;a href=|http://interlinearbible.org/ecclesiastes/8.htm| title=|Interlinear Bible| target=|_top|&gt;Interlin&lt;/a&gt;</v>
      </c>
      <c r="Y667" t="str">
        <f t="shared" ref="Y667" si="2665">CONCATENATE("&lt;/li&gt;&lt;li&gt;&lt;a href=|http://",Y1191,"/ecclesiastes/8.htm","| ","title=|",Y1190,"| target=|_top|&gt;",Y1192,"&lt;/a&gt;")</f>
        <v>&lt;/li&gt;&lt;li&gt;&lt;a href=|http://bibleoutline.org/ecclesiastes/8.htm| title=|Outline with People and Places List| target=|_top|&gt;Outline&lt;/a&gt;</v>
      </c>
      <c r="Z667" t="str">
        <f t="shared" si="2664"/>
        <v>&lt;/li&gt;&lt;li&gt;&lt;a href=|http://kjvs.scripturetext.com/ecclesiastes/8.htm| title=|King James Bible with Strong's Numbers| target=|_top|&gt;Strong's&lt;/a&gt;</v>
      </c>
      <c r="AA667" t="str">
        <f t="shared" si="2664"/>
        <v>&lt;/li&gt;&lt;li&gt;&lt;a href=|http://childrensbibleonline.com/ecclesiastes/8.htm| title=|The Children's Bible| target=|_top|&gt;Children's&lt;/a&gt;</v>
      </c>
      <c r="AB667" s="2" t="str">
        <f t="shared" si="2664"/>
        <v>&lt;/li&gt;&lt;li&gt;&lt;a href=|http://tsk.scripturetext.com/ecclesiastes/8.htm| title=|Treasury of Scripture Knowledge| target=|_top|&gt;TSK&lt;/a&gt;</v>
      </c>
      <c r="AC667" t="str">
        <f>CONCATENATE("&lt;a href=|http://",AC1191,"/ecclesiastes/8.htm","| ","title=|",AC1190,"| target=|_top|&gt;",AC1192,"&lt;/a&gt;")</f>
        <v>&lt;a href=|http://parallelbible.com/ecclesiastes/8.htm| title=|Parallel Chapters| target=|_top|&gt;PAR&lt;/a&gt;</v>
      </c>
      <c r="AD667" s="2" t="str">
        <f t="shared" ref="AD667:AK667" si="2666">CONCATENATE("&lt;/li&gt;&lt;li&gt;&lt;a href=|http://",AD1191,"/ecclesiastes/8.htm","| ","title=|",AD1190,"| target=|_top|&gt;",AD1192,"&lt;/a&gt;")</f>
        <v>&lt;/li&gt;&lt;li&gt;&lt;a href=|http://gsb.biblecommenter.com/ecclesiastes/8.htm| title=|Geneva Study Bible| target=|_top|&gt;GSB&lt;/a&gt;</v>
      </c>
      <c r="AE667" s="2" t="str">
        <f t="shared" si="2666"/>
        <v>&lt;/li&gt;&lt;li&gt;&lt;a href=|http://jfb.biblecommenter.com/ecclesiastes/8.htm| title=|Jamieson-Fausset-Brown Bible Commentary| target=|_top|&gt;JFB&lt;/a&gt;</v>
      </c>
      <c r="AF667" s="2" t="str">
        <f t="shared" si="2666"/>
        <v>&lt;/li&gt;&lt;li&gt;&lt;a href=|http://kjt.biblecommenter.com/ecclesiastes/8.htm| title=|King James Translators' Notes| target=|_top|&gt;KJT&lt;/a&gt;</v>
      </c>
      <c r="AG667" s="2" t="str">
        <f t="shared" si="2666"/>
        <v>&lt;/li&gt;&lt;li&gt;&lt;a href=|http://mhc.biblecommenter.com/ecclesiastes/8.htm| title=|Matthew Henry's Concise Commentary| target=|_top|&gt;MHC&lt;/a&gt;</v>
      </c>
      <c r="AH667" s="2" t="str">
        <f t="shared" si="2666"/>
        <v>&lt;/li&gt;&lt;li&gt;&lt;a href=|http://sco.biblecommenter.com/ecclesiastes/8.htm| title=|Scofield Reference Notes| target=|_top|&gt;SCO&lt;/a&gt;</v>
      </c>
      <c r="AI667" s="2" t="str">
        <f t="shared" si="2666"/>
        <v>&lt;/li&gt;&lt;li&gt;&lt;a href=|http://wes.biblecommenter.com/ecclesiastes/8.htm| title=|Wesley's Notes on the Bible| target=|_top|&gt;WES&lt;/a&gt;</v>
      </c>
      <c r="AJ667" t="str">
        <f t="shared" si="2666"/>
        <v>&lt;/li&gt;&lt;li&gt;&lt;a href=|http://worldebible.com/ecclesiastes/8.htm| title=|World English Bible| target=|_top|&gt;WEB&lt;/a&gt;</v>
      </c>
      <c r="AK667" t="str">
        <f t="shared" si="2666"/>
        <v>&lt;/li&gt;&lt;li&gt;&lt;a href=|http://yltbible.com/ecclesiastes/8.htm| title=|Young's Literal Translation| target=|_top|&gt;YLT&lt;/a&gt;</v>
      </c>
      <c r="AL667" t="str">
        <f>CONCATENATE("&lt;a href=|http://",AL1191,"/ecclesiastes/8.htm","| ","title=|",AL1190,"| target=|_top|&gt;",AL1192,"&lt;/a&gt;")</f>
        <v>&lt;a href=|http://kjv.us/ecclesiastes/8.htm| title=|American King James Version| target=|_top|&gt;AKJ&lt;/a&gt;</v>
      </c>
      <c r="AM667" t="str">
        <f t="shared" ref="AM667:AN667" si="2667">CONCATENATE("&lt;/li&gt;&lt;li&gt;&lt;a href=|http://",AM1191,"/ecclesiastes/8.htm","| ","title=|",AM1190,"| target=|_top|&gt;",AM1192,"&lt;/a&gt;")</f>
        <v>&lt;/li&gt;&lt;li&gt;&lt;a href=|http://basicenglishbible.com/ecclesiastes/8.htm| title=|Bible in Basic English| target=|_top|&gt;BBE&lt;/a&gt;</v>
      </c>
      <c r="AN667" t="str">
        <f t="shared" si="2667"/>
        <v>&lt;/li&gt;&lt;li&gt;&lt;a href=|http://darbybible.com/ecclesiastes/8.htm| title=|Darby Bible Translation| target=|_top|&gt;DBY&lt;/a&gt;</v>
      </c>
      <c r="AO66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6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6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67" t="str">
        <f>CONCATENATE("&lt;/li&gt;&lt;li&gt;&lt;a href=|http://",AR1191,"/ecclesiastes/8.htm","| ","title=|",AR1190,"| target=|_top|&gt;",AR1192,"&lt;/a&gt;")</f>
        <v>&lt;/li&gt;&lt;li&gt;&lt;a href=|http://websterbible.com/ecclesiastes/8.htm| title=|Webster's Bible Translation| target=|_top|&gt;WBS&lt;/a&gt;</v>
      </c>
      <c r="AS66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67" t="str">
        <f>CONCATENATE("&lt;/li&gt;&lt;li&gt;&lt;a href=|http://",AT1191,"/ecclesiastes/8-1.htm","| ","title=|",AT1190,"| target=|_top|&gt;",AT1192,"&lt;/a&gt;")</f>
        <v>&lt;/li&gt;&lt;li&gt;&lt;a href=|http://biblebrowser.com/ecclesiastes/8-1.htm| title=|Split View| target=|_top|&gt;Split&lt;/a&gt;</v>
      </c>
      <c r="AU667" s="2" t="s">
        <v>1276</v>
      </c>
      <c r="AV667" t="s">
        <v>64</v>
      </c>
    </row>
    <row r="668" spans="1:48">
      <c r="A668" t="s">
        <v>622</v>
      </c>
      <c r="B668" t="s">
        <v>1172</v>
      </c>
      <c r="C668" t="s">
        <v>624</v>
      </c>
      <c r="D668" t="s">
        <v>1268</v>
      </c>
      <c r="E668" t="s">
        <v>1277</v>
      </c>
      <c r="F668" t="s">
        <v>1304</v>
      </c>
      <c r="G668" t="s">
        <v>1266</v>
      </c>
      <c r="H668" t="s">
        <v>1305</v>
      </c>
      <c r="I668" t="s">
        <v>1303</v>
      </c>
      <c r="J668" t="s">
        <v>1267</v>
      </c>
      <c r="K668" t="s">
        <v>1275</v>
      </c>
      <c r="L668" s="2" t="s">
        <v>1274</v>
      </c>
      <c r="M668" t="str">
        <f t="shared" ref="M668:AB668" si="2668">CONCATENATE("&lt;/li&gt;&lt;li&gt;&lt;a href=|http://",M1191,"/ecclesiastes/9.htm","| ","title=|",M1190,"| target=|_top|&gt;",M1192,"&lt;/a&gt;")</f>
        <v>&lt;/li&gt;&lt;li&gt;&lt;a href=|http://niv.scripturetext.com/ecclesiastes/9.htm| title=|New International Version| target=|_top|&gt;NIV&lt;/a&gt;</v>
      </c>
      <c r="N668" t="str">
        <f t="shared" si="2668"/>
        <v>&lt;/li&gt;&lt;li&gt;&lt;a href=|http://nlt.scripturetext.com/ecclesiastes/9.htm| title=|New Living Translation| target=|_top|&gt;NLT&lt;/a&gt;</v>
      </c>
      <c r="O668" t="str">
        <f t="shared" si="2668"/>
        <v>&lt;/li&gt;&lt;li&gt;&lt;a href=|http://nasb.scripturetext.com/ecclesiastes/9.htm| title=|New American Standard Bible| target=|_top|&gt;NAS&lt;/a&gt;</v>
      </c>
      <c r="P668" t="str">
        <f t="shared" si="2668"/>
        <v>&lt;/li&gt;&lt;li&gt;&lt;a href=|http://gwt.scripturetext.com/ecclesiastes/9.htm| title=|God's Word Translation| target=|_top|&gt;GWT&lt;/a&gt;</v>
      </c>
      <c r="Q668" t="str">
        <f t="shared" si="2668"/>
        <v>&lt;/li&gt;&lt;li&gt;&lt;a href=|http://kingjbible.com/ecclesiastes/9.htm| title=|King James Bible| target=|_top|&gt;KJV&lt;/a&gt;</v>
      </c>
      <c r="R668" t="str">
        <f t="shared" si="2668"/>
        <v>&lt;/li&gt;&lt;li&gt;&lt;a href=|http://asvbible.com/ecclesiastes/9.htm| title=|American Standard Version| target=|_top|&gt;ASV&lt;/a&gt;</v>
      </c>
      <c r="S668" t="str">
        <f t="shared" si="2668"/>
        <v>&lt;/li&gt;&lt;li&gt;&lt;a href=|http://drb.scripturetext.com/ecclesiastes/9.htm| title=|Douay-Rheims Bible| target=|_top|&gt;DRB&lt;/a&gt;</v>
      </c>
      <c r="T668" t="str">
        <f t="shared" si="2668"/>
        <v>&lt;/li&gt;&lt;li&gt;&lt;a href=|http://erv.scripturetext.com/ecclesiastes/9.htm| title=|English Revised Version| target=|_top|&gt;ERV&lt;/a&gt;</v>
      </c>
      <c r="V668" t="str">
        <f>CONCATENATE("&lt;/li&gt;&lt;li&gt;&lt;a href=|http://",V1191,"/ecclesiastes/9.htm","| ","title=|",V1190,"| target=|_top|&gt;",V1192,"&lt;/a&gt;")</f>
        <v>&lt;/li&gt;&lt;li&gt;&lt;a href=|http://study.interlinearbible.org/ecclesiastes/9.htm| title=|Hebrew Study Bible| target=|_top|&gt;Heb Study&lt;/a&gt;</v>
      </c>
      <c r="W668" t="str">
        <f t="shared" si="2668"/>
        <v>&lt;/li&gt;&lt;li&gt;&lt;a href=|http://apostolic.interlinearbible.org/ecclesiastes/9.htm| title=|Apostolic Bible Polyglot Interlinear| target=|_top|&gt;Polyglot&lt;/a&gt;</v>
      </c>
      <c r="X668" t="str">
        <f t="shared" si="2668"/>
        <v>&lt;/li&gt;&lt;li&gt;&lt;a href=|http://interlinearbible.org/ecclesiastes/9.htm| title=|Interlinear Bible| target=|_top|&gt;Interlin&lt;/a&gt;</v>
      </c>
      <c r="Y668" t="str">
        <f t="shared" ref="Y668" si="2669">CONCATENATE("&lt;/li&gt;&lt;li&gt;&lt;a href=|http://",Y1191,"/ecclesiastes/9.htm","| ","title=|",Y1190,"| target=|_top|&gt;",Y1192,"&lt;/a&gt;")</f>
        <v>&lt;/li&gt;&lt;li&gt;&lt;a href=|http://bibleoutline.org/ecclesiastes/9.htm| title=|Outline with People and Places List| target=|_top|&gt;Outline&lt;/a&gt;</v>
      </c>
      <c r="Z668" t="str">
        <f t="shared" si="2668"/>
        <v>&lt;/li&gt;&lt;li&gt;&lt;a href=|http://kjvs.scripturetext.com/ecclesiastes/9.htm| title=|King James Bible with Strong's Numbers| target=|_top|&gt;Strong's&lt;/a&gt;</v>
      </c>
      <c r="AA668" t="str">
        <f t="shared" si="2668"/>
        <v>&lt;/li&gt;&lt;li&gt;&lt;a href=|http://childrensbibleonline.com/ecclesiastes/9.htm| title=|The Children's Bible| target=|_top|&gt;Children's&lt;/a&gt;</v>
      </c>
      <c r="AB668" s="2" t="str">
        <f t="shared" si="2668"/>
        <v>&lt;/li&gt;&lt;li&gt;&lt;a href=|http://tsk.scripturetext.com/ecclesiastes/9.htm| title=|Treasury of Scripture Knowledge| target=|_top|&gt;TSK&lt;/a&gt;</v>
      </c>
      <c r="AC668" t="str">
        <f>CONCATENATE("&lt;a href=|http://",AC1191,"/ecclesiastes/9.htm","| ","title=|",AC1190,"| target=|_top|&gt;",AC1192,"&lt;/a&gt;")</f>
        <v>&lt;a href=|http://parallelbible.com/ecclesiastes/9.htm| title=|Parallel Chapters| target=|_top|&gt;PAR&lt;/a&gt;</v>
      </c>
      <c r="AD668" s="2" t="str">
        <f t="shared" ref="AD668:AK668" si="2670">CONCATENATE("&lt;/li&gt;&lt;li&gt;&lt;a href=|http://",AD1191,"/ecclesiastes/9.htm","| ","title=|",AD1190,"| target=|_top|&gt;",AD1192,"&lt;/a&gt;")</f>
        <v>&lt;/li&gt;&lt;li&gt;&lt;a href=|http://gsb.biblecommenter.com/ecclesiastes/9.htm| title=|Geneva Study Bible| target=|_top|&gt;GSB&lt;/a&gt;</v>
      </c>
      <c r="AE668" s="2" t="str">
        <f t="shared" si="2670"/>
        <v>&lt;/li&gt;&lt;li&gt;&lt;a href=|http://jfb.biblecommenter.com/ecclesiastes/9.htm| title=|Jamieson-Fausset-Brown Bible Commentary| target=|_top|&gt;JFB&lt;/a&gt;</v>
      </c>
      <c r="AF668" s="2" t="str">
        <f t="shared" si="2670"/>
        <v>&lt;/li&gt;&lt;li&gt;&lt;a href=|http://kjt.biblecommenter.com/ecclesiastes/9.htm| title=|King James Translators' Notes| target=|_top|&gt;KJT&lt;/a&gt;</v>
      </c>
      <c r="AG668" s="2" t="str">
        <f t="shared" si="2670"/>
        <v>&lt;/li&gt;&lt;li&gt;&lt;a href=|http://mhc.biblecommenter.com/ecclesiastes/9.htm| title=|Matthew Henry's Concise Commentary| target=|_top|&gt;MHC&lt;/a&gt;</v>
      </c>
      <c r="AH668" s="2" t="str">
        <f t="shared" si="2670"/>
        <v>&lt;/li&gt;&lt;li&gt;&lt;a href=|http://sco.biblecommenter.com/ecclesiastes/9.htm| title=|Scofield Reference Notes| target=|_top|&gt;SCO&lt;/a&gt;</v>
      </c>
      <c r="AI668" s="2" t="str">
        <f t="shared" si="2670"/>
        <v>&lt;/li&gt;&lt;li&gt;&lt;a href=|http://wes.biblecommenter.com/ecclesiastes/9.htm| title=|Wesley's Notes on the Bible| target=|_top|&gt;WES&lt;/a&gt;</v>
      </c>
      <c r="AJ668" t="str">
        <f t="shared" si="2670"/>
        <v>&lt;/li&gt;&lt;li&gt;&lt;a href=|http://worldebible.com/ecclesiastes/9.htm| title=|World English Bible| target=|_top|&gt;WEB&lt;/a&gt;</v>
      </c>
      <c r="AK668" t="str">
        <f t="shared" si="2670"/>
        <v>&lt;/li&gt;&lt;li&gt;&lt;a href=|http://yltbible.com/ecclesiastes/9.htm| title=|Young's Literal Translation| target=|_top|&gt;YLT&lt;/a&gt;</v>
      </c>
      <c r="AL668" t="str">
        <f>CONCATENATE("&lt;a href=|http://",AL1191,"/ecclesiastes/9.htm","| ","title=|",AL1190,"| target=|_top|&gt;",AL1192,"&lt;/a&gt;")</f>
        <v>&lt;a href=|http://kjv.us/ecclesiastes/9.htm| title=|American King James Version| target=|_top|&gt;AKJ&lt;/a&gt;</v>
      </c>
      <c r="AM668" t="str">
        <f t="shared" ref="AM668:AN668" si="2671">CONCATENATE("&lt;/li&gt;&lt;li&gt;&lt;a href=|http://",AM1191,"/ecclesiastes/9.htm","| ","title=|",AM1190,"| target=|_top|&gt;",AM1192,"&lt;/a&gt;")</f>
        <v>&lt;/li&gt;&lt;li&gt;&lt;a href=|http://basicenglishbible.com/ecclesiastes/9.htm| title=|Bible in Basic English| target=|_top|&gt;BBE&lt;/a&gt;</v>
      </c>
      <c r="AN668" t="str">
        <f t="shared" si="2671"/>
        <v>&lt;/li&gt;&lt;li&gt;&lt;a href=|http://darbybible.com/ecclesiastes/9.htm| title=|Darby Bible Translation| target=|_top|&gt;DBY&lt;/a&gt;</v>
      </c>
      <c r="AO66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6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6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68" t="str">
        <f>CONCATENATE("&lt;/li&gt;&lt;li&gt;&lt;a href=|http://",AR1191,"/ecclesiastes/9.htm","| ","title=|",AR1190,"| target=|_top|&gt;",AR1192,"&lt;/a&gt;")</f>
        <v>&lt;/li&gt;&lt;li&gt;&lt;a href=|http://websterbible.com/ecclesiastes/9.htm| title=|Webster's Bible Translation| target=|_top|&gt;WBS&lt;/a&gt;</v>
      </c>
      <c r="AS66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68" t="str">
        <f>CONCATENATE("&lt;/li&gt;&lt;li&gt;&lt;a href=|http://",AT1191,"/ecclesiastes/9-1.htm","| ","title=|",AT1190,"| target=|_top|&gt;",AT1192,"&lt;/a&gt;")</f>
        <v>&lt;/li&gt;&lt;li&gt;&lt;a href=|http://biblebrowser.com/ecclesiastes/9-1.htm| title=|Split View| target=|_top|&gt;Split&lt;/a&gt;</v>
      </c>
      <c r="AU668" s="2" t="s">
        <v>1276</v>
      </c>
      <c r="AV668" t="s">
        <v>64</v>
      </c>
    </row>
    <row r="669" spans="1:48">
      <c r="A669" t="s">
        <v>622</v>
      </c>
      <c r="B669" t="s">
        <v>1173</v>
      </c>
      <c r="C669" t="s">
        <v>624</v>
      </c>
      <c r="D669" t="s">
        <v>1268</v>
      </c>
      <c r="E669" t="s">
        <v>1277</v>
      </c>
      <c r="F669" t="s">
        <v>1304</v>
      </c>
      <c r="G669" t="s">
        <v>1266</v>
      </c>
      <c r="H669" t="s">
        <v>1305</v>
      </c>
      <c r="I669" t="s">
        <v>1303</v>
      </c>
      <c r="J669" t="s">
        <v>1267</v>
      </c>
      <c r="K669" t="s">
        <v>1275</v>
      </c>
      <c r="L669" s="2" t="s">
        <v>1274</v>
      </c>
      <c r="M669" t="str">
        <f t="shared" ref="M669:AB669" si="2672">CONCATENATE("&lt;/li&gt;&lt;li&gt;&lt;a href=|http://",M1191,"/ecclesiastes/10.htm","| ","title=|",M1190,"| target=|_top|&gt;",M1192,"&lt;/a&gt;")</f>
        <v>&lt;/li&gt;&lt;li&gt;&lt;a href=|http://niv.scripturetext.com/ecclesiastes/10.htm| title=|New International Version| target=|_top|&gt;NIV&lt;/a&gt;</v>
      </c>
      <c r="N669" t="str">
        <f t="shared" si="2672"/>
        <v>&lt;/li&gt;&lt;li&gt;&lt;a href=|http://nlt.scripturetext.com/ecclesiastes/10.htm| title=|New Living Translation| target=|_top|&gt;NLT&lt;/a&gt;</v>
      </c>
      <c r="O669" t="str">
        <f t="shared" si="2672"/>
        <v>&lt;/li&gt;&lt;li&gt;&lt;a href=|http://nasb.scripturetext.com/ecclesiastes/10.htm| title=|New American Standard Bible| target=|_top|&gt;NAS&lt;/a&gt;</v>
      </c>
      <c r="P669" t="str">
        <f t="shared" si="2672"/>
        <v>&lt;/li&gt;&lt;li&gt;&lt;a href=|http://gwt.scripturetext.com/ecclesiastes/10.htm| title=|God's Word Translation| target=|_top|&gt;GWT&lt;/a&gt;</v>
      </c>
      <c r="Q669" t="str">
        <f t="shared" si="2672"/>
        <v>&lt;/li&gt;&lt;li&gt;&lt;a href=|http://kingjbible.com/ecclesiastes/10.htm| title=|King James Bible| target=|_top|&gt;KJV&lt;/a&gt;</v>
      </c>
      <c r="R669" t="str">
        <f t="shared" si="2672"/>
        <v>&lt;/li&gt;&lt;li&gt;&lt;a href=|http://asvbible.com/ecclesiastes/10.htm| title=|American Standard Version| target=|_top|&gt;ASV&lt;/a&gt;</v>
      </c>
      <c r="S669" t="str">
        <f t="shared" si="2672"/>
        <v>&lt;/li&gt;&lt;li&gt;&lt;a href=|http://drb.scripturetext.com/ecclesiastes/10.htm| title=|Douay-Rheims Bible| target=|_top|&gt;DRB&lt;/a&gt;</v>
      </c>
      <c r="T669" t="str">
        <f t="shared" si="2672"/>
        <v>&lt;/li&gt;&lt;li&gt;&lt;a href=|http://erv.scripturetext.com/ecclesiastes/10.htm| title=|English Revised Version| target=|_top|&gt;ERV&lt;/a&gt;</v>
      </c>
      <c r="V669" t="str">
        <f>CONCATENATE("&lt;/li&gt;&lt;li&gt;&lt;a href=|http://",V1191,"/ecclesiastes/10.htm","| ","title=|",V1190,"| target=|_top|&gt;",V1192,"&lt;/a&gt;")</f>
        <v>&lt;/li&gt;&lt;li&gt;&lt;a href=|http://study.interlinearbible.org/ecclesiastes/10.htm| title=|Hebrew Study Bible| target=|_top|&gt;Heb Study&lt;/a&gt;</v>
      </c>
      <c r="W669" t="str">
        <f t="shared" si="2672"/>
        <v>&lt;/li&gt;&lt;li&gt;&lt;a href=|http://apostolic.interlinearbible.org/ecclesiastes/10.htm| title=|Apostolic Bible Polyglot Interlinear| target=|_top|&gt;Polyglot&lt;/a&gt;</v>
      </c>
      <c r="X669" t="str">
        <f t="shared" si="2672"/>
        <v>&lt;/li&gt;&lt;li&gt;&lt;a href=|http://interlinearbible.org/ecclesiastes/10.htm| title=|Interlinear Bible| target=|_top|&gt;Interlin&lt;/a&gt;</v>
      </c>
      <c r="Y669" t="str">
        <f t="shared" ref="Y669" si="2673">CONCATENATE("&lt;/li&gt;&lt;li&gt;&lt;a href=|http://",Y1191,"/ecclesiastes/10.htm","| ","title=|",Y1190,"| target=|_top|&gt;",Y1192,"&lt;/a&gt;")</f>
        <v>&lt;/li&gt;&lt;li&gt;&lt;a href=|http://bibleoutline.org/ecclesiastes/10.htm| title=|Outline with People and Places List| target=|_top|&gt;Outline&lt;/a&gt;</v>
      </c>
      <c r="Z669" t="str">
        <f t="shared" si="2672"/>
        <v>&lt;/li&gt;&lt;li&gt;&lt;a href=|http://kjvs.scripturetext.com/ecclesiastes/10.htm| title=|King James Bible with Strong's Numbers| target=|_top|&gt;Strong's&lt;/a&gt;</v>
      </c>
      <c r="AA669" t="str">
        <f t="shared" si="2672"/>
        <v>&lt;/li&gt;&lt;li&gt;&lt;a href=|http://childrensbibleonline.com/ecclesiastes/10.htm| title=|The Children's Bible| target=|_top|&gt;Children's&lt;/a&gt;</v>
      </c>
      <c r="AB669" s="2" t="str">
        <f t="shared" si="2672"/>
        <v>&lt;/li&gt;&lt;li&gt;&lt;a href=|http://tsk.scripturetext.com/ecclesiastes/10.htm| title=|Treasury of Scripture Knowledge| target=|_top|&gt;TSK&lt;/a&gt;</v>
      </c>
      <c r="AC669" t="str">
        <f>CONCATENATE("&lt;a href=|http://",AC1191,"/ecclesiastes/10.htm","| ","title=|",AC1190,"| target=|_top|&gt;",AC1192,"&lt;/a&gt;")</f>
        <v>&lt;a href=|http://parallelbible.com/ecclesiastes/10.htm| title=|Parallel Chapters| target=|_top|&gt;PAR&lt;/a&gt;</v>
      </c>
      <c r="AD669" s="2" t="str">
        <f t="shared" ref="AD669:AK669" si="2674">CONCATENATE("&lt;/li&gt;&lt;li&gt;&lt;a href=|http://",AD1191,"/ecclesiastes/10.htm","| ","title=|",AD1190,"| target=|_top|&gt;",AD1192,"&lt;/a&gt;")</f>
        <v>&lt;/li&gt;&lt;li&gt;&lt;a href=|http://gsb.biblecommenter.com/ecclesiastes/10.htm| title=|Geneva Study Bible| target=|_top|&gt;GSB&lt;/a&gt;</v>
      </c>
      <c r="AE669" s="2" t="str">
        <f t="shared" si="2674"/>
        <v>&lt;/li&gt;&lt;li&gt;&lt;a href=|http://jfb.biblecommenter.com/ecclesiastes/10.htm| title=|Jamieson-Fausset-Brown Bible Commentary| target=|_top|&gt;JFB&lt;/a&gt;</v>
      </c>
      <c r="AF669" s="2" t="str">
        <f t="shared" si="2674"/>
        <v>&lt;/li&gt;&lt;li&gt;&lt;a href=|http://kjt.biblecommenter.com/ecclesiastes/10.htm| title=|King James Translators' Notes| target=|_top|&gt;KJT&lt;/a&gt;</v>
      </c>
      <c r="AG669" s="2" t="str">
        <f t="shared" si="2674"/>
        <v>&lt;/li&gt;&lt;li&gt;&lt;a href=|http://mhc.biblecommenter.com/ecclesiastes/10.htm| title=|Matthew Henry's Concise Commentary| target=|_top|&gt;MHC&lt;/a&gt;</v>
      </c>
      <c r="AH669" s="2" t="str">
        <f t="shared" si="2674"/>
        <v>&lt;/li&gt;&lt;li&gt;&lt;a href=|http://sco.biblecommenter.com/ecclesiastes/10.htm| title=|Scofield Reference Notes| target=|_top|&gt;SCO&lt;/a&gt;</v>
      </c>
      <c r="AI669" s="2" t="str">
        <f t="shared" si="2674"/>
        <v>&lt;/li&gt;&lt;li&gt;&lt;a href=|http://wes.biblecommenter.com/ecclesiastes/10.htm| title=|Wesley's Notes on the Bible| target=|_top|&gt;WES&lt;/a&gt;</v>
      </c>
      <c r="AJ669" t="str">
        <f t="shared" si="2674"/>
        <v>&lt;/li&gt;&lt;li&gt;&lt;a href=|http://worldebible.com/ecclesiastes/10.htm| title=|World English Bible| target=|_top|&gt;WEB&lt;/a&gt;</v>
      </c>
      <c r="AK669" t="str">
        <f t="shared" si="2674"/>
        <v>&lt;/li&gt;&lt;li&gt;&lt;a href=|http://yltbible.com/ecclesiastes/10.htm| title=|Young's Literal Translation| target=|_top|&gt;YLT&lt;/a&gt;</v>
      </c>
      <c r="AL669" t="str">
        <f>CONCATENATE("&lt;a href=|http://",AL1191,"/ecclesiastes/10.htm","| ","title=|",AL1190,"| target=|_top|&gt;",AL1192,"&lt;/a&gt;")</f>
        <v>&lt;a href=|http://kjv.us/ecclesiastes/10.htm| title=|American King James Version| target=|_top|&gt;AKJ&lt;/a&gt;</v>
      </c>
      <c r="AM669" t="str">
        <f t="shared" ref="AM669:AN669" si="2675">CONCATENATE("&lt;/li&gt;&lt;li&gt;&lt;a href=|http://",AM1191,"/ecclesiastes/10.htm","| ","title=|",AM1190,"| target=|_top|&gt;",AM1192,"&lt;/a&gt;")</f>
        <v>&lt;/li&gt;&lt;li&gt;&lt;a href=|http://basicenglishbible.com/ecclesiastes/10.htm| title=|Bible in Basic English| target=|_top|&gt;BBE&lt;/a&gt;</v>
      </c>
      <c r="AN669" t="str">
        <f t="shared" si="2675"/>
        <v>&lt;/li&gt;&lt;li&gt;&lt;a href=|http://darbybible.com/ecclesiastes/10.htm| title=|Darby Bible Translation| target=|_top|&gt;DBY&lt;/a&gt;</v>
      </c>
      <c r="AO66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6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6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69" t="str">
        <f>CONCATENATE("&lt;/li&gt;&lt;li&gt;&lt;a href=|http://",AR1191,"/ecclesiastes/10.htm","| ","title=|",AR1190,"| target=|_top|&gt;",AR1192,"&lt;/a&gt;")</f>
        <v>&lt;/li&gt;&lt;li&gt;&lt;a href=|http://websterbible.com/ecclesiastes/10.htm| title=|Webster's Bible Translation| target=|_top|&gt;WBS&lt;/a&gt;</v>
      </c>
      <c r="AS66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69" t="str">
        <f>CONCATENATE("&lt;/li&gt;&lt;li&gt;&lt;a href=|http://",AT1191,"/ecclesiastes/10-1.htm","| ","title=|",AT1190,"| target=|_top|&gt;",AT1192,"&lt;/a&gt;")</f>
        <v>&lt;/li&gt;&lt;li&gt;&lt;a href=|http://biblebrowser.com/ecclesiastes/10-1.htm| title=|Split View| target=|_top|&gt;Split&lt;/a&gt;</v>
      </c>
      <c r="AU669" s="2" t="s">
        <v>1276</v>
      </c>
      <c r="AV669" t="s">
        <v>64</v>
      </c>
    </row>
    <row r="670" spans="1:48">
      <c r="A670" t="s">
        <v>622</v>
      </c>
      <c r="B670" t="s">
        <v>1174</v>
      </c>
      <c r="C670" t="s">
        <v>624</v>
      </c>
      <c r="D670" t="s">
        <v>1268</v>
      </c>
      <c r="E670" t="s">
        <v>1277</v>
      </c>
      <c r="F670" t="s">
        <v>1304</v>
      </c>
      <c r="G670" t="s">
        <v>1266</v>
      </c>
      <c r="H670" t="s">
        <v>1305</v>
      </c>
      <c r="I670" t="s">
        <v>1303</v>
      </c>
      <c r="J670" t="s">
        <v>1267</v>
      </c>
      <c r="K670" t="s">
        <v>1275</v>
      </c>
      <c r="L670" s="2" t="s">
        <v>1274</v>
      </c>
      <c r="M670" t="str">
        <f t="shared" ref="M670:AB670" si="2676">CONCATENATE("&lt;/li&gt;&lt;li&gt;&lt;a href=|http://",M1191,"/ecclesiastes/11.htm","| ","title=|",M1190,"| target=|_top|&gt;",M1192,"&lt;/a&gt;")</f>
        <v>&lt;/li&gt;&lt;li&gt;&lt;a href=|http://niv.scripturetext.com/ecclesiastes/11.htm| title=|New International Version| target=|_top|&gt;NIV&lt;/a&gt;</v>
      </c>
      <c r="N670" t="str">
        <f t="shared" si="2676"/>
        <v>&lt;/li&gt;&lt;li&gt;&lt;a href=|http://nlt.scripturetext.com/ecclesiastes/11.htm| title=|New Living Translation| target=|_top|&gt;NLT&lt;/a&gt;</v>
      </c>
      <c r="O670" t="str">
        <f t="shared" si="2676"/>
        <v>&lt;/li&gt;&lt;li&gt;&lt;a href=|http://nasb.scripturetext.com/ecclesiastes/11.htm| title=|New American Standard Bible| target=|_top|&gt;NAS&lt;/a&gt;</v>
      </c>
      <c r="P670" t="str">
        <f t="shared" si="2676"/>
        <v>&lt;/li&gt;&lt;li&gt;&lt;a href=|http://gwt.scripturetext.com/ecclesiastes/11.htm| title=|God's Word Translation| target=|_top|&gt;GWT&lt;/a&gt;</v>
      </c>
      <c r="Q670" t="str">
        <f t="shared" si="2676"/>
        <v>&lt;/li&gt;&lt;li&gt;&lt;a href=|http://kingjbible.com/ecclesiastes/11.htm| title=|King James Bible| target=|_top|&gt;KJV&lt;/a&gt;</v>
      </c>
      <c r="R670" t="str">
        <f t="shared" si="2676"/>
        <v>&lt;/li&gt;&lt;li&gt;&lt;a href=|http://asvbible.com/ecclesiastes/11.htm| title=|American Standard Version| target=|_top|&gt;ASV&lt;/a&gt;</v>
      </c>
      <c r="S670" t="str">
        <f t="shared" si="2676"/>
        <v>&lt;/li&gt;&lt;li&gt;&lt;a href=|http://drb.scripturetext.com/ecclesiastes/11.htm| title=|Douay-Rheims Bible| target=|_top|&gt;DRB&lt;/a&gt;</v>
      </c>
      <c r="T670" t="str">
        <f t="shared" si="2676"/>
        <v>&lt;/li&gt;&lt;li&gt;&lt;a href=|http://erv.scripturetext.com/ecclesiastes/11.htm| title=|English Revised Version| target=|_top|&gt;ERV&lt;/a&gt;</v>
      </c>
      <c r="V670" t="str">
        <f>CONCATENATE("&lt;/li&gt;&lt;li&gt;&lt;a href=|http://",V1191,"/ecclesiastes/11.htm","| ","title=|",V1190,"| target=|_top|&gt;",V1192,"&lt;/a&gt;")</f>
        <v>&lt;/li&gt;&lt;li&gt;&lt;a href=|http://study.interlinearbible.org/ecclesiastes/11.htm| title=|Hebrew Study Bible| target=|_top|&gt;Heb Study&lt;/a&gt;</v>
      </c>
      <c r="W670" t="str">
        <f t="shared" si="2676"/>
        <v>&lt;/li&gt;&lt;li&gt;&lt;a href=|http://apostolic.interlinearbible.org/ecclesiastes/11.htm| title=|Apostolic Bible Polyglot Interlinear| target=|_top|&gt;Polyglot&lt;/a&gt;</v>
      </c>
      <c r="X670" t="str">
        <f t="shared" si="2676"/>
        <v>&lt;/li&gt;&lt;li&gt;&lt;a href=|http://interlinearbible.org/ecclesiastes/11.htm| title=|Interlinear Bible| target=|_top|&gt;Interlin&lt;/a&gt;</v>
      </c>
      <c r="Y670" t="str">
        <f t="shared" ref="Y670" si="2677">CONCATENATE("&lt;/li&gt;&lt;li&gt;&lt;a href=|http://",Y1191,"/ecclesiastes/11.htm","| ","title=|",Y1190,"| target=|_top|&gt;",Y1192,"&lt;/a&gt;")</f>
        <v>&lt;/li&gt;&lt;li&gt;&lt;a href=|http://bibleoutline.org/ecclesiastes/11.htm| title=|Outline with People and Places List| target=|_top|&gt;Outline&lt;/a&gt;</v>
      </c>
      <c r="Z670" t="str">
        <f t="shared" si="2676"/>
        <v>&lt;/li&gt;&lt;li&gt;&lt;a href=|http://kjvs.scripturetext.com/ecclesiastes/11.htm| title=|King James Bible with Strong's Numbers| target=|_top|&gt;Strong's&lt;/a&gt;</v>
      </c>
      <c r="AA670" t="str">
        <f t="shared" si="2676"/>
        <v>&lt;/li&gt;&lt;li&gt;&lt;a href=|http://childrensbibleonline.com/ecclesiastes/11.htm| title=|The Children's Bible| target=|_top|&gt;Children's&lt;/a&gt;</v>
      </c>
      <c r="AB670" s="2" t="str">
        <f t="shared" si="2676"/>
        <v>&lt;/li&gt;&lt;li&gt;&lt;a href=|http://tsk.scripturetext.com/ecclesiastes/11.htm| title=|Treasury of Scripture Knowledge| target=|_top|&gt;TSK&lt;/a&gt;</v>
      </c>
      <c r="AC670" t="str">
        <f>CONCATENATE("&lt;a href=|http://",AC1191,"/ecclesiastes/11.htm","| ","title=|",AC1190,"| target=|_top|&gt;",AC1192,"&lt;/a&gt;")</f>
        <v>&lt;a href=|http://parallelbible.com/ecclesiastes/11.htm| title=|Parallel Chapters| target=|_top|&gt;PAR&lt;/a&gt;</v>
      </c>
      <c r="AD670" s="2" t="str">
        <f t="shared" ref="AD670:AK670" si="2678">CONCATENATE("&lt;/li&gt;&lt;li&gt;&lt;a href=|http://",AD1191,"/ecclesiastes/11.htm","| ","title=|",AD1190,"| target=|_top|&gt;",AD1192,"&lt;/a&gt;")</f>
        <v>&lt;/li&gt;&lt;li&gt;&lt;a href=|http://gsb.biblecommenter.com/ecclesiastes/11.htm| title=|Geneva Study Bible| target=|_top|&gt;GSB&lt;/a&gt;</v>
      </c>
      <c r="AE670" s="2" t="str">
        <f t="shared" si="2678"/>
        <v>&lt;/li&gt;&lt;li&gt;&lt;a href=|http://jfb.biblecommenter.com/ecclesiastes/11.htm| title=|Jamieson-Fausset-Brown Bible Commentary| target=|_top|&gt;JFB&lt;/a&gt;</v>
      </c>
      <c r="AF670" s="2" t="str">
        <f t="shared" si="2678"/>
        <v>&lt;/li&gt;&lt;li&gt;&lt;a href=|http://kjt.biblecommenter.com/ecclesiastes/11.htm| title=|King James Translators' Notes| target=|_top|&gt;KJT&lt;/a&gt;</v>
      </c>
      <c r="AG670" s="2" t="str">
        <f t="shared" si="2678"/>
        <v>&lt;/li&gt;&lt;li&gt;&lt;a href=|http://mhc.biblecommenter.com/ecclesiastes/11.htm| title=|Matthew Henry's Concise Commentary| target=|_top|&gt;MHC&lt;/a&gt;</v>
      </c>
      <c r="AH670" s="2" t="str">
        <f t="shared" si="2678"/>
        <v>&lt;/li&gt;&lt;li&gt;&lt;a href=|http://sco.biblecommenter.com/ecclesiastes/11.htm| title=|Scofield Reference Notes| target=|_top|&gt;SCO&lt;/a&gt;</v>
      </c>
      <c r="AI670" s="2" t="str">
        <f t="shared" si="2678"/>
        <v>&lt;/li&gt;&lt;li&gt;&lt;a href=|http://wes.biblecommenter.com/ecclesiastes/11.htm| title=|Wesley's Notes on the Bible| target=|_top|&gt;WES&lt;/a&gt;</v>
      </c>
      <c r="AJ670" t="str">
        <f t="shared" si="2678"/>
        <v>&lt;/li&gt;&lt;li&gt;&lt;a href=|http://worldebible.com/ecclesiastes/11.htm| title=|World English Bible| target=|_top|&gt;WEB&lt;/a&gt;</v>
      </c>
      <c r="AK670" t="str">
        <f t="shared" si="2678"/>
        <v>&lt;/li&gt;&lt;li&gt;&lt;a href=|http://yltbible.com/ecclesiastes/11.htm| title=|Young's Literal Translation| target=|_top|&gt;YLT&lt;/a&gt;</v>
      </c>
      <c r="AL670" t="str">
        <f>CONCATENATE("&lt;a href=|http://",AL1191,"/ecclesiastes/11.htm","| ","title=|",AL1190,"| target=|_top|&gt;",AL1192,"&lt;/a&gt;")</f>
        <v>&lt;a href=|http://kjv.us/ecclesiastes/11.htm| title=|American King James Version| target=|_top|&gt;AKJ&lt;/a&gt;</v>
      </c>
      <c r="AM670" t="str">
        <f t="shared" ref="AM670:AN670" si="2679">CONCATENATE("&lt;/li&gt;&lt;li&gt;&lt;a href=|http://",AM1191,"/ecclesiastes/11.htm","| ","title=|",AM1190,"| target=|_top|&gt;",AM1192,"&lt;/a&gt;")</f>
        <v>&lt;/li&gt;&lt;li&gt;&lt;a href=|http://basicenglishbible.com/ecclesiastes/11.htm| title=|Bible in Basic English| target=|_top|&gt;BBE&lt;/a&gt;</v>
      </c>
      <c r="AN670" t="str">
        <f t="shared" si="2679"/>
        <v>&lt;/li&gt;&lt;li&gt;&lt;a href=|http://darbybible.com/ecclesiastes/11.htm| title=|Darby Bible Translation| target=|_top|&gt;DBY&lt;/a&gt;</v>
      </c>
      <c r="AO67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7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7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70" t="str">
        <f>CONCATENATE("&lt;/li&gt;&lt;li&gt;&lt;a href=|http://",AR1191,"/ecclesiastes/11.htm","| ","title=|",AR1190,"| target=|_top|&gt;",AR1192,"&lt;/a&gt;")</f>
        <v>&lt;/li&gt;&lt;li&gt;&lt;a href=|http://websterbible.com/ecclesiastes/11.htm| title=|Webster's Bible Translation| target=|_top|&gt;WBS&lt;/a&gt;</v>
      </c>
      <c r="AS67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70" t="str">
        <f>CONCATENATE("&lt;/li&gt;&lt;li&gt;&lt;a href=|http://",AT1191,"/ecclesiastes/11-1.htm","| ","title=|",AT1190,"| target=|_top|&gt;",AT1192,"&lt;/a&gt;")</f>
        <v>&lt;/li&gt;&lt;li&gt;&lt;a href=|http://biblebrowser.com/ecclesiastes/11-1.htm| title=|Split View| target=|_top|&gt;Split&lt;/a&gt;</v>
      </c>
      <c r="AU670" s="2" t="s">
        <v>1276</v>
      </c>
      <c r="AV670" t="s">
        <v>64</v>
      </c>
    </row>
    <row r="671" spans="1:48">
      <c r="A671" t="s">
        <v>622</v>
      </c>
      <c r="B671" t="s">
        <v>1175</v>
      </c>
      <c r="C671" t="s">
        <v>624</v>
      </c>
      <c r="D671" t="s">
        <v>1268</v>
      </c>
      <c r="E671" t="s">
        <v>1277</v>
      </c>
      <c r="F671" t="s">
        <v>1304</v>
      </c>
      <c r="G671" t="s">
        <v>1266</v>
      </c>
      <c r="H671" t="s">
        <v>1305</v>
      </c>
      <c r="I671" t="s">
        <v>1303</v>
      </c>
      <c r="J671" t="s">
        <v>1267</v>
      </c>
      <c r="K671" t="s">
        <v>1275</v>
      </c>
      <c r="L671" s="2" t="s">
        <v>1274</v>
      </c>
      <c r="M671" t="str">
        <f t="shared" ref="M671:AB671" si="2680">CONCATENATE("&lt;/li&gt;&lt;li&gt;&lt;a href=|http://",M1191,"/ecclesiastes/12.htm","| ","title=|",M1190,"| target=|_top|&gt;",M1192,"&lt;/a&gt;")</f>
        <v>&lt;/li&gt;&lt;li&gt;&lt;a href=|http://niv.scripturetext.com/ecclesiastes/12.htm| title=|New International Version| target=|_top|&gt;NIV&lt;/a&gt;</v>
      </c>
      <c r="N671" t="str">
        <f t="shared" si="2680"/>
        <v>&lt;/li&gt;&lt;li&gt;&lt;a href=|http://nlt.scripturetext.com/ecclesiastes/12.htm| title=|New Living Translation| target=|_top|&gt;NLT&lt;/a&gt;</v>
      </c>
      <c r="O671" t="str">
        <f t="shared" si="2680"/>
        <v>&lt;/li&gt;&lt;li&gt;&lt;a href=|http://nasb.scripturetext.com/ecclesiastes/12.htm| title=|New American Standard Bible| target=|_top|&gt;NAS&lt;/a&gt;</v>
      </c>
      <c r="P671" t="str">
        <f t="shared" si="2680"/>
        <v>&lt;/li&gt;&lt;li&gt;&lt;a href=|http://gwt.scripturetext.com/ecclesiastes/12.htm| title=|God's Word Translation| target=|_top|&gt;GWT&lt;/a&gt;</v>
      </c>
      <c r="Q671" t="str">
        <f t="shared" si="2680"/>
        <v>&lt;/li&gt;&lt;li&gt;&lt;a href=|http://kingjbible.com/ecclesiastes/12.htm| title=|King James Bible| target=|_top|&gt;KJV&lt;/a&gt;</v>
      </c>
      <c r="R671" t="str">
        <f t="shared" si="2680"/>
        <v>&lt;/li&gt;&lt;li&gt;&lt;a href=|http://asvbible.com/ecclesiastes/12.htm| title=|American Standard Version| target=|_top|&gt;ASV&lt;/a&gt;</v>
      </c>
      <c r="S671" t="str">
        <f t="shared" si="2680"/>
        <v>&lt;/li&gt;&lt;li&gt;&lt;a href=|http://drb.scripturetext.com/ecclesiastes/12.htm| title=|Douay-Rheims Bible| target=|_top|&gt;DRB&lt;/a&gt;</v>
      </c>
      <c r="T671" t="str">
        <f t="shared" si="2680"/>
        <v>&lt;/li&gt;&lt;li&gt;&lt;a href=|http://erv.scripturetext.com/ecclesiastes/12.htm| title=|English Revised Version| target=|_top|&gt;ERV&lt;/a&gt;</v>
      </c>
      <c r="V671" t="str">
        <f>CONCATENATE("&lt;/li&gt;&lt;li&gt;&lt;a href=|http://",V1191,"/ecclesiastes/12.htm","| ","title=|",V1190,"| target=|_top|&gt;",V1192,"&lt;/a&gt;")</f>
        <v>&lt;/li&gt;&lt;li&gt;&lt;a href=|http://study.interlinearbible.org/ecclesiastes/12.htm| title=|Hebrew Study Bible| target=|_top|&gt;Heb Study&lt;/a&gt;</v>
      </c>
      <c r="W671" t="str">
        <f t="shared" si="2680"/>
        <v>&lt;/li&gt;&lt;li&gt;&lt;a href=|http://apostolic.interlinearbible.org/ecclesiastes/12.htm| title=|Apostolic Bible Polyglot Interlinear| target=|_top|&gt;Polyglot&lt;/a&gt;</v>
      </c>
      <c r="X671" t="str">
        <f t="shared" si="2680"/>
        <v>&lt;/li&gt;&lt;li&gt;&lt;a href=|http://interlinearbible.org/ecclesiastes/12.htm| title=|Interlinear Bible| target=|_top|&gt;Interlin&lt;/a&gt;</v>
      </c>
      <c r="Y671" t="str">
        <f t="shared" ref="Y671" si="2681">CONCATENATE("&lt;/li&gt;&lt;li&gt;&lt;a href=|http://",Y1191,"/ecclesiastes/12.htm","| ","title=|",Y1190,"| target=|_top|&gt;",Y1192,"&lt;/a&gt;")</f>
        <v>&lt;/li&gt;&lt;li&gt;&lt;a href=|http://bibleoutline.org/ecclesiastes/12.htm| title=|Outline with People and Places List| target=|_top|&gt;Outline&lt;/a&gt;</v>
      </c>
      <c r="Z671" t="str">
        <f t="shared" si="2680"/>
        <v>&lt;/li&gt;&lt;li&gt;&lt;a href=|http://kjvs.scripturetext.com/ecclesiastes/12.htm| title=|King James Bible with Strong's Numbers| target=|_top|&gt;Strong's&lt;/a&gt;</v>
      </c>
      <c r="AA671" t="str">
        <f t="shared" si="2680"/>
        <v>&lt;/li&gt;&lt;li&gt;&lt;a href=|http://childrensbibleonline.com/ecclesiastes/12.htm| title=|The Children's Bible| target=|_top|&gt;Children's&lt;/a&gt;</v>
      </c>
      <c r="AB671" s="2" t="str">
        <f t="shared" si="2680"/>
        <v>&lt;/li&gt;&lt;li&gt;&lt;a href=|http://tsk.scripturetext.com/ecclesiastes/12.htm| title=|Treasury of Scripture Knowledge| target=|_top|&gt;TSK&lt;/a&gt;</v>
      </c>
      <c r="AC671" t="str">
        <f>CONCATENATE("&lt;a href=|http://",AC1191,"/ecclesiastes/12.htm","| ","title=|",AC1190,"| target=|_top|&gt;",AC1192,"&lt;/a&gt;")</f>
        <v>&lt;a href=|http://parallelbible.com/ecclesiastes/12.htm| title=|Parallel Chapters| target=|_top|&gt;PAR&lt;/a&gt;</v>
      </c>
      <c r="AD671" s="2" t="str">
        <f t="shared" ref="AD671:AK671" si="2682">CONCATENATE("&lt;/li&gt;&lt;li&gt;&lt;a href=|http://",AD1191,"/ecclesiastes/12.htm","| ","title=|",AD1190,"| target=|_top|&gt;",AD1192,"&lt;/a&gt;")</f>
        <v>&lt;/li&gt;&lt;li&gt;&lt;a href=|http://gsb.biblecommenter.com/ecclesiastes/12.htm| title=|Geneva Study Bible| target=|_top|&gt;GSB&lt;/a&gt;</v>
      </c>
      <c r="AE671" s="2" t="str">
        <f t="shared" si="2682"/>
        <v>&lt;/li&gt;&lt;li&gt;&lt;a href=|http://jfb.biblecommenter.com/ecclesiastes/12.htm| title=|Jamieson-Fausset-Brown Bible Commentary| target=|_top|&gt;JFB&lt;/a&gt;</v>
      </c>
      <c r="AF671" s="2" t="str">
        <f t="shared" si="2682"/>
        <v>&lt;/li&gt;&lt;li&gt;&lt;a href=|http://kjt.biblecommenter.com/ecclesiastes/12.htm| title=|King James Translators' Notes| target=|_top|&gt;KJT&lt;/a&gt;</v>
      </c>
      <c r="AG671" s="2" t="str">
        <f t="shared" si="2682"/>
        <v>&lt;/li&gt;&lt;li&gt;&lt;a href=|http://mhc.biblecommenter.com/ecclesiastes/12.htm| title=|Matthew Henry's Concise Commentary| target=|_top|&gt;MHC&lt;/a&gt;</v>
      </c>
      <c r="AH671" s="2" t="str">
        <f t="shared" si="2682"/>
        <v>&lt;/li&gt;&lt;li&gt;&lt;a href=|http://sco.biblecommenter.com/ecclesiastes/12.htm| title=|Scofield Reference Notes| target=|_top|&gt;SCO&lt;/a&gt;</v>
      </c>
      <c r="AI671" s="2" t="str">
        <f t="shared" si="2682"/>
        <v>&lt;/li&gt;&lt;li&gt;&lt;a href=|http://wes.biblecommenter.com/ecclesiastes/12.htm| title=|Wesley's Notes on the Bible| target=|_top|&gt;WES&lt;/a&gt;</v>
      </c>
      <c r="AJ671" t="str">
        <f t="shared" si="2682"/>
        <v>&lt;/li&gt;&lt;li&gt;&lt;a href=|http://worldebible.com/ecclesiastes/12.htm| title=|World English Bible| target=|_top|&gt;WEB&lt;/a&gt;</v>
      </c>
      <c r="AK671" t="str">
        <f t="shared" si="2682"/>
        <v>&lt;/li&gt;&lt;li&gt;&lt;a href=|http://yltbible.com/ecclesiastes/12.htm| title=|Young's Literal Translation| target=|_top|&gt;YLT&lt;/a&gt;</v>
      </c>
      <c r="AL671" t="str">
        <f>CONCATENATE("&lt;a href=|http://",AL1191,"/ecclesiastes/12.htm","| ","title=|",AL1190,"| target=|_top|&gt;",AL1192,"&lt;/a&gt;")</f>
        <v>&lt;a href=|http://kjv.us/ecclesiastes/12.htm| title=|American King James Version| target=|_top|&gt;AKJ&lt;/a&gt;</v>
      </c>
      <c r="AM671" t="str">
        <f t="shared" ref="AM671:AN671" si="2683">CONCATENATE("&lt;/li&gt;&lt;li&gt;&lt;a href=|http://",AM1191,"/ecclesiastes/12.htm","| ","title=|",AM1190,"| target=|_top|&gt;",AM1192,"&lt;/a&gt;")</f>
        <v>&lt;/li&gt;&lt;li&gt;&lt;a href=|http://basicenglishbible.com/ecclesiastes/12.htm| title=|Bible in Basic English| target=|_top|&gt;BBE&lt;/a&gt;</v>
      </c>
      <c r="AN671" t="str">
        <f t="shared" si="2683"/>
        <v>&lt;/li&gt;&lt;li&gt;&lt;a href=|http://darbybible.com/ecclesiastes/12.htm| title=|Darby Bible Translation| target=|_top|&gt;DBY&lt;/a&gt;</v>
      </c>
      <c r="AO67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7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7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71" t="str">
        <f>CONCATENATE("&lt;/li&gt;&lt;li&gt;&lt;a href=|http://",AR1191,"/ecclesiastes/12.htm","| ","title=|",AR1190,"| target=|_top|&gt;",AR1192,"&lt;/a&gt;")</f>
        <v>&lt;/li&gt;&lt;li&gt;&lt;a href=|http://websterbible.com/ecclesiastes/12.htm| title=|Webster's Bible Translation| target=|_top|&gt;WBS&lt;/a&gt;</v>
      </c>
      <c r="AS67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71" t="str">
        <f>CONCATENATE("&lt;/li&gt;&lt;li&gt;&lt;a href=|http://",AT1191,"/ecclesiastes/12-1.htm","| ","title=|",AT1190,"| target=|_top|&gt;",AT1192,"&lt;/a&gt;")</f>
        <v>&lt;/li&gt;&lt;li&gt;&lt;a href=|http://biblebrowser.com/ecclesiastes/12-1.htm| title=|Split View| target=|_top|&gt;Split&lt;/a&gt;</v>
      </c>
      <c r="AU671" s="2" t="s">
        <v>1276</v>
      </c>
      <c r="AV671" t="s">
        <v>64</v>
      </c>
    </row>
    <row r="672" spans="1:48">
      <c r="A672" t="s">
        <v>622</v>
      </c>
      <c r="B672" t="s">
        <v>1176</v>
      </c>
      <c r="C672" t="s">
        <v>624</v>
      </c>
      <c r="D672" t="s">
        <v>1268</v>
      </c>
      <c r="E672" t="s">
        <v>1277</v>
      </c>
      <c r="F672" t="s">
        <v>1304</v>
      </c>
      <c r="G672" t="s">
        <v>1266</v>
      </c>
      <c r="H672" t="s">
        <v>1305</v>
      </c>
      <c r="I672" t="s">
        <v>1303</v>
      </c>
      <c r="J672" t="s">
        <v>1267</v>
      </c>
      <c r="K672" t="s">
        <v>1275</v>
      </c>
      <c r="L672" s="2" t="s">
        <v>1274</v>
      </c>
      <c r="M672" t="str">
        <f t="shared" ref="M672:AB672" si="2684">CONCATENATE("&lt;/li&gt;&lt;li&gt;&lt;a href=|http://",M1191,"/songs/1.htm","| ","title=|",M1190,"| target=|_top|&gt;",M1192,"&lt;/a&gt;")</f>
        <v>&lt;/li&gt;&lt;li&gt;&lt;a href=|http://niv.scripturetext.com/songs/1.htm| title=|New International Version| target=|_top|&gt;NIV&lt;/a&gt;</v>
      </c>
      <c r="N672" t="str">
        <f t="shared" si="2684"/>
        <v>&lt;/li&gt;&lt;li&gt;&lt;a href=|http://nlt.scripturetext.com/songs/1.htm| title=|New Living Translation| target=|_top|&gt;NLT&lt;/a&gt;</v>
      </c>
      <c r="O672" t="str">
        <f t="shared" si="2684"/>
        <v>&lt;/li&gt;&lt;li&gt;&lt;a href=|http://nasb.scripturetext.com/songs/1.htm| title=|New American Standard Bible| target=|_top|&gt;NAS&lt;/a&gt;</v>
      </c>
      <c r="P672" t="str">
        <f t="shared" si="2684"/>
        <v>&lt;/li&gt;&lt;li&gt;&lt;a href=|http://gwt.scripturetext.com/songs/1.htm| title=|God's Word Translation| target=|_top|&gt;GWT&lt;/a&gt;</v>
      </c>
      <c r="Q672" t="str">
        <f t="shared" si="2684"/>
        <v>&lt;/li&gt;&lt;li&gt;&lt;a href=|http://kingjbible.com/songs/1.htm| title=|King James Bible| target=|_top|&gt;KJV&lt;/a&gt;</v>
      </c>
      <c r="R672" t="str">
        <f t="shared" si="2684"/>
        <v>&lt;/li&gt;&lt;li&gt;&lt;a href=|http://asvbible.com/songs/1.htm| title=|American Standard Version| target=|_top|&gt;ASV&lt;/a&gt;</v>
      </c>
      <c r="S672" t="str">
        <f t="shared" si="2684"/>
        <v>&lt;/li&gt;&lt;li&gt;&lt;a href=|http://drb.scripturetext.com/songs/1.htm| title=|Douay-Rheims Bible| target=|_top|&gt;DRB&lt;/a&gt;</v>
      </c>
      <c r="T672" t="str">
        <f t="shared" si="2684"/>
        <v>&lt;/li&gt;&lt;li&gt;&lt;a href=|http://erv.scripturetext.com/songs/1.htm| title=|English Revised Version| target=|_top|&gt;ERV&lt;/a&gt;</v>
      </c>
      <c r="V672" t="str">
        <f>CONCATENATE("&lt;/li&gt;&lt;li&gt;&lt;a href=|http://",V1191,"/songs/1.htm","| ","title=|",V1190,"| target=|_top|&gt;",V1192,"&lt;/a&gt;")</f>
        <v>&lt;/li&gt;&lt;li&gt;&lt;a href=|http://study.interlinearbible.org/songs/1.htm| title=|Hebrew Study Bible| target=|_top|&gt;Heb Study&lt;/a&gt;</v>
      </c>
      <c r="W672" t="str">
        <f t="shared" si="2684"/>
        <v>&lt;/li&gt;&lt;li&gt;&lt;a href=|http://apostolic.interlinearbible.org/songs/1.htm| title=|Apostolic Bible Polyglot Interlinear| target=|_top|&gt;Polyglot&lt;/a&gt;</v>
      </c>
      <c r="X672" t="str">
        <f t="shared" si="2684"/>
        <v>&lt;/li&gt;&lt;li&gt;&lt;a href=|http://interlinearbible.org/songs/1.htm| title=|Interlinear Bible| target=|_top|&gt;Interlin&lt;/a&gt;</v>
      </c>
      <c r="Y672" t="str">
        <f t="shared" ref="Y672" si="2685">CONCATENATE("&lt;/li&gt;&lt;li&gt;&lt;a href=|http://",Y1191,"/songs/1.htm","| ","title=|",Y1190,"| target=|_top|&gt;",Y1192,"&lt;/a&gt;")</f>
        <v>&lt;/li&gt;&lt;li&gt;&lt;a href=|http://bibleoutline.org/songs/1.htm| title=|Outline with People and Places List| target=|_top|&gt;Outline&lt;/a&gt;</v>
      </c>
      <c r="Z672" t="str">
        <f t="shared" si="2684"/>
        <v>&lt;/li&gt;&lt;li&gt;&lt;a href=|http://kjvs.scripturetext.com/songs/1.htm| title=|King James Bible with Strong's Numbers| target=|_top|&gt;Strong's&lt;/a&gt;</v>
      </c>
      <c r="AA672" t="str">
        <f t="shared" si="2684"/>
        <v>&lt;/li&gt;&lt;li&gt;&lt;a href=|http://childrensbibleonline.com/songs/1.htm| title=|The Children's Bible| target=|_top|&gt;Children's&lt;/a&gt;</v>
      </c>
      <c r="AB672" s="2" t="str">
        <f t="shared" si="2684"/>
        <v>&lt;/li&gt;&lt;li&gt;&lt;a href=|http://tsk.scripturetext.com/songs/1.htm| title=|Treasury of Scripture Knowledge| target=|_top|&gt;TSK&lt;/a&gt;</v>
      </c>
      <c r="AC672" t="str">
        <f>CONCATENATE("&lt;a href=|http://",AC1191,"/songs/1.htm","| ","title=|",AC1190,"| target=|_top|&gt;",AC1192,"&lt;/a&gt;")</f>
        <v>&lt;a href=|http://parallelbible.com/songs/1.htm| title=|Parallel Chapters| target=|_top|&gt;PAR&lt;/a&gt;</v>
      </c>
      <c r="AD672" s="2" t="str">
        <f t="shared" ref="AD672:AK672" si="2686">CONCATENATE("&lt;/li&gt;&lt;li&gt;&lt;a href=|http://",AD1191,"/songs/1.htm","| ","title=|",AD1190,"| target=|_top|&gt;",AD1192,"&lt;/a&gt;")</f>
        <v>&lt;/li&gt;&lt;li&gt;&lt;a href=|http://gsb.biblecommenter.com/songs/1.htm| title=|Geneva Study Bible| target=|_top|&gt;GSB&lt;/a&gt;</v>
      </c>
      <c r="AE672" s="2" t="str">
        <f t="shared" si="2686"/>
        <v>&lt;/li&gt;&lt;li&gt;&lt;a href=|http://jfb.biblecommenter.com/songs/1.htm| title=|Jamieson-Fausset-Brown Bible Commentary| target=|_top|&gt;JFB&lt;/a&gt;</v>
      </c>
      <c r="AF672" s="2" t="str">
        <f t="shared" si="2686"/>
        <v>&lt;/li&gt;&lt;li&gt;&lt;a href=|http://kjt.biblecommenter.com/songs/1.htm| title=|King James Translators' Notes| target=|_top|&gt;KJT&lt;/a&gt;</v>
      </c>
      <c r="AG672" s="2" t="str">
        <f t="shared" si="2686"/>
        <v>&lt;/li&gt;&lt;li&gt;&lt;a href=|http://mhc.biblecommenter.com/songs/1.htm| title=|Matthew Henry's Concise Commentary| target=|_top|&gt;MHC&lt;/a&gt;</v>
      </c>
      <c r="AH672" s="2" t="str">
        <f t="shared" si="2686"/>
        <v>&lt;/li&gt;&lt;li&gt;&lt;a href=|http://sco.biblecommenter.com/songs/1.htm| title=|Scofield Reference Notes| target=|_top|&gt;SCO&lt;/a&gt;</v>
      </c>
      <c r="AI672" s="2" t="str">
        <f t="shared" si="2686"/>
        <v>&lt;/li&gt;&lt;li&gt;&lt;a href=|http://wes.biblecommenter.com/songs/1.htm| title=|Wesley's Notes on the Bible| target=|_top|&gt;WES&lt;/a&gt;</v>
      </c>
      <c r="AJ672" t="str">
        <f t="shared" si="2686"/>
        <v>&lt;/li&gt;&lt;li&gt;&lt;a href=|http://worldebible.com/songs/1.htm| title=|World English Bible| target=|_top|&gt;WEB&lt;/a&gt;</v>
      </c>
      <c r="AK672" t="str">
        <f t="shared" si="2686"/>
        <v>&lt;/li&gt;&lt;li&gt;&lt;a href=|http://yltbible.com/songs/1.htm| title=|Young's Literal Translation| target=|_top|&gt;YLT&lt;/a&gt;</v>
      </c>
      <c r="AL672" t="str">
        <f>CONCATENATE("&lt;a href=|http://",AL1191,"/songs/1.htm","| ","title=|",AL1190,"| target=|_top|&gt;",AL1192,"&lt;/a&gt;")</f>
        <v>&lt;a href=|http://kjv.us/songs/1.htm| title=|American King James Version| target=|_top|&gt;AKJ&lt;/a&gt;</v>
      </c>
      <c r="AM672" t="str">
        <f t="shared" ref="AM672:AN672" si="2687">CONCATENATE("&lt;/li&gt;&lt;li&gt;&lt;a href=|http://",AM1191,"/songs/1.htm","| ","title=|",AM1190,"| target=|_top|&gt;",AM1192,"&lt;/a&gt;")</f>
        <v>&lt;/li&gt;&lt;li&gt;&lt;a href=|http://basicenglishbible.com/songs/1.htm| title=|Bible in Basic English| target=|_top|&gt;BBE&lt;/a&gt;</v>
      </c>
      <c r="AN672" t="str">
        <f t="shared" si="2687"/>
        <v>&lt;/li&gt;&lt;li&gt;&lt;a href=|http://darbybible.com/songs/1.htm| title=|Darby Bible Translation| target=|_top|&gt;DBY&lt;/a&gt;</v>
      </c>
      <c r="AO67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7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7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72" t="str">
        <f>CONCATENATE("&lt;/li&gt;&lt;li&gt;&lt;a href=|http://",AR1191,"/songs/1.htm","| ","title=|",AR1190,"| target=|_top|&gt;",AR1192,"&lt;/a&gt;")</f>
        <v>&lt;/li&gt;&lt;li&gt;&lt;a href=|http://websterbible.com/songs/1.htm| title=|Webster's Bible Translation| target=|_top|&gt;WBS&lt;/a&gt;</v>
      </c>
      <c r="AS67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72" t="str">
        <f>CONCATENATE("&lt;/li&gt;&lt;li&gt;&lt;a href=|http://",AT1191,"/songs/1-1.htm","| ","title=|",AT1190,"| target=|_top|&gt;",AT1192,"&lt;/a&gt;")</f>
        <v>&lt;/li&gt;&lt;li&gt;&lt;a href=|http://biblebrowser.com/songs/1-1.htm| title=|Split View| target=|_top|&gt;Split&lt;/a&gt;</v>
      </c>
      <c r="AU672" s="2" t="s">
        <v>1276</v>
      </c>
      <c r="AV672" t="s">
        <v>64</v>
      </c>
    </row>
    <row r="673" spans="1:48">
      <c r="A673" t="s">
        <v>622</v>
      </c>
      <c r="B673" t="s">
        <v>1177</v>
      </c>
      <c r="C673" t="s">
        <v>624</v>
      </c>
      <c r="D673" t="s">
        <v>1268</v>
      </c>
      <c r="E673" t="s">
        <v>1277</v>
      </c>
      <c r="F673" t="s">
        <v>1304</v>
      </c>
      <c r="G673" t="s">
        <v>1266</v>
      </c>
      <c r="H673" t="s">
        <v>1305</v>
      </c>
      <c r="I673" t="s">
        <v>1303</v>
      </c>
      <c r="J673" t="s">
        <v>1267</v>
      </c>
      <c r="K673" t="s">
        <v>1275</v>
      </c>
      <c r="L673" s="2" t="s">
        <v>1274</v>
      </c>
      <c r="M673" t="str">
        <f t="shared" ref="M673:AB673" si="2688">CONCATENATE("&lt;/li&gt;&lt;li&gt;&lt;a href=|http://",M1191,"/songs/2.htm","| ","title=|",M1190,"| target=|_top|&gt;",M1192,"&lt;/a&gt;")</f>
        <v>&lt;/li&gt;&lt;li&gt;&lt;a href=|http://niv.scripturetext.com/songs/2.htm| title=|New International Version| target=|_top|&gt;NIV&lt;/a&gt;</v>
      </c>
      <c r="N673" t="str">
        <f t="shared" si="2688"/>
        <v>&lt;/li&gt;&lt;li&gt;&lt;a href=|http://nlt.scripturetext.com/songs/2.htm| title=|New Living Translation| target=|_top|&gt;NLT&lt;/a&gt;</v>
      </c>
      <c r="O673" t="str">
        <f t="shared" si="2688"/>
        <v>&lt;/li&gt;&lt;li&gt;&lt;a href=|http://nasb.scripturetext.com/songs/2.htm| title=|New American Standard Bible| target=|_top|&gt;NAS&lt;/a&gt;</v>
      </c>
      <c r="P673" t="str">
        <f t="shared" si="2688"/>
        <v>&lt;/li&gt;&lt;li&gt;&lt;a href=|http://gwt.scripturetext.com/songs/2.htm| title=|God's Word Translation| target=|_top|&gt;GWT&lt;/a&gt;</v>
      </c>
      <c r="Q673" t="str">
        <f t="shared" si="2688"/>
        <v>&lt;/li&gt;&lt;li&gt;&lt;a href=|http://kingjbible.com/songs/2.htm| title=|King James Bible| target=|_top|&gt;KJV&lt;/a&gt;</v>
      </c>
      <c r="R673" t="str">
        <f t="shared" si="2688"/>
        <v>&lt;/li&gt;&lt;li&gt;&lt;a href=|http://asvbible.com/songs/2.htm| title=|American Standard Version| target=|_top|&gt;ASV&lt;/a&gt;</v>
      </c>
      <c r="S673" t="str">
        <f t="shared" si="2688"/>
        <v>&lt;/li&gt;&lt;li&gt;&lt;a href=|http://drb.scripturetext.com/songs/2.htm| title=|Douay-Rheims Bible| target=|_top|&gt;DRB&lt;/a&gt;</v>
      </c>
      <c r="T673" t="str">
        <f t="shared" si="2688"/>
        <v>&lt;/li&gt;&lt;li&gt;&lt;a href=|http://erv.scripturetext.com/songs/2.htm| title=|English Revised Version| target=|_top|&gt;ERV&lt;/a&gt;</v>
      </c>
      <c r="V673" t="str">
        <f>CONCATENATE("&lt;/li&gt;&lt;li&gt;&lt;a href=|http://",V1191,"/songs/2.htm","| ","title=|",V1190,"| target=|_top|&gt;",V1192,"&lt;/a&gt;")</f>
        <v>&lt;/li&gt;&lt;li&gt;&lt;a href=|http://study.interlinearbible.org/songs/2.htm| title=|Hebrew Study Bible| target=|_top|&gt;Heb Study&lt;/a&gt;</v>
      </c>
      <c r="W673" t="str">
        <f t="shared" si="2688"/>
        <v>&lt;/li&gt;&lt;li&gt;&lt;a href=|http://apostolic.interlinearbible.org/songs/2.htm| title=|Apostolic Bible Polyglot Interlinear| target=|_top|&gt;Polyglot&lt;/a&gt;</v>
      </c>
      <c r="X673" t="str">
        <f t="shared" si="2688"/>
        <v>&lt;/li&gt;&lt;li&gt;&lt;a href=|http://interlinearbible.org/songs/2.htm| title=|Interlinear Bible| target=|_top|&gt;Interlin&lt;/a&gt;</v>
      </c>
      <c r="Y673" t="str">
        <f t="shared" ref="Y673" si="2689">CONCATENATE("&lt;/li&gt;&lt;li&gt;&lt;a href=|http://",Y1191,"/songs/2.htm","| ","title=|",Y1190,"| target=|_top|&gt;",Y1192,"&lt;/a&gt;")</f>
        <v>&lt;/li&gt;&lt;li&gt;&lt;a href=|http://bibleoutline.org/songs/2.htm| title=|Outline with People and Places List| target=|_top|&gt;Outline&lt;/a&gt;</v>
      </c>
      <c r="Z673" t="str">
        <f t="shared" si="2688"/>
        <v>&lt;/li&gt;&lt;li&gt;&lt;a href=|http://kjvs.scripturetext.com/songs/2.htm| title=|King James Bible with Strong's Numbers| target=|_top|&gt;Strong's&lt;/a&gt;</v>
      </c>
      <c r="AA673" t="str">
        <f t="shared" si="2688"/>
        <v>&lt;/li&gt;&lt;li&gt;&lt;a href=|http://childrensbibleonline.com/songs/2.htm| title=|The Children's Bible| target=|_top|&gt;Children's&lt;/a&gt;</v>
      </c>
      <c r="AB673" s="2" t="str">
        <f t="shared" si="2688"/>
        <v>&lt;/li&gt;&lt;li&gt;&lt;a href=|http://tsk.scripturetext.com/songs/2.htm| title=|Treasury of Scripture Knowledge| target=|_top|&gt;TSK&lt;/a&gt;</v>
      </c>
      <c r="AC673" t="str">
        <f>CONCATENATE("&lt;a href=|http://",AC1191,"/songs/2.htm","| ","title=|",AC1190,"| target=|_top|&gt;",AC1192,"&lt;/a&gt;")</f>
        <v>&lt;a href=|http://parallelbible.com/songs/2.htm| title=|Parallel Chapters| target=|_top|&gt;PAR&lt;/a&gt;</v>
      </c>
      <c r="AD673" s="2" t="str">
        <f t="shared" ref="AD673:AK673" si="2690">CONCATENATE("&lt;/li&gt;&lt;li&gt;&lt;a href=|http://",AD1191,"/songs/2.htm","| ","title=|",AD1190,"| target=|_top|&gt;",AD1192,"&lt;/a&gt;")</f>
        <v>&lt;/li&gt;&lt;li&gt;&lt;a href=|http://gsb.biblecommenter.com/songs/2.htm| title=|Geneva Study Bible| target=|_top|&gt;GSB&lt;/a&gt;</v>
      </c>
      <c r="AE673" s="2" t="str">
        <f t="shared" si="2690"/>
        <v>&lt;/li&gt;&lt;li&gt;&lt;a href=|http://jfb.biblecommenter.com/songs/2.htm| title=|Jamieson-Fausset-Brown Bible Commentary| target=|_top|&gt;JFB&lt;/a&gt;</v>
      </c>
      <c r="AF673" s="2" t="str">
        <f t="shared" si="2690"/>
        <v>&lt;/li&gt;&lt;li&gt;&lt;a href=|http://kjt.biblecommenter.com/songs/2.htm| title=|King James Translators' Notes| target=|_top|&gt;KJT&lt;/a&gt;</v>
      </c>
      <c r="AG673" s="2" t="str">
        <f t="shared" si="2690"/>
        <v>&lt;/li&gt;&lt;li&gt;&lt;a href=|http://mhc.biblecommenter.com/songs/2.htm| title=|Matthew Henry's Concise Commentary| target=|_top|&gt;MHC&lt;/a&gt;</v>
      </c>
      <c r="AH673" s="2" t="str">
        <f t="shared" si="2690"/>
        <v>&lt;/li&gt;&lt;li&gt;&lt;a href=|http://sco.biblecommenter.com/songs/2.htm| title=|Scofield Reference Notes| target=|_top|&gt;SCO&lt;/a&gt;</v>
      </c>
      <c r="AI673" s="2" t="str">
        <f t="shared" si="2690"/>
        <v>&lt;/li&gt;&lt;li&gt;&lt;a href=|http://wes.biblecommenter.com/songs/2.htm| title=|Wesley's Notes on the Bible| target=|_top|&gt;WES&lt;/a&gt;</v>
      </c>
      <c r="AJ673" t="str">
        <f t="shared" si="2690"/>
        <v>&lt;/li&gt;&lt;li&gt;&lt;a href=|http://worldebible.com/songs/2.htm| title=|World English Bible| target=|_top|&gt;WEB&lt;/a&gt;</v>
      </c>
      <c r="AK673" t="str">
        <f t="shared" si="2690"/>
        <v>&lt;/li&gt;&lt;li&gt;&lt;a href=|http://yltbible.com/songs/2.htm| title=|Young's Literal Translation| target=|_top|&gt;YLT&lt;/a&gt;</v>
      </c>
      <c r="AL673" t="str">
        <f>CONCATENATE("&lt;a href=|http://",AL1191,"/songs/2.htm","| ","title=|",AL1190,"| target=|_top|&gt;",AL1192,"&lt;/a&gt;")</f>
        <v>&lt;a href=|http://kjv.us/songs/2.htm| title=|American King James Version| target=|_top|&gt;AKJ&lt;/a&gt;</v>
      </c>
      <c r="AM673" t="str">
        <f t="shared" ref="AM673:AN673" si="2691">CONCATENATE("&lt;/li&gt;&lt;li&gt;&lt;a href=|http://",AM1191,"/songs/2.htm","| ","title=|",AM1190,"| target=|_top|&gt;",AM1192,"&lt;/a&gt;")</f>
        <v>&lt;/li&gt;&lt;li&gt;&lt;a href=|http://basicenglishbible.com/songs/2.htm| title=|Bible in Basic English| target=|_top|&gt;BBE&lt;/a&gt;</v>
      </c>
      <c r="AN673" t="str">
        <f t="shared" si="2691"/>
        <v>&lt;/li&gt;&lt;li&gt;&lt;a href=|http://darbybible.com/songs/2.htm| title=|Darby Bible Translation| target=|_top|&gt;DBY&lt;/a&gt;</v>
      </c>
      <c r="AO67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7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7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73" t="str">
        <f>CONCATENATE("&lt;/li&gt;&lt;li&gt;&lt;a href=|http://",AR1191,"/songs/2.htm","| ","title=|",AR1190,"| target=|_top|&gt;",AR1192,"&lt;/a&gt;")</f>
        <v>&lt;/li&gt;&lt;li&gt;&lt;a href=|http://websterbible.com/songs/2.htm| title=|Webster's Bible Translation| target=|_top|&gt;WBS&lt;/a&gt;</v>
      </c>
      <c r="AS67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73" t="str">
        <f>CONCATENATE("&lt;/li&gt;&lt;li&gt;&lt;a href=|http://",AT1191,"/songs/2-1.htm","| ","title=|",AT1190,"| target=|_top|&gt;",AT1192,"&lt;/a&gt;")</f>
        <v>&lt;/li&gt;&lt;li&gt;&lt;a href=|http://biblebrowser.com/songs/2-1.htm| title=|Split View| target=|_top|&gt;Split&lt;/a&gt;</v>
      </c>
      <c r="AU673" s="2" t="s">
        <v>1276</v>
      </c>
      <c r="AV673" t="s">
        <v>64</v>
      </c>
    </row>
    <row r="674" spans="1:48">
      <c r="A674" t="s">
        <v>622</v>
      </c>
      <c r="B674" t="s">
        <v>1178</v>
      </c>
      <c r="C674" t="s">
        <v>624</v>
      </c>
      <c r="D674" t="s">
        <v>1268</v>
      </c>
      <c r="E674" t="s">
        <v>1277</v>
      </c>
      <c r="F674" t="s">
        <v>1304</v>
      </c>
      <c r="G674" t="s">
        <v>1266</v>
      </c>
      <c r="H674" t="s">
        <v>1305</v>
      </c>
      <c r="I674" t="s">
        <v>1303</v>
      </c>
      <c r="J674" t="s">
        <v>1267</v>
      </c>
      <c r="K674" t="s">
        <v>1275</v>
      </c>
      <c r="L674" s="2" t="s">
        <v>1274</v>
      </c>
      <c r="M674" t="str">
        <f t="shared" ref="M674:AB674" si="2692">CONCATENATE("&lt;/li&gt;&lt;li&gt;&lt;a href=|http://",M1191,"/songs/3.htm","| ","title=|",M1190,"| target=|_top|&gt;",M1192,"&lt;/a&gt;")</f>
        <v>&lt;/li&gt;&lt;li&gt;&lt;a href=|http://niv.scripturetext.com/songs/3.htm| title=|New International Version| target=|_top|&gt;NIV&lt;/a&gt;</v>
      </c>
      <c r="N674" t="str">
        <f t="shared" si="2692"/>
        <v>&lt;/li&gt;&lt;li&gt;&lt;a href=|http://nlt.scripturetext.com/songs/3.htm| title=|New Living Translation| target=|_top|&gt;NLT&lt;/a&gt;</v>
      </c>
      <c r="O674" t="str">
        <f t="shared" si="2692"/>
        <v>&lt;/li&gt;&lt;li&gt;&lt;a href=|http://nasb.scripturetext.com/songs/3.htm| title=|New American Standard Bible| target=|_top|&gt;NAS&lt;/a&gt;</v>
      </c>
      <c r="P674" t="str">
        <f t="shared" si="2692"/>
        <v>&lt;/li&gt;&lt;li&gt;&lt;a href=|http://gwt.scripturetext.com/songs/3.htm| title=|God's Word Translation| target=|_top|&gt;GWT&lt;/a&gt;</v>
      </c>
      <c r="Q674" t="str">
        <f t="shared" si="2692"/>
        <v>&lt;/li&gt;&lt;li&gt;&lt;a href=|http://kingjbible.com/songs/3.htm| title=|King James Bible| target=|_top|&gt;KJV&lt;/a&gt;</v>
      </c>
      <c r="R674" t="str">
        <f t="shared" si="2692"/>
        <v>&lt;/li&gt;&lt;li&gt;&lt;a href=|http://asvbible.com/songs/3.htm| title=|American Standard Version| target=|_top|&gt;ASV&lt;/a&gt;</v>
      </c>
      <c r="S674" t="str">
        <f t="shared" si="2692"/>
        <v>&lt;/li&gt;&lt;li&gt;&lt;a href=|http://drb.scripturetext.com/songs/3.htm| title=|Douay-Rheims Bible| target=|_top|&gt;DRB&lt;/a&gt;</v>
      </c>
      <c r="T674" t="str">
        <f t="shared" si="2692"/>
        <v>&lt;/li&gt;&lt;li&gt;&lt;a href=|http://erv.scripturetext.com/songs/3.htm| title=|English Revised Version| target=|_top|&gt;ERV&lt;/a&gt;</v>
      </c>
      <c r="V674" t="str">
        <f>CONCATENATE("&lt;/li&gt;&lt;li&gt;&lt;a href=|http://",V1191,"/songs/3.htm","| ","title=|",V1190,"| target=|_top|&gt;",V1192,"&lt;/a&gt;")</f>
        <v>&lt;/li&gt;&lt;li&gt;&lt;a href=|http://study.interlinearbible.org/songs/3.htm| title=|Hebrew Study Bible| target=|_top|&gt;Heb Study&lt;/a&gt;</v>
      </c>
      <c r="W674" t="str">
        <f t="shared" si="2692"/>
        <v>&lt;/li&gt;&lt;li&gt;&lt;a href=|http://apostolic.interlinearbible.org/songs/3.htm| title=|Apostolic Bible Polyglot Interlinear| target=|_top|&gt;Polyglot&lt;/a&gt;</v>
      </c>
      <c r="X674" t="str">
        <f t="shared" si="2692"/>
        <v>&lt;/li&gt;&lt;li&gt;&lt;a href=|http://interlinearbible.org/songs/3.htm| title=|Interlinear Bible| target=|_top|&gt;Interlin&lt;/a&gt;</v>
      </c>
      <c r="Y674" t="str">
        <f t="shared" ref="Y674" si="2693">CONCATENATE("&lt;/li&gt;&lt;li&gt;&lt;a href=|http://",Y1191,"/songs/3.htm","| ","title=|",Y1190,"| target=|_top|&gt;",Y1192,"&lt;/a&gt;")</f>
        <v>&lt;/li&gt;&lt;li&gt;&lt;a href=|http://bibleoutline.org/songs/3.htm| title=|Outline with People and Places List| target=|_top|&gt;Outline&lt;/a&gt;</v>
      </c>
      <c r="Z674" t="str">
        <f t="shared" si="2692"/>
        <v>&lt;/li&gt;&lt;li&gt;&lt;a href=|http://kjvs.scripturetext.com/songs/3.htm| title=|King James Bible with Strong's Numbers| target=|_top|&gt;Strong's&lt;/a&gt;</v>
      </c>
      <c r="AA674" t="str">
        <f t="shared" si="2692"/>
        <v>&lt;/li&gt;&lt;li&gt;&lt;a href=|http://childrensbibleonline.com/songs/3.htm| title=|The Children's Bible| target=|_top|&gt;Children's&lt;/a&gt;</v>
      </c>
      <c r="AB674" s="2" t="str">
        <f t="shared" si="2692"/>
        <v>&lt;/li&gt;&lt;li&gt;&lt;a href=|http://tsk.scripturetext.com/songs/3.htm| title=|Treasury of Scripture Knowledge| target=|_top|&gt;TSK&lt;/a&gt;</v>
      </c>
      <c r="AC674" t="str">
        <f>CONCATENATE("&lt;a href=|http://",AC1191,"/songs/3.htm","| ","title=|",AC1190,"| target=|_top|&gt;",AC1192,"&lt;/a&gt;")</f>
        <v>&lt;a href=|http://parallelbible.com/songs/3.htm| title=|Parallel Chapters| target=|_top|&gt;PAR&lt;/a&gt;</v>
      </c>
      <c r="AD674" s="2" t="str">
        <f t="shared" ref="AD674:AK674" si="2694">CONCATENATE("&lt;/li&gt;&lt;li&gt;&lt;a href=|http://",AD1191,"/songs/3.htm","| ","title=|",AD1190,"| target=|_top|&gt;",AD1192,"&lt;/a&gt;")</f>
        <v>&lt;/li&gt;&lt;li&gt;&lt;a href=|http://gsb.biblecommenter.com/songs/3.htm| title=|Geneva Study Bible| target=|_top|&gt;GSB&lt;/a&gt;</v>
      </c>
      <c r="AE674" s="2" t="str">
        <f t="shared" si="2694"/>
        <v>&lt;/li&gt;&lt;li&gt;&lt;a href=|http://jfb.biblecommenter.com/songs/3.htm| title=|Jamieson-Fausset-Brown Bible Commentary| target=|_top|&gt;JFB&lt;/a&gt;</v>
      </c>
      <c r="AF674" s="2" t="str">
        <f t="shared" si="2694"/>
        <v>&lt;/li&gt;&lt;li&gt;&lt;a href=|http://kjt.biblecommenter.com/songs/3.htm| title=|King James Translators' Notes| target=|_top|&gt;KJT&lt;/a&gt;</v>
      </c>
      <c r="AG674" s="2" t="str">
        <f t="shared" si="2694"/>
        <v>&lt;/li&gt;&lt;li&gt;&lt;a href=|http://mhc.biblecommenter.com/songs/3.htm| title=|Matthew Henry's Concise Commentary| target=|_top|&gt;MHC&lt;/a&gt;</v>
      </c>
      <c r="AH674" s="2" t="str">
        <f t="shared" si="2694"/>
        <v>&lt;/li&gt;&lt;li&gt;&lt;a href=|http://sco.biblecommenter.com/songs/3.htm| title=|Scofield Reference Notes| target=|_top|&gt;SCO&lt;/a&gt;</v>
      </c>
      <c r="AI674" s="2" t="str">
        <f t="shared" si="2694"/>
        <v>&lt;/li&gt;&lt;li&gt;&lt;a href=|http://wes.biblecommenter.com/songs/3.htm| title=|Wesley's Notes on the Bible| target=|_top|&gt;WES&lt;/a&gt;</v>
      </c>
      <c r="AJ674" t="str">
        <f t="shared" si="2694"/>
        <v>&lt;/li&gt;&lt;li&gt;&lt;a href=|http://worldebible.com/songs/3.htm| title=|World English Bible| target=|_top|&gt;WEB&lt;/a&gt;</v>
      </c>
      <c r="AK674" t="str">
        <f t="shared" si="2694"/>
        <v>&lt;/li&gt;&lt;li&gt;&lt;a href=|http://yltbible.com/songs/3.htm| title=|Young's Literal Translation| target=|_top|&gt;YLT&lt;/a&gt;</v>
      </c>
      <c r="AL674" t="str">
        <f>CONCATENATE("&lt;a href=|http://",AL1191,"/songs/3.htm","| ","title=|",AL1190,"| target=|_top|&gt;",AL1192,"&lt;/a&gt;")</f>
        <v>&lt;a href=|http://kjv.us/songs/3.htm| title=|American King James Version| target=|_top|&gt;AKJ&lt;/a&gt;</v>
      </c>
      <c r="AM674" t="str">
        <f t="shared" ref="AM674:AN674" si="2695">CONCATENATE("&lt;/li&gt;&lt;li&gt;&lt;a href=|http://",AM1191,"/songs/3.htm","| ","title=|",AM1190,"| target=|_top|&gt;",AM1192,"&lt;/a&gt;")</f>
        <v>&lt;/li&gt;&lt;li&gt;&lt;a href=|http://basicenglishbible.com/songs/3.htm| title=|Bible in Basic English| target=|_top|&gt;BBE&lt;/a&gt;</v>
      </c>
      <c r="AN674" t="str">
        <f t="shared" si="2695"/>
        <v>&lt;/li&gt;&lt;li&gt;&lt;a href=|http://darbybible.com/songs/3.htm| title=|Darby Bible Translation| target=|_top|&gt;DBY&lt;/a&gt;</v>
      </c>
      <c r="AO67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7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7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74" t="str">
        <f>CONCATENATE("&lt;/li&gt;&lt;li&gt;&lt;a href=|http://",AR1191,"/songs/3.htm","| ","title=|",AR1190,"| target=|_top|&gt;",AR1192,"&lt;/a&gt;")</f>
        <v>&lt;/li&gt;&lt;li&gt;&lt;a href=|http://websterbible.com/songs/3.htm| title=|Webster's Bible Translation| target=|_top|&gt;WBS&lt;/a&gt;</v>
      </c>
      <c r="AS67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74" t="str">
        <f>CONCATENATE("&lt;/li&gt;&lt;li&gt;&lt;a href=|http://",AT1191,"/songs/3-1.htm","| ","title=|",AT1190,"| target=|_top|&gt;",AT1192,"&lt;/a&gt;")</f>
        <v>&lt;/li&gt;&lt;li&gt;&lt;a href=|http://biblebrowser.com/songs/3-1.htm| title=|Split View| target=|_top|&gt;Split&lt;/a&gt;</v>
      </c>
      <c r="AU674" s="2" t="s">
        <v>1276</v>
      </c>
      <c r="AV674" t="s">
        <v>64</v>
      </c>
    </row>
    <row r="675" spans="1:48">
      <c r="A675" t="s">
        <v>622</v>
      </c>
      <c r="B675" t="s">
        <v>1179</v>
      </c>
      <c r="C675" t="s">
        <v>624</v>
      </c>
      <c r="D675" t="s">
        <v>1268</v>
      </c>
      <c r="E675" t="s">
        <v>1277</v>
      </c>
      <c r="F675" t="s">
        <v>1304</v>
      </c>
      <c r="G675" t="s">
        <v>1266</v>
      </c>
      <c r="H675" t="s">
        <v>1305</v>
      </c>
      <c r="I675" t="s">
        <v>1303</v>
      </c>
      <c r="J675" t="s">
        <v>1267</v>
      </c>
      <c r="K675" t="s">
        <v>1275</v>
      </c>
      <c r="L675" s="2" t="s">
        <v>1274</v>
      </c>
      <c r="M675" t="str">
        <f t="shared" ref="M675:AB675" si="2696">CONCATENATE("&lt;/li&gt;&lt;li&gt;&lt;a href=|http://",M1191,"/songs/4.htm","| ","title=|",M1190,"| target=|_top|&gt;",M1192,"&lt;/a&gt;")</f>
        <v>&lt;/li&gt;&lt;li&gt;&lt;a href=|http://niv.scripturetext.com/songs/4.htm| title=|New International Version| target=|_top|&gt;NIV&lt;/a&gt;</v>
      </c>
      <c r="N675" t="str">
        <f t="shared" si="2696"/>
        <v>&lt;/li&gt;&lt;li&gt;&lt;a href=|http://nlt.scripturetext.com/songs/4.htm| title=|New Living Translation| target=|_top|&gt;NLT&lt;/a&gt;</v>
      </c>
      <c r="O675" t="str">
        <f t="shared" si="2696"/>
        <v>&lt;/li&gt;&lt;li&gt;&lt;a href=|http://nasb.scripturetext.com/songs/4.htm| title=|New American Standard Bible| target=|_top|&gt;NAS&lt;/a&gt;</v>
      </c>
      <c r="P675" t="str">
        <f t="shared" si="2696"/>
        <v>&lt;/li&gt;&lt;li&gt;&lt;a href=|http://gwt.scripturetext.com/songs/4.htm| title=|God's Word Translation| target=|_top|&gt;GWT&lt;/a&gt;</v>
      </c>
      <c r="Q675" t="str">
        <f t="shared" si="2696"/>
        <v>&lt;/li&gt;&lt;li&gt;&lt;a href=|http://kingjbible.com/songs/4.htm| title=|King James Bible| target=|_top|&gt;KJV&lt;/a&gt;</v>
      </c>
      <c r="R675" t="str">
        <f t="shared" si="2696"/>
        <v>&lt;/li&gt;&lt;li&gt;&lt;a href=|http://asvbible.com/songs/4.htm| title=|American Standard Version| target=|_top|&gt;ASV&lt;/a&gt;</v>
      </c>
      <c r="S675" t="str">
        <f t="shared" si="2696"/>
        <v>&lt;/li&gt;&lt;li&gt;&lt;a href=|http://drb.scripturetext.com/songs/4.htm| title=|Douay-Rheims Bible| target=|_top|&gt;DRB&lt;/a&gt;</v>
      </c>
      <c r="T675" t="str">
        <f t="shared" si="2696"/>
        <v>&lt;/li&gt;&lt;li&gt;&lt;a href=|http://erv.scripturetext.com/songs/4.htm| title=|English Revised Version| target=|_top|&gt;ERV&lt;/a&gt;</v>
      </c>
      <c r="V675" t="str">
        <f>CONCATENATE("&lt;/li&gt;&lt;li&gt;&lt;a href=|http://",V1191,"/songs/4.htm","| ","title=|",V1190,"| target=|_top|&gt;",V1192,"&lt;/a&gt;")</f>
        <v>&lt;/li&gt;&lt;li&gt;&lt;a href=|http://study.interlinearbible.org/songs/4.htm| title=|Hebrew Study Bible| target=|_top|&gt;Heb Study&lt;/a&gt;</v>
      </c>
      <c r="W675" t="str">
        <f t="shared" si="2696"/>
        <v>&lt;/li&gt;&lt;li&gt;&lt;a href=|http://apostolic.interlinearbible.org/songs/4.htm| title=|Apostolic Bible Polyglot Interlinear| target=|_top|&gt;Polyglot&lt;/a&gt;</v>
      </c>
      <c r="X675" t="str">
        <f t="shared" si="2696"/>
        <v>&lt;/li&gt;&lt;li&gt;&lt;a href=|http://interlinearbible.org/songs/4.htm| title=|Interlinear Bible| target=|_top|&gt;Interlin&lt;/a&gt;</v>
      </c>
      <c r="Y675" t="str">
        <f t="shared" ref="Y675" si="2697">CONCATENATE("&lt;/li&gt;&lt;li&gt;&lt;a href=|http://",Y1191,"/songs/4.htm","| ","title=|",Y1190,"| target=|_top|&gt;",Y1192,"&lt;/a&gt;")</f>
        <v>&lt;/li&gt;&lt;li&gt;&lt;a href=|http://bibleoutline.org/songs/4.htm| title=|Outline with People and Places List| target=|_top|&gt;Outline&lt;/a&gt;</v>
      </c>
      <c r="Z675" t="str">
        <f t="shared" si="2696"/>
        <v>&lt;/li&gt;&lt;li&gt;&lt;a href=|http://kjvs.scripturetext.com/songs/4.htm| title=|King James Bible with Strong's Numbers| target=|_top|&gt;Strong's&lt;/a&gt;</v>
      </c>
      <c r="AA675" t="str">
        <f t="shared" si="2696"/>
        <v>&lt;/li&gt;&lt;li&gt;&lt;a href=|http://childrensbibleonline.com/songs/4.htm| title=|The Children's Bible| target=|_top|&gt;Children's&lt;/a&gt;</v>
      </c>
      <c r="AB675" s="2" t="str">
        <f t="shared" si="2696"/>
        <v>&lt;/li&gt;&lt;li&gt;&lt;a href=|http://tsk.scripturetext.com/songs/4.htm| title=|Treasury of Scripture Knowledge| target=|_top|&gt;TSK&lt;/a&gt;</v>
      </c>
      <c r="AC675" t="str">
        <f>CONCATENATE("&lt;a href=|http://",AC1191,"/songs/4.htm","| ","title=|",AC1190,"| target=|_top|&gt;",AC1192,"&lt;/a&gt;")</f>
        <v>&lt;a href=|http://parallelbible.com/songs/4.htm| title=|Parallel Chapters| target=|_top|&gt;PAR&lt;/a&gt;</v>
      </c>
      <c r="AD675" s="2" t="str">
        <f t="shared" ref="AD675:AK675" si="2698">CONCATENATE("&lt;/li&gt;&lt;li&gt;&lt;a href=|http://",AD1191,"/songs/4.htm","| ","title=|",AD1190,"| target=|_top|&gt;",AD1192,"&lt;/a&gt;")</f>
        <v>&lt;/li&gt;&lt;li&gt;&lt;a href=|http://gsb.biblecommenter.com/songs/4.htm| title=|Geneva Study Bible| target=|_top|&gt;GSB&lt;/a&gt;</v>
      </c>
      <c r="AE675" s="2" t="str">
        <f t="shared" si="2698"/>
        <v>&lt;/li&gt;&lt;li&gt;&lt;a href=|http://jfb.biblecommenter.com/songs/4.htm| title=|Jamieson-Fausset-Brown Bible Commentary| target=|_top|&gt;JFB&lt;/a&gt;</v>
      </c>
      <c r="AF675" s="2" t="str">
        <f t="shared" si="2698"/>
        <v>&lt;/li&gt;&lt;li&gt;&lt;a href=|http://kjt.biblecommenter.com/songs/4.htm| title=|King James Translators' Notes| target=|_top|&gt;KJT&lt;/a&gt;</v>
      </c>
      <c r="AG675" s="2" t="str">
        <f t="shared" si="2698"/>
        <v>&lt;/li&gt;&lt;li&gt;&lt;a href=|http://mhc.biblecommenter.com/songs/4.htm| title=|Matthew Henry's Concise Commentary| target=|_top|&gt;MHC&lt;/a&gt;</v>
      </c>
      <c r="AH675" s="2" t="str">
        <f t="shared" si="2698"/>
        <v>&lt;/li&gt;&lt;li&gt;&lt;a href=|http://sco.biblecommenter.com/songs/4.htm| title=|Scofield Reference Notes| target=|_top|&gt;SCO&lt;/a&gt;</v>
      </c>
      <c r="AI675" s="2" t="str">
        <f t="shared" si="2698"/>
        <v>&lt;/li&gt;&lt;li&gt;&lt;a href=|http://wes.biblecommenter.com/songs/4.htm| title=|Wesley's Notes on the Bible| target=|_top|&gt;WES&lt;/a&gt;</v>
      </c>
      <c r="AJ675" t="str">
        <f t="shared" si="2698"/>
        <v>&lt;/li&gt;&lt;li&gt;&lt;a href=|http://worldebible.com/songs/4.htm| title=|World English Bible| target=|_top|&gt;WEB&lt;/a&gt;</v>
      </c>
      <c r="AK675" t="str">
        <f t="shared" si="2698"/>
        <v>&lt;/li&gt;&lt;li&gt;&lt;a href=|http://yltbible.com/songs/4.htm| title=|Young's Literal Translation| target=|_top|&gt;YLT&lt;/a&gt;</v>
      </c>
      <c r="AL675" t="str">
        <f>CONCATENATE("&lt;a href=|http://",AL1191,"/songs/4.htm","| ","title=|",AL1190,"| target=|_top|&gt;",AL1192,"&lt;/a&gt;")</f>
        <v>&lt;a href=|http://kjv.us/songs/4.htm| title=|American King James Version| target=|_top|&gt;AKJ&lt;/a&gt;</v>
      </c>
      <c r="AM675" t="str">
        <f t="shared" ref="AM675:AN675" si="2699">CONCATENATE("&lt;/li&gt;&lt;li&gt;&lt;a href=|http://",AM1191,"/songs/4.htm","| ","title=|",AM1190,"| target=|_top|&gt;",AM1192,"&lt;/a&gt;")</f>
        <v>&lt;/li&gt;&lt;li&gt;&lt;a href=|http://basicenglishbible.com/songs/4.htm| title=|Bible in Basic English| target=|_top|&gt;BBE&lt;/a&gt;</v>
      </c>
      <c r="AN675" t="str">
        <f t="shared" si="2699"/>
        <v>&lt;/li&gt;&lt;li&gt;&lt;a href=|http://darbybible.com/songs/4.htm| title=|Darby Bible Translation| target=|_top|&gt;DBY&lt;/a&gt;</v>
      </c>
      <c r="AO67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7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7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75" t="str">
        <f>CONCATENATE("&lt;/li&gt;&lt;li&gt;&lt;a href=|http://",AR1191,"/songs/4.htm","| ","title=|",AR1190,"| target=|_top|&gt;",AR1192,"&lt;/a&gt;")</f>
        <v>&lt;/li&gt;&lt;li&gt;&lt;a href=|http://websterbible.com/songs/4.htm| title=|Webster's Bible Translation| target=|_top|&gt;WBS&lt;/a&gt;</v>
      </c>
      <c r="AS67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75" t="str">
        <f>CONCATENATE("&lt;/li&gt;&lt;li&gt;&lt;a href=|http://",AT1191,"/songs/4-1.htm","| ","title=|",AT1190,"| target=|_top|&gt;",AT1192,"&lt;/a&gt;")</f>
        <v>&lt;/li&gt;&lt;li&gt;&lt;a href=|http://biblebrowser.com/songs/4-1.htm| title=|Split View| target=|_top|&gt;Split&lt;/a&gt;</v>
      </c>
      <c r="AU675" s="2" t="s">
        <v>1276</v>
      </c>
      <c r="AV675" t="s">
        <v>64</v>
      </c>
    </row>
    <row r="676" spans="1:48">
      <c r="A676" t="s">
        <v>622</v>
      </c>
      <c r="B676" t="s">
        <v>1180</v>
      </c>
      <c r="C676" t="s">
        <v>624</v>
      </c>
      <c r="D676" t="s">
        <v>1268</v>
      </c>
      <c r="E676" t="s">
        <v>1277</v>
      </c>
      <c r="F676" t="s">
        <v>1304</v>
      </c>
      <c r="G676" t="s">
        <v>1266</v>
      </c>
      <c r="H676" t="s">
        <v>1305</v>
      </c>
      <c r="I676" t="s">
        <v>1303</v>
      </c>
      <c r="J676" t="s">
        <v>1267</v>
      </c>
      <c r="K676" t="s">
        <v>1275</v>
      </c>
      <c r="L676" s="2" t="s">
        <v>1274</v>
      </c>
      <c r="M676" t="str">
        <f t="shared" ref="M676:AB676" si="2700">CONCATENATE("&lt;/li&gt;&lt;li&gt;&lt;a href=|http://",M1191,"/songs/5.htm","| ","title=|",M1190,"| target=|_top|&gt;",M1192,"&lt;/a&gt;")</f>
        <v>&lt;/li&gt;&lt;li&gt;&lt;a href=|http://niv.scripturetext.com/songs/5.htm| title=|New International Version| target=|_top|&gt;NIV&lt;/a&gt;</v>
      </c>
      <c r="N676" t="str">
        <f t="shared" si="2700"/>
        <v>&lt;/li&gt;&lt;li&gt;&lt;a href=|http://nlt.scripturetext.com/songs/5.htm| title=|New Living Translation| target=|_top|&gt;NLT&lt;/a&gt;</v>
      </c>
      <c r="O676" t="str">
        <f t="shared" si="2700"/>
        <v>&lt;/li&gt;&lt;li&gt;&lt;a href=|http://nasb.scripturetext.com/songs/5.htm| title=|New American Standard Bible| target=|_top|&gt;NAS&lt;/a&gt;</v>
      </c>
      <c r="P676" t="str">
        <f t="shared" si="2700"/>
        <v>&lt;/li&gt;&lt;li&gt;&lt;a href=|http://gwt.scripturetext.com/songs/5.htm| title=|God's Word Translation| target=|_top|&gt;GWT&lt;/a&gt;</v>
      </c>
      <c r="Q676" t="str">
        <f t="shared" si="2700"/>
        <v>&lt;/li&gt;&lt;li&gt;&lt;a href=|http://kingjbible.com/songs/5.htm| title=|King James Bible| target=|_top|&gt;KJV&lt;/a&gt;</v>
      </c>
      <c r="R676" t="str">
        <f t="shared" si="2700"/>
        <v>&lt;/li&gt;&lt;li&gt;&lt;a href=|http://asvbible.com/songs/5.htm| title=|American Standard Version| target=|_top|&gt;ASV&lt;/a&gt;</v>
      </c>
      <c r="S676" t="str">
        <f t="shared" si="2700"/>
        <v>&lt;/li&gt;&lt;li&gt;&lt;a href=|http://drb.scripturetext.com/songs/5.htm| title=|Douay-Rheims Bible| target=|_top|&gt;DRB&lt;/a&gt;</v>
      </c>
      <c r="T676" t="str">
        <f t="shared" si="2700"/>
        <v>&lt;/li&gt;&lt;li&gt;&lt;a href=|http://erv.scripturetext.com/songs/5.htm| title=|English Revised Version| target=|_top|&gt;ERV&lt;/a&gt;</v>
      </c>
      <c r="V676" t="str">
        <f>CONCATENATE("&lt;/li&gt;&lt;li&gt;&lt;a href=|http://",V1191,"/songs/5.htm","| ","title=|",V1190,"| target=|_top|&gt;",V1192,"&lt;/a&gt;")</f>
        <v>&lt;/li&gt;&lt;li&gt;&lt;a href=|http://study.interlinearbible.org/songs/5.htm| title=|Hebrew Study Bible| target=|_top|&gt;Heb Study&lt;/a&gt;</v>
      </c>
      <c r="W676" t="str">
        <f t="shared" si="2700"/>
        <v>&lt;/li&gt;&lt;li&gt;&lt;a href=|http://apostolic.interlinearbible.org/songs/5.htm| title=|Apostolic Bible Polyglot Interlinear| target=|_top|&gt;Polyglot&lt;/a&gt;</v>
      </c>
      <c r="X676" t="str">
        <f t="shared" si="2700"/>
        <v>&lt;/li&gt;&lt;li&gt;&lt;a href=|http://interlinearbible.org/songs/5.htm| title=|Interlinear Bible| target=|_top|&gt;Interlin&lt;/a&gt;</v>
      </c>
      <c r="Y676" t="str">
        <f t="shared" ref="Y676" si="2701">CONCATENATE("&lt;/li&gt;&lt;li&gt;&lt;a href=|http://",Y1191,"/songs/5.htm","| ","title=|",Y1190,"| target=|_top|&gt;",Y1192,"&lt;/a&gt;")</f>
        <v>&lt;/li&gt;&lt;li&gt;&lt;a href=|http://bibleoutline.org/songs/5.htm| title=|Outline with People and Places List| target=|_top|&gt;Outline&lt;/a&gt;</v>
      </c>
      <c r="Z676" t="str">
        <f t="shared" si="2700"/>
        <v>&lt;/li&gt;&lt;li&gt;&lt;a href=|http://kjvs.scripturetext.com/songs/5.htm| title=|King James Bible with Strong's Numbers| target=|_top|&gt;Strong's&lt;/a&gt;</v>
      </c>
      <c r="AA676" t="str">
        <f t="shared" si="2700"/>
        <v>&lt;/li&gt;&lt;li&gt;&lt;a href=|http://childrensbibleonline.com/songs/5.htm| title=|The Children's Bible| target=|_top|&gt;Children's&lt;/a&gt;</v>
      </c>
      <c r="AB676" s="2" t="str">
        <f t="shared" si="2700"/>
        <v>&lt;/li&gt;&lt;li&gt;&lt;a href=|http://tsk.scripturetext.com/songs/5.htm| title=|Treasury of Scripture Knowledge| target=|_top|&gt;TSK&lt;/a&gt;</v>
      </c>
      <c r="AC676" t="str">
        <f>CONCATENATE("&lt;a href=|http://",AC1191,"/songs/5.htm","| ","title=|",AC1190,"| target=|_top|&gt;",AC1192,"&lt;/a&gt;")</f>
        <v>&lt;a href=|http://parallelbible.com/songs/5.htm| title=|Parallel Chapters| target=|_top|&gt;PAR&lt;/a&gt;</v>
      </c>
      <c r="AD676" s="2" t="str">
        <f t="shared" ref="AD676:AK676" si="2702">CONCATENATE("&lt;/li&gt;&lt;li&gt;&lt;a href=|http://",AD1191,"/songs/5.htm","| ","title=|",AD1190,"| target=|_top|&gt;",AD1192,"&lt;/a&gt;")</f>
        <v>&lt;/li&gt;&lt;li&gt;&lt;a href=|http://gsb.biblecommenter.com/songs/5.htm| title=|Geneva Study Bible| target=|_top|&gt;GSB&lt;/a&gt;</v>
      </c>
      <c r="AE676" s="2" t="str">
        <f t="shared" si="2702"/>
        <v>&lt;/li&gt;&lt;li&gt;&lt;a href=|http://jfb.biblecommenter.com/songs/5.htm| title=|Jamieson-Fausset-Brown Bible Commentary| target=|_top|&gt;JFB&lt;/a&gt;</v>
      </c>
      <c r="AF676" s="2" t="str">
        <f t="shared" si="2702"/>
        <v>&lt;/li&gt;&lt;li&gt;&lt;a href=|http://kjt.biblecommenter.com/songs/5.htm| title=|King James Translators' Notes| target=|_top|&gt;KJT&lt;/a&gt;</v>
      </c>
      <c r="AG676" s="2" t="str">
        <f t="shared" si="2702"/>
        <v>&lt;/li&gt;&lt;li&gt;&lt;a href=|http://mhc.biblecommenter.com/songs/5.htm| title=|Matthew Henry's Concise Commentary| target=|_top|&gt;MHC&lt;/a&gt;</v>
      </c>
      <c r="AH676" s="2" t="str">
        <f t="shared" si="2702"/>
        <v>&lt;/li&gt;&lt;li&gt;&lt;a href=|http://sco.biblecommenter.com/songs/5.htm| title=|Scofield Reference Notes| target=|_top|&gt;SCO&lt;/a&gt;</v>
      </c>
      <c r="AI676" s="2" t="str">
        <f t="shared" si="2702"/>
        <v>&lt;/li&gt;&lt;li&gt;&lt;a href=|http://wes.biblecommenter.com/songs/5.htm| title=|Wesley's Notes on the Bible| target=|_top|&gt;WES&lt;/a&gt;</v>
      </c>
      <c r="AJ676" t="str">
        <f t="shared" si="2702"/>
        <v>&lt;/li&gt;&lt;li&gt;&lt;a href=|http://worldebible.com/songs/5.htm| title=|World English Bible| target=|_top|&gt;WEB&lt;/a&gt;</v>
      </c>
      <c r="AK676" t="str">
        <f t="shared" si="2702"/>
        <v>&lt;/li&gt;&lt;li&gt;&lt;a href=|http://yltbible.com/songs/5.htm| title=|Young's Literal Translation| target=|_top|&gt;YLT&lt;/a&gt;</v>
      </c>
      <c r="AL676" t="str">
        <f>CONCATENATE("&lt;a href=|http://",AL1191,"/songs/5.htm","| ","title=|",AL1190,"| target=|_top|&gt;",AL1192,"&lt;/a&gt;")</f>
        <v>&lt;a href=|http://kjv.us/songs/5.htm| title=|American King James Version| target=|_top|&gt;AKJ&lt;/a&gt;</v>
      </c>
      <c r="AM676" t="str">
        <f t="shared" ref="AM676:AN676" si="2703">CONCATENATE("&lt;/li&gt;&lt;li&gt;&lt;a href=|http://",AM1191,"/songs/5.htm","| ","title=|",AM1190,"| target=|_top|&gt;",AM1192,"&lt;/a&gt;")</f>
        <v>&lt;/li&gt;&lt;li&gt;&lt;a href=|http://basicenglishbible.com/songs/5.htm| title=|Bible in Basic English| target=|_top|&gt;BBE&lt;/a&gt;</v>
      </c>
      <c r="AN676" t="str">
        <f t="shared" si="2703"/>
        <v>&lt;/li&gt;&lt;li&gt;&lt;a href=|http://darbybible.com/songs/5.htm| title=|Darby Bible Translation| target=|_top|&gt;DBY&lt;/a&gt;</v>
      </c>
      <c r="AO67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7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7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76" t="str">
        <f>CONCATENATE("&lt;/li&gt;&lt;li&gt;&lt;a href=|http://",AR1191,"/songs/5.htm","| ","title=|",AR1190,"| target=|_top|&gt;",AR1192,"&lt;/a&gt;")</f>
        <v>&lt;/li&gt;&lt;li&gt;&lt;a href=|http://websterbible.com/songs/5.htm| title=|Webster's Bible Translation| target=|_top|&gt;WBS&lt;/a&gt;</v>
      </c>
      <c r="AS67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76" t="str">
        <f>CONCATENATE("&lt;/li&gt;&lt;li&gt;&lt;a href=|http://",AT1191,"/songs/5-1.htm","| ","title=|",AT1190,"| target=|_top|&gt;",AT1192,"&lt;/a&gt;")</f>
        <v>&lt;/li&gt;&lt;li&gt;&lt;a href=|http://biblebrowser.com/songs/5-1.htm| title=|Split View| target=|_top|&gt;Split&lt;/a&gt;</v>
      </c>
      <c r="AU676" s="2" t="s">
        <v>1276</v>
      </c>
      <c r="AV676" t="s">
        <v>64</v>
      </c>
    </row>
    <row r="677" spans="1:48">
      <c r="A677" t="s">
        <v>622</v>
      </c>
      <c r="B677" t="s">
        <v>1181</v>
      </c>
      <c r="C677" t="s">
        <v>624</v>
      </c>
      <c r="D677" t="s">
        <v>1268</v>
      </c>
      <c r="E677" t="s">
        <v>1277</v>
      </c>
      <c r="F677" t="s">
        <v>1304</v>
      </c>
      <c r="G677" t="s">
        <v>1266</v>
      </c>
      <c r="H677" t="s">
        <v>1305</v>
      </c>
      <c r="I677" t="s">
        <v>1303</v>
      </c>
      <c r="J677" t="s">
        <v>1267</v>
      </c>
      <c r="K677" t="s">
        <v>1275</v>
      </c>
      <c r="L677" s="2" t="s">
        <v>1274</v>
      </c>
      <c r="M677" t="str">
        <f t="shared" ref="M677:AB677" si="2704">CONCATENATE("&lt;/li&gt;&lt;li&gt;&lt;a href=|http://",M1191,"/songs/6.htm","| ","title=|",M1190,"| target=|_top|&gt;",M1192,"&lt;/a&gt;")</f>
        <v>&lt;/li&gt;&lt;li&gt;&lt;a href=|http://niv.scripturetext.com/songs/6.htm| title=|New International Version| target=|_top|&gt;NIV&lt;/a&gt;</v>
      </c>
      <c r="N677" t="str">
        <f t="shared" si="2704"/>
        <v>&lt;/li&gt;&lt;li&gt;&lt;a href=|http://nlt.scripturetext.com/songs/6.htm| title=|New Living Translation| target=|_top|&gt;NLT&lt;/a&gt;</v>
      </c>
      <c r="O677" t="str">
        <f t="shared" si="2704"/>
        <v>&lt;/li&gt;&lt;li&gt;&lt;a href=|http://nasb.scripturetext.com/songs/6.htm| title=|New American Standard Bible| target=|_top|&gt;NAS&lt;/a&gt;</v>
      </c>
      <c r="P677" t="str">
        <f t="shared" si="2704"/>
        <v>&lt;/li&gt;&lt;li&gt;&lt;a href=|http://gwt.scripturetext.com/songs/6.htm| title=|God's Word Translation| target=|_top|&gt;GWT&lt;/a&gt;</v>
      </c>
      <c r="Q677" t="str">
        <f t="shared" si="2704"/>
        <v>&lt;/li&gt;&lt;li&gt;&lt;a href=|http://kingjbible.com/songs/6.htm| title=|King James Bible| target=|_top|&gt;KJV&lt;/a&gt;</v>
      </c>
      <c r="R677" t="str">
        <f t="shared" si="2704"/>
        <v>&lt;/li&gt;&lt;li&gt;&lt;a href=|http://asvbible.com/songs/6.htm| title=|American Standard Version| target=|_top|&gt;ASV&lt;/a&gt;</v>
      </c>
      <c r="S677" t="str">
        <f t="shared" si="2704"/>
        <v>&lt;/li&gt;&lt;li&gt;&lt;a href=|http://drb.scripturetext.com/songs/6.htm| title=|Douay-Rheims Bible| target=|_top|&gt;DRB&lt;/a&gt;</v>
      </c>
      <c r="T677" t="str">
        <f t="shared" si="2704"/>
        <v>&lt;/li&gt;&lt;li&gt;&lt;a href=|http://erv.scripturetext.com/songs/6.htm| title=|English Revised Version| target=|_top|&gt;ERV&lt;/a&gt;</v>
      </c>
      <c r="V677" t="str">
        <f>CONCATENATE("&lt;/li&gt;&lt;li&gt;&lt;a href=|http://",V1191,"/songs/6.htm","| ","title=|",V1190,"| target=|_top|&gt;",V1192,"&lt;/a&gt;")</f>
        <v>&lt;/li&gt;&lt;li&gt;&lt;a href=|http://study.interlinearbible.org/songs/6.htm| title=|Hebrew Study Bible| target=|_top|&gt;Heb Study&lt;/a&gt;</v>
      </c>
      <c r="W677" t="str">
        <f t="shared" si="2704"/>
        <v>&lt;/li&gt;&lt;li&gt;&lt;a href=|http://apostolic.interlinearbible.org/songs/6.htm| title=|Apostolic Bible Polyglot Interlinear| target=|_top|&gt;Polyglot&lt;/a&gt;</v>
      </c>
      <c r="X677" t="str">
        <f t="shared" si="2704"/>
        <v>&lt;/li&gt;&lt;li&gt;&lt;a href=|http://interlinearbible.org/songs/6.htm| title=|Interlinear Bible| target=|_top|&gt;Interlin&lt;/a&gt;</v>
      </c>
      <c r="Y677" t="str">
        <f t="shared" ref="Y677" si="2705">CONCATENATE("&lt;/li&gt;&lt;li&gt;&lt;a href=|http://",Y1191,"/songs/6.htm","| ","title=|",Y1190,"| target=|_top|&gt;",Y1192,"&lt;/a&gt;")</f>
        <v>&lt;/li&gt;&lt;li&gt;&lt;a href=|http://bibleoutline.org/songs/6.htm| title=|Outline with People and Places List| target=|_top|&gt;Outline&lt;/a&gt;</v>
      </c>
      <c r="Z677" t="str">
        <f t="shared" si="2704"/>
        <v>&lt;/li&gt;&lt;li&gt;&lt;a href=|http://kjvs.scripturetext.com/songs/6.htm| title=|King James Bible with Strong's Numbers| target=|_top|&gt;Strong's&lt;/a&gt;</v>
      </c>
      <c r="AA677" t="str">
        <f t="shared" si="2704"/>
        <v>&lt;/li&gt;&lt;li&gt;&lt;a href=|http://childrensbibleonline.com/songs/6.htm| title=|The Children's Bible| target=|_top|&gt;Children's&lt;/a&gt;</v>
      </c>
      <c r="AB677" s="2" t="str">
        <f t="shared" si="2704"/>
        <v>&lt;/li&gt;&lt;li&gt;&lt;a href=|http://tsk.scripturetext.com/songs/6.htm| title=|Treasury of Scripture Knowledge| target=|_top|&gt;TSK&lt;/a&gt;</v>
      </c>
      <c r="AC677" t="str">
        <f>CONCATENATE("&lt;a href=|http://",AC1191,"/songs/6.htm","| ","title=|",AC1190,"| target=|_top|&gt;",AC1192,"&lt;/a&gt;")</f>
        <v>&lt;a href=|http://parallelbible.com/songs/6.htm| title=|Parallel Chapters| target=|_top|&gt;PAR&lt;/a&gt;</v>
      </c>
      <c r="AD677" s="2" t="str">
        <f t="shared" ref="AD677:AK677" si="2706">CONCATENATE("&lt;/li&gt;&lt;li&gt;&lt;a href=|http://",AD1191,"/songs/6.htm","| ","title=|",AD1190,"| target=|_top|&gt;",AD1192,"&lt;/a&gt;")</f>
        <v>&lt;/li&gt;&lt;li&gt;&lt;a href=|http://gsb.biblecommenter.com/songs/6.htm| title=|Geneva Study Bible| target=|_top|&gt;GSB&lt;/a&gt;</v>
      </c>
      <c r="AE677" s="2" t="str">
        <f t="shared" si="2706"/>
        <v>&lt;/li&gt;&lt;li&gt;&lt;a href=|http://jfb.biblecommenter.com/songs/6.htm| title=|Jamieson-Fausset-Brown Bible Commentary| target=|_top|&gt;JFB&lt;/a&gt;</v>
      </c>
      <c r="AF677" s="2" t="str">
        <f t="shared" si="2706"/>
        <v>&lt;/li&gt;&lt;li&gt;&lt;a href=|http://kjt.biblecommenter.com/songs/6.htm| title=|King James Translators' Notes| target=|_top|&gt;KJT&lt;/a&gt;</v>
      </c>
      <c r="AG677" s="2" t="str">
        <f t="shared" si="2706"/>
        <v>&lt;/li&gt;&lt;li&gt;&lt;a href=|http://mhc.biblecommenter.com/songs/6.htm| title=|Matthew Henry's Concise Commentary| target=|_top|&gt;MHC&lt;/a&gt;</v>
      </c>
      <c r="AH677" s="2" t="str">
        <f t="shared" si="2706"/>
        <v>&lt;/li&gt;&lt;li&gt;&lt;a href=|http://sco.biblecommenter.com/songs/6.htm| title=|Scofield Reference Notes| target=|_top|&gt;SCO&lt;/a&gt;</v>
      </c>
      <c r="AI677" s="2" t="str">
        <f t="shared" si="2706"/>
        <v>&lt;/li&gt;&lt;li&gt;&lt;a href=|http://wes.biblecommenter.com/songs/6.htm| title=|Wesley's Notes on the Bible| target=|_top|&gt;WES&lt;/a&gt;</v>
      </c>
      <c r="AJ677" t="str">
        <f t="shared" si="2706"/>
        <v>&lt;/li&gt;&lt;li&gt;&lt;a href=|http://worldebible.com/songs/6.htm| title=|World English Bible| target=|_top|&gt;WEB&lt;/a&gt;</v>
      </c>
      <c r="AK677" t="str">
        <f t="shared" si="2706"/>
        <v>&lt;/li&gt;&lt;li&gt;&lt;a href=|http://yltbible.com/songs/6.htm| title=|Young's Literal Translation| target=|_top|&gt;YLT&lt;/a&gt;</v>
      </c>
      <c r="AL677" t="str">
        <f>CONCATENATE("&lt;a href=|http://",AL1191,"/songs/6.htm","| ","title=|",AL1190,"| target=|_top|&gt;",AL1192,"&lt;/a&gt;")</f>
        <v>&lt;a href=|http://kjv.us/songs/6.htm| title=|American King James Version| target=|_top|&gt;AKJ&lt;/a&gt;</v>
      </c>
      <c r="AM677" t="str">
        <f t="shared" ref="AM677:AN677" si="2707">CONCATENATE("&lt;/li&gt;&lt;li&gt;&lt;a href=|http://",AM1191,"/songs/6.htm","| ","title=|",AM1190,"| target=|_top|&gt;",AM1192,"&lt;/a&gt;")</f>
        <v>&lt;/li&gt;&lt;li&gt;&lt;a href=|http://basicenglishbible.com/songs/6.htm| title=|Bible in Basic English| target=|_top|&gt;BBE&lt;/a&gt;</v>
      </c>
      <c r="AN677" t="str">
        <f t="shared" si="2707"/>
        <v>&lt;/li&gt;&lt;li&gt;&lt;a href=|http://darbybible.com/songs/6.htm| title=|Darby Bible Translation| target=|_top|&gt;DBY&lt;/a&gt;</v>
      </c>
      <c r="AO67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7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7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77" t="str">
        <f>CONCATENATE("&lt;/li&gt;&lt;li&gt;&lt;a href=|http://",AR1191,"/songs/6.htm","| ","title=|",AR1190,"| target=|_top|&gt;",AR1192,"&lt;/a&gt;")</f>
        <v>&lt;/li&gt;&lt;li&gt;&lt;a href=|http://websterbible.com/songs/6.htm| title=|Webster's Bible Translation| target=|_top|&gt;WBS&lt;/a&gt;</v>
      </c>
      <c r="AS67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77" t="str">
        <f>CONCATENATE("&lt;/li&gt;&lt;li&gt;&lt;a href=|http://",AT1191,"/songs/6-1.htm","| ","title=|",AT1190,"| target=|_top|&gt;",AT1192,"&lt;/a&gt;")</f>
        <v>&lt;/li&gt;&lt;li&gt;&lt;a href=|http://biblebrowser.com/songs/6-1.htm| title=|Split View| target=|_top|&gt;Split&lt;/a&gt;</v>
      </c>
      <c r="AU677" s="2" t="s">
        <v>1276</v>
      </c>
      <c r="AV677" t="s">
        <v>64</v>
      </c>
    </row>
    <row r="678" spans="1:48">
      <c r="A678" t="s">
        <v>622</v>
      </c>
      <c r="B678" t="s">
        <v>1182</v>
      </c>
      <c r="C678" t="s">
        <v>624</v>
      </c>
      <c r="D678" t="s">
        <v>1268</v>
      </c>
      <c r="E678" t="s">
        <v>1277</v>
      </c>
      <c r="F678" t="s">
        <v>1304</v>
      </c>
      <c r="G678" t="s">
        <v>1266</v>
      </c>
      <c r="H678" t="s">
        <v>1305</v>
      </c>
      <c r="I678" t="s">
        <v>1303</v>
      </c>
      <c r="J678" t="s">
        <v>1267</v>
      </c>
      <c r="K678" t="s">
        <v>1275</v>
      </c>
      <c r="L678" s="2" t="s">
        <v>1274</v>
      </c>
      <c r="M678" t="str">
        <f t="shared" ref="M678:AB678" si="2708">CONCATENATE("&lt;/li&gt;&lt;li&gt;&lt;a href=|http://",M1191,"/songs/7.htm","| ","title=|",M1190,"| target=|_top|&gt;",M1192,"&lt;/a&gt;")</f>
        <v>&lt;/li&gt;&lt;li&gt;&lt;a href=|http://niv.scripturetext.com/songs/7.htm| title=|New International Version| target=|_top|&gt;NIV&lt;/a&gt;</v>
      </c>
      <c r="N678" t="str">
        <f t="shared" si="2708"/>
        <v>&lt;/li&gt;&lt;li&gt;&lt;a href=|http://nlt.scripturetext.com/songs/7.htm| title=|New Living Translation| target=|_top|&gt;NLT&lt;/a&gt;</v>
      </c>
      <c r="O678" t="str">
        <f t="shared" si="2708"/>
        <v>&lt;/li&gt;&lt;li&gt;&lt;a href=|http://nasb.scripturetext.com/songs/7.htm| title=|New American Standard Bible| target=|_top|&gt;NAS&lt;/a&gt;</v>
      </c>
      <c r="P678" t="str">
        <f t="shared" si="2708"/>
        <v>&lt;/li&gt;&lt;li&gt;&lt;a href=|http://gwt.scripturetext.com/songs/7.htm| title=|God's Word Translation| target=|_top|&gt;GWT&lt;/a&gt;</v>
      </c>
      <c r="Q678" t="str">
        <f t="shared" si="2708"/>
        <v>&lt;/li&gt;&lt;li&gt;&lt;a href=|http://kingjbible.com/songs/7.htm| title=|King James Bible| target=|_top|&gt;KJV&lt;/a&gt;</v>
      </c>
      <c r="R678" t="str">
        <f t="shared" si="2708"/>
        <v>&lt;/li&gt;&lt;li&gt;&lt;a href=|http://asvbible.com/songs/7.htm| title=|American Standard Version| target=|_top|&gt;ASV&lt;/a&gt;</v>
      </c>
      <c r="S678" t="str">
        <f t="shared" si="2708"/>
        <v>&lt;/li&gt;&lt;li&gt;&lt;a href=|http://drb.scripturetext.com/songs/7.htm| title=|Douay-Rheims Bible| target=|_top|&gt;DRB&lt;/a&gt;</v>
      </c>
      <c r="T678" t="str">
        <f t="shared" si="2708"/>
        <v>&lt;/li&gt;&lt;li&gt;&lt;a href=|http://erv.scripturetext.com/songs/7.htm| title=|English Revised Version| target=|_top|&gt;ERV&lt;/a&gt;</v>
      </c>
      <c r="V678" t="str">
        <f>CONCATENATE("&lt;/li&gt;&lt;li&gt;&lt;a href=|http://",V1191,"/songs/7.htm","| ","title=|",V1190,"| target=|_top|&gt;",V1192,"&lt;/a&gt;")</f>
        <v>&lt;/li&gt;&lt;li&gt;&lt;a href=|http://study.interlinearbible.org/songs/7.htm| title=|Hebrew Study Bible| target=|_top|&gt;Heb Study&lt;/a&gt;</v>
      </c>
      <c r="W678" t="str">
        <f t="shared" si="2708"/>
        <v>&lt;/li&gt;&lt;li&gt;&lt;a href=|http://apostolic.interlinearbible.org/songs/7.htm| title=|Apostolic Bible Polyglot Interlinear| target=|_top|&gt;Polyglot&lt;/a&gt;</v>
      </c>
      <c r="X678" t="str">
        <f t="shared" si="2708"/>
        <v>&lt;/li&gt;&lt;li&gt;&lt;a href=|http://interlinearbible.org/songs/7.htm| title=|Interlinear Bible| target=|_top|&gt;Interlin&lt;/a&gt;</v>
      </c>
      <c r="Y678" t="str">
        <f t="shared" ref="Y678" si="2709">CONCATENATE("&lt;/li&gt;&lt;li&gt;&lt;a href=|http://",Y1191,"/songs/7.htm","| ","title=|",Y1190,"| target=|_top|&gt;",Y1192,"&lt;/a&gt;")</f>
        <v>&lt;/li&gt;&lt;li&gt;&lt;a href=|http://bibleoutline.org/songs/7.htm| title=|Outline with People and Places List| target=|_top|&gt;Outline&lt;/a&gt;</v>
      </c>
      <c r="Z678" t="str">
        <f t="shared" si="2708"/>
        <v>&lt;/li&gt;&lt;li&gt;&lt;a href=|http://kjvs.scripturetext.com/songs/7.htm| title=|King James Bible with Strong's Numbers| target=|_top|&gt;Strong's&lt;/a&gt;</v>
      </c>
      <c r="AA678" t="str">
        <f t="shared" si="2708"/>
        <v>&lt;/li&gt;&lt;li&gt;&lt;a href=|http://childrensbibleonline.com/songs/7.htm| title=|The Children's Bible| target=|_top|&gt;Children's&lt;/a&gt;</v>
      </c>
      <c r="AB678" s="2" t="str">
        <f t="shared" si="2708"/>
        <v>&lt;/li&gt;&lt;li&gt;&lt;a href=|http://tsk.scripturetext.com/songs/7.htm| title=|Treasury of Scripture Knowledge| target=|_top|&gt;TSK&lt;/a&gt;</v>
      </c>
      <c r="AC678" t="str">
        <f>CONCATENATE("&lt;a href=|http://",AC1191,"/songs/7.htm","| ","title=|",AC1190,"| target=|_top|&gt;",AC1192,"&lt;/a&gt;")</f>
        <v>&lt;a href=|http://parallelbible.com/songs/7.htm| title=|Parallel Chapters| target=|_top|&gt;PAR&lt;/a&gt;</v>
      </c>
      <c r="AD678" s="2" t="str">
        <f t="shared" ref="AD678:AK678" si="2710">CONCATENATE("&lt;/li&gt;&lt;li&gt;&lt;a href=|http://",AD1191,"/songs/7.htm","| ","title=|",AD1190,"| target=|_top|&gt;",AD1192,"&lt;/a&gt;")</f>
        <v>&lt;/li&gt;&lt;li&gt;&lt;a href=|http://gsb.biblecommenter.com/songs/7.htm| title=|Geneva Study Bible| target=|_top|&gt;GSB&lt;/a&gt;</v>
      </c>
      <c r="AE678" s="2" t="str">
        <f t="shared" si="2710"/>
        <v>&lt;/li&gt;&lt;li&gt;&lt;a href=|http://jfb.biblecommenter.com/songs/7.htm| title=|Jamieson-Fausset-Brown Bible Commentary| target=|_top|&gt;JFB&lt;/a&gt;</v>
      </c>
      <c r="AF678" s="2" t="str">
        <f t="shared" si="2710"/>
        <v>&lt;/li&gt;&lt;li&gt;&lt;a href=|http://kjt.biblecommenter.com/songs/7.htm| title=|King James Translators' Notes| target=|_top|&gt;KJT&lt;/a&gt;</v>
      </c>
      <c r="AG678" s="2" t="str">
        <f t="shared" si="2710"/>
        <v>&lt;/li&gt;&lt;li&gt;&lt;a href=|http://mhc.biblecommenter.com/songs/7.htm| title=|Matthew Henry's Concise Commentary| target=|_top|&gt;MHC&lt;/a&gt;</v>
      </c>
      <c r="AH678" s="2" t="str">
        <f t="shared" si="2710"/>
        <v>&lt;/li&gt;&lt;li&gt;&lt;a href=|http://sco.biblecommenter.com/songs/7.htm| title=|Scofield Reference Notes| target=|_top|&gt;SCO&lt;/a&gt;</v>
      </c>
      <c r="AI678" s="2" t="str">
        <f t="shared" si="2710"/>
        <v>&lt;/li&gt;&lt;li&gt;&lt;a href=|http://wes.biblecommenter.com/songs/7.htm| title=|Wesley's Notes on the Bible| target=|_top|&gt;WES&lt;/a&gt;</v>
      </c>
      <c r="AJ678" t="str">
        <f t="shared" si="2710"/>
        <v>&lt;/li&gt;&lt;li&gt;&lt;a href=|http://worldebible.com/songs/7.htm| title=|World English Bible| target=|_top|&gt;WEB&lt;/a&gt;</v>
      </c>
      <c r="AK678" t="str">
        <f t="shared" si="2710"/>
        <v>&lt;/li&gt;&lt;li&gt;&lt;a href=|http://yltbible.com/songs/7.htm| title=|Young's Literal Translation| target=|_top|&gt;YLT&lt;/a&gt;</v>
      </c>
      <c r="AL678" t="str">
        <f>CONCATENATE("&lt;a href=|http://",AL1191,"/songs/7.htm","| ","title=|",AL1190,"| target=|_top|&gt;",AL1192,"&lt;/a&gt;")</f>
        <v>&lt;a href=|http://kjv.us/songs/7.htm| title=|American King James Version| target=|_top|&gt;AKJ&lt;/a&gt;</v>
      </c>
      <c r="AM678" t="str">
        <f t="shared" ref="AM678:AN678" si="2711">CONCATENATE("&lt;/li&gt;&lt;li&gt;&lt;a href=|http://",AM1191,"/songs/7.htm","| ","title=|",AM1190,"| target=|_top|&gt;",AM1192,"&lt;/a&gt;")</f>
        <v>&lt;/li&gt;&lt;li&gt;&lt;a href=|http://basicenglishbible.com/songs/7.htm| title=|Bible in Basic English| target=|_top|&gt;BBE&lt;/a&gt;</v>
      </c>
      <c r="AN678" t="str">
        <f t="shared" si="2711"/>
        <v>&lt;/li&gt;&lt;li&gt;&lt;a href=|http://darbybible.com/songs/7.htm| title=|Darby Bible Translation| target=|_top|&gt;DBY&lt;/a&gt;</v>
      </c>
      <c r="AO67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7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7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78" t="str">
        <f>CONCATENATE("&lt;/li&gt;&lt;li&gt;&lt;a href=|http://",AR1191,"/songs/7.htm","| ","title=|",AR1190,"| target=|_top|&gt;",AR1192,"&lt;/a&gt;")</f>
        <v>&lt;/li&gt;&lt;li&gt;&lt;a href=|http://websterbible.com/songs/7.htm| title=|Webster's Bible Translation| target=|_top|&gt;WBS&lt;/a&gt;</v>
      </c>
      <c r="AS67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78" t="str">
        <f>CONCATENATE("&lt;/li&gt;&lt;li&gt;&lt;a href=|http://",AT1191,"/songs/7-1.htm","| ","title=|",AT1190,"| target=|_top|&gt;",AT1192,"&lt;/a&gt;")</f>
        <v>&lt;/li&gt;&lt;li&gt;&lt;a href=|http://biblebrowser.com/songs/7-1.htm| title=|Split View| target=|_top|&gt;Split&lt;/a&gt;</v>
      </c>
      <c r="AU678" s="2" t="s">
        <v>1276</v>
      </c>
      <c r="AV678" t="s">
        <v>64</v>
      </c>
    </row>
    <row r="679" spans="1:48">
      <c r="A679" t="s">
        <v>622</v>
      </c>
      <c r="B679" t="s">
        <v>1183</v>
      </c>
      <c r="C679" t="s">
        <v>624</v>
      </c>
      <c r="D679" t="s">
        <v>1268</v>
      </c>
      <c r="E679" t="s">
        <v>1277</v>
      </c>
      <c r="F679" t="s">
        <v>1304</v>
      </c>
      <c r="G679" t="s">
        <v>1266</v>
      </c>
      <c r="H679" t="s">
        <v>1305</v>
      </c>
      <c r="I679" t="s">
        <v>1303</v>
      </c>
      <c r="J679" t="s">
        <v>1267</v>
      </c>
      <c r="K679" t="s">
        <v>1275</v>
      </c>
      <c r="L679" s="2" t="s">
        <v>1274</v>
      </c>
      <c r="M679" t="str">
        <f t="shared" ref="M679:AB679" si="2712">CONCATENATE("&lt;/li&gt;&lt;li&gt;&lt;a href=|http://",M1191,"/songs/8.htm","| ","title=|",M1190,"| target=|_top|&gt;",M1192,"&lt;/a&gt;")</f>
        <v>&lt;/li&gt;&lt;li&gt;&lt;a href=|http://niv.scripturetext.com/songs/8.htm| title=|New International Version| target=|_top|&gt;NIV&lt;/a&gt;</v>
      </c>
      <c r="N679" t="str">
        <f t="shared" si="2712"/>
        <v>&lt;/li&gt;&lt;li&gt;&lt;a href=|http://nlt.scripturetext.com/songs/8.htm| title=|New Living Translation| target=|_top|&gt;NLT&lt;/a&gt;</v>
      </c>
      <c r="O679" t="str">
        <f t="shared" si="2712"/>
        <v>&lt;/li&gt;&lt;li&gt;&lt;a href=|http://nasb.scripturetext.com/songs/8.htm| title=|New American Standard Bible| target=|_top|&gt;NAS&lt;/a&gt;</v>
      </c>
      <c r="P679" t="str">
        <f t="shared" si="2712"/>
        <v>&lt;/li&gt;&lt;li&gt;&lt;a href=|http://gwt.scripturetext.com/songs/8.htm| title=|God's Word Translation| target=|_top|&gt;GWT&lt;/a&gt;</v>
      </c>
      <c r="Q679" t="str">
        <f t="shared" si="2712"/>
        <v>&lt;/li&gt;&lt;li&gt;&lt;a href=|http://kingjbible.com/songs/8.htm| title=|King James Bible| target=|_top|&gt;KJV&lt;/a&gt;</v>
      </c>
      <c r="R679" t="str">
        <f t="shared" si="2712"/>
        <v>&lt;/li&gt;&lt;li&gt;&lt;a href=|http://asvbible.com/songs/8.htm| title=|American Standard Version| target=|_top|&gt;ASV&lt;/a&gt;</v>
      </c>
      <c r="S679" t="str">
        <f t="shared" si="2712"/>
        <v>&lt;/li&gt;&lt;li&gt;&lt;a href=|http://drb.scripturetext.com/songs/8.htm| title=|Douay-Rheims Bible| target=|_top|&gt;DRB&lt;/a&gt;</v>
      </c>
      <c r="T679" t="str">
        <f t="shared" si="2712"/>
        <v>&lt;/li&gt;&lt;li&gt;&lt;a href=|http://erv.scripturetext.com/songs/8.htm| title=|English Revised Version| target=|_top|&gt;ERV&lt;/a&gt;</v>
      </c>
      <c r="V679" t="str">
        <f>CONCATENATE("&lt;/li&gt;&lt;li&gt;&lt;a href=|http://",V1191,"/songs/8.htm","| ","title=|",V1190,"| target=|_top|&gt;",V1192,"&lt;/a&gt;")</f>
        <v>&lt;/li&gt;&lt;li&gt;&lt;a href=|http://study.interlinearbible.org/songs/8.htm| title=|Hebrew Study Bible| target=|_top|&gt;Heb Study&lt;/a&gt;</v>
      </c>
      <c r="W679" t="str">
        <f t="shared" si="2712"/>
        <v>&lt;/li&gt;&lt;li&gt;&lt;a href=|http://apostolic.interlinearbible.org/songs/8.htm| title=|Apostolic Bible Polyglot Interlinear| target=|_top|&gt;Polyglot&lt;/a&gt;</v>
      </c>
      <c r="X679" t="str">
        <f t="shared" si="2712"/>
        <v>&lt;/li&gt;&lt;li&gt;&lt;a href=|http://interlinearbible.org/songs/8.htm| title=|Interlinear Bible| target=|_top|&gt;Interlin&lt;/a&gt;</v>
      </c>
      <c r="Y679" t="str">
        <f t="shared" ref="Y679" si="2713">CONCATENATE("&lt;/li&gt;&lt;li&gt;&lt;a href=|http://",Y1191,"/songs/8.htm","| ","title=|",Y1190,"| target=|_top|&gt;",Y1192,"&lt;/a&gt;")</f>
        <v>&lt;/li&gt;&lt;li&gt;&lt;a href=|http://bibleoutline.org/songs/8.htm| title=|Outline with People and Places List| target=|_top|&gt;Outline&lt;/a&gt;</v>
      </c>
      <c r="Z679" t="str">
        <f t="shared" si="2712"/>
        <v>&lt;/li&gt;&lt;li&gt;&lt;a href=|http://kjvs.scripturetext.com/songs/8.htm| title=|King James Bible with Strong's Numbers| target=|_top|&gt;Strong's&lt;/a&gt;</v>
      </c>
      <c r="AA679" t="str">
        <f t="shared" si="2712"/>
        <v>&lt;/li&gt;&lt;li&gt;&lt;a href=|http://childrensbibleonline.com/songs/8.htm| title=|The Children's Bible| target=|_top|&gt;Children's&lt;/a&gt;</v>
      </c>
      <c r="AB679" s="2" t="str">
        <f t="shared" si="2712"/>
        <v>&lt;/li&gt;&lt;li&gt;&lt;a href=|http://tsk.scripturetext.com/songs/8.htm| title=|Treasury of Scripture Knowledge| target=|_top|&gt;TSK&lt;/a&gt;</v>
      </c>
      <c r="AC679" t="str">
        <f>CONCATENATE("&lt;a href=|http://",AC1191,"/songs/8.htm","| ","title=|",AC1190,"| target=|_top|&gt;",AC1192,"&lt;/a&gt;")</f>
        <v>&lt;a href=|http://parallelbible.com/songs/8.htm| title=|Parallel Chapters| target=|_top|&gt;PAR&lt;/a&gt;</v>
      </c>
      <c r="AD679" s="2" t="str">
        <f t="shared" ref="AD679:AK679" si="2714">CONCATENATE("&lt;/li&gt;&lt;li&gt;&lt;a href=|http://",AD1191,"/songs/8.htm","| ","title=|",AD1190,"| target=|_top|&gt;",AD1192,"&lt;/a&gt;")</f>
        <v>&lt;/li&gt;&lt;li&gt;&lt;a href=|http://gsb.biblecommenter.com/songs/8.htm| title=|Geneva Study Bible| target=|_top|&gt;GSB&lt;/a&gt;</v>
      </c>
      <c r="AE679" s="2" t="str">
        <f t="shared" si="2714"/>
        <v>&lt;/li&gt;&lt;li&gt;&lt;a href=|http://jfb.biblecommenter.com/songs/8.htm| title=|Jamieson-Fausset-Brown Bible Commentary| target=|_top|&gt;JFB&lt;/a&gt;</v>
      </c>
      <c r="AF679" s="2" t="str">
        <f t="shared" si="2714"/>
        <v>&lt;/li&gt;&lt;li&gt;&lt;a href=|http://kjt.biblecommenter.com/songs/8.htm| title=|King James Translators' Notes| target=|_top|&gt;KJT&lt;/a&gt;</v>
      </c>
      <c r="AG679" s="2" t="str">
        <f t="shared" si="2714"/>
        <v>&lt;/li&gt;&lt;li&gt;&lt;a href=|http://mhc.biblecommenter.com/songs/8.htm| title=|Matthew Henry's Concise Commentary| target=|_top|&gt;MHC&lt;/a&gt;</v>
      </c>
      <c r="AH679" s="2" t="str">
        <f t="shared" si="2714"/>
        <v>&lt;/li&gt;&lt;li&gt;&lt;a href=|http://sco.biblecommenter.com/songs/8.htm| title=|Scofield Reference Notes| target=|_top|&gt;SCO&lt;/a&gt;</v>
      </c>
      <c r="AI679" s="2" t="str">
        <f t="shared" si="2714"/>
        <v>&lt;/li&gt;&lt;li&gt;&lt;a href=|http://wes.biblecommenter.com/songs/8.htm| title=|Wesley's Notes on the Bible| target=|_top|&gt;WES&lt;/a&gt;</v>
      </c>
      <c r="AJ679" t="str">
        <f t="shared" si="2714"/>
        <v>&lt;/li&gt;&lt;li&gt;&lt;a href=|http://worldebible.com/songs/8.htm| title=|World English Bible| target=|_top|&gt;WEB&lt;/a&gt;</v>
      </c>
      <c r="AK679" t="str">
        <f t="shared" si="2714"/>
        <v>&lt;/li&gt;&lt;li&gt;&lt;a href=|http://yltbible.com/songs/8.htm| title=|Young's Literal Translation| target=|_top|&gt;YLT&lt;/a&gt;</v>
      </c>
      <c r="AL679" t="str">
        <f>CONCATENATE("&lt;a href=|http://",AL1191,"/songs/8.htm","| ","title=|",AL1190,"| target=|_top|&gt;",AL1192,"&lt;/a&gt;")</f>
        <v>&lt;a href=|http://kjv.us/songs/8.htm| title=|American King James Version| target=|_top|&gt;AKJ&lt;/a&gt;</v>
      </c>
      <c r="AM679" t="str">
        <f t="shared" ref="AM679:AN679" si="2715">CONCATENATE("&lt;/li&gt;&lt;li&gt;&lt;a href=|http://",AM1191,"/songs/8.htm","| ","title=|",AM1190,"| target=|_top|&gt;",AM1192,"&lt;/a&gt;")</f>
        <v>&lt;/li&gt;&lt;li&gt;&lt;a href=|http://basicenglishbible.com/songs/8.htm| title=|Bible in Basic English| target=|_top|&gt;BBE&lt;/a&gt;</v>
      </c>
      <c r="AN679" t="str">
        <f t="shared" si="2715"/>
        <v>&lt;/li&gt;&lt;li&gt;&lt;a href=|http://darbybible.com/songs/8.htm| title=|Darby Bible Translation| target=|_top|&gt;DBY&lt;/a&gt;</v>
      </c>
      <c r="AO67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7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7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79" t="str">
        <f>CONCATENATE("&lt;/li&gt;&lt;li&gt;&lt;a href=|http://",AR1191,"/songs/8.htm","| ","title=|",AR1190,"| target=|_top|&gt;",AR1192,"&lt;/a&gt;")</f>
        <v>&lt;/li&gt;&lt;li&gt;&lt;a href=|http://websterbible.com/songs/8.htm| title=|Webster's Bible Translation| target=|_top|&gt;WBS&lt;/a&gt;</v>
      </c>
      <c r="AS67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79" t="str">
        <f>CONCATENATE("&lt;/li&gt;&lt;li&gt;&lt;a href=|http://",AT1191,"/songs/8-1.htm","| ","title=|",AT1190,"| target=|_top|&gt;",AT1192,"&lt;/a&gt;")</f>
        <v>&lt;/li&gt;&lt;li&gt;&lt;a href=|http://biblebrowser.com/songs/8-1.htm| title=|Split View| target=|_top|&gt;Split&lt;/a&gt;</v>
      </c>
      <c r="AU679" s="2" t="s">
        <v>1276</v>
      </c>
      <c r="AV679" t="s">
        <v>64</v>
      </c>
    </row>
    <row r="680" spans="1:48">
      <c r="A680" t="s">
        <v>622</v>
      </c>
      <c r="B680" t="s">
        <v>1184</v>
      </c>
      <c r="C680" t="s">
        <v>624</v>
      </c>
      <c r="D680" t="s">
        <v>1268</v>
      </c>
      <c r="E680" t="s">
        <v>1277</v>
      </c>
      <c r="F680" t="s">
        <v>1304</v>
      </c>
      <c r="G680" t="s">
        <v>1266</v>
      </c>
      <c r="H680" t="s">
        <v>1305</v>
      </c>
      <c r="I680" t="s">
        <v>1303</v>
      </c>
      <c r="J680" t="s">
        <v>1267</v>
      </c>
      <c r="K680" t="s">
        <v>1275</v>
      </c>
      <c r="L680" s="2" t="s">
        <v>1274</v>
      </c>
      <c r="M680" t="str">
        <f t="shared" ref="M680:AB680" si="2716">CONCATENATE("&lt;/li&gt;&lt;li&gt;&lt;a href=|http://",M1191,"/isaiah/1.htm","| ","title=|",M1190,"| target=|_top|&gt;",M1192,"&lt;/a&gt;")</f>
        <v>&lt;/li&gt;&lt;li&gt;&lt;a href=|http://niv.scripturetext.com/isaiah/1.htm| title=|New International Version| target=|_top|&gt;NIV&lt;/a&gt;</v>
      </c>
      <c r="N680" t="str">
        <f t="shared" si="2716"/>
        <v>&lt;/li&gt;&lt;li&gt;&lt;a href=|http://nlt.scripturetext.com/isaiah/1.htm| title=|New Living Translation| target=|_top|&gt;NLT&lt;/a&gt;</v>
      </c>
      <c r="O680" t="str">
        <f t="shared" si="2716"/>
        <v>&lt;/li&gt;&lt;li&gt;&lt;a href=|http://nasb.scripturetext.com/isaiah/1.htm| title=|New American Standard Bible| target=|_top|&gt;NAS&lt;/a&gt;</v>
      </c>
      <c r="P680" t="str">
        <f t="shared" si="2716"/>
        <v>&lt;/li&gt;&lt;li&gt;&lt;a href=|http://gwt.scripturetext.com/isaiah/1.htm| title=|God's Word Translation| target=|_top|&gt;GWT&lt;/a&gt;</v>
      </c>
      <c r="Q680" t="str">
        <f t="shared" si="2716"/>
        <v>&lt;/li&gt;&lt;li&gt;&lt;a href=|http://kingjbible.com/isaiah/1.htm| title=|King James Bible| target=|_top|&gt;KJV&lt;/a&gt;</v>
      </c>
      <c r="R680" t="str">
        <f t="shared" si="2716"/>
        <v>&lt;/li&gt;&lt;li&gt;&lt;a href=|http://asvbible.com/isaiah/1.htm| title=|American Standard Version| target=|_top|&gt;ASV&lt;/a&gt;</v>
      </c>
      <c r="S680" t="str">
        <f t="shared" si="2716"/>
        <v>&lt;/li&gt;&lt;li&gt;&lt;a href=|http://drb.scripturetext.com/isaiah/1.htm| title=|Douay-Rheims Bible| target=|_top|&gt;DRB&lt;/a&gt;</v>
      </c>
      <c r="T680" t="str">
        <f t="shared" si="2716"/>
        <v>&lt;/li&gt;&lt;li&gt;&lt;a href=|http://erv.scripturetext.com/isaiah/1.htm| title=|English Revised Version| target=|_top|&gt;ERV&lt;/a&gt;</v>
      </c>
      <c r="V680" t="str">
        <f>CONCATENATE("&lt;/li&gt;&lt;li&gt;&lt;a href=|http://",V1191,"/isaiah/1.htm","| ","title=|",V1190,"| target=|_top|&gt;",V1192,"&lt;/a&gt;")</f>
        <v>&lt;/li&gt;&lt;li&gt;&lt;a href=|http://study.interlinearbible.org/isaiah/1.htm| title=|Hebrew Study Bible| target=|_top|&gt;Heb Study&lt;/a&gt;</v>
      </c>
      <c r="W680" t="str">
        <f t="shared" si="2716"/>
        <v>&lt;/li&gt;&lt;li&gt;&lt;a href=|http://apostolic.interlinearbible.org/isaiah/1.htm| title=|Apostolic Bible Polyglot Interlinear| target=|_top|&gt;Polyglot&lt;/a&gt;</v>
      </c>
      <c r="X680" t="str">
        <f t="shared" si="2716"/>
        <v>&lt;/li&gt;&lt;li&gt;&lt;a href=|http://interlinearbible.org/isaiah/1.htm| title=|Interlinear Bible| target=|_top|&gt;Interlin&lt;/a&gt;</v>
      </c>
      <c r="Y680" t="str">
        <f t="shared" ref="Y680" si="2717">CONCATENATE("&lt;/li&gt;&lt;li&gt;&lt;a href=|http://",Y1191,"/isaiah/1.htm","| ","title=|",Y1190,"| target=|_top|&gt;",Y1192,"&lt;/a&gt;")</f>
        <v>&lt;/li&gt;&lt;li&gt;&lt;a href=|http://bibleoutline.org/isaiah/1.htm| title=|Outline with People and Places List| target=|_top|&gt;Outline&lt;/a&gt;</v>
      </c>
      <c r="Z680" t="str">
        <f t="shared" si="2716"/>
        <v>&lt;/li&gt;&lt;li&gt;&lt;a href=|http://kjvs.scripturetext.com/isaiah/1.htm| title=|King James Bible with Strong's Numbers| target=|_top|&gt;Strong's&lt;/a&gt;</v>
      </c>
      <c r="AA680" t="str">
        <f t="shared" si="2716"/>
        <v>&lt;/li&gt;&lt;li&gt;&lt;a href=|http://childrensbibleonline.com/isaiah/1.htm| title=|The Children's Bible| target=|_top|&gt;Children's&lt;/a&gt;</v>
      </c>
      <c r="AB680" s="2" t="str">
        <f t="shared" si="2716"/>
        <v>&lt;/li&gt;&lt;li&gt;&lt;a href=|http://tsk.scripturetext.com/isaiah/1.htm| title=|Treasury of Scripture Knowledge| target=|_top|&gt;TSK&lt;/a&gt;</v>
      </c>
      <c r="AC680" t="str">
        <f>CONCATENATE("&lt;a href=|http://",AC1191,"/isaiah/1.htm","| ","title=|",AC1190,"| target=|_top|&gt;",AC1192,"&lt;/a&gt;")</f>
        <v>&lt;a href=|http://parallelbible.com/isaiah/1.htm| title=|Parallel Chapters| target=|_top|&gt;PAR&lt;/a&gt;</v>
      </c>
      <c r="AD680" s="2" t="str">
        <f t="shared" ref="AD680:AK680" si="2718">CONCATENATE("&lt;/li&gt;&lt;li&gt;&lt;a href=|http://",AD1191,"/isaiah/1.htm","| ","title=|",AD1190,"| target=|_top|&gt;",AD1192,"&lt;/a&gt;")</f>
        <v>&lt;/li&gt;&lt;li&gt;&lt;a href=|http://gsb.biblecommenter.com/isaiah/1.htm| title=|Geneva Study Bible| target=|_top|&gt;GSB&lt;/a&gt;</v>
      </c>
      <c r="AE680" s="2" t="str">
        <f t="shared" si="2718"/>
        <v>&lt;/li&gt;&lt;li&gt;&lt;a href=|http://jfb.biblecommenter.com/isaiah/1.htm| title=|Jamieson-Fausset-Brown Bible Commentary| target=|_top|&gt;JFB&lt;/a&gt;</v>
      </c>
      <c r="AF680" s="2" t="str">
        <f t="shared" si="2718"/>
        <v>&lt;/li&gt;&lt;li&gt;&lt;a href=|http://kjt.biblecommenter.com/isaiah/1.htm| title=|King James Translators' Notes| target=|_top|&gt;KJT&lt;/a&gt;</v>
      </c>
      <c r="AG680" s="2" t="str">
        <f t="shared" si="2718"/>
        <v>&lt;/li&gt;&lt;li&gt;&lt;a href=|http://mhc.biblecommenter.com/isaiah/1.htm| title=|Matthew Henry's Concise Commentary| target=|_top|&gt;MHC&lt;/a&gt;</v>
      </c>
      <c r="AH680" s="2" t="str">
        <f t="shared" si="2718"/>
        <v>&lt;/li&gt;&lt;li&gt;&lt;a href=|http://sco.biblecommenter.com/isaiah/1.htm| title=|Scofield Reference Notes| target=|_top|&gt;SCO&lt;/a&gt;</v>
      </c>
      <c r="AI680" s="2" t="str">
        <f t="shared" si="2718"/>
        <v>&lt;/li&gt;&lt;li&gt;&lt;a href=|http://wes.biblecommenter.com/isaiah/1.htm| title=|Wesley's Notes on the Bible| target=|_top|&gt;WES&lt;/a&gt;</v>
      </c>
      <c r="AJ680" t="str">
        <f t="shared" si="2718"/>
        <v>&lt;/li&gt;&lt;li&gt;&lt;a href=|http://worldebible.com/isaiah/1.htm| title=|World English Bible| target=|_top|&gt;WEB&lt;/a&gt;</v>
      </c>
      <c r="AK680" t="str">
        <f t="shared" si="2718"/>
        <v>&lt;/li&gt;&lt;li&gt;&lt;a href=|http://yltbible.com/isaiah/1.htm| title=|Young's Literal Translation| target=|_top|&gt;YLT&lt;/a&gt;</v>
      </c>
      <c r="AL680" t="str">
        <f>CONCATENATE("&lt;a href=|http://",AL1191,"/isaiah/1.htm","| ","title=|",AL1190,"| target=|_top|&gt;",AL1192,"&lt;/a&gt;")</f>
        <v>&lt;a href=|http://kjv.us/isaiah/1.htm| title=|American King James Version| target=|_top|&gt;AKJ&lt;/a&gt;</v>
      </c>
      <c r="AM680" t="str">
        <f t="shared" ref="AM680:AN680" si="2719">CONCATENATE("&lt;/li&gt;&lt;li&gt;&lt;a href=|http://",AM1191,"/isaiah/1.htm","| ","title=|",AM1190,"| target=|_top|&gt;",AM1192,"&lt;/a&gt;")</f>
        <v>&lt;/li&gt;&lt;li&gt;&lt;a href=|http://basicenglishbible.com/isaiah/1.htm| title=|Bible in Basic English| target=|_top|&gt;BBE&lt;/a&gt;</v>
      </c>
      <c r="AN680" t="str">
        <f t="shared" si="2719"/>
        <v>&lt;/li&gt;&lt;li&gt;&lt;a href=|http://darbybible.com/isaiah/1.htm| title=|Darby Bible Translation| target=|_top|&gt;DBY&lt;/a&gt;</v>
      </c>
      <c r="AO68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8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8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80" t="str">
        <f>CONCATENATE("&lt;/li&gt;&lt;li&gt;&lt;a href=|http://",AR1191,"/isaiah/1.htm","| ","title=|",AR1190,"| target=|_top|&gt;",AR1192,"&lt;/a&gt;")</f>
        <v>&lt;/li&gt;&lt;li&gt;&lt;a href=|http://websterbible.com/isaiah/1.htm| title=|Webster's Bible Translation| target=|_top|&gt;WBS&lt;/a&gt;</v>
      </c>
      <c r="AS68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80" t="str">
        <f>CONCATENATE("&lt;/li&gt;&lt;li&gt;&lt;a href=|http://",AT1191,"/isaiah/1-1.htm","| ","title=|",AT1190,"| target=|_top|&gt;",AT1192,"&lt;/a&gt;")</f>
        <v>&lt;/li&gt;&lt;li&gt;&lt;a href=|http://biblebrowser.com/isaiah/1-1.htm| title=|Split View| target=|_top|&gt;Split&lt;/a&gt;</v>
      </c>
      <c r="AU680" s="2" t="s">
        <v>1276</v>
      </c>
      <c r="AV680" t="s">
        <v>64</v>
      </c>
    </row>
    <row r="681" spans="1:48">
      <c r="A681" t="s">
        <v>622</v>
      </c>
      <c r="B681" t="s">
        <v>1185</v>
      </c>
      <c r="C681" t="s">
        <v>624</v>
      </c>
      <c r="D681" t="s">
        <v>1268</v>
      </c>
      <c r="E681" t="s">
        <v>1277</v>
      </c>
      <c r="F681" t="s">
        <v>1304</v>
      </c>
      <c r="G681" t="s">
        <v>1266</v>
      </c>
      <c r="H681" t="s">
        <v>1305</v>
      </c>
      <c r="I681" t="s">
        <v>1303</v>
      </c>
      <c r="J681" t="s">
        <v>1267</v>
      </c>
      <c r="K681" t="s">
        <v>1275</v>
      </c>
      <c r="L681" s="2" t="s">
        <v>1274</v>
      </c>
      <c r="M681" t="str">
        <f t="shared" ref="M681:AB681" si="2720">CONCATENATE("&lt;/li&gt;&lt;li&gt;&lt;a href=|http://",M1191,"/isaiah/2.htm","| ","title=|",M1190,"| target=|_top|&gt;",M1192,"&lt;/a&gt;")</f>
        <v>&lt;/li&gt;&lt;li&gt;&lt;a href=|http://niv.scripturetext.com/isaiah/2.htm| title=|New International Version| target=|_top|&gt;NIV&lt;/a&gt;</v>
      </c>
      <c r="N681" t="str">
        <f t="shared" si="2720"/>
        <v>&lt;/li&gt;&lt;li&gt;&lt;a href=|http://nlt.scripturetext.com/isaiah/2.htm| title=|New Living Translation| target=|_top|&gt;NLT&lt;/a&gt;</v>
      </c>
      <c r="O681" t="str">
        <f t="shared" si="2720"/>
        <v>&lt;/li&gt;&lt;li&gt;&lt;a href=|http://nasb.scripturetext.com/isaiah/2.htm| title=|New American Standard Bible| target=|_top|&gt;NAS&lt;/a&gt;</v>
      </c>
      <c r="P681" t="str">
        <f t="shared" si="2720"/>
        <v>&lt;/li&gt;&lt;li&gt;&lt;a href=|http://gwt.scripturetext.com/isaiah/2.htm| title=|God's Word Translation| target=|_top|&gt;GWT&lt;/a&gt;</v>
      </c>
      <c r="Q681" t="str">
        <f t="shared" si="2720"/>
        <v>&lt;/li&gt;&lt;li&gt;&lt;a href=|http://kingjbible.com/isaiah/2.htm| title=|King James Bible| target=|_top|&gt;KJV&lt;/a&gt;</v>
      </c>
      <c r="R681" t="str">
        <f t="shared" si="2720"/>
        <v>&lt;/li&gt;&lt;li&gt;&lt;a href=|http://asvbible.com/isaiah/2.htm| title=|American Standard Version| target=|_top|&gt;ASV&lt;/a&gt;</v>
      </c>
      <c r="S681" t="str">
        <f t="shared" si="2720"/>
        <v>&lt;/li&gt;&lt;li&gt;&lt;a href=|http://drb.scripturetext.com/isaiah/2.htm| title=|Douay-Rheims Bible| target=|_top|&gt;DRB&lt;/a&gt;</v>
      </c>
      <c r="T681" t="str">
        <f t="shared" si="2720"/>
        <v>&lt;/li&gt;&lt;li&gt;&lt;a href=|http://erv.scripturetext.com/isaiah/2.htm| title=|English Revised Version| target=|_top|&gt;ERV&lt;/a&gt;</v>
      </c>
      <c r="V681" t="str">
        <f>CONCATENATE("&lt;/li&gt;&lt;li&gt;&lt;a href=|http://",V1191,"/isaiah/2.htm","| ","title=|",V1190,"| target=|_top|&gt;",V1192,"&lt;/a&gt;")</f>
        <v>&lt;/li&gt;&lt;li&gt;&lt;a href=|http://study.interlinearbible.org/isaiah/2.htm| title=|Hebrew Study Bible| target=|_top|&gt;Heb Study&lt;/a&gt;</v>
      </c>
      <c r="W681" t="str">
        <f t="shared" si="2720"/>
        <v>&lt;/li&gt;&lt;li&gt;&lt;a href=|http://apostolic.interlinearbible.org/isaiah/2.htm| title=|Apostolic Bible Polyglot Interlinear| target=|_top|&gt;Polyglot&lt;/a&gt;</v>
      </c>
      <c r="X681" t="str">
        <f t="shared" si="2720"/>
        <v>&lt;/li&gt;&lt;li&gt;&lt;a href=|http://interlinearbible.org/isaiah/2.htm| title=|Interlinear Bible| target=|_top|&gt;Interlin&lt;/a&gt;</v>
      </c>
      <c r="Y681" t="str">
        <f t="shared" ref="Y681" si="2721">CONCATENATE("&lt;/li&gt;&lt;li&gt;&lt;a href=|http://",Y1191,"/isaiah/2.htm","| ","title=|",Y1190,"| target=|_top|&gt;",Y1192,"&lt;/a&gt;")</f>
        <v>&lt;/li&gt;&lt;li&gt;&lt;a href=|http://bibleoutline.org/isaiah/2.htm| title=|Outline with People and Places List| target=|_top|&gt;Outline&lt;/a&gt;</v>
      </c>
      <c r="Z681" t="str">
        <f t="shared" si="2720"/>
        <v>&lt;/li&gt;&lt;li&gt;&lt;a href=|http://kjvs.scripturetext.com/isaiah/2.htm| title=|King James Bible with Strong's Numbers| target=|_top|&gt;Strong's&lt;/a&gt;</v>
      </c>
      <c r="AA681" t="str">
        <f t="shared" si="2720"/>
        <v>&lt;/li&gt;&lt;li&gt;&lt;a href=|http://childrensbibleonline.com/isaiah/2.htm| title=|The Children's Bible| target=|_top|&gt;Children's&lt;/a&gt;</v>
      </c>
      <c r="AB681" s="2" t="str">
        <f t="shared" si="2720"/>
        <v>&lt;/li&gt;&lt;li&gt;&lt;a href=|http://tsk.scripturetext.com/isaiah/2.htm| title=|Treasury of Scripture Knowledge| target=|_top|&gt;TSK&lt;/a&gt;</v>
      </c>
      <c r="AC681" t="str">
        <f>CONCATENATE("&lt;a href=|http://",AC1191,"/isaiah/2.htm","| ","title=|",AC1190,"| target=|_top|&gt;",AC1192,"&lt;/a&gt;")</f>
        <v>&lt;a href=|http://parallelbible.com/isaiah/2.htm| title=|Parallel Chapters| target=|_top|&gt;PAR&lt;/a&gt;</v>
      </c>
      <c r="AD681" s="2" t="str">
        <f t="shared" ref="AD681:AK681" si="2722">CONCATENATE("&lt;/li&gt;&lt;li&gt;&lt;a href=|http://",AD1191,"/isaiah/2.htm","| ","title=|",AD1190,"| target=|_top|&gt;",AD1192,"&lt;/a&gt;")</f>
        <v>&lt;/li&gt;&lt;li&gt;&lt;a href=|http://gsb.biblecommenter.com/isaiah/2.htm| title=|Geneva Study Bible| target=|_top|&gt;GSB&lt;/a&gt;</v>
      </c>
      <c r="AE681" s="2" t="str">
        <f t="shared" si="2722"/>
        <v>&lt;/li&gt;&lt;li&gt;&lt;a href=|http://jfb.biblecommenter.com/isaiah/2.htm| title=|Jamieson-Fausset-Brown Bible Commentary| target=|_top|&gt;JFB&lt;/a&gt;</v>
      </c>
      <c r="AF681" s="2" t="str">
        <f t="shared" si="2722"/>
        <v>&lt;/li&gt;&lt;li&gt;&lt;a href=|http://kjt.biblecommenter.com/isaiah/2.htm| title=|King James Translators' Notes| target=|_top|&gt;KJT&lt;/a&gt;</v>
      </c>
      <c r="AG681" s="2" t="str">
        <f t="shared" si="2722"/>
        <v>&lt;/li&gt;&lt;li&gt;&lt;a href=|http://mhc.biblecommenter.com/isaiah/2.htm| title=|Matthew Henry's Concise Commentary| target=|_top|&gt;MHC&lt;/a&gt;</v>
      </c>
      <c r="AH681" s="2" t="str">
        <f t="shared" si="2722"/>
        <v>&lt;/li&gt;&lt;li&gt;&lt;a href=|http://sco.biblecommenter.com/isaiah/2.htm| title=|Scofield Reference Notes| target=|_top|&gt;SCO&lt;/a&gt;</v>
      </c>
      <c r="AI681" s="2" t="str">
        <f t="shared" si="2722"/>
        <v>&lt;/li&gt;&lt;li&gt;&lt;a href=|http://wes.biblecommenter.com/isaiah/2.htm| title=|Wesley's Notes on the Bible| target=|_top|&gt;WES&lt;/a&gt;</v>
      </c>
      <c r="AJ681" t="str">
        <f t="shared" si="2722"/>
        <v>&lt;/li&gt;&lt;li&gt;&lt;a href=|http://worldebible.com/isaiah/2.htm| title=|World English Bible| target=|_top|&gt;WEB&lt;/a&gt;</v>
      </c>
      <c r="AK681" t="str">
        <f t="shared" si="2722"/>
        <v>&lt;/li&gt;&lt;li&gt;&lt;a href=|http://yltbible.com/isaiah/2.htm| title=|Young's Literal Translation| target=|_top|&gt;YLT&lt;/a&gt;</v>
      </c>
      <c r="AL681" t="str">
        <f>CONCATENATE("&lt;a href=|http://",AL1191,"/isaiah/2.htm","| ","title=|",AL1190,"| target=|_top|&gt;",AL1192,"&lt;/a&gt;")</f>
        <v>&lt;a href=|http://kjv.us/isaiah/2.htm| title=|American King James Version| target=|_top|&gt;AKJ&lt;/a&gt;</v>
      </c>
      <c r="AM681" t="str">
        <f t="shared" ref="AM681:AN681" si="2723">CONCATENATE("&lt;/li&gt;&lt;li&gt;&lt;a href=|http://",AM1191,"/isaiah/2.htm","| ","title=|",AM1190,"| target=|_top|&gt;",AM1192,"&lt;/a&gt;")</f>
        <v>&lt;/li&gt;&lt;li&gt;&lt;a href=|http://basicenglishbible.com/isaiah/2.htm| title=|Bible in Basic English| target=|_top|&gt;BBE&lt;/a&gt;</v>
      </c>
      <c r="AN681" t="str">
        <f t="shared" si="2723"/>
        <v>&lt;/li&gt;&lt;li&gt;&lt;a href=|http://darbybible.com/isaiah/2.htm| title=|Darby Bible Translation| target=|_top|&gt;DBY&lt;/a&gt;</v>
      </c>
      <c r="AO68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8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8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81" t="str">
        <f>CONCATENATE("&lt;/li&gt;&lt;li&gt;&lt;a href=|http://",AR1191,"/isaiah/2.htm","| ","title=|",AR1190,"| target=|_top|&gt;",AR1192,"&lt;/a&gt;")</f>
        <v>&lt;/li&gt;&lt;li&gt;&lt;a href=|http://websterbible.com/isaiah/2.htm| title=|Webster's Bible Translation| target=|_top|&gt;WBS&lt;/a&gt;</v>
      </c>
      <c r="AS68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81" t="str">
        <f>CONCATENATE("&lt;/li&gt;&lt;li&gt;&lt;a href=|http://",AT1191,"/isaiah/2-1.htm","| ","title=|",AT1190,"| target=|_top|&gt;",AT1192,"&lt;/a&gt;")</f>
        <v>&lt;/li&gt;&lt;li&gt;&lt;a href=|http://biblebrowser.com/isaiah/2-1.htm| title=|Split View| target=|_top|&gt;Split&lt;/a&gt;</v>
      </c>
      <c r="AU681" s="2" t="s">
        <v>1276</v>
      </c>
      <c r="AV681" t="s">
        <v>64</v>
      </c>
    </row>
    <row r="682" spans="1:48">
      <c r="A682" t="s">
        <v>622</v>
      </c>
      <c r="B682" t="s">
        <v>1186</v>
      </c>
      <c r="C682" t="s">
        <v>624</v>
      </c>
      <c r="D682" t="s">
        <v>1268</v>
      </c>
      <c r="E682" t="s">
        <v>1277</v>
      </c>
      <c r="F682" t="s">
        <v>1304</v>
      </c>
      <c r="G682" t="s">
        <v>1266</v>
      </c>
      <c r="H682" t="s">
        <v>1305</v>
      </c>
      <c r="I682" t="s">
        <v>1303</v>
      </c>
      <c r="J682" t="s">
        <v>1267</v>
      </c>
      <c r="K682" t="s">
        <v>1275</v>
      </c>
      <c r="L682" s="2" t="s">
        <v>1274</v>
      </c>
      <c r="M682" t="str">
        <f t="shared" ref="M682:AB682" si="2724">CONCATENATE("&lt;/li&gt;&lt;li&gt;&lt;a href=|http://",M1191,"/isaiah/3.htm","| ","title=|",M1190,"| target=|_top|&gt;",M1192,"&lt;/a&gt;")</f>
        <v>&lt;/li&gt;&lt;li&gt;&lt;a href=|http://niv.scripturetext.com/isaiah/3.htm| title=|New International Version| target=|_top|&gt;NIV&lt;/a&gt;</v>
      </c>
      <c r="N682" t="str">
        <f t="shared" si="2724"/>
        <v>&lt;/li&gt;&lt;li&gt;&lt;a href=|http://nlt.scripturetext.com/isaiah/3.htm| title=|New Living Translation| target=|_top|&gt;NLT&lt;/a&gt;</v>
      </c>
      <c r="O682" t="str">
        <f t="shared" si="2724"/>
        <v>&lt;/li&gt;&lt;li&gt;&lt;a href=|http://nasb.scripturetext.com/isaiah/3.htm| title=|New American Standard Bible| target=|_top|&gt;NAS&lt;/a&gt;</v>
      </c>
      <c r="P682" t="str">
        <f t="shared" si="2724"/>
        <v>&lt;/li&gt;&lt;li&gt;&lt;a href=|http://gwt.scripturetext.com/isaiah/3.htm| title=|God's Word Translation| target=|_top|&gt;GWT&lt;/a&gt;</v>
      </c>
      <c r="Q682" t="str">
        <f t="shared" si="2724"/>
        <v>&lt;/li&gt;&lt;li&gt;&lt;a href=|http://kingjbible.com/isaiah/3.htm| title=|King James Bible| target=|_top|&gt;KJV&lt;/a&gt;</v>
      </c>
      <c r="R682" t="str">
        <f t="shared" si="2724"/>
        <v>&lt;/li&gt;&lt;li&gt;&lt;a href=|http://asvbible.com/isaiah/3.htm| title=|American Standard Version| target=|_top|&gt;ASV&lt;/a&gt;</v>
      </c>
      <c r="S682" t="str">
        <f t="shared" si="2724"/>
        <v>&lt;/li&gt;&lt;li&gt;&lt;a href=|http://drb.scripturetext.com/isaiah/3.htm| title=|Douay-Rheims Bible| target=|_top|&gt;DRB&lt;/a&gt;</v>
      </c>
      <c r="T682" t="str">
        <f t="shared" si="2724"/>
        <v>&lt;/li&gt;&lt;li&gt;&lt;a href=|http://erv.scripturetext.com/isaiah/3.htm| title=|English Revised Version| target=|_top|&gt;ERV&lt;/a&gt;</v>
      </c>
      <c r="V682" t="str">
        <f>CONCATENATE("&lt;/li&gt;&lt;li&gt;&lt;a href=|http://",V1191,"/isaiah/3.htm","| ","title=|",V1190,"| target=|_top|&gt;",V1192,"&lt;/a&gt;")</f>
        <v>&lt;/li&gt;&lt;li&gt;&lt;a href=|http://study.interlinearbible.org/isaiah/3.htm| title=|Hebrew Study Bible| target=|_top|&gt;Heb Study&lt;/a&gt;</v>
      </c>
      <c r="W682" t="str">
        <f t="shared" si="2724"/>
        <v>&lt;/li&gt;&lt;li&gt;&lt;a href=|http://apostolic.interlinearbible.org/isaiah/3.htm| title=|Apostolic Bible Polyglot Interlinear| target=|_top|&gt;Polyglot&lt;/a&gt;</v>
      </c>
      <c r="X682" t="str">
        <f t="shared" si="2724"/>
        <v>&lt;/li&gt;&lt;li&gt;&lt;a href=|http://interlinearbible.org/isaiah/3.htm| title=|Interlinear Bible| target=|_top|&gt;Interlin&lt;/a&gt;</v>
      </c>
      <c r="Y682" t="str">
        <f t="shared" ref="Y682" si="2725">CONCATENATE("&lt;/li&gt;&lt;li&gt;&lt;a href=|http://",Y1191,"/isaiah/3.htm","| ","title=|",Y1190,"| target=|_top|&gt;",Y1192,"&lt;/a&gt;")</f>
        <v>&lt;/li&gt;&lt;li&gt;&lt;a href=|http://bibleoutline.org/isaiah/3.htm| title=|Outline with People and Places List| target=|_top|&gt;Outline&lt;/a&gt;</v>
      </c>
      <c r="Z682" t="str">
        <f t="shared" si="2724"/>
        <v>&lt;/li&gt;&lt;li&gt;&lt;a href=|http://kjvs.scripturetext.com/isaiah/3.htm| title=|King James Bible with Strong's Numbers| target=|_top|&gt;Strong's&lt;/a&gt;</v>
      </c>
      <c r="AA682" t="str">
        <f t="shared" si="2724"/>
        <v>&lt;/li&gt;&lt;li&gt;&lt;a href=|http://childrensbibleonline.com/isaiah/3.htm| title=|The Children's Bible| target=|_top|&gt;Children's&lt;/a&gt;</v>
      </c>
      <c r="AB682" s="2" t="str">
        <f t="shared" si="2724"/>
        <v>&lt;/li&gt;&lt;li&gt;&lt;a href=|http://tsk.scripturetext.com/isaiah/3.htm| title=|Treasury of Scripture Knowledge| target=|_top|&gt;TSK&lt;/a&gt;</v>
      </c>
      <c r="AC682" t="str">
        <f>CONCATENATE("&lt;a href=|http://",AC1191,"/isaiah/3.htm","| ","title=|",AC1190,"| target=|_top|&gt;",AC1192,"&lt;/a&gt;")</f>
        <v>&lt;a href=|http://parallelbible.com/isaiah/3.htm| title=|Parallel Chapters| target=|_top|&gt;PAR&lt;/a&gt;</v>
      </c>
      <c r="AD682" s="2" t="str">
        <f t="shared" ref="AD682:AK682" si="2726">CONCATENATE("&lt;/li&gt;&lt;li&gt;&lt;a href=|http://",AD1191,"/isaiah/3.htm","| ","title=|",AD1190,"| target=|_top|&gt;",AD1192,"&lt;/a&gt;")</f>
        <v>&lt;/li&gt;&lt;li&gt;&lt;a href=|http://gsb.biblecommenter.com/isaiah/3.htm| title=|Geneva Study Bible| target=|_top|&gt;GSB&lt;/a&gt;</v>
      </c>
      <c r="AE682" s="2" t="str">
        <f t="shared" si="2726"/>
        <v>&lt;/li&gt;&lt;li&gt;&lt;a href=|http://jfb.biblecommenter.com/isaiah/3.htm| title=|Jamieson-Fausset-Brown Bible Commentary| target=|_top|&gt;JFB&lt;/a&gt;</v>
      </c>
      <c r="AF682" s="2" t="str">
        <f t="shared" si="2726"/>
        <v>&lt;/li&gt;&lt;li&gt;&lt;a href=|http://kjt.biblecommenter.com/isaiah/3.htm| title=|King James Translators' Notes| target=|_top|&gt;KJT&lt;/a&gt;</v>
      </c>
      <c r="AG682" s="2" t="str">
        <f t="shared" si="2726"/>
        <v>&lt;/li&gt;&lt;li&gt;&lt;a href=|http://mhc.biblecommenter.com/isaiah/3.htm| title=|Matthew Henry's Concise Commentary| target=|_top|&gt;MHC&lt;/a&gt;</v>
      </c>
      <c r="AH682" s="2" t="str">
        <f t="shared" si="2726"/>
        <v>&lt;/li&gt;&lt;li&gt;&lt;a href=|http://sco.biblecommenter.com/isaiah/3.htm| title=|Scofield Reference Notes| target=|_top|&gt;SCO&lt;/a&gt;</v>
      </c>
      <c r="AI682" s="2" t="str">
        <f t="shared" si="2726"/>
        <v>&lt;/li&gt;&lt;li&gt;&lt;a href=|http://wes.biblecommenter.com/isaiah/3.htm| title=|Wesley's Notes on the Bible| target=|_top|&gt;WES&lt;/a&gt;</v>
      </c>
      <c r="AJ682" t="str">
        <f t="shared" si="2726"/>
        <v>&lt;/li&gt;&lt;li&gt;&lt;a href=|http://worldebible.com/isaiah/3.htm| title=|World English Bible| target=|_top|&gt;WEB&lt;/a&gt;</v>
      </c>
      <c r="AK682" t="str">
        <f t="shared" si="2726"/>
        <v>&lt;/li&gt;&lt;li&gt;&lt;a href=|http://yltbible.com/isaiah/3.htm| title=|Young's Literal Translation| target=|_top|&gt;YLT&lt;/a&gt;</v>
      </c>
      <c r="AL682" t="str">
        <f>CONCATENATE("&lt;a href=|http://",AL1191,"/isaiah/3.htm","| ","title=|",AL1190,"| target=|_top|&gt;",AL1192,"&lt;/a&gt;")</f>
        <v>&lt;a href=|http://kjv.us/isaiah/3.htm| title=|American King James Version| target=|_top|&gt;AKJ&lt;/a&gt;</v>
      </c>
      <c r="AM682" t="str">
        <f t="shared" ref="AM682:AN682" si="2727">CONCATENATE("&lt;/li&gt;&lt;li&gt;&lt;a href=|http://",AM1191,"/isaiah/3.htm","| ","title=|",AM1190,"| target=|_top|&gt;",AM1192,"&lt;/a&gt;")</f>
        <v>&lt;/li&gt;&lt;li&gt;&lt;a href=|http://basicenglishbible.com/isaiah/3.htm| title=|Bible in Basic English| target=|_top|&gt;BBE&lt;/a&gt;</v>
      </c>
      <c r="AN682" t="str">
        <f t="shared" si="2727"/>
        <v>&lt;/li&gt;&lt;li&gt;&lt;a href=|http://darbybible.com/isaiah/3.htm| title=|Darby Bible Translation| target=|_top|&gt;DBY&lt;/a&gt;</v>
      </c>
      <c r="AO68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8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8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82" t="str">
        <f>CONCATENATE("&lt;/li&gt;&lt;li&gt;&lt;a href=|http://",AR1191,"/isaiah/3.htm","| ","title=|",AR1190,"| target=|_top|&gt;",AR1192,"&lt;/a&gt;")</f>
        <v>&lt;/li&gt;&lt;li&gt;&lt;a href=|http://websterbible.com/isaiah/3.htm| title=|Webster's Bible Translation| target=|_top|&gt;WBS&lt;/a&gt;</v>
      </c>
      <c r="AS68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82" t="str">
        <f>CONCATENATE("&lt;/li&gt;&lt;li&gt;&lt;a href=|http://",AT1191,"/isaiah/3-1.htm","| ","title=|",AT1190,"| target=|_top|&gt;",AT1192,"&lt;/a&gt;")</f>
        <v>&lt;/li&gt;&lt;li&gt;&lt;a href=|http://biblebrowser.com/isaiah/3-1.htm| title=|Split View| target=|_top|&gt;Split&lt;/a&gt;</v>
      </c>
      <c r="AU682" s="2" t="s">
        <v>1276</v>
      </c>
      <c r="AV682" t="s">
        <v>64</v>
      </c>
    </row>
    <row r="683" spans="1:48">
      <c r="A683" t="s">
        <v>622</v>
      </c>
      <c r="B683" t="s">
        <v>1187</v>
      </c>
      <c r="C683" t="s">
        <v>624</v>
      </c>
      <c r="D683" t="s">
        <v>1268</v>
      </c>
      <c r="E683" t="s">
        <v>1277</v>
      </c>
      <c r="F683" t="s">
        <v>1304</v>
      </c>
      <c r="G683" t="s">
        <v>1266</v>
      </c>
      <c r="H683" t="s">
        <v>1305</v>
      </c>
      <c r="I683" t="s">
        <v>1303</v>
      </c>
      <c r="J683" t="s">
        <v>1267</v>
      </c>
      <c r="K683" t="s">
        <v>1275</v>
      </c>
      <c r="L683" s="2" t="s">
        <v>1274</v>
      </c>
      <c r="M683" t="str">
        <f t="shared" ref="M683:AB683" si="2728">CONCATENATE("&lt;/li&gt;&lt;li&gt;&lt;a href=|http://",M1191,"/isaiah/4.htm","| ","title=|",M1190,"| target=|_top|&gt;",M1192,"&lt;/a&gt;")</f>
        <v>&lt;/li&gt;&lt;li&gt;&lt;a href=|http://niv.scripturetext.com/isaiah/4.htm| title=|New International Version| target=|_top|&gt;NIV&lt;/a&gt;</v>
      </c>
      <c r="N683" t="str">
        <f t="shared" si="2728"/>
        <v>&lt;/li&gt;&lt;li&gt;&lt;a href=|http://nlt.scripturetext.com/isaiah/4.htm| title=|New Living Translation| target=|_top|&gt;NLT&lt;/a&gt;</v>
      </c>
      <c r="O683" t="str">
        <f t="shared" si="2728"/>
        <v>&lt;/li&gt;&lt;li&gt;&lt;a href=|http://nasb.scripturetext.com/isaiah/4.htm| title=|New American Standard Bible| target=|_top|&gt;NAS&lt;/a&gt;</v>
      </c>
      <c r="P683" t="str">
        <f t="shared" si="2728"/>
        <v>&lt;/li&gt;&lt;li&gt;&lt;a href=|http://gwt.scripturetext.com/isaiah/4.htm| title=|God's Word Translation| target=|_top|&gt;GWT&lt;/a&gt;</v>
      </c>
      <c r="Q683" t="str">
        <f t="shared" si="2728"/>
        <v>&lt;/li&gt;&lt;li&gt;&lt;a href=|http://kingjbible.com/isaiah/4.htm| title=|King James Bible| target=|_top|&gt;KJV&lt;/a&gt;</v>
      </c>
      <c r="R683" t="str">
        <f t="shared" si="2728"/>
        <v>&lt;/li&gt;&lt;li&gt;&lt;a href=|http://asvbible.com/isaiah/4.htm| title=|American Standard Version| target=|_top|&gt;ASV&lt;/a&gt;</v>
      </c>
      <c r="S683" t="str">
        <f t="shared" si="2728"/>
        <v>&lt;/li&gt;&lt;li&gt;&lt;a href=|http://drb.scripturetext.com/isaiah/4.htm| title=|Douay-Rheims Bible| target=|_top|&gt;DRB&lt;/a&gt;</v>
      </c>
      <c r="T683" t="str">
        <f t="shared" si="2728"/>
        <v>&lt;/li&gt;&lt;li&gt;&lt;a href=|http://erv.scripturetext.com/isaiah/4.htm| title=|English Revised Version| target=|_top|&gt;ERV&lt;/a&gt;</v>
      </c>
      <c r="V683" t="str">
        <f>CONCATENATE("&lt;/li&gt;&lt;li&gt;&lt;a href=|http://",V1191,"/isaiah/4.htm","| ","title=|",V1190,"| target=|_top|&gt;",V1192,"&lt;/a&gt;")</f>
        <v>&lt;/li&gt;&lt;li&gt;&lt;a href=|http://study.interlinearbible.org/isaiah/4.htm| title=|Hebrew Study Bible| target=|_top|&gt;Heb Study&lt;/a&gt;</v>
      </c>
      <c r="W683" t="str">
        <f t="shared" si="2728"/>
        <v>&lt;/li&gt;&lt;li&gt;&lt;a href=|http://apostolic.interlinearbible.org/isaiah/4.htm| title=|Apostolic Bible Polyglot Interlinear| target=|_top|&gt;Polyglot&lt;/a&gt;</v>
      </c>
      <c r="X683" t="str">
        <f t="shared" si="2728"/>
        <v>&lt;/li&gt;&lt;li&gt;&lt;a href=|http://interlinearbible.org/isaiah/4.htm| title=|Interlinear Bible| target=|_top|&gt;Interlin&lt;/a&gt;</v>
      </c>
      <c r="Y683" t="str">
        <f t="shared" ref="Y683" si="2729">CONCATENATE("&lt;/li&gt;&lt;li&gt;&lt;a href=|http://",Y1191,"/isaiah/4.htm","| ","title=|",Y1190,"| target=|_top|&gt;",Y1192,"&lt;/a&gt;")</f>
        <v>&lt;/li&gt;&lt;li&gt;&lt;a href=|http://bibleoutline.org/isaiah/4.htm| title=|Outline with People and Places List| target=|_top|&gt;Outline&lt;/a&gt;</v>
      </c>
      <c r="Z683" t="str">
        <f t="shared" si="2728"/>
        <v>&lt;/li&gt;&lt;li&gt;&lt;a href=|http://kjvs.scripturetext.com/isaiah/4.htm| title=|King James Bible with Strong's Numbers| target=|_top|&gt;Strong's&lt;/a&gt;</v>
      </c>
      <c r="AA683" t="str">
        <f t="shared" si="2728"/>
        <v>&lt;/li&gt;&lt;li&gt;&lt;a href=|http://childrensbibleonline.com/isaiah/4.htm| title=|The Children's Bible| target=|_top|&gt;Children's&lt;/a&gt;</v>
      </c>
      <c r="AB683" s="2" t="str">
        <f t="shared" si="2728"/>
        <v>&lt;/li&gt;&lt;li&gt;&lt;a href=|http://tsk.scripturetext.com/isaiah/4.htm| title=|Treasury of Scripture Knowledge| target=|_top|&gt;TSK&lt;/a&gt;</v>
      </c>
      <c r="AC683" t="str">
        <f>CONCATENATE("&lt;a href=|http://",AC1191,"/isaiah/4.htm","| ","title=|",AC1190,"| target=|_top|&gt;",AC1192,"&lt;/a&gt;")</f>
        <v>&lt;a href=|http://parallelbible.com/isaiah/4.htm| title=|Parallel Chapters| target=|_top|&gt;PAR&lt;/a&gt;</v>
      </c>
      <c r="AD683" s="2" t="str">
        <f t="shared" ref="AD683:AK683" si="2730">CONCATENATE("&lt;/li&gt;&lt;li&gt;&lt;a href=|http://",AD1191,"/isaiah/4.htm","| ","title=|",AD1190,"| target=|_top|&gt;",AD1192,"&lt;/a&gt;")</f>
        <v>&lt;/li&gt;&lt;li&gt;&lt;a href=|http://gsb.biblecommenter.com/isaiah/4.htm| title=|Geneva Study Bible| target=|_top|&gt;GSB&lt;/a&gt;</v>
      </c>
      <c r="AE683" s="2" t="str">
        <f t="shared" si="2730"/>
        <v>&lt;/li&gt;&lt;li&gt;&lt;a href=|http://jfb.biblecommenter.com/isaiah/4.htm| title=|Jamieson-Fausset-Brown Bible Commentary| target=|_top|&gt;JFB&lt;/a&gt;</v>
      </c>
      <c r="AF683" s="2" t="str">
        <f t="shared" si="2730"/>
        <v>&lt;/li&gt;&lt;li&gt;&lt;a href=|http://kjt.biblecommenter.com/isaiah/4.htm| title=|King James Translators' Notes| target=|_top|&gt;KJT&lt;/a&gt;</v>
      </c>
      <c r="AG683" s="2" t="str">
        <f t="shared" si="2730"/>
        <v>&lt;/li&gt;&lt;li&gt;&lt;a href=|http://mhc.biblecommenter.com/isaiah/4.htm| title=|Matthew Henry's Concise Commentary| target=|_top|&gt;MHC&lt;/a&gt;</v>
      </c>
      <c r="AH683" s="2" t="str">
        <f t="shared" si="2730"/>
        <v>&lt;/li&gt;&lt;li&gt;&lt;a href=|http://sco.biblecommenter.com/isaiah/4.htm| title=|Scofield Reference Notes| target=|_top|&gt;SCO&lt;/a&gt;</v>
      </c>
      <c r="AI683" s="2" t="str">
        <f t="shared" si="2730"/>
        <v>&lt;/li&gt;&lt;li&gt;&lt;a href=|http://wes.biblecommenter.com/isaiah/4.htm| title=|Wesley's Notes on the Bible| target=|_top|&gt;WES&lt;/a&gt;</v>
      </c>
      <c r="AJ683" t="str">
        <f t="shared" si="2730"/>
        <v>&lt;/li&gt;&lt;li&gt;&lt;a href=|http://worldebible.com/isaiah/4.htm| title=|World English Bible| target=|_top|&gt;WEB&lt;/a&gt;</v>
      </c>
      <c r="AK683" t="str">
        <f t="shared" si="2730"/>
        <v>&lt;/li&gt;&lt;li&gt;&lt;a href=|http://yltbible.com/isaiah/4.htm| title=|Young's Literal Translation| target=|_top|&gt;YLT&lt;/a&gt;</v>
      </c>
      <c r="AL683" t="str">
        <f>CONCATENATE("&lt;a href=|http://",AL1191,"/isaiah/4.htm","| ","title=|",AL1190,"| target=|_top|&gt;",AL1192,"&lt;/a&gt;")</f>
        <v>&lt;a href=|http://kjv.us/isaiah/4.htm| title=|American King James Version| target=|_top|&gt;AKJ&lt;/a&gt;</v>
      </c>
      <c r="AM683" t="str">
        <f t="shared" ref="AM683:AN683" si="2731">CONCATENATE("&lt;/li&gt;&lt;li&gt;&lt;a href=|http://",AM1191,"/isaiah/4.htm","| ","title=|",AM1190,"| target=|_top|&gt;",AM1192,"&lt;/a&gt;")</f>
        <v>&lt;/li&gt;&lt;li&gt;&lt;a href=|http://basicenglishbible.com/isaiah/4.htm| title=|Bible in Basic English| target=|_top|&gt;BBE&lt;/a&gt;</v>
      </c>
      <c r="AN683" t="str">
        <f t="shared" si="2731"/>
        <v>&lt;/li&gt;&lt;li&gt;&lt;a href=|http://darbybible.com/isaiah/4.htm| title=|Darby Bible Translation| target=|_top|&gt;DBY&lt;/a&gt;</v>
      </c>
      <c r="AO68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8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8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83" t="str">
        <f>CONCATENATE("&lt;/li&gt;&lt;li&gt;&lt;a href=|http://",AR1191,"/isaiah/4.htm","| ","title=|",AR1190,"| target=|_top|&gt;",AR1192,"&lt;/a&gt;")</f>
        <v>&lt;/li&gt;&lt;li&gt;&lt;a href=|http://websterbible.com/isaiah/4.htm| title=|Webster's Bible Translation| target=|_top|&gt;WBS&lt;/a&gt;</v>
      </c>
      <c r="AS68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83" t="str">
        <f>CONCATENATE("&lt;/li&gt;&lt;li&gt;&lt;a href=|http://",AT1191,"/isaiah/4-1.htm","| ","title=|",AT1190,"| target=|_top|&gt;",AT1192,"&lt;/a&gt;")</f>
        <v>&lt;/li&gt;&lt;li&gt;&lt;a href=|http://biblebrowser.com/isaiah/4-1.htm| title=|Split View| target=|_top|&gt;Split&lt;/a&gt;</v>
      </c>
      <c r="AU683" s="2" t="s">
        <v>1276</v>
      </c>
      <c r="AV683" t="s">
        <v>64</v>
      </c>
    </row>
    <row r="684" spans="1:48">
      <c r="A684" t="s">
        <v>622</v>
      </c>
      <c r="B684" t="s">
        <v>1188</v>
      </c>
      <c r="C684" t="s">
        <v>624</v>
      </c>
      <c r="D684" t="s">
        <v>1268</v>
      </c>
      <c r="E684" t="s">
        <v>1277</v>
      </c>
      <c r="F684" t="s">
        <v>1304</v>
      </c>
      <c r="G684" t="s">
        <v>1266</v>
      </c>
      <c r="H684" t="s">
        <v>1305</v>
      </c>
      <c r="I684" t="s">
        <v>1303</v>
      </c>
      <c r="J684" t="s">
        <v>1267</v>
      </c>
      <c r="K684" t="s">
        <v>1275</v>
      </c>
      <c r="L684" s="2" t="s">
        <v>1274</v>
      </c>
      <c r="M684" t="str">
        <f t="shared" ref="M684:AB684" si="2732">CONCATENATE("&lt;/li&gt;&lt;li&gt;&lt;a href=|http://",M1191,"/isaiah/5.htm","| ","title=|",M1190,"| target=|_top|&gt;",M1192,"&lt;/a&gt;")</f>
        <v>&lt;/li&gt;&lt;li&gt;&lt;a href=|http://niv.scripturetext.com/isaiah/5.htm| title=|New International Version| target=|_top|&gt;NIV&lt;/a&gt;</v>
      </c>
      <c r="N684" t="str">
        <f t="shared" si="2732"/>
        <v>&lt;/li&gt;&lt;li&gt;&lt;a href=|http://nlt.scripturetext.com/isaiah/5.htm| title=|New Living Translation| target=|_top|&gt;NLT&lt;/a&gt;</v>
      </c>
      <c r="O684" t="str">
        <f t="shared" si="2732"/>
        <v>&lt;/li&gt;&lt;li&gt;&lt;a href=|http://nasb.scripturetext.com/isaiah/5.htm| title=|New American Standard Bible| target=|_top|&gt;NAS&lt;/a&gt;</v>
      </c>
      <c r="P684" t="str">
        <f t="shared" si="2732"/>
        <v>&lt;/li&gt;&lt;li&gt;&lt;a href=|http://gwt.scripturetext.com/isaiah/5.htm| title=|God's Word Translation| target=|_top|&gt;GWT&lt;/a&gt;</v>
      </c>
      <c r="Q684" t="str">
        <f t="shared" si="2732"/>
        <v>&lt;/li&gt;&lt;li&gt;&lt;a href=|http://kingjbible.com/isaiah/5.htm| title=|King James Bible| target=|_top|&gt;KJV&lt;/a&gt;</v>
      </c>
      <c r="R684" t="str">
        <f t="shared" si="2732"/>
        <v>&lt;/li&gt;&lt;li&gt;&lt;a href=|http://asvbible.com/isaiah/5.htm| title=|American Standard Version| target=|_top|&gt;ASV&lt;/a&gt;</v>
      </c>
      <c r="S684" t="str">
        <f t="shared" si="2732"/>
        <v>&lt;/li&gt;&lt;li&gt;&lt;a href=|http://drb.scripturetext.com/isaiah/5.htm| title=|Douay-Rheims Bible| target=|_top|&gt;DRB&lt;/a&gt;</v>
      </c>
      <c r="T684" t="str">
        <f t="shared" si="2732"/>
        <v>&lt;/li&gt;&lt;li&gt;&lt;a href=|http://erv.scripturetext.com/isaiah/5.htm| title=|English Revised Version| target=|_top|&gt;ERV&lt;/a&gt;</v>
      </c>
      <c r="V684" t="str">
        <f>CONCATENATE("&lt;/li&gt;&lt;li&gt;&lt;a href=|http://",V1191,"/isaiah/5.htm","| ","title=|",V1190,"| target=|_top|&gt;",V1192,"&lt;/a&gt;")</f>
        <v>&lt;/li&gt;&lt;li&gt;&lt;a href=|http://study.interlinearbible.org/isaiah/5.htm| title=|Hebrew Study Bible| target=|_top|&gt;Heb Study&lt;/a&gt;</v>
      </c>
      <c r="W684" t="str">
        <f t="shared" si="2732"/>
        <v>&lt;/li&gt;&lt;li&gt;&lt;a href=|http://apostolic.interlinearbible.org/isaiah/5.htm| title=|Apostolic Bible Polyglot Interlinear| target=|_top|&gt;Polyglot&lt;/a&gt;</v>
      </c>
      <c r="X684" t="str">
        <f t="shared" si="2732"/>
        <v>&lt;/li&gt;&lt;li&gt;&lt;a href=|http://interlinearbible.org/isaiah/5.htm| title=|Interlinear Bible| target=|_top|&gt;Interlin&lt;/a&gt;</v>
      </c>
      <c r="Y684" t="str">
        <f t="shared" ref="Y684" si="2733">CONCATENATE("&lt;/li&gt;&lt;li&gt;&lt;a href=|http://",Y1191,"/isaiah/5.htm","| ","title=|",Y1190,"| target=|_top|&gt;",Y1192,"&lt;/a&gt;")</f>
        <v>&lt;/li&gt;&lt;li&gt;&lt;a href=|http://bibleoutline.org/isaiah/5.htm| title=|Outline with People and Places List| target=|_top|&gt;Outline&lt;/a&gt;</v>
      </c>
      <c r="Z684" t="str">
        <f t="shared" si="2732"/>
        <v>&lt;/li&gt;&lt;li&gt;&lt;a href=|http://kjvs.scripturetext.com/isaiah/5.htm| title=|King James Bible with Strong's Numbers| target=|_top|&gt;Strong's&lt;/a&gt;</v>
      </c>
      <c r="AA684" t="str">
        <f t="shared" si="2732"/>
        <v>&lt;/li&gt;&lt;li&gt;&lt;a href=|http://childrensbibleonline.com/isaiah/5.htm| title=|The Children's Bible| target=|_top|&gt;Children's&lt;/a&gt;</v>
      </c>
      <c r="AB684" s="2" t="str">
        <f t="shared" si="2732"/>
        <v>&lt;/li&gt;&lt;li&gt;&lt;a href=|http://tsk.scripturetext.com/isaiah/5.htm| title=|Treasury of Scripture Knowledge| target=|_top|&gt;TSK&lt;/a&gt;</v>
      </c>
      <c r="AC684" t="str">
        <f>CONCATENATE("&lt;a href=|http://",AC1191,"/isaiah/5.htm","| ","title=|",AC1190,"| target=|_top|&gt;",AC1192,"&lt;/a&gt;")</f>
        <v>&lt;a href=|http://parallelbible.com/isaiah/5.htm| title=|Parallel Chapters| target=|_top|&gt;PAR&lt;/a&gt;</v>
      </c>
      <c r="AD684" s="2" t="str">
        <f t="shared" ref="AD684:AK684" si="2734">CONCATENATE("&lt;/li&gt;&lt;li&gt;&lt;a href=|http://",AD1191,"/isaiah/5.htm","| ","title=|",AD1190,"| target=|_top|&gt;",AD1192,"&lt;/a&gt;")</f>
        <v>&lt;/li&gt;&lt;li&gt;&lt;a href=|http://gsb.biblecommenter.com/isaiah/5.htm| title=|Geneva Study Bible| target=|_top|&gt;GSB&lt;/a&gt;</v>
      </c>
      <c r="AE684" s="2" t="str">
        <f t="shared" si="2734"/>
        <v>&lt;/li&gt;&lt;li&gt;&lt;a href=|http://jfb.biblecommenter.com/isaiah/5.htm| title=|Jamieson-Fausset-Brown Bible Commentary| target=|_top|&gt;JFB&lt;/a&gt;</v>
      </c>
      <c r="AF684" s="2" t="str">
        <f t="shared" si="2734"/>
        <v>&lt;/li&gt;&lt;li&gt;&lt;a href=|http://kjt.biblecommenter.com/isaiah/5.htm| title=|King James Translators' Notes| target=|_top|&gt;KJT&lt;/a&gt;</v>
      </c>
      <c r="AG684" s="2" t="str">
        <f t="shared" si="2734"/>
        <v>&lt;/li&gt;&lt;li&gt;&lt;a href=|http://mhc.biblecommenter.com/isaiah/5.htm| title=|Matthew Henry's Concise Commentary| target=|_top|&gt;MHC&lt;/a&gt;</v>
      </c>
      <c r="AH684" s="2" t="str">
        <f t="shared" si="2734"/>
        <v>&lt;/li&gt;&lt;li&gt;&lt;a href=|http://sco.biblecommenter.com/isaiah/5.htm| title=|Scofield Reference Notes| target=|_top|&gt;SCO&lt;/a&gt;</v>
      </c>
      <c r="AI684" s="2" t="str">
        <f t="shared" si="2734"/>
        <v>&lt;/li&gt;&lt;li&gt;&lt;a href=|http://wes.biblecommenter.com/isaiah/5.htm| title=|Wesley's Notes on the Bible| target=|_top|&gt;WES&lt;/a&gt;</v>
      </c>
      <c r="AJ684" t="str">
        <f t="shared" si="2734"/>
        <v>&lt;/li&gt;&lt;li&gt;&lt;a href=|http://worldebible.com/isaiah/5.htm| title=|World English Bible| target=|_top|&gt;WEB&lt;/a&gt;</v>
      </c>
      <c r="AK684" t="str">
        <f t="shared" si="2734"/>
        <v>&lt;/li&gt;&lt;li&gt;&lt;a href=|http://yltbible.com/isaiah/5.htm| title=|Young's Literal Translation| target=|_top|&gt;YLT&lt;/a&gt;</v>
      </c>
      <c r="AL684" t="str">
        <f>CONCATENATE("&lt;a href=|http://",AL1191,"/isaiah/5.htm","| ","title=|",AL1190,"| target=|_top|&gt;",AL1192,"&lt;/a&gt;")</f>
        <v>&lt;a href=|http://kjv.us/isaiah/5.htm| title=|American King James Version| target=|_top|&gt;AKJ&lt;/a&gt;</v>
      </c>
      <c r="AM684" t="str">
        <f t="shared" ref="AM684:AN684" si="2735">CONCATENATE("&lt;/li&gt;&lt;li&gt;&lt;a href=|http://",AM1191,"/isaiah/5.htm","| ","title=|",AM1190,"| target=|_top|&gt;",AM1192,"&lt;/a&gt;")</f>
        <v>&lt;/li&gt;&lt;li&gt;&lt;a href=|http://basicenglishbible.com/isaiah/5.htm| title=|Bible in Basic English| target=|_top|&gt;BBE&lt;/a&gt;</v>
      </c>
      <c r="AN684" t="str">
        <f t="shared" si="2735"/>
        <v>&lt;/li&gt;&lt;li&gt;&lt;a href=|http://darbybible.com/isaiah/5.htm| title=|Darby Bible Translation| target=|_top|&gt;DBY&lt;/a&gt;</v>
      </c>
      <c r="AO68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8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8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84" t="str">
        <f>CONCATENATE("&lt;/li&gt;&lt;li&gt;&lt;a href=|http://",AR1191,"/isaiah/5.htm","| ","title=|",AR1190,"| target=|_top|&gt;",AR1192,"&lt;/a&gt;")</f>
        <v>&lt;/li&gt;&lt;li&gt;&lt;a href=|http://websterbible.com/isaiah/5.htm| title=|Webster's Bible Translation| target=|_top|&gt;WBS&lt;/a&gt;</v>
      </c>
      <c r="AS68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84" t="str">
        <f>CONCATENATE("&lt;/li&gt;&lt;li&gt;&lt;a href=|http://",AT1191,"/isaiah/5-1.htm","| ","title=|",AT1190,"| target=|_top|&gt;",AT1192,"&lt;/a&gt;")</f>
        <v>&lt;/li&gt;&lt;li&gt;&lt;a href=|http://biblebrowser.com/isaiah/5-1.htm| title=|Split View| target=|_top|&gt;Split&lt;/a&gt;</v>
      </c>
      <c r="AU684" s="2" t="s">
        <v>1276</v>
      </c>
      <c r="AV684" t="s">
        <v>64</v>
      </c>
    </row>
    <row r="685" spans="1:48">
      <c r="A685" t="s">
        <v>622</v>
      </c>
      <c r="B685" t="s">
        <v>1189</v>
      </c>
      <c r="C685" t="s">
        <v>624</v>
      </c>
      <c r="D685" t="s">
        <v>1268</v>
      </c>
      <c r="E685" t="s">
        <v>1277</v>
      </c>
      <c r="F685" t="s">
        <v>1304</v>
      </c>
      <c r="G685" t="s">
        <v>1266</v>
      </c>
      <c r="H685" t="s">
        <v>1305</v>
      </c>
      <c r="I685" t="s">
        <v>1303</v>
      </c>
      <c r="J685" t="s">
        <v>1267</v>
      </c>
      <c r="K685" t="s">
        <v>1275</v>
      </c>
      <c r="L685" s="2" t="s">
        <v>1274</v>
      </c>
      <c r="M685" t="str">
        <f t="shared" ref="M685:AB685" si="2736">CONCATENATE("&lt;/li&gt;&lt;li&gt;&lt;a href=|http://",M1191,"/isaiah/6.htm","| ","title=|",M1190,"| target=|_top|&gt;",M1192,"&lt;/a&gt;")</f>
        <v>&lt;/li&gt;&lt;li&gt;&lt;a href=|http://niv.scripturetext.com/isaiah/6.htm| title=|New International Version| target=|_top|&gt;NIV&lt;/a&gt;</v>
      </c>
      <c r="N685" t="str">
        <f t="shared" si="2736"/>
        <v>&lt;/li&gt;&lt;li&gt;&lt;a href=|http://nlt.scripturetext.com/isaiah/6.htm| title=|New Living Translation| target=|_top|&gt;NLT&lt;/a&gt;</v>
      </c>
      <c r="O685" t="str">
        <f t="shared" si="2736"/>
        <v>&lt;/li&gt;&lt;li&gt;&lt;a href=|http://nasb.scripturetext.com/isaiah/6.htm| title=|New American Standard Bible| target=|_top|&gt;NAS&lt;/a&gt;</v>
      </c>
      <c r="P685" t="str">
        <f t="shared" si="2736"/>
        <v>&lt;/li&gt;&lt;li&gt;&lt;a href=|http://gwt.scripturetext.com/isaiah/6.htm| title=|God's Word Translation| target=|_top|&gt;GWT&lt;/a&gt;</v>
      </c>
      <c r="Q685" t="str">
        <f t="shared" si="2736"/>
        <v>&lt;/li&gt;&lt;li&gt;&lt;a href=|http://kingjbible.com/isaiah/6.htm| title=|King James Bible| target=|_top|&gt;KJV&lt;/a&gt;</v>
      </c>
      <c r="R685" t="str">
        <f t="shared" si="2736"/>
        <v>&lt;/li&gt;&lt;li&gt;&lt;a href=|http://asvbible.com/isaiah/6.htm| title=|American Standard Version| target=|_top|&gt;ASV&lt;/a&gt;</v>
      </c>
      <c r="S685" t="str">
        <f t="shared" si="2736"/>
        <v>&lt;/li&gt;&lt;li&gt;&lt;a href=|http://drb.scripturetext.com/isaiah/6.htm| title=|Douay-Rheims Bible| target=|_top|&gt;DRB&lt;/a&gt;</v>
      </c>
      <c r="T685" t="str">
        <f t="shared" si="2736"/>
        <v>&lt;/li&gt;&lt;li&gt;&lt;a href=|http://erv.scripturetext.com/isaiah/6.htm| title=|English Revised Version| target=|_top|&gt;ERV&lt;/a&gt;</v>
      </c>
      <c r="V685" t="str">
        <f>CONCATENATE("&lt;/li&gt;&lt;li&gt;&lt;a href=|http://",V1191,"/isaiah/6.htm","| ","title=|",V1190,"| target=|_top|&gt;",V1192,"&lt;/a&gt;")</f>
        <v>&lt;/li&gt;&lt;li&gt;&lt;a href=|http://study.interlinearbible.org/isaiah/6.htm| title=|Hebrew Study Bible| target=|_top|&gt;Heb Study&lt;/a&gt;</v>
      </c>
      <c r="W685" t="str">
        <f t="shared" si="2736"/>
        <v>&lt;/li&gt;&lt;li&gt;&lt;a href=|http://apostolic.interlinearbible.org/isaiah/6.htm| title=|Apostolic Bible Polyglot Interlinear| target=|_top|&gt;Polyglot&lt;/a&gt;</v>
      </c>
      <c r="X685" t="str">
        <f t="shared" si="2736"/>
        <v>&lt;/li&gt;&lt;li&gt;&lt;a href=|http://interlinearbible.org/isaiah/6.htm| title=|Interlinear Bible| target=|_top|&gt;Interlin&lt;/a&gt;</v>
      </c>
      <c r="Y685" t="str">
        <f t="shared" ref="Y685" si="2737">CONCATENATE("&lt;/li&gt;&lt;li&gt;&lt;a href=|http://",Y1191,"/isaiah/6.htm","| ","title=|",Y1190,"| target=|_top|&gt;",Y1192,"&lt;/a&gt;")</f>
        <v>&lt;/li&gt;&lt;li&gt;&lt;a href=|http://bibleoutline.org/isaiah/6.htm| title=|Outline with People and Places List| target=|_top|&gt;Outline&lt;/a&gt;</v>
      </c>
      <c r="Z685" t="str">
        <f t="shared" si="2736"/>
        <v>&lt;/li&gt;&lt;li&gt;&lt;a href=|http://kjvs.scripturetext.com/isaiah/6.htm| title=|King James Bible with Strong's Numbers| target=|_top|&gt;Strong's&lt;/a&gt;</v>
      </c>
      <c r="AA685" t="str">
        <f t="shared" si="2736"/>
        <v>&lt;/li&gt;&lt;li&gt;&lt;a href=|http://childrensbibleonline.com/isaiah/6.htm| title=|The Children's Bible| target=|_top|&gt;Children's&lt;/a&gt;</v>
      </c>
      <c r="AB685" s="2" t="str">
        <f t="shared" si="2736"/>
        <v>&lt;/li&gt;&lt;li&gt;&lt;a href=|http://tsk.scripturetext.com/isaiah/6.htm| title=|Treasury of Scripture Knowledge| target=|_top|&gt;TSK&lt;/a&gt;</v>
      </c>
      <c r="AC685" t="str">
        <f>CONCATENATE("&lt;a href=|http://",AC1191,"/isaiah/6.htm","| ","title=|",AC1190,"| target=|_top|&gt;",AC1192,"&lt;/a&gt;")</f>
        <v>&lt;a href=|http://parallelbible.com/isaiah/6.htm| title=|Parallel Chapters| target=|_top|&gt;PAR&lt;/a&gt;</v>
      </c>
      <c r="AD685" s="2" t="str">
        <f t="shared" ref="AD685:AK685" si="2738">CONCATENATE("&lt;/li&gt;&lt;li&gt;&lt;a href=|http://",AD1191,"/isaiah/6.htm","| ","title=|",AD1190,"| target=|_top|&gt;",AD1192,"&lt;/a&gt;")</f>
        <v>&lt;/li&gt;&lt;li&gt;&lt;a href=|http://gsb.biblecommenter.com/isaiah/6.htm| title=|Geneva Study Bible| target=|_top|&gt;GSB&lt;/a&gt;</v>
      </c>
      <c r="AE685" s="2" t="str">
        <f t="shared" si="2738"/>
        <v>&lt;/li&gt;&lt;li&gt;&lt;a href=|http://jfb.biblecommenter.com/isaiah/6.htm| title=|Jamieson-Fausset-Brown Bible Commentary| target=|_top|&gt;JFB&lt;/a&gt;</v>
      </c>
      <c r="AF685" s="2" t="str">
        <f t="shared" si="2738"/>
        <v>&lt;/li&gt;&lt;li&gt;&lt;a href=|http://kjt.biblecommenter.com/isaiah/6.htm| title=|King James Translators' Notes| target=|_top|&gt;KJT&lt;/a&gt;</v>
      </c>
      <c r="AG685" s="2" t="str">
        <f t="shared" si="2738"/>
        <v>&lt;/li&gt;&lt;li&gt;&lt;a href=|http://mhc.biblecommenter.com/isaiah/6.htm| title=|Matthew Henry's Concise Commentary| target=|_top|&gt;MHC&lt;/a&gt;</v>
      </c>
      <c r="AH685" s="2" t="str">
        <f t="shared" si="2738"/>
        <v>&lt;/li&gt;&lt;li&gt;&lt;a href=|http://sco.biblecommenter.com/isaiah/6.htm| title=|Scofield Reference Notes| target=|_top|&gt;SCO&lt;/a&gt;</v>
      </c>
      <c r="AI685" s="2" t="str">
        <f t="shared" si="2738"/>
        <v>&lt;/li&gt;&lt;li&gt;&lt;a href=|http://wes.biblecommenter.com/isaiah/6.htm| title=|Wesley's Notes on the Bible| target=|_top|&gt;WES&lt;/a&gt;</v>
      </c>
      <c r="AJ685" t="str">
        <f t="shared" si="2738"/>
        <v>&lt;/li&gt;&lt;li&gt;&lt;a href=|http://worldebible.com/isaiah/6.htm| title=|World English Bible| target=|_top|&gt;WEB&lt;/a&gt;</v>
      </c>
      <c r="AK685" t="str">
        <f t="shared" si="2738"/>
        <v>&lt;/li&gt;&lt;li&gt;&lt;a href=|http://yltbible.com/isaiah/6.htm| title=|Young's Literal Translation| target=|_top|&gt;YLT&lt;/a&gt;</v>
      </c>
      <c r="AL685" t="str">
        <f>CONCATENATE("&lt;a href=|http://",AL1191,"/isaiah/6.htm","| ","title=|",AL1190,"| target=|_top|&gt;",AL1192,"&lt;/a&gt;")</f>
        <v>&lt;a href=|http://kjv.us/isaiah/6.htm| title=|American King James Version| target=|_top|&gt;AKJ&lt;/a&gt;</v>
      </c>
      <c r="AM685" t="str">
        <f t="shared" ref="AM685:AN685" si="2739">CONCATENATE("&lt;/li&gt;&lt;li&gt;&lt;a href=|http://",AM1191,"/isaiah/6.htm","| ","title=|",AM1190,"| target=|_top|&gt;",AM1192,"&lt;/a&gt;")</f>
        <v>&lt;/li&gt;&lt;li&gt;&lt;a href=|http://basicenglishbible.com/isaiah/6.htm| title=|Bible in Basic English| target=|_top|&gt;BBE&lt;/a&gt;</v>
      </c>
      <c r="AN685" t="str">
        <f t="shared" si="2739"/>
        <v>&lt;/li&gt;&lt;li&gt;&lt;a href=|http://darbybible.com/isaiah/6.htm| title=|Darby Bible Translation| target=|_top|&gt;DBY&lt;/a&gt;</v>
      </c>
      <c r="AO68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8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8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85" t="str">
        <f>CONCATENATE("&lt;/li&gt;&lt;li&gt;&lt;a href=|http://",AR1191,"/isaiah/6.htm","| ","title=|",AR1190,"| target=|_top|&gt;",AR1192,"&lt;/a&gt;")</f>
        <v>&lt;/li&gt;&lt;li&gt;&lt;a href=|http://websterbible.com/isaiah/6.htm| title=|Webster's Bible Translation| target=|_top|&gt;WBS&lt;/a&gt;</v>
      </c>
      <c r="AS68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85" t="str">
        <f>CONCATENATE("&lt;/li&gt;&lt;li&gt;&lt;a href=|http://",AT1191,"/isaiah/6-1.htm","| ","title=|",AT1190,"| target=|_top|&gt;",AT1192,"&lt;/a&gt;")</f>
        <v>&lt;/li&gt;&lt;li&gt;&lt;a href=|http://biblebrowser.com/isaiah/6-1.htm| title=|Split View| target=|_top|&gt;Split&lt;/a&gt;</v>
      </c>
      <c r="AU685" s="2" t="s">
        <v>1276</v>
      </c>
      <c r="AV685" t="s">
        <v>64</v>
      </c>
    </row>
    <row r="686" spans="1:48">
      <c r="A686" t="s">
        <v>622</v>
      </c>
      <c r="B686" t="s">
        <v>1190</v>
      </c>
      <c r="C686" t="s">
        <v>624</v>
      </c>
      <c r="D686" t="s">
        <v>1268</v>
      </c>
      <c r="E686" t="s">
        <v>1277</v>
      </c>
      <c r="F686" t="s">
        <v>1304</v>
      </c>
      <c r="G686" t="s">
        <v>1266</v>
      </c>
      <c r="H686" t="s">
        <v>1305</v>
      </c>
      <c r="I686" t="s">
        <v>1303</v>
      </c>
      <c r="J686" t="s">
        <v>1267</v>
      </c>
      <c r="K686" t="s">
        <v>1275</v>
      </c>
      <c r="L686" s="2" t="s">
        <v>1274</v>
      </c>
      <c r="M686" t="str">
        <f t="shared" ref="M686:AB686" si="2740">CONCATENATE("&lt;/li&gt;&lt;li&gt;&lt;a href=|http://",M1191,"/isaiah/7.htm","| ","title=|",M1190,"| target=|_top|&gt;",M1192,"&lt;/a&gt;")</f>
        <v>&lt;/li&gt;&lt;li&gt;&lt;a href=|http://niv.scripturetext.com/isaiah/7.htm| title=|New International Version| target=|_top|&gt;NIV&lt;/a&gt;</v>
      </c>
      <c r="N686" t="str">
        <f t="shared" si="2740"/>
        <v>&lt;/li&gt;&lt;li&gt;&lt;a href=|http://nlt.scripturetext.com/isaiah/7.htm| title=|New Living Translation| target=|_top|&gt;NLT&lt;/a&gt;</v>
      </c>
      <c r="O686" t="str">
        <f t="shared" si="2740"/>
        <v>&lt;/li&gt;&lt;li&gt;&lt;a href=|http://nasb.scripturetext.com/isaiah/7.htm| title=|New American Standard Bible| target=|_top|&gt;NAS&lt;/a&gt;</v>
      </c>
      <c r="P686" t="str">
        <f t="shared" si="2740"/>
        <v>&lt;/li&gt;&lt;li&gt;&lt;a href=|http://gwt.scripturetext.com/isaiah/7.htm| title=|God's Word Translation| target=|_top|&gt;GWT&lt;/a&gt;</v>
      </c>
      <c r="Q686" t="str">
        <f t="shared" si="2740"/>
        <v>&lt;/li&gt;&lt;li&gt;&lt;a href=|http://kingjbible.com/isaiah/7.htm| title=|King James Bible| target=|_top|&gt;KJV&lt;/a&gt;</v>
      </c>
      <c r="R686" t="str">
        <f t="shared" si="2740"/>
        <v>&lt;/li&gt;&lt;li&gt;&lt;a href=|http://asvbible.com/isaiah/7.htm| title=|American Standard Version| target=|_top|&gt;ASV&lt;/a&gt;</v>
      </c>
      <c r="S686" t="str">
        <f t="shared" si="2740"/>
        <v>&lt;/li&gt;&lt;li&gt;&lt;a href=|http://drb.scripturetext.com/isaiah/7.htm| title=|Douay-Rheims Bible| target=|_top|&gt;DRB&lt;/a&gt;</v>
      </c>
      <c r="T686" t="str">
        <f t="shared" si="2740"/>
        <v>&lt;/li&gt;&lt;li&gt;&lt;a href=|http://erv.scripturetext.com/isaiah/7.htm| title=|English Revised Version| target=|_top|&gt;ERV&lt;/a&gt;</v>
      </c>
      <c r="V686" t="str">
        <f>CONCATENATE("&lt;/li&gt;&lt;li&gt;&lt;a href=|http://",V1191,"/isaiah/7.htm","| ","title=|",V1190,"| target=|_top|&gt;",V1192,"&lt;/a&gt;")</f>
        <v>&lt;/li&gt;&lt;li&gt;&lt;a href=|http://study.interlinearbible.org/isaiah/7.htm| title=|Hebrew Study Bible| target=|_top|&gt;Heb Study&lt;/a&gt;</v>
      </c>
      <c r="W686" t="str">
        <f t="shared" si="2740"/>
        <v>&lt;/li&gt;&lt;li&gt;&lt;a href=|http://apostolic.interlinearbible.org/isaiah/7.htm| title=|Apostolic Bible Polyglot Interlinear| target=|_top|&gt;Polyglot&lt;/a&gt;</v>
      </c>
      <c r="X686" t="str">
        <f t="shared" si="2740"/>
        <v>&lt;/li&gt;&lt;li&gt;&lt;a href=|http://interlinearbible.org/isaiah/7.htm| title=|Interlinear Bible| target=|_top|&gt;Interlin&lt;/a&gt;</v>
      </c>
      <c r="Y686" t="str">
        <f t="shared" ref="Y686" si="2741">CONCATENATE("&lt;/li&gt;&lt;li&gt;&lt;a href=|http://",Y1191,"/isaiah/7.htm","| ","title=|",Y1190,"| target=|_top|&gt;",Y1192,"&lt;/a&gt;")</f>
        <v>&lt;/li&gt;&lt;li&gt;&lt;a href=|http://bibleoutline.org/isaiah/7.htm| title=|Outline with People and Places List| target=|_top|&gt;Outline&lt;/a&gt;</v>
      </c>
      <c r="Z686" t="str">
        <f t="shared" si="2740"/>
        <v>&lt;/li&gt;&lt;li&gt;&lt;a href=|http://kjvs.scripturetext.com/isaiah/7.htm| title=|King James Bible with Strong's Numbers| target=|_top|&gt;Strong's&lt;/a&gt;</v>
      </c>
      <c r="AA686" t="str">
        <f t="shared" si="2740"/>
        <v>&lt;/li&gt;&lt;li&gt;&lt;a href=|http://childrensbibleonline.com/isaiah/7.htm| title=|The Children's Bible| target=|_top|&gt;Children's&lt;/a&gt;</v>
      </c>
      <c r="AB686" s="2" t="str">
        <f t="shared" si="2740"/>
        <v>&lt;/li&gt;&lt;li&gt;&lt;a href=|http://tsk.scripturetext.com/isaiah/7.htm| title=|Treasury of Scripture Knowledge| target=|_top|&gt;TSK&lt;/a&gt;</v>
      </c>
      <c r="AC686" t="str">
        <f>CONCATENATE("&lt;a href=|http://",AC1191,"/isaiah/7.htm","| ","title=|",AC1190,"| target=|_top|&gt;",AC1192,"&lt;/a&gt;")</f>
        <v>&lt;a href=|http://parallelbible.com/isaiah/7.htm| title=|Parallel Chapters| target=|_top|&gt;PAR&lt;/a&gt;</v>
      </c>
      <c r="AD686" s="2" t="str">
        <f t="shared" ref="AD686:AK686" si="2742">CONCATENATE("&lt;/li&gt;&lt;li&gt;&lt;a href=|http://",AD1191,"/isaiah/7.htm","| ","title=|",AD1190,"| target=|_top|&gt;",AD1192,"&lt;/a&gt;")</f>
        <v>&lt;/li&gt;&lt;li&gt;&lt;a href=|http://gsb.biblecommenter.com/isaiah/7.htm| title=|Geneva Study Bible| target=|_top|&gt;GSB&lt;/a&gt;</v>
      </c>
      <c r="AE686" s="2" t="str">
        <f t="shared" si="2742"/>
        <v>&lt;/li&gt;&lt;li&gt;&lt;a href=|http://jfb.biblecommenter.com/isaiah/7.htm| title=|Jamieson-Fausset-Brown Bible Commentary| target=|_top|&gt;JFB&lt;/a&gt;</v>
      </c>
      <c r="AF686" s="2" t="str">
        <f t="shared" si="2742"/>
        <v>&lt;/li&gt;&lt;li&gt;&lt;a href=|http://kjt.biblecommenter.com/isaiah/7.htm| title=|King James Translators' Notes| target=|_top|&gt;KJT&lt;/a&gt;</v>
      </c>
      <c r="AG686" s="2" t="str">
        <f t="shared" si="2742"/>
        <v>&lt;/li&gt;&lt;li&gt;&lt;a href=|http://mhc.biblecommenter.com/isaiah/7.htm| title=|Matthew Henry's Concise Commentary| target=|_top|&gt;MHC&lt;/a&gt;</v>
      </c>
      <c r="AH686" s="2" t="str">
        <f t="shared" si="2742"/>
        <v>&lt;/li&gt;&lt;li&gt;&lt;a href=|http://sco.biblecommenter.com/isaiah/7.htm| title=|Scofield Reference Notes| target=|_top|&gt;SCO&lt;/a&gt;</v>
      </c>
      <c r="AI686" s="2" t="str">
        <f t="shared" si="2742"/>
        <v>&lt;/li&gt;&lt;li&gt;&lt;a href=|http://wes.biblecommenter.com/isaiah/7.htm| title=|Wesley's Notes on the Bible| target=|_top|&gt;WES&lt;/a&gt;</v>
      </c>
      <c r="AJ686" t="str">
        <f t="shared" si="2742"/>
        <v>&lt;/li&gt;&lt;li&gt;&lt;a href=|http://worldebible.com/isaiah/7.htm| title=|World English Bible| target=|_top|&gt;WEB&lt;/a&gt;</v>
      </c>
      <c r="AK686" t="str">
        <f t="shared" si="2742"/>
        <v>&lt;/li&gt;&lt;li&gt;&lt;a href=|http://yltbible.com/isaiah/7.htm| title=|Young's Literal Translation| target=|_top|&gt;YLT&lt;/a&gt;</v>
      </c>
      <c r="AL686" t="str">
        <f>CONCATENATE("&lt;a href=|http://",AL1191,"/isaiah/7.htm","| ","title=|",AL1190,"| target=|_top|&gt;",AL1192,"&lt;/a&gt;")</f>
        <v>&lt;a href=|http://kjv.us/isaiah/7.htm| title=|American King James Version| target=|_top|&gt;AKJ&lt;/a&gt;</v>
      </c>
      <c r="AM686" t="str">
        <f t="shared" ref="AM686:AN686" si="2743">CONCATENATE("&lt;/li&gt;&lt;li&gt;&lt;a href=|http://",AM1191,"/isaiah/7.htm","| ","title=|",AM1190,"| target=|_top|&gt;",AM1192,"&lt;/a&gt;")</f>
        <v>&lt;/li&gt;&lt;li&gt;&lt;a href=|http://basicenglishbible.com/isaiah/7.htm| title=|Bible in Basic English| target=|_top|&gt;BBE&lt;/a&gt;</v>
      </c>
      <c r="AN686" t="str">
        <f t="shared" si="2743"/>
        <v>&lt;/li&gt;&lt;li&gt;&lt;a href=|http://darbybible.com/isaiah/7.htm| title=|Darby Bible Translation| target=|_top|&gt;DBY&lt;/a&gt;</v>
      </c>
      <c r="AO68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8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8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86" t="str">
        <f>CONCATENATE("&lt;/li&gt;&lt;li&gt;&lt;a href=|http://",AR1191,"/isaiah/7.htm","| ","title=|",AR1190,"| target=|_top|&gt;",AR1192,"&lt;/a&gt;")</f>
        <v>&lt;/li&gt;&lt;li&gt;&lt;a href=|http://websterbible.com/isaiah/7.htm| title=|Webster's Bible Translation| target=|_top|&gt;WBS&lt;/a&gt;</v>
      </c>
      <c r="AS68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86" t="str">
        <f>CONCATENATE("&lt;/li&gt;&lt;li&gt;&lt;a href=|http://",AT1191,"/isaiah/7-1.htm","| ","title=|",AT1190,"| target=|_top|&gt;",AT1192,"&lt;/a&gt;")</f>
        <v>&lt;/li&gt;&lt;li&gt;&lt;a href=|http://biblebrowser.com/isaiah/7-1.htm| title=|Split View| target=|_top|&gt;Split&lt;/a&gt;</v>
      </c>
      <c r="AU686" s="2" t="s">
        <v>1276</v>
      </c>
      <c r="AV686" t="s">
        <v>64</v>
      </c>
    </row>
    <row r="687" spans="1:48">
      <c r="A687" t="s">
        <v>622</v>
      </c>
      <c r="B687" t="s">
        <v>1191</v>
      </c>
      <c r="C687" t="s">
        <v>624</v>
      </c>
      <c r="D687" t="s">
        <v>1268</v>
      </c>
      <c r="E687" t="s">
        <v>1277</v>
      </c>
      <c r="F687" t="s">
        <v>1304</v>
      </c>
      <c r="G687" t="s">
        <v>1266</v>
      </c>
      <c r="H687" t="s">
        <v>1305</v>
      </c>
      <c r="I687" t="s">
        <v>1303</v>
      </c>
      <c r="J687" t="s">
        <v>1267</v>
      </c>
      <c r="K687" t="s">
        <v>1275</v>
      </c>
      <c r="L687" s="2" t="s">
        <v>1274</v>
      </c>
      <c r="M687" t="str">
        <f t="shared" ref="M687:AB687" si="2744">CONCATENATE("&lt;/li&gt;&lt;li&gt;&lt;a href=|http://",M1191,"/isaiah/8.htm","| ","title=|",M1190,"| target=|_top|&gt;",M1192,"&lt;/a&gt;")</f>
        <v>&lt;/li&gt;&lt;li&gt;&lt;a href=|http://niv.scripturetext.com/isaiah/8.htm| title=|New International Version| target=|_top|&gt;NIV&lt;/a&gt;</v>
      </c>
      <c r="N687" t="str">
        <f t="shared" si="2744"/>
        <v>&lt;/li&gt;&lt;li&gt;&lt;a href=|http://nlt.scripturetext.com/isaiah/8.htm| title=|New Living Translation| target=|_top|&gt;NLT&lt;/a&gt;</v>
      </c>
      <c r="O687" t="str">
        <f t="shared" si="2744"/>
        <v>&lt;/li&gt;&lt;li&gt;&lt;a href=|http://nasb.scripturetext.com/isaiah/8.htm| title=|New American Standard Bible| target=|_top|&gt;NAS&lt;/a&gt;</v>
      </c>
      <c r="P687" t="str">
        <f t="shared" si="2744"/>
        <v>&lt;/li&gt;&lt;li&gt;&lt;a href=|http://gwt.scripturetext.com/isaiah/8.htm| title=|God's Word Translation| target=|_top|&gt;GWT&lt;/a&gt;</v>
      </c>
      <c r="Q687" t="str">
        <f t="shared" si="2744"/>
        <v>&lt;/li&gt;&lt;li&gt;&lt;a href=|http://kingjbible.com/isaiah/8.htm| title=|King James Bible| target=|_top|&gt;KJV&lt;/a&gt;</v>
      </c>
      <c r="R687" t="str">
        <f t="shared" si="2744"/>
        <v>&lt;/li&gt;&lt;li&gt;&lt;a href=|http://asvbible.com/isaiah/8.htm| title=|American Standard Version| target=|_top|&gt;ASV&lt;/a&gt;</v>
      </c>
      <c r="S687" t="str">
        <f t="shared" si="2744"/>
        <v>&lt;/li&gt;&lt;li&gt;&lt;a href=|http://drb.scripturetext.com/isaiah/8.htm| title=|Douay-Rheims Bible| target=|_top|&gt;DRB&lt;/a&gt;</v>
      </c>
      <c r="T687" t="str">
        <f t="shared" si="2744"/>
        <v>&lt;/li&gt;&lt;li&gt;&lt;a href=|http://erv.scripturetext.com/isaiah/8.htm| title=|English Revised Version| target=|_top|&gt;ERV&lt;/a&gt;</v>
      </c>
      <c r="V687" t="str">
        <f>CONCATENATE("&lt;/li&gt;&lt;li&gt;&lt;a href=|http://",V1191,"/isaiah/8.htm","| ","title=|",V1190,"| target=|_top|&gt;",V1192,"&lt;/a&gt;")</f>
        <v>&lt;/li&gt;&lt;li&gt;&lt;a href=|http://study.interlinearbible.org/isaiah/8.htm| title=|Hebrew Study Bible| target=|_top|&gt;Heb Study&lt;/a&gt;</v>
      </c>
      <c r="W687" t="str">
        <f t="shared" si="2744"/>
        <v>&lt;/li&gt;&lt;li&gt;&lt;a href=|http://apostolic.interlinearbible.org/isaiah/8.htm| title=|Apostolic Bible Polyglot Interlinear| target=|_top|&gt;Polyglot&lt;/a&gt;</v>
      </c>
      <c r="X687" t="str">
        <f t="shared" si="2744"/>
        <v>&lt;/li&gt;&lt;li&gt;&lt;a href=|http://interlinearbible.org/isaiah/8.htm| title=|Interlinear Bible| target=|_top|&gt;Interlin&lt;/a&gt;</v>
      </c>
      <c r="Y687" t="str">
        <f t="shared" ref="Y687" si="2745">CONCATENATE("&lt;/li&gt;&lt;li&gt;&lt;a href=|http://",Y1191,"/isaiah/8.htm","| ","title=|",Y1190,"| target=|_top|&gt;",Y1192,"&lt;/a&gt;")</f>
        <v>&lt;/li&gt;&lt;li&gt;&lt;a href=|http://bibleoutline.org/isaiah/8.htm| title=|Outline with People and Places List| target=|_top|&gt;Outline&lt;/a&gt;</v>
      </c>
      <c r="Z687" t="str">
        <f t="shared" si="2744"/>
        <v>&lt;/li&gt;&lt;li&gt;&lt;a href=|http://kjvs.scripturetext.com/isaiah/8.htm| title=|King James Bible with Strong's Numbers| target=|_top|&gt;Strong's&lt;/a&gt;</v>
      </c>
      <c r="AA687" t="str">
        <f t="shared" si="2744"/>
        <v>&lt;/li&gt;&lt;li&gt;&lt;a href=|http://childrensbibleonline.com/isaiah/8.htm| title=|The Children's Bible| target=|_top|&gt;Children's&lt;/a&gt;</v>
      </c>
      <c r="AB687" s="2" t="str">
        <f t="shared" si="2744"/>
        <v>&lt;/li&gt;&lt;li&gt;&lt;a href=|http://tsk.scripturetext.com/isaiah/8.htm| title=|Treasury of Scripture Knowledge| target=|_top|&gt;TSK&lt;/a&gt;</v>
      </c>
      <c r="AC687" t="str">
        <f>CONCATENATE("&lt;a href=|http://",AC1191,"/isaiah/8.htm","| ","title=|",AC1190,"| target=|_top|&gt;",AC1192,"&lt;/a&gt;")</f>
        <v>&lt;a href=|http://parallelbible.com/isaiah/8.htm| title=|Parallel Chapters| target=|_top|&gt;PAR&lt;/a&gt;</v>
      </c>
      <c r="AD687" s="2" t="str">
        <f t="shared" ref="AD687:AK687" si="2746">CONCATENATE("&lt;/li&gt;&lt;li&gt;&lt;a href=|http://",AD1191,"/isaiah/8.htm","| ","title=|",AD1190,"| target=|_top|&gt;",AD1192,"&lt;/a&gt;")</f>
        <v>&lt;/li&gt;&lt;li&gt;&lt;a href=|http://gsb.biblecommenter.com/isaiah/8.htm| title=|Geneva Study Bible| target=|_top|&gt;GSB&lt;/a&gt;</v>
      </c>
      <c r="AE687" s="2" t="str">
        <f t="shared" si="2746"/>
        <v>&lt;/li&gt;&lt;li&gt;&lt;a href=|http://jfb.biblecommenter.com/isaiah/8.htm| title=|Jamieson-Fausset-Brown Bible Commentary| target=|_top|&gt;JFB&lt;/a&gt;</v>
      </c>
      <c r="AF687" s="2" t="str">
        <f t="shared" si="2746"/>
        <v>&lt;/li&gt;&lt;li&gt;&lt;a href=|http://kjt.biblecommenter.com/isaiah/8.htm| title=|King James Translators' Notes| target=|_top|&gt;KJT&lt;/a&gt;</v>
      </c>
      <c r="AG687" s="2" t="str">
        <f t="shared" si="2746"/>
        <v>&lt;/li&gt;&lt;li&gt;&lt;a href=|http://mhc.biblecommenter.com/isaiah/8.htm| title=|Matthew Henry's Concise Commentary| target=|_top|&gt;MHC&lt;/a&gt;</v>
      </c>
      <c r="AH687" s="2" t="str">
        <f t="shared" si="2746"/>
        <v>&lt;/li&gt;&lt;li&gt;&lt;a href=|http://sco.biblecommenter.com/isaiah/8.htm| title=|Scofield Reference Notes| target=|_top|&gt;SCO&lt;/a&gt;</v>
      </c>
      <c r="AI687" s="2" t="str">
        <f t="shared" si="2746"/>
        <v>&lt;/li&gt;&lt;li&gt;&lt;a href=|http://wes.biblecommenter.com/isaiah/8.htm| title=|Wesley's Notes on the Bible| target=|_top|&gt;WES&lt;/a&gt;</v>
      </c>
      <c r="AJ687" t="str">
        <f t="shared" si="2746"/>
        <v>&lt;/li&gt;&lt;li&gt;&lt;a href=|http://worldebible.com/isaiah/8.htm| title=|World English Bible| target=|_top|&gt;WEB&lt;/a&gt;</v>
      </c>
      <c r="AK687" t="str">
        <f t="shared" si="2746"/>
        <v>&lt;/li&gt;&lt;li&gt;&lt;a href=|http://yltbible.com/isaiah/8.htm| title=|Young's Literal Translation| target=|_top|&gt;YLT&lt;/a&gt;</v>
      </c>
      <c r="AL687" t="str">
        <f>CONCATENATE("&lt;a href=|http://",AL1191,"/isaiah/8.htm","| ","title=|",AL1190,"| target=|_top|&gt;",AL1192,"&lt;/a&gt;")</f>
        <v>&lt;a href=|http://kjv.us/isaiah/8.htm| title=|American King James Version| target=|_top|&gt;AKJ&lt;/a&gt;</v>
      </c>
      <c r="AM687" t="str">
        <f t="shared" ref="AM687:AN687" si="2747">CONCATENATE("&lt;/li&gt;&lt;li&gt;&lt;a href=|http://",AM1191,"/isaiah/8.htm","| ","title=|",AM1190,"| target=|_top|&gt;",AM1192,"&lt;/a&gt;")</f>
        <v>&lt;/li&gt;&lt;li&gt;&lt;a href=|http://basicenglishbible.com/isaiah/8.htm| title=|Bible in Basic English| target=|_top|&gt;BBE&lt;/a&gt;</v>
      </c>
      <c r="AN687" t="str">
        <f t="shared" si="2747"/>
        <v>&lt;/li&gt;&lt;li&gt;&lt;a href=|http://darbybible.com/isaiah/8.htm| title=|Darby Bible Translation| target=|_top|&gt;DBY&lt;/a&gt;</v>
      </c>
      <c r="AO68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8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8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87" t="str">
        <f>CONCATENATE("&lt;/li&gt;&lt;li&gt;&lt;a href=|http://",AR1191,"/isaiah/8.htm","| ","title=|",AR1190,"| target=|_top|&gt;",AR1192,"&lt;/a&gt;")</f>
        <v>&lt;/li&gt;&lt;li&gt;&lt;a href=|http://websterbible.com/isaiah/8.htm| title=|Webster's Bible Translation| target=|_top|&gt;WBS&lt;/a&gt;</v>
      </c>
      <c r="AS68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87" t="str">
        <f>CONCATENATE("&lt;/li&gt;&lt;li&gt;&lt;a href=|http://",AT1191,"/isaiah/8-1.htm","| ","title=|",AT1190,"| target=|_top|&gt;",AT1192,"&lt;/a&gt;")</f>
        <v>&lt;/li&gt;&lt;li&gt;&lt;a href=|http://biblebrowser.com/isaiah/8-1.htm| title=|Split View| target=|_top|&gt;Split&lt;/a&gt;</v>
      </c>
      <c r="AU687" s="2" t="s">
        <v>1276</v>
      </c>
      <c r="AV687" t="s">
        <v>64</v>
      </c>
    </row>
    <row r="688" spans="1:48">
      <c r="A688" t="s">
        <v>622</v>
      </c>
      <c r="B688" t="s">
        <v>1192</v>
      </c>
      <c r="C688" t="s">
        <v>624</v>
      </c>
      <c r="D688" t="s">
        <v>1268</v>
      </c>
      <c r="E688" t="s">
        <v>1277</v>
      </c>
      <c r="F688" t="s">
        <v>1304</v>
      </c>
      <c r="G688" t="s">
        <v>1266</v>
      </c>
      <c r="H688" t="s">
        <v>1305</v>
      </c>
      <c r="I688" t="s">
        <v>1303</v>
      </c>
      <c r="J688" t="s">
        <v>1267</v>
      </c>
      <c r="K688" t="s">
        <v>1275</v>
      </c>
      <c r="L688" s="2" t="s">
        <v>1274</v>
      </c>
      <c r="M688" t="str">
        <f t="shared" ref="M688:AB688" si="2748">CONCATENATE("&lt;/li&gt;&lt;li&gt;&lt;a href=|http://",M1191,"/isaiah/9.htm","| ","title=|",M1190,"| target=|_top|&gt;",M1192,"&lt;/a&gt;")</f>
        <v>&lt;/li&gt;&lt;li&gt;&lt;a href=|http://niv.scripturetext.com/isaiah/9.htm| title=|New International Version| target=|_top|&gt;NIV&lt;/a&gt;</v>
      </c>
      <c r="N688" t="str">
        <f t="shared" si="2748"/>
        <v>&lt;/li&gt;&lt;li&gt;&lt;a href=|http://nlt.scripturetext.com/isaiah/9.htm| title=|New Living Translation| target=|_top|&gt;NLT&lt;/a&gt;</v>
      </c>
      <c r="O688" t="str">
        <f t="shared" si="2748"/>
        <v>&lt;/li&gt;&lt;li&gt;&lt;a href=|http://nasb.scripturetext.com/isaiah/9.htm| title=|New American Standard Bible| target=|_top|&gt;NAS&lt;/a&gt;</v>
      </c>
      <c r="P688" t="str">
        <f t="shared" si="2748"/>
        <v>&lt;/li&gt;&lt;li&gt;&lt;a href=|http://gwt.scripturetext.com/isaiah/9.htm| title=|God's Word Translation| target=|_top|&gt;GWT&lt;/a&gt;</v>
      </c>
      <c r="Q688" t="str">
        <f t="shared" si="2748"/>
        <v>&lt;/li&gt;&lt;li&gt;&lt;a href=|http://kingjbible.com/isaiah/9.htm| title=|King James Bible| target=|_top|&gt;KJV&lt;/a&gt;</v>
      </c>
      <c r="R688" t="str">
        <f t="shared" si="2748"/>
        <v>&lt;/li&gt;&lt;li&gt;&lt;a href=|http://asvbible.com/isaiah/9.htm| title=|American Standard Version| target=|_top|&gt;ASV&lt;/a&gt;</v>
      </c>
      <c r="S688" t="str">
        <f t="shared" si="2748"/>
        <v>&lt;/li&gt;&lt;li&gt;&lt;a href=|http://drb.scripturetext.com/isaiah/9.htm| title=|Douay-Rheims Bible| target=|_top|&gt;DRB&lt;/a&gt;</v>
      </c>
      <c r="T688" t="str">
        <f t="shared" si="2748"/>
        <v>&lt;/li&gt;&lt;li&gt;&lt;a href=|http://erv.scripturetext.com/isaiah/9.htm| title=|English Revised Version| target=|_top|&gt;ERV&lt;/a&gt;</v>
      </c>
      <c r="V688" t="str">
        <f>CONCATENATE("&lt;/li&gt;&lt;li&gt;&lt;a href=|http://",V1191,"/isaiah/9.htm","| ","title=|",V1190,"| target=|_top|&gt;",V1192,"&lt;/a&gt;")</f>
        <v>&lt;/li&gt;&lt;li&gt;&lt;a href=|http://study.interlinearbible.org/isaiah/9.htm| title=|Hebrew Study Bible| target=|_top|&gt;Heb Study&lt;/a&gt;</v>
      </c>
      <c r="W688" t="str">
        <f t="shared" si="2748"/>
        <v>&lt;/li&gt;&lt;li&gt;&lt;a href=|http://apostolic.interlinearbible.org/isaiah/9.htm| title=|Apostolic Bible Polyglot Interlinear| target=|_top|&gt;Polyglot&lt;/a&gt;</v>
      </c>
      <c r="X688" t="str">
        <f t="shared" si="2748"/>
        <v>&lt;/li&gt;&lt;li&gt;&lt;a href=|http://interlinearbible.org/isaiah/9.htm| title=|Interlinear Bible| target=|_top|&gt;Interlin&lt;/a&gt;</v>
      </c>
      <c r="Y688" t="str">
        <f t="shared" ref="Y688" si="2749">CONCATENATE("&lt;/li&gt;&lt;li&gt;&lt;a href=|http://",Y1191,"/isaiah/9.htm","| ","title=|",Y1190,"| target=|_top|&gt;",Y1192,"&lt;/a&gt;")</f>
        <v>&lt;/li&gt;&lt;li&gt;&lt;a href=|http://bibleoutline.org/isaiah/9.htm| title=|Outline with People and Places List| target=|_top|&gt;Outline&lt;/a&gt;</v>
      </c>
      <c r="Z688" t="str">
        <f t="shared" si="2748"/>
        <v>&lt;/li&gt;&lt;li&gt;&lt;a href=|http://kjvs.scripturetext.com/isaiah/9.htm| title=|King James Bible with Strong's Numbers| target=|_top|&gt;Strong's&lt;/a&gt;</v>
      </c>
      <c r="AA688" t="str">
        <f t="shared" si="2748"/>
        <v>&lt;/li&gt;&lt;li&gt;&lt;a href=|http://childrensbibleonline.com/isaiah/9.htm| title=|The Children's Bible| target=|_top|&gt;Children's&lt;/a&gt;</v>
      </c>
      <c r="AB688" s="2" t="str">
        <f t="shared" si="2748"/>
        <v>&lt;/li&gt;&lt;li&gt;&lt;a href=|http://tsk.scripturetext.com/isaiah/9.htm| title=|Treasury of Scripture Knowledge| target=|_top|&gt;TSK&lt;/a&gt;</v>
      </c>
      <c r="AC688" t="str">
        <f>CONCATENATE("&lt;a href=|http://",AC1191,"/isaiah/9.htm","| ","title=|",AC1190,"| target=|_top|&gt;",AC1192,"&lt;/a&gt;")</f>
        <v>&lt;a href=|http://parallelbible.com/isaiah/9.htm| title=|Parallel Chapters| target=|_top|&gt;PAR&lt;/a&gt;</v>
      </c>
      <c r="AD688" s="2" t="str">
        <f t="shared" ref="AD688:AK688" si="2750">CONCATENATE("&lt;/li&gt;&lt;li&gt;&lt;a href=|http://",AD1191,"/isaiah/9.htm","| ","title=|",AD1190,"| target=|_top|&gt;",AD1192,"&lt;/a&gt;")</f>
        <v>&lt;/li&gt;&lt;li&gt;&lt;a href=|http://gsb.biblecommenter.com/isaiah/9.htm| title=|Geneva Study Bible| target=|_top|&gt;GSB&lt;/a&gt;</v>
      </c>
      <c r="AE688" s="2" t="str">
        <f t="shared" si="2750"/>
        <v>&lt;/li&gt;&lt;li&gt;&lt;a href=|http://jfb.biblecommenter.com/isaiah/9.htm| title=|Jamieson-Fausset-Brown Bible Commentary| target=|_top|&gt;JFB&lt;/a&gt;</v>
      </c>
      <c r="AF688" s="2" t="str">
        <f t="shared" si="2750"/>
        <v>&lt;/li&gt;&lt;li&gt;&lt;a href=|http://kjt.biblecommenter.com/isaiah/9.htm| title=|King James Translators' Notes| target=|_top|&gt;KJT&lt;/a&gt;</v>
      </c>
      <c r="AG688" s="2" t="str">
        <f t="shared" si="2750"/>
        <v>&lt;/li&gt;&lt;li&gt;&lt;a href=|http://mhc.biblecommenter.com/isaiah/9.htm| title=|Matthew Henry's Concise Commentary| target=|_top|&gt;MHC&lt;/a&gt;</v>
      </c>
      <c r="AH688" s="2" t="str">
        <f t="shared" si="2750"/>
        <v>&lt;/li&gt;&lt;li&gt;&lt;a href=|http://sco.biblecommenter.com/isaiah/9.htm| title=|Scofield Reference Notes| target=|_top|&gt;SCO&lt;/a&gt;</v>
      </c>
      <c r="AI688" s="2" t="str">
        <f t="shared" si="2750"/>
        <v>&lt;/li&gt;&lt;li&gt;&lt;a href=|http://wes.biblecommenter.com/isaiah/9.htm| title=|Wesley's Notes on the Bible| target=|_top|&gt;WES&lt;/a&gt;</v>
      </c>
      <c r="AJ688" t="str">
        <f t="shared" si="2750"/>
        <v>&lt;/li&gt;&lt;li&gt;&lt;a href=|http://worldebible.com/isaiah/9.htm| title=|World English Bible| target=|_top|&gt;WEB&lt;/a&gt;</v>
      </c>
      <c r="AK688" t="str">
        <f t="shared" si="2750"/>
        <v>&lt;/li&gt;&lt;li&gt;&lt;a href=|http://yltbible.com/isaiah/9.htm| title=|Young's Literal Translation| target=|_top|&gt;YLT&lt;/a&gt;</v>
      </c>
      <c r="AL688" t="str">
        <f>CONCATENATE("&lt;a href=|http://",AL1191,"/isaiah/9.htm","| ","title=|",AL1190,"| target=|_top|&gt;",AL1192,"&lt;/a&gt;")</f>
        <v>&lt;a href=|http://kjv.us/isaiah/9.htm| title=|American King James Version| target=|_top|&gt;AKJ&lt;/a&gt;</v>
      </c>
      <c r="AM688" t="str">
        <f t="shared" ref="AM688:AN688" si="2751">CONCATENATE("&lt;/li&gt;&lt;li&gt;&lt;a href=|http://",AM1191,"/isaiah/9.htm","| ","title=|",AM1190,"| target=|_top|&gt;",AM1192,"&lt;/a&gt;")</f>
        <v>&lt;/li&gt;&lt;li&gt;&lt;a href=|http://basicenglishbible.com/isaiah/9.htm| title=|Bible in Basic English| target=|_top|&gt;BBE&lt;/a&gt;</v>
      </c>
      <c r="AN688" t="str">
        <f t="shared" si="2751"/>
        <v>&lt;/li&gt;&lt;li&gt;&lt;a href=|http://darbybible.com/isaiah/9.htm| title=|Darby Bible Translation| target=|_top|&gt;DBY&lt;/a&gt;</v>
      </c>
      <c r="AO68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8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8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88" t="str">
        <f>CONCATENATE("&lt;/li&gt;&lt;li&gt;&lt;a href=|http://",AR1191,"/isaiah/9.htm","| ","title=|",AR1190,"| target=|_top|&gt;",AR1192,"&lt;/a&gt;")</f>
        <v>&lt;/li&gt;&lt;li&gt;&lt;a href=|http://websterbible.com/isaiah/9.htm| title=|Webster's Bible Translation| target=|_top|&gt;WBS&lt;/a&gt;</v>
      </c>
      <c r="AS68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88" t="str">
        <f>CONCATENATE("&lt;/li&gt;&lt;li&gt;&lt;a href=|http://",AT1191,"/isaiah/9-1.htm","| ","title=|",AT1190,"| target=|_top|&gt;",AT1192,"&lt;/a&gt;")</f>
        <v>&lt;/li&gt;&lt;li&gt;&lt;a href=|http://biblebrowser.com/isaiah/9-1.htm| title=|Split View| target=|_top|&gt;Split&lt;/a&gt;</v>
      </c>
      <c r="AU688" s="2" t="s">
        <v>1276</v>
      </c>
      <c r="AV688" t="s">
        <v>64</v>
      </c>
    </row>
    <row r="689" spans="1:48">
      <c r="A689" t="s">
        <v>622</v>
      </c>
      <c r="B689" t="s">
        <v>1193</v>
      </c>
      <c r="C689" t="s">
        <v>624</v>
      </c>
      <c r="D689" t="s">
        <v>1268</v>
      </c>
      <c r="E689" t="s">
        <v>1277</v>
      </c>
      <c r="F689" t="s">
        <v>1304</v>
      </c>
      <c r="G689" t="s">
        <v>1266</v>
      </c>
      <c r="H689" t="s">
        <v>1305</v>
      </c>
      <c r="I689" t="s">
        <v>1303</v>
      </c>
      <c r="J689" t="s">
        <v>1267</v>
      </c>
      <c r="K689" t="s">
        <v>1275</v>
      </c>
      <c r="L689" s="2" t="s">
        <v>1274</v>
      </c>
      <c r="M689" t="str">
        <f t="shared" ref="M689:AB689" si="2752">CONCATENATE("&lt;/li&gt;&lt;li&gt;&lt;a href=|http://",M1191,"/isaiah/10.htm","| ","title=|",M1190,"| target=|_top|&gt;",M1192,"&lt;/a&gt;")</f>
        <v>&lt;/li&gt;&lt;li&gt;&lt;a href=|http://niv.scripturetext.com/isaiah/10.htm| title=|New International Version| target=|_top|&gt;NIV&lt;/a&gt;</v>
      </c>
      <c r="N689" t="str">
        <f t="shared" si="2752"/>
        <v>&lt;/li&gt;&lt;li&gt;&lt;a href=|http://nlt.scripturetext.com/isaiah/10.htm| title=|New Living Translation| target=|_top|&gt;NLT&lt;/a&gt;</v>
      </c>
      <c r="O689" t="str">
        <f t="shared" si="2752"/>
        <v>&lt;/li&gt;&lt;li&gt;&lt;a href=|http://nasb.scripturetext.com/isaiah/10.htm| title=|New American Standard Bible| target=|_top|&gt;NAS&lt;/a&gt;</v>
      </c>
      <c r="P689" t="str">
        <f t="shared" si="2752"/>
        <v>&lt;/li&gt;&lt;li&gt;&lt;a href=|http://gwt.scripturetext.com/isaiah/10.htm| title=|God's Word Translation| target=|_top|&gt;GWT&lt;/a&gt;</v>
      </c>
      <c r="Q689" t="str">
        <f t="shared" si="2752"/>
        <v>&lt;/li&gt;&lt;li&gt;&lt;a href=|http://kingjbible.com/isaiah/10.htm| title=|King James Bible| target=|_top|&gt;KJV&lt;/a&gt;</v>
      </c>
      <c r="R689" t="str">
        <f t="shared" si="2752"/>
        <v>&lt;/li&gt;&lt;li&gt;&lt;a href=|http://asvbible.com/isaiah/10.htm| title=|American Standard Version| target=|_top|&gt;ASV&lt;/a&gt;</v>
      </c>
      <c r="S689" t="str">
        <f t="shared" si="2752"/>
        <v>&lt;/li&gt;&lt;li&gt;&lt;a href=|http://drb.scripturetext.com/isaiah/10.htm| title=|Douay-Rheims Bible| target=|_top|&gt;DRB&lt;/a&gt;</v>
      </c>
      <c r="T689" t="str">
        <f t="shared" si="2752"/>
        <v>&lt;/li&gt;&lt;li&gt;&lt;a href=|http://erv.scripturetext.com/isaiah/10.htm| title=|English Revised Version| target=|_top|&gt;ERV&lt;/a&gt;</v>
      </c>
      <c r="V689" t="str">
        <f>CONCATENATE("&lt;/li&gt;&lt;li&gt;&lt;a href=|http://",V1191,"/isaiah/10.htm","| ","title=|",V1190,"| target=|_top|&gt;",V1192,"&lt;/a&gt;")</f>
        <v>&lt;/li&gt;&lt;li&gt;&lt;a href=|http://study.interlinearbible.org/isaiah/10.htm| title=|Hebrew Study Bible| target=|_top|&gt;Heb Study&lt;/a&gt;</v>
      </c>
      <c r="W689" t="str">
        <f t="shared" si="2752"/>
        <v>&lt;/li&gt;&lt;li&gt;&lt;a href=|http://apostolic.interlinearbible.org/isaiah/10.htm| title=|Apostolic Bible Polyglot Interlinear| target=|_top|&gt;Polyglot&lt;/a&gt;</v>
      </c>
      <c r="X689" t="str">
        <f t="shared" si="2752"/>
        <v>&lt;/li&gt;&lt;li&gt;&lt;a href=|http://interlinearbible.org/isaiah/10.htm| title=|Interlinear Bible| target=|_top|&gt;Interlin&lt;/a&gt;</v>
      </c>
      <c r="Y689" t="str">
        <f t="shared" ref="Y689" si="2753">CONCATENATE("&lt;/li&gt;&lt;li&gt;&lt;a href=|http://",Y1191,"/isaiah/10.htm","| ","title=|",Y1190,"| target=|_top|&gt;",Y1192,"&lt;/a&gt;")</f>
        <v>&lt;/li&gt;&lt;li&gt;&lt;a href=|http://bibleoutline.org/isaiah/10.htm| title=|Outline with People and Places List| target=|_top|&gt;Outline&lt;/a&gt;</v>
      </c>
      <c r="Z689" t="str">
        <f t="shared" si="2752"/>
        <v>&lt;/li&gt;&lt;li&gt;&lt;a href=|http://kjvs.scripturetext.com/isaiah/10.htm| title=|King James Bible with Strong's Numbers| target=|_top|&gt;Strong's&lt;/a&gt;</v>
      </c>
      <c r="AA689" t="str">
        <f t="shared" si="2752"/>
        <v>&lt;/li&gt;&lt;li&gt;&lt;a href=|http://childrensbibleonline.com/isaiah/10.htm| title=|The Children's Bible| target=|_top|&gt;Children's&lt;/a&gt;</v>
      </c>
      <c r="AB689" s="2" t="str">
        <f t="shared" si="2752"/>
        <v>&lt;/li&gt;&lt;li&gt;&lt;a href=|http://tsk.scripturetext.com/isaiah/10.htm| title=|Treasury of Scripture Knowledge| target=|_top|&gt;TSK&lt;/a&gt;</v>
      </c>
      <c r="AC689" t="str">
        <f>CONCATENATE("&lt;a href=|http://",AC1191,"/isaiah/10.htm","| ","title=|",AC1190,"| target=|_top|&gt;",AC1192,"&lt;/a&gt;")</f>
        <v>&lt;a href=|http://parallelbible.com/isaiah/10.htm| title=|Parallel Chapters| target=|_top|&gt;PAR&lt;/a&gt;</v>
      </c>
      <c r="AD689" s="2" t="str">
        <f t="shared" ref="AD689:AK689" si="2754">CONCATENATE("&lt;/li&gt;&lt;li&gt;&lt;a href=|http://",AD1191,"/isaiah/10.htm","| ","title=|",AD1190,"| target=|_top|&gt;",AD1192,"&lt;/a&gt;")</f>
        <v>&lt;/li&gt;&lt;li&gt;&lt;a href=|http://gsb.biblecommenter.com/isaiah/10.htm| title=|Geneva Study Bible| target=|_top|&gt;GSB&lt;/a&gt;</v>
      </c>
      <c r="AE689" s="2" t="str">
        <f t="shared" si="2754"/>
        <v>&lt;/li&gt;&lt;li&gt;&lt;a href=|http://jfb.biblecommenter.com/isaiah/10.htm| title=|Jamieson-Fausset-Brown Bible Commentary| target=|_top|&gt;JFB&lt;/a&gt;</v>
      </c>
      <c r="AF689" s="2" t="str">
        <f t="shared" si="2754"/>
        <v>&lt;/li&gt;&lt;li&gt;&lt;a href=|http://kjt.biblecommenter.com/isaiah/10.htm| title=|King James Translators' Notes| target=|_top|&gt;KJT&lt;/a&gt;</v>
      </c>
      <c r="AG689" s="2" t="str">
        <f t="shared" si="2754"/>
        <v>&lt;/li&gt;&lt;li&gt;&lt;a href=|http://mhc.biblecommenter.com/isaiah/10.htm| title=|Matthew Henry's Concise Commentary| target=|_top|&gt;MHC&lt;/a&gt;</v>
      </c>
      <c r="AH689" s="2" t="str">
        <f t="shared" si="2754"/>
        <v>&lt;/li&gt;&lt;li&gt;&lt;a href=|http://sco.biblecommenter.com/isaiah/10.htm| title=|Scofield Reference Notes| target=|_top|&gt;SCO&lt;/a&gt;</v>
      </c>
      <c r="AI689" s="2" t="str">
        <f t="shared" si="2754"/>
        <v>&lt;/li&gt;&lt;li&gt;&lt;a href=|http://wes.biblecommenter.com/isaiah/10.htm| title=|Wesley's Notes on the Bible| target=|_top|&gt;WES&lt;/a&gt;</v>
      </c>
      <c r="AJ689" t="str">
        <f t="shared" si="2754"/>
        <v>&lt;/li&gt;&lt;li&gt;&lt;a href=|http://worldebible.com/isaiah/10.htm| title=|World English Bible| target=|_top|&gt;WEB&lt;/a&gt;</v>
      </c>
      <c r="AK689" t="str">
        <f t="shared" si="2754"/>
        <v>&lt;/li&gt;&lt;li&gt;&lt;a href=|http://yltbible.com/isaiah/10.htm| title=|Young's Literal Translation| target=|_top|&gt;YLT&lt;/a&gt;</v>
      </c>
      <c r="AL689" t="str">
        <f>CONCATENATE("&lt;a href=|http://",AL1191,"/isaiah/10.htm","| ","title=|",AL1190,"| target=|_top|&gt;",AL1192,"&lt;/a&gt;")</f>
        <v>&lt;a href=|http://kjv.us/isaiah/10.htm| title=|American King James Version| target=|_top|&gt;AKJ&lt;/a&gt;</v>
      </c>
      <c r="AM689" t="str">
        <f t="shared" ref="AM689:AN689" si="2755">CONCATENATE("&lt;/li&gt;&lt;li&gt;&lt;a href=|http://",AM1191,"/isaiah/10.htm","| ","title=|",AM1190,"| target=|_top|&gt;",AM1192,"&lt;/a&gt;")</f>
        <v>&lt;/li&gt;&lt;li&gt;&lt;a href=|http://basicenglishbible.com/isaiah/10.htm| title=|Bible in Basic English| target=|_top|&gt;BBE&lt;/a&gt;</v>
      </c>
      <c r="AN689" t="str">
        <f t="shared" si="2755"/>
        <v>&lt;/li&gt;&lt;li&gt;&lt;a href=|http://darbybible.com/isaiah/10.htm| title=|Darby Bible Translation| target=|_top|&gt;DBY&lt;/a&gt;</v>
      </c>
      <c r="AO68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8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8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89" t="str">
        <f>CONCATENATE("&lt;/li&gt;&lt;li&gt;&lt;a href=|http://",AR1191,"/isaiah/10.htm","| ","title=|",AR1190,"| target=|_top|&gt;",AR1192,"&lt;/a&gt;")</f>
        <v>&lt;/li&gt;&lt;li&gt;&lt;a href=|http://websterbible.com/isaiah/10.htm| title=|Webster's Bible Translation| target=|_top|&gt;WBS&lt;/a&gt;</v>
      </c>
      <c r="AS68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89" t="str">
        <f>CONCATENATE("&lt;/li&gt;&lt;li&gt;&lt;a href=|http://",AT1191,"/isaiah/10-1.htm","| ","title=|",AT1190,"| target=|_top|&gt;",AT1192,"&lt;/a&gt;")</f>
        <v>&lt;/li&gt;&lt;li&gt;&lt;a href=|http://biblebrowser.com/isaiah/10-1.htm| title=|Split View| target=|_top|&gt;Split&lt;/a&gt;</v>
      </c>
      <c r="AU689" s="2" t="s">
        <v>1276</v>
      </c>
      <c r="AV689" t="s">
        <v>64</v>
      </c>
    </row>
    <row r="690" spans="1:48">
      <c r="A690" t="s">
        <v>622</v>
      </c>
      <c r="B690" t="s">
        <v>1194</v>
      </c>
      <c r="C690" t="s">
        <v>624</v>
      </c>
      <c r="D690" t="s">
        <v>1268</v>
      </c>
      <c r="E690" t="s">
        <v>1277</v>
      </c>
      <c r="F690" t="s">
        <v>1304</v>
      </c>
      <c r="G690" t="s">
        <v>1266</v>
      </c>
      <c r="H690" t="s">
        <v>1305</v>
      </c>
      <c r="I690" t="s">
        <v>1303</v>
      </c>
      <c r="J690" t="s">
        <v>1267</v>
      </c>
      <c r="K690" t="s">
        <v>1275</v>
      </c>
      <c r="L690" s="2" t="s">
        <v>1274</v>
      </c>
      <c r="M690" t="str">
        <f t="shared" ref="M690:AB690" si="2756">CONCATENATE("&lt;/li&gt;&lt;li&gt;&lt;a href=|http://",M1191,"/isaiah/11.htm","| ","title=|",M1190,"| target=|_top|&gt;",M1192,"&lt;/a&gt;")</f>
        <v>&lt;/li&gt;&lt;li&gt;&lt;a href=|http://niv.scripturetext.com/isaiah/11.htm| title=|New International Version| target=|_top|&gt;NIV&lt;/a&gt;</v>
      </c>
      <c r="N690" t="str">
        <f t="shared" si="2756"/>
        <v>&lt;/li&gt;&lt;li&gt;&lt;a href=|http://nlt.scripturetext.com/isaiah/11.htm| title=|New Living Translation| target=|_top|&gt;NLT&lt;/a&gt;</v>
      </c>
      <c r="O690" t="str">
        <f t="shared" si="2756"/>
        <v>&lt;/li&gt;&lt;li&gt;&lt;a href=|http://nasb.scripturetext.com/isaiah/11.htm| title=|New American Standard Bible| target=|_top|&gt;NAS&lt;/a&gt;</v>
      </c>
      <c r="P690" t="str">
        <f t="shared" si="2756"/>
        <v>&lt;/li&gt;&lt;li&gt;&lt;a href=|http://gwt.scripturetext.com/isaiah/11.htm| title=|God's Word Translation| target=|_top|&gt;GWT&lt;/a&gt;</v>
      </c>
      <c r="Q690" t="str">
        <f t="shared" si="2756"/>
        <v>&lt;/li&gt;&lt;li&gt;&lt;a href=|http://kingjbible.com/isaiah/11.htm| title=|King James Bible| target=|_top|&gt;KJV&lt;/a&gt;</v>
      </c>
      <c r="R690" t="str">
        <f t="shared" si="2756"/>
        <v>&lt;/li&gt;&lt;li&gt;&lt;a href=|http://asvbible.com/isaiah/11.htm| title=|American Standard Version| target=|_top|&gt;ASV&lt;/a&gt;</v>
      </c>
      <c r="S690" t="str">
        <f t="shared" si="2756"/>
        <v>&lt;/li&gt;&lt;li&gt;&lt;a href=|http://drb.scripturetext.com/isaiah/11.htm| title=|Douay-Rheims Bible| target=|_top|&gt;DRB&lt;/a&gt;</v>
      </c>
      <c r="T690" t="str">
        <f t="shared" si="2756"/>
        <v>&lt;/li&gt;&lt;li&gt;&lt;a href=|http://erv.scripturetext.com/isaiah/11.htm| title=|English Revised Version| target=|_top|&gt;ERV&lt;/a&gt;</v>
      </c>
      <c r="V690" t="str">
        <f>CONCATENATE("&lt;/li&gt;&lt;li&gt;&lt;a href=|http://",V1191,"/isaiah/11.htm","| ","title=|",V1190,"| target=|_top|&gt;",V1192,"&lt;/a&gt;")</f>
        <v>&lt;/li&gt;&lt;li&gt;&lt;a href=|http://study.interlinearbible.org/isaiah/11.htm| title=|Hebrew Study Bible| target=|_top|&gt;Heb Study&lt;/a&gt;</v>
      </c>
      <c r="W690" t="str">
        <f t="shared" si="2756"/>
        <v>&lt;/li&gt;&lt;li&gt;&lt;a href=|http://apostolic.interlinearbible.org/isaiah/11.htm| title=|Apostolic Bible Polyglot Interlinear| target=|_top|&gt;Polyglot&lt;/a&gt;</v>
      </c>
      <c r="X690" t="str">
        <f t="shared" si="2756"/>
        <v>&lt;/li&gt;&lt;li&gt;&lt;a href=|http://interlinearbible.org/isaiah/11.htm| title=|Interlinear Bible| target=|_top|&gt;Interlin&lt;/a&gt;</v>
      </c>
      <c r="Y690" t="str">
        <f t="shared" ref="Y690" si="2757">CONCATENATE("&lt;/li&gt;&lt;li&gt;&lt;a href=|http://",Y1191,"/isaiah/11.htm","| ","title=|",Y1190,"| target=|_top|&gt;",Y1192,"&lt;/a&gt;")</f>
        <v>&lt;/li&gt;&lt;li&gt;&lt;a href=|http://bibleoutline.org/isaiah/11.htm| title=|Outline with People and Places List| target=|_top|&gt;Outline&lt;/a&gt;</v>
      </c>
      <c r="Z690" t="str">
        <f t="shared" si="2756"/>
        <v>&lt;/li&gt;&lt;li&gt;&lt;a href=|http://kjvs.scripturetext.com/isaiah/11.htm| title=|King James Bible with Strong's Numbers| target=|_top|&gt;Strong's&lt;/a&gt;</v>
      </c>
      <c r="AA690" t="str">
        <f t="shared" si="2756"/>
        <v>&lt;/li&gt;&lt;li&gt;&lt;a href=|http://childrensbibleonline.com/isaiah/11.htm| title=|The Children's Bible| target=|_top|&gt;Children's&lt;/a&gt;</v>
      </c>
      <c r="AB690" s="2" t="str">
        <f t="shared" si="2756"/>
        <v>&lt;/li&gt;&lt;li&gt;&lt;a href=|http://tsk.scripturetext.com/isaiah/11.htm| title=|Treasury of Scripture Knowledge| target=|_top|&gt;TSK&lt;/a&gt;</v>
      </c>
      <c r="AC690" t="str">
        <f>CONCATENATE("&lt;a href=|http://",AC1191,"/isaiah/11.htm","| ","title=|",AC1190,"| target=|_top|&gt;",AC1192,"&lt;/a&gt;")</f>
        <v>&lt;a href=|http://parallelbible.com/isaiah/11.htm| title=|Parallel Chapters| target=|_top|&gt;PAR&lt;/a&gt;</v>
      </c>
      <c r="AD690" s="2" t="str">
        <f t="shared" ref="AD690:AK690" si="2758">CONCATENATE("&lt;/li&gt;&lt;li&gt;&lt;a href=|http://",AD1191,"/isaiah/11.htm","| ","title=|",AD1190,"| target=|_top|&gt;",AD1192,"&lt;/a&gt;")</f>
        <v>&lt;/li&gt;&lt;li&gt;&lt;a href=|http://gsb.biblecommenter.com/isaiah/11.htm| title=|Geneva Study Bible| target=|_top|&gt;GSB&lt;/a&gt;</v>
      </c>
      <c r="AE690" s="2" t="str">
        <f t="shared" si="2758"/>
        <v>&lt;/li&gt;&lt;li&gt;&lt;a href=|http://jfb.biblecommenter.com/isaiah/11.htm| title=|Jamieson-Fausset-Brown Bible Commentary| target=|_top|&gt;JFB&lt;/a&gt;</v>
      </c>
      <c r="AF690" s="2" t="str">
        <f t="shared" si="2758"/>
        <v>&lt;/li&gt;&lt;li&gt;&lt;a href=|http://kjt.biblecommenter.com/isaiah/11.htm| title=|King James Translators' Notes| target=|_top|&gt;KJT&lt;/a&gt;</v>
      </c>
      <c r="AG690" s="2" t="str">
        <f t="shared" si="2758"/>
        <v>&lt;/li&gt;&lt;li&gt;&lt;a href=|http://mhc.biblecommenter.com/isaiah/11.htm| title=|Matthew Henry's Concise Commentary| target=|_top|&gt;MHC&lt;/a&gt;</v>
      </c>
      <c r="AH690" s="2" t="str">
        <f t="shared" si="2758"/>
        <v>&lt;/li&gt;&lt;li&gt;&lt;a href=|http://sco.biblecommenter.com/isaiah/11.htm| title=|Scofield Reference Notes| target=|_top|&gt;SCO&lt;/a&gt;</v>
      </c>
      <c r="AI690" s="2" t="str">
        <f t="shared" si="2758"/>
        <v>&lt;/li&gt;&lt;li&gt;&lt;a href=|http://wes.biblecommenter.com/isaiah/11.htm| title=|Wesley's Notes on the Bible| target=|_top|&gt;WES&lt;/a&gt;</v>
      </c>
      <c r="AJ690" t="str">
        <f t="shared" si="2758"/>
        <v>&lt;/li&gt;&lt;li&gt;&lt;a href=|http://worldebible.com/isaiah/11.htm| title=|World English Bible| target=|_top|&gt;WEB&lt;/a&gt;</v>
      </c>
      <c r="AK690" t="str">
        <f t="shared" si="2758"/>
        <v>&lt;/li&gt;&lt;li&gt;&lt;a href=|http://yltbible.com/isaiah/11.htm| title=|Young's Literal Translation| target=|_top|&gt;YLT&lt;/a&gt;</v>
      </c>
      <c r="AL690" t="str">
        <f>CONCATENATE("&lt;a href=|http://",AL1191,"/isaiah/11.htm","| ","title=|",AL1190,"| target=|_top|&gt;",AL1192,"&lt;/a&gt;")</f>
        <v>&lt;a href=|http://kjv.us/isaiah/11.htm| title=|American King James Version| target=|_top|&gt;AKJ&lt;/a&gt;</v>
      </c>
      <c r="AM690" t="str">
        <f t="shared" ref="AM690:AN690" si="2759">CONCATENATE("&lt;/li&gt;&lt;li&gt;&lt;a href=|http://",AM1191,"/isaiah/11.htm","| ","title=|",AM1190,"| target=|_top|&gt;",AM1192,"&lt;/a&gt;")</f>
        <v>&lt;/li&gt;&lt;li&gt;&lt;a href=|http://basicenglishbible.com/isaiah/11.htm| title=|Bible in Basic English| target=|_top|&gt;BBE&lt;/a&gt;</v>
      </c>
      <c r="AN690" t="str">
        <f t="shared" si="2759"/>
        <v>&lt;/li&gt;&lt;li&gt;&lt;a href=|http://darbybible.com/isaiah/11.htm| title=|Darby Bible Translation| target=|_top|&gt;DBY&lt;/a&gt;</v>
      </c>
      <c r="AO69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9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9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90" t="str">
        <f>CONCATENATE("&lt;/li&gt;&lt;li&gt;&lt;a href=|http://",AR1191,"/isaiah/11.htm","| ","title=|",AR1190,"| target=|_top|&gt;",AR1192,"&lt;/a&gt;")</f>
        <v>&lt;/li&gt;&lt;li&gt;&lt;a href=|http://websterbible.com/isaiah/11.htm| title=|Webster's Bible Translation| target=|_top|&gt;WBS&lt;/a&gt;</v>
      </c>
      <c r="AS69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90" t="str">
        <f>CONCATENATE("&lt;/li&gt;&lt;li&gt;&lt;a href=|http://",AT1191,"/isaiah/11-1.htm","| ","title=|",AT1190,"| target=|_top|&gt;",AT1192,"&lt;/a&gt;")</f>
        <v>&lt;/li&gt;&lt;li&gt;&lt;a href=|http://biblebrowser.com/isaiah/11-1.htm| title=|Split View| target=|_top|&gt;Split&lt;/a&gt;</v>
      </c>
      <c r="AU690" s="2" t="s">
        <v>1276</v>
      </c>
      <c r="AV690" t="s">
        <v>64</v>
      </c>
    </row>
    <row r="691" spans="1:48">
      <c r="A691" t="s">
        <v>622</v>
      </c>
      <c r="B691" t="s">
        <v>1195</v>
      </c>
      <c r="C691" t="s">
        <v>624</v>
      </c>
      <c r="D691" t="s">
        <v>1268</v>
      </c>
      <c r="E691" t="s">
        <v>1277</v>
      </c>
      <c r="F691" t="s">
        <v>1304</v>
      </c>
      <c r="G691" t="s">
        <v>1266</v>
      </c>
      <c r="H691" t="s">
        <v>1305</v>
      </c>
      <c r="I691" t="s">
        <v>1303</v>
      </c>
      <c r="J691" t="s">
        <v>1267</v>
      </c>
      <c r="K691" t="s">
        <v>1275</v>
      </c>
      <c r="L691" s="2" t="s">
        <v>1274</v>
      </c>
      <c r="M691" t="str">
        <f t="shared" ref="M691:AB691" si="2760">CONCATENATE("&lt;/li&gt;&lt;li&gt;&lt;a href=|http://",M1191,"/isaiah/12.htm","| ","title=|",M1190,"| target=|_top|&gt;",M1192,"&lt;/a&gt;")</f>
        <v>&lt;/li&gt;&lt;li&gt;&lt;a href=|http://niv.scripturetext.com/isaiah/12.htm| title=|New International Version| target=|_top|&gt;NIV&lt;/a&gt;</v>
      </c>
      <c r="N691" t="str">
        <f t="shared" si="2760"/>
        <v>&lt;/li&gt;&lt;li&gt;&lt;a href=|http://nlt.scripturetext.com/isaiah/12.htm| title=|New Living Translation| target=|_top|&gt;NLT&lt;/a&gt;</v>
      </c>
      <c r="O691" t="str">
        <f t="shared" si="2760"/>
        <v>&lt;/li&gt;&lt;li&gt;&lt;a href=|http://nasb.scripturetext.com/isaiah/12.htm| title=|New American Standard Bible| target=|_top|&gt;NAS&lt;/a&gt;</v>
      </c>
      <c r="P691" t="str">
        <f t="shared" si="2760"/>
        <v>&lt;/li&gt;&lt;li&gt;&lt;a href=|http://gwt.scripturetext.com/isaiah/12.htm| title=|God's Word Translation| target=|_top|&gt;GWT&lt;/a&gt;</v>
      </c>
      <c r="Q691" t="str">
        <f t="shared" si="2760"/>
        <v>&lt;/li&gt;&lt;li&gt;&lt;a href=|http://kingjbible.com/isaiah/12.htm| title=|King James Bible| target=|_top|&gt;KJV&lt;/a&gt;</v>
      </c>
      <c r="R691" t="str">
        <f t="shared" si="2760"/>
        <v>&lt;/li&gt;&lt;li&gt;&lt;a href=|http://asvbible.com/isaiah/12.htm| title=|American Standard Version| target=|_top|&gt;ASV&lt;/a&gt;</v>
      </c>
      <c r="S691" t="str">
        <f t="shared" si="2760"/>
        <v>&lt;/li&gt;&lt;li&gt;&lt;a href=|http://drb.scripturetext.com/isaiah/12.htm| title=|Douay-Rheims Bible| target=|_top|&gt;DRB&lt;/a&gt;</v>
      </c>
      <c r="T691" t="str">
        <f t="shared" si="2760"/>
        <v>&lt;/li&gt;&lt;li&gt;&lt;a href=|http://erv.scripturetext.com/isaiah/12.htm| title=|English Revised Version| target=|_top|&gt;ERV&lt;/a&gt;</v>
      </c>
      <c r="V691" t="str">
        <f>CONCATENATE("&lt;/li&gt;&lt;li&gt;&lt;a href=|http://",V1191,"/isaiah/12.htm","| ","title=|",V1190,"| target=|_top|&gt;",V1192,"&lt;/a&gt;")</f>
        <v>&lt;/li&gt;&lt;li&gt;&lt;a href=|http://study.interlinearbible.org/isaiah/12.htm| title=|Hebrew Study Bible| target=|_top|&gt;Heb Study&lt;/a&gt;</v>
      </c>
      <c r="W691" t="str">
        <f t="shared" si="2760"/>
        <v>&lt;/li&gt;&lt;li&gt;&lt;a href=|http://apostolic.interlinearbible.org/isaiah/12.htm| title=|Apostolic Bible Polyglot Interlinear| target=|_top|&gt;Polyglot&lt;/a&gt;</v>
      </c>
      <c r="X691" t="str">
        <f t="shared" si="2760"/>
        <v>&lt;/li&gt;&lt;li&gt;&lt;a href=|http://interlinearbible.org/isaiah/12.htm| title=|Interlinear Bible| target=|_top|&gt;Interlin&lt;/a&gt;</v>
      </c>
      <c r="Y691" t="str">
        <f t="shared" ref="Y691" si="2761">CONCATENATE("&lt;/li&gt;&lt;li&gt;&lt;a href=|http://",Y1191,"/isaiah/12.htm","| ","title=|",Y1190,"| target=|_top|&gt;",Y1192,"&lt;/a&gt;")</f>
        <v>&lt;/li&gt;&lt;li&gt;&lt;a href=|http://bibleoutline.org/isaiah/12.htm| title=|Outline with People and Places List| target=|_top|&gt;Outline&lt;/a&gt;</v>
      </c>
      <c r="Z691" t="str">
        <f t="shared" si="2760"/>
        <v>&lt;/li&gt;&lt;li&gt;&lt;a href=|http://kjvs.scripturetext.com/isaiah/12.htm| title=|King James Bible with Strong's Numbers| target=|_top|&gt;Strong's&lt;/a&gt;</v>
      </c>
      <c r="AA691" t="str">
        <f t="shared" si="2760"/>
        <v>&lt;/li&gt;&lt;li&gt;&lt;a href=|http://childrensbibleonline.com/isaiah/12.htm| title=|The Children's Bible| target=|_top|&gt;Children's&lt;/a&gt;</v>
      </c>
      <c r="AB691" s="2" t="str">
        <f t="shared" si="2760"/>
        <v>&lt;/li&gt;&lt;li&gt;&lt;a href=|http://tsk.scripturetext.com/isaiah/12.htm| title=|Treasury of Scripture Knowledge| target=|_top|&gt;TSK&lt;/a&gt;</v>
      </c>
      <c r="AC691" t="str">
        <f>CONCATENATE("&lt;a href=|http://",AC1191,"/isaiah/12.htm","| ","title=|",AC1190,"| target=|_top|&gt;",AC1192,"&lt;/a&gt;")</f>
        <v>&lt;a href=|http://parallelbible.com/isaiah/12.htm| title=|Parallel Chapters| target=|_top|&gt;PAR&lt;/a&gt;</v>
      </c>
      <c r="AD691" s="2" t="str">
        <f t="shared" ref="AD691:AK691" si="2762">CONCATENATE("&lt;/li&gt;&lt;li&gt;&lt;a href=|http://",AD1191,"/isaiah/12.htm","| ","title=|",AD1190,"| target=|_top|&gt;",AD1192,"&lt;/a&gt;")</f>
        <v>&lt;/li&gt;&lt;li&gt;&lt;a href=|http://gsb.biblecommenter.com/isaiah/12.htm| title=|Geneva Study Bible| target=|_top|&gt;GSB&lt;/a&gt;</v>
      </c>
      <c r="AE691" s="2" t="str">
        <f t="shared" si="2762"/>
        <v>&lt;/li&gt;&lt;li&gt;&lt;a href=|http://jfb.biblecommenter.com/isaiah/12.htm| title=|Jamieson-Fausset-Brown Bible Commentary| target=|_top|&gt;JFB&lt;/a&gt;</v>
      </c>
      <c r="AF691" s="2" t="str">
        <f t="shared" si="2762"/>
        <v>&lt;/li&gt;&lt;li&gt;&lt;a href=|http://kjt.biblecommenter.com/isaiah/12.htm| title=|King James Translators' Notes| target=|_top|&gt;KJT&lt;/a&gt;</v>
      </c>
      <c r="AG691" s="2" t="str">
        <f t="shared" si="2762"/>
        <v>&lt;/li&gt;&lt;li&gt;&lt;a href=|http://mhc.biblecommenter.com/isaiah/12.htm| title=|Matthew Henry's Concise Commentary| target=|_top|&gt;MHC&lt;/a&gt;</v>
      </c>
      <c r="AH691" s="2" t="str">
        <f t="shared" si="2762"/>
        <v>&lt;/li&gt;&lt;li&gt;&lt;a href=|http://sco.biblecommenter.com/isaiah/12.htm| title=|Scofield Reference Notes| target=|_top|&gt;SCO&lt;/a&gt;</v>
      </c>
      <c r="AI691" s="2" t="str">
        <f t="shared" si="2762"/>
        <v>&lt;/li&gt;&lt;li&gt;&lt;a href=|http://wes.biblecommenter.com/isaiah/12.htm| title=|Wesley's Notes on the Bible| target=|_top|&gt;WES&lt;/a&gt;</v>
      </c>
      <c r="AJ691" t="str">
        <f t="shared" si="2762"/>
        <v>&lt;/li&gt;&lt;li&gt;&lt;a href=|http://worldebible.com/isaiah/12.htm| title=|World English Bible| target=|_top|&gt;WEB&lt;/a&gt;</v>
      </c>
      <c r="AK691" t="str">
        <f t="shared" si="2762"/>
        <v>&lt;/li&gt;&lt;li&gt;&lt;a href=|http://yltbible.com/isaiah/12.htm| title=|Young's Literal Translation| target=|_top|&gt;YLT&lt;/a&gt;</v>
      </c>
      <c r="AL691" t="str">
        <f>CONCATENATE("&lt;a href=|http://",AL1191,"/isaiah/12.htm","| ","title=|",AL1190,"| target=|_top|&gt;",AL1192,"&lt;/a&gt;")</f>
        <v>&lt;a href=|http://kjv.us/isaiah/12.htm| title=|American King James Version| target=|_top|&gt;AKJ&lt;/a&gt;</v>
      </c>
      <c r="AM691" t="str">
        <f t="shared" ref="AM691:AN691" si="2763">CONCATENATE("&lt;/li&gt;&lt;li&gt;&lt;a href=|http://",AM1191,"/isaiah/12.htm","| ","title=|",AM1190,"| target=|_top|&gt;",AM1192,"&lt;/a&gt;")</f>
        <v>&lt;/li&gt;&lt;li&gt;&lt;a href=|http://basicenglishbible.com/isaiah/12.htm| title=|Bible in Basic English| target=|_top|&gt;BBE&lt;/a&gt;</v>
      </c>
      <c r="AN691" t="str">
        <f t="shared" si="2763"/>
        <v>&lt;/li&gt;&lt;li&gt;&lt;a href=|http://darbybible.com/isaiah/12.htm| title=|Darby Bible Translation| target=|_top|&gt;DBY&lt;/a&gt;</v>
      </c>
      <c r="AO69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9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9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91" t="str">
        <f>CONCATENATE("&lt;/li&gt;&lt;li&gt;&lt;a href=|http://",AR1191,"/isaiah/12.htm","| ","title=|",AR1190,"| target=|_top|&gt;",AR1192,"&lt;/a&gt;")</f>
        <v>&lt;/li&gt;&lt;li&gt;&lt;a href=|http://websterbible.com/isaiah/12.htm| title=|Webster's Bible Translation| target=|_top|&gt;WBS&lt;/a&gt;</v>
      </c>
      <c r="AS69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91" t="str">
        <f>CONCATENATE("&lt;/li&gt;&lt;li&gt;&lt;a href=|http://",AT1191,"/isaiah/12-1.htm","| ","title=|",AT1190,"| target=|_top|&gt;",AT1192,"&lt;/a&gt;")</f>
        <v>&lt;/li&gt;&lt;li&gt;&lt;a href=|http://biblebrowser.com/isaiah/12-1.htm| title=|Split View| target=|_top|&gt;Split&lt;/a&gt;</v>
      </c>
      <c r="AU691" s="2" t="s">
        <v>1276</v>
      </c>
      <c r="AV691" t="s">
        <v>64</v>
      </c>
    </row>
    <row r="692" spans="1:48">
      <c r="A692" t="s">
        <v>622</v>
      </c>
      <c r="B692" t="s">
        <v>1196</v>
      </c>
      <c r="C692" t="s">
        <v>624</v>
      </c>
      <c r="D692" t="s">
        <v>1268</v>
      </c>
      <c r="E692" t="s">
        <v>1277</v>
      </c>
      <c r="F692" t="s">
        <v>1304</v>
      </c>
      <c r="G692" t="s">
        <v>1266</v>
      </c>
      <c r="H692" t="s">
        <v>1305</v>
      </c>
      <c r="I692" t="s">
        <v>1303</v>
      </c>
      <c r="J692" t="s">
        <v>1267</v>
      </c>
      <c r="K692" t="s">
        <v>1275</v>
      </c>
      <c r="L692" s="2" t="s">
        <v>1274</v>
      </c>
      <c r="M692" t="str">
        <f t="shared" ref="M692:AB692" si="2764">CONCATENATE("&lt;/li&gt;&lt;li&gt;&lt;a href=|http://",M1191,"/isaiah/13.htm","| ","title=|",M1190,"| target=|_top|&gt;",M1192,"&lt;/a&gt;")</f>
        <v>&lt;/li&gt;&lt;li&gt;&lt;a href=|http://niv.scripturetext.com/isaiah/13.htm| title=|New International Version| target=|_top|&gt;NIV&lt;/a&gt;</v>
      </c>
      <c r="N692" t="str">
        <f t="shared" si="2764"/>
        <v>&lt;/li&gt;&lt;li&gt;&lt;a href=|http://nlt.scripturetext.com/isaiah/13.htm| title=|New Living Translation| target=|_top|&gt;NLT&lt;/a&gt;</v>
      </c>
      <c r="O692" t="str">
        <f t="shared" si="2764"/>
        <v>&lt;/li&gt;&lt;li&gt;&lt;a href=|http://nasb.scripturetext.com/isaiah/13.htm| title=|New American Standard Bible| target=|_top|&gt;NAS&lt;/a&gt;</v>
      </c>
      <c r="P692" t="str">
        <f t="shared" si="2764"/>
        <v>&lt;/li&gt;&lt;li&gt;&lt;a href=|http://gwt.scripturetext.com/isaiah/13.htm| title=|God's Word Translation| target=|_top|&gt;GWT&lt;/a&gt;</v>
      </c>
      <c r="Q692" t="str">
        <f t="shared" si="2764"/>
        <v>&lt;/li&gt;&lt;li&gt;&lt;a href=|http://kingjbible.com/isaiah/13.htm| title=|King James Bible| target=|_top|&gt;KJV&lt;/a&gt;</v>
      </c>
      <c r="R692" t="str">
        <f t="shared" si="2764"/>
        <v>&lt;/li&gt;&lt;li&gt;&lt;a href=|http://asvbible.com/isaiah/13.htm| title=|American Standard Version| target=|_top|&gt;ASV&lt;/a&gt;</v>
      </c>
      <c r="S692" t="str">
        <f t="shared" si="2764"/>
        <v>&lt;/li&gt;&lt;li&gt;&lt;a href=|http://drb.scripturetext.com/isaiah/13.htm| title=|Douay-Rheims Bible| target=|_top|&gt;DRB&lt;/a&gt;</v>
      </c>
      <c r="T692" t="str">
        <f t="shared" si="2764"/>
        <v>&lt;/li&gt;&lt;li&gt;&lt;a href=|http://erv.scripturetext.com/isaiah/13.htm| title=|English Revised Version| target=|_top|&gt;ERV&lt;/a&gt;</v>
      </c>
      <c r="V692" t="str">
        <f>CONCATENATE("&lt;/li&gt;&lt;li&gt;&lt;a href=|http://",V1191,"/isaiah/13.htm","| ","title=|",V1190,"| target=|_top|&gt;",V1192,"&lt;/a&gt;")</f>
        <v>&lt;/li&gt;&lt;li&gt;&lt;a href=|http://study.interlinearbible.org/isaiah/13.htm| title=|Hebrew Study Bible| target=|_top|&gt;Heb Study&lt;/a&gt;</v>
      </c>
      <c r="W692" t="str">
        <f t="shared" si="2764"/>
        <v>&lt;/li&gt;&lt;li&gt;&lt;a href=|http://apostolic.interlinearbible.org/isaiah/13.htm| title=|Apostolic Bible Polyglot Interlinear| target=|_top|&gt;Polyglot&lt;/a&gt;</v>
      </c>
      <c r="X692" t="str">
        <f t="shared" si="2764"/>
        <v>&lt;/li&gt;&lt;li&gt;&lt;a href=|http://interlinearbible.org/isaiah/13.htm| title=|Interlinear Bible| target=|_top|&gt;Interlin&lt;/a&gt;</v>
      </c>
      <c r="Y692" t="str">
        <f t="shared" ref="Y692" si="2765">CONCATENATE("&lt;/li&gt;&lt;li&gt;&lt;a href=|http://",Y1191,"/isaiah/13.htm","| ","title=|",Y1190,"| target=|_top|&gt;",Y1192,"&lt;/a&gt;")</f>
        <v>&lt;/li&gt;&lt;li&gt;&lt;a href=|http://bibleoutline.org/isaiah/13.htm| title=|Outline with People and Places List| target=|_top|&gt;Outline&lt;/a&gt;</v>
      </c>
      <c r="Z692" t="str">
        <f t="shared" si="2764"/>
        <v>&lt;/li&gt;&lt;li&gt;&lt;a href=|http://kjvs.scripturetext.com/isaiah/13.htm| title=|King James Bible with Strong's Numbers| target=|_top|&gt;Strong's&lt;/a&gt;</v>
      </c>
      <c r="AA692" t="str">
        <f t="shared" si="2764"/>
        <v>&lt;/li&gt;&lt;li&gt;&lt;a href=|http://childrensbibleonline.com/isaiah/13.htm| title=|The Children's Bible| target=|_top|&gt;Children's&lt;/a&gt;</v>
      </c>
      <c r="AB692" s="2" t="str">
        <f t="shared" si="2764"/>
        <v>&lt;/li&gt;&lt;li&gt;&lt;a href=|http://tsk.scripturetext.com/isaiah/13.htm| title=|Treasury of Scripture Knowledge| target=|_top|&gt;TSK&lt;/a&gt;</v>
      </c>
      <c r="AC692" t="str">
        <f>CONCATENATE("&lt;a href=|http://",AC1191,"/isaiah/13.htm","| ","title=|",AC1190,"| target=|_top|&gt;",AC1192,"&lt;/a&gt;")</f>
        <v>&lt;a href=|http://parallelbible.com/isaiah/13.htm| title=|Parallel Chapters| target=|_top|&gt;PAR&lt;/a&gt;</v>
      </c>
      <c r="AD692" s="2" t="str">
        <f t="shared" ref="AD692:AK692" si="2766">CONCATENATE("&lt;/li&gt;&lt;li&gt;&lt;a href=|http://",AD1191,"/isaiah/13.htm","| ","title=|",AD1190,"| target=|_top|&gt;",AD1192,"&lt;/a&gt;")</f>
        <v>&lt;/li&gt;&lt;li&gt;&lt;a href=|http://gsb.biblecommenter.com/isaiah/13.htm| title=|Geneva Study Bible| target=|_top|&gt;GSB&lt;/a&gt;</v>
      </c>
      <c r="AE692" s="2" t="str">
        <f t="shared" si="2766"/>
        <v>&lt;/li&gt;&lt;li&gt;&lt;a href=|http://jfb.biblecommenter.com/isaiah/13.htm| title=|Jamieson-Fausset-Brown Bible Commentary| target=|_top|&gt;JFB&lt;/a&gt;</v>
      </c>
      <c r="AF692" s="2" t="str">
        <f t="shared" si="2766"/>
        <v>&lt;/li&gt;&lt;li&gt;&lt;a href=|http://kjt.biblecommenter.com/isaiah/13.htm| title=|King James Translators' Notes| target=|_top|&gt;KJT&lt;/a&gt;</v>
      </c>
      <c r="AG692" s="2" t="str">
        <f t="shared" si="2766"/>
        <v>&lt;/li&gt;&lt;li&gt;&lt;a href=|http://mhc.biblecommenter.com/isaiah/13.htm| title=|Matthew Henry's Concise Commentary| target=|_top|&gt;MHC&lt;/a&gt;</v>
      </c>
      <c r="AH692" s="2" t="str">
        <f t="shared" si="2766"/>
        <v>&lt;/li&gt;&lt;li&gt;&lt;a href=|http://sco.biblecommenter.com/isaiah/13.htm| title=|Scofield Reference Notes| target=|_top|&gt;SCO&lt;/a&gt;</v>
      </c>
      <c r="AI692" s="2" t="str">
        <f t="shared" si="2766"/>
        <v>&lt;/li&gt;&lt;li&gt;&lt;a href=|http://wes.biblecommenter.com/isaiah/13.htm| title=|Wesley's Notes on the Bible| target=|_top|&gt;WES&lt;/a&gt;</v>
      </c>
      <c r="AJ692" t="str">
        <f t="shared" si="2766"/>
        <v>&lt;/li&gt;&lt;li&gt;&lt;a href=|http://worldebible.com/isaiah/13.htm| title=|World English Bible| target=|_top|&gt;WEB&lt;/a&gt;</v>
      </c>
      <c r="AK692" t="str">
        <f t="shared" si="2766"/>
        <v>&lt;/li&gt;&lt;li&gt;&lt;a href=|http://yltbible.com/isaiah/13.htm| title=|Young's Literal Translation| target=|_top|&gt;YLT&lt;/a&gt;</v>
      </c>
      <c r="AL692" t="str">
        <f>CONCATENATE("&lt;a href=|http://",AL1191,"/isaiah/13.htm","| ","title=|",AL1190,"| target=|_top|&gt;",AL1192,"&lt;/a&gt;")</f>
        <v>&lt;a href=|http://kjv.us/isaiah/13.htm| title=|American King James Version| target=|_top|&gt;AKJ&lt;/a&gt;</v>
      </c>
      <c r="AM692" t="str">
        <f t="shared" ref="AM692:AN692" si="2767">CONCATENATE("&lt;/li&gt;&lt;li&gt;&lt;a href=|http://",AM1191,"/isaiah/13.htm","| ","title=|",AM1190,"| target=|_top|&gt;",AM1192,"&lt;/a&gt;")</f>
        <v>&lt;/li&gt;&lt;li&gt;&lt;a href=|http://basicenglishbible.com/isaiah/13.htm| title=|Bible in Basic English| target=|_top|&gt;BBE&lt;/a&gt;</v>
      </c>
      <c r="AN692" t="str">
        <f t="shared" si="2767"/>
        <v>&lt;/li&gt;&lt;li&gt;&lt;a href=|http://darbybible.com/isaiah/13.htm| title=|Darby Bible Translation| target=|_top|&gt;DBY&lt;/a&gt;</v>
      </c>
      <c r="AO69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9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9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92" t="str">
        <f>CONCATENATE("&lt;/li&gt;&lt;li&gt;&lt;a href=|http://",AR1191,"/isaiah/13.htm","| ","title=|",AR1190,"| target=|_top|&gt;",AR1192,"&lt;/a&gt;")</f>
        <v>&lt;/li&gt;&lt;li&gt;&lt;a href=|http://websterbible.com/isaiah/13.htm| title=|Webster's Bible Translation| target=|_top|&gt;WBS&lt;/a&gt;</v>
      </c>
      <c r="AS69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92" t="str">
        <f>CONCATENATE("&lt;/li&gt;&lt;li&gt;&lt;a href=|http://",AT1191,"/isaiah/13-1.htm","| ","title=|",AT1190,"| target=|_top|&gt;",AT1192,"&lt;/a&gt;")</f>
        <v>&lt;/li&gt;&lt;li&gt;&lt;a href=|http://biblebrowser.com/isaiah/13-1.htm| title=|Split View| target=|_top|&gt;Split&lt;/a&gt;</v>
      </c>
      <c r="AU692" s="2" t="s">
        <v>1276</v>
      </c>
      <c r="AV692" t="s">
        <v>64</v>
      </c>
    </row>
    <row r="693" spans="1:48">
      <c r="A693" t="s">
        <v>622</v>
      </c>
      <c r="B693" t="s">
        <v>1197</v>
      </c>
      <c r="C693" t="s">
        <v>624</v>
      </c>
      <c r="D693" t="s">
        <v>1268</v>
      </c>
      <c r="E693" t="s">
        <v>1277</v>
      </c>
      <c r="F693" t="s">
        <v>1304</v>
      </c>
      <c r="G693" t="s">
        <v>1266</v>
      </c>
      <c r="H693" t="s">
        <v>1305</v>
      </c>
      <c r="I693" t="s">
        <v>1303</v>
      </c>
      <c r="J693" t="s">
        <v>1267</v>
      </c>
      <c r="K693" t="s">
        <v>1275</v>
      </c>
      <c r="L693" s="2" t="s">
        <v>1274</v>
      </c>
      <c r="M693" t="str">
        <f t="shared" ref="M693:AB693" si="2768">CONCATENATE("&lt;/li&gt;&lt;li&gt;&lt;a href=|http://",M1191,"/isaiah/14.htm","| ","title=|",M1190,"| target=|_top|&gt;",M1192,"&lt;/a&gt;")</f>
        <v>&lt;/li&gt;&lt;li&gt;&lt;a href=|http://niv.scripturetext.com/isaiah/14.htm| title=|New International Version| target=|_top|&gt;NIV&lt;/a&gt;</v>
      </c>
      <c r="N693" t="str">
        <f t="shared" si="2768"/>
        <v>&lt;/li&gt;&lt;li&gt;&lt;a href=|http://nlt.scripturetext.com/isaiah/14.htm| title=|New Living Translation| target=|_top|&gt;NLT&lt;/a&gt;</v>
      </c>
      <c r="O693" t="str">
        <f t="shared" si="2768"/>
        <v>&lt;/li&gt;&lt;li&gt;&lt;a href=|http://nasb.scripturetext.com/isaiah/14.htm| title=|New American Standard Bible| target=|_top|&gt;NAS&lt;/a&gt;</v>
      </c>
      <c r="P693" t="str">
        <f t="shared" si="2768"/>
        <v>&lt;/li&gt;&lt;li&gt;&lt;a href=|http://gwt.scripturetext.com/isaiah/14.htm| title=|God's Word Translation| target=|_top|&gt;GWT&lt;/a&gt;</v>
      </c>
      <c r="Q693" t="str">
        <f t="shared" si="2768"/>
        <v>&lt;/li&gt;&lt;li&gt;&lt;a href=|http://kingjbible.com/isaiah/14.htm| title=|King James Bible| target=|_top|&gt;KJV&lt;/a&gt;</v>
      </c>
      <c r="R693" t="str">
        <f t="shared" si="2768"/>
        <v>&lt;/li&gt;&lt;li&gt;&lt;a href=|http://asvbible.com/isaiah/14.htm| title=|American Standard Version| target=|_top|&gt;ASV&lt;/a&gt;</v>
      </c>
      <c r="S693" t="str">
        <f t="shared" si="2768"/>
        <v>&lt;/li&gt;&lt;li&gt;&lt;a href=|http://drb.scripturetext.com/isaiah/14.htm| title=|Douay-Rheims Bible| target=|_top|&gt;DRB&lt;/a&gt;</v>
      </c>
      <c r="T693" t="str">
        <f t="shared" si="2768"/>
        <v>&lt;/li&gt;&lt;li&gt;&lt;a href=|http://erv.scripturetext.com/isaiah/14.htm| title=|English Revised Version| target=|_top|&gt;ERV&lt;/a&gt;</v>
      </c>
      <c r="V693" t="str">
        <f>CONCATENATE("&lt;/li&gt;&lt;li&gt;&lt;a href=|http://",V1191,"/isaiah/14.htm","| ","title=|",V1190,"| target=|_top|&gt;",V1192,"&lt;/a&gt;")</f>
        <v>&lt;/li&gt;&lt;li&gt;&lt;a href=|http://study.interlinearbible.org/isaiah/14.htm| title=|Hebrew Study Bible| target=|_top|&gt;Heb Study&lt;/a&gt;</v>
      </c>
      <c r="W693" t="str">
        <f t="shared" si="2768"/>
        <v>&lt;/li&gt;&lt;li&gt;&lt;a href=|http://apostolic.interlinearbible.org/isaiah/14.htm| title=|Apostolic Bible Polyglot Interlinear| target=|_top|&gt;Polyglot&lt;/a&gt;</v>
      </c>
      <c r="X693" t="str">
        <f t="shared" si="2768"/>
        <v>&lt;/li&gt;&lt;li&gt;&lt;a href=|http://interlinearbible.org/isaiah/14.htm| title=|Interlinear Bible| target=|_top|&gt;Interlin&lt;/a&gt;</v>
      </c>
      <c r="Y693" t="str">
        <f t="shared" ref="Y693" si="2769">CONCATENATE("&lt;/li&gt;&lt;li&gt;&lt;a href=|http://",Y1191,"/isaiah/14.htm","| ","title=|",Y1190,"| target=|_top|&gt;",Y1192,"&lt;/a&gt;")</f>
        <v>&lt;/li&gt;&lt;li&gt;&lt;a href=|http://bibleoutline.org/isaiah/14.htm| title=|Outline with People and Places List| target=|_top|&gt;Outline&lt;/a&gt;</v>
      </c>
      <c r="Z693" t="str">
        <f t="shared" si="2768"/>
        <v>&lt;/li&gt;&lt;li&gt;&lt;a href=|http://kjvs.scripturetext.com/isaiah/14.htm| title=|King James Bible with Strong's Numbers| target=|_top|&gt;Strong's&lt;/a&gt;</v>
      </c>
      <c r="AA693" t="str">
        <f t="shared" si="2768"/>
        <v>&lt;/li&gt;&lt;li&gt;&lt;a href=|http://childrensbibleonline.com/isaiah/14.htm| title=|The Children's Bible| target=|_top|&gt;Children's&lt;/a&gt;</v>
      </c>
      <c r="AB693" s="2" t="str">
        <f t="shared" si="2768"/>
        <v>&lt;/li&gt;&lt;li&gt;&lt;a href=|http://tsk.scripturetext.com/isaiah/14.htm| title=|Treasury of Scripture Knowledge| target=|_top|&gt;TSK&lt;/a&gt;</v>
      </c>
      <c r="AC693" t="str">
        <f>CONCATENATE("&lt;a href=|http://",AC1191,"/isaiah/14.htm","| ","title=|",AC1190,"| target=|_top|&gt;",AC1192,"&lt;/a&gt;")</f>
        <v>&lt;a href=|http://parallelbible.com/isaiah/14.htm| title=|Parallel Chapters| target=|_top|&gt;PAR&lt;/a&gt;</v>
      </c>
      <c r="AD693" s="2" t="str">
        <f t="shared" ref="AD693:AK693" si="2770">CONCATENATE("&lt;/li&gt;&lt;li&gt;&lt;a href=|http://",AD1191,"/isaiah/14.htm","| ","title=|",AD1190,"| target=|_top|&gt;",AD1192,"&lt;/a&gt;")</f>
        <v>&lt;/li&gt;&lt;li&gt;&lt;a href=|http://gsb.biblecommenter.com/isaiah/14.htm| title=|Geneva Study Bible| target=|_top|&gt;GSB&lt;/a&gt;</v>
      </c>
      <c r="AE693" s="2" t="str">
        <f t="shared" si="2770"/>
        <v>&lt;/li&gt;&lt;li&gt;&lt;a href=|http://jfb.biblecommenter.com/isaiah/14.htm| title=|Jamieson-Fausset-Brown Bible Commentary| target=|_top|&gt;JFB&lt;/a&gt;</v>
      </c>
      <c r="AF693" s="2" t="str">
        <f t="shared" si="2770"/>
        <v>&lt;/li&gt;&lt;li&gt;&lt;a href=|http://kjt.biblecommenter.com/isaiah/14.htm| title=|King James Translators' Notes| target=|_top|&gt;KJT&lt;/a&gt;</v>
      </c>
      <c r="AG693" s="2" t="str">
        <f t="shared" si="2770"/>
        <v>&lt;/li&gt;&lt;li&gt;&lt;a href=|http://mhc.biblecommenter.com/isaiah/14.htm| title=|Matthew Henry's Concise Commentary| target=|_top|&gt;MHC&lt;/a&gt;</v>
      </c>
      <c r="AH693" s="2" t="str">
        <f t="shared" si="2770"/>
        <v>&lt;/li&gt;&lt;li&gt;&lt;a href=|http://sco.biblecommenter.com/isaiah/14.htm| title=|Scofield Reference Notes| target=|_top|&gt;SCO&lt;/a&gt;</v>
      </c>
      <c r="AI693" s="2" t="str">
        <f t="shared" si="2770"/>
        <v>&lt;/li&gt;&lt;li&gt;&lt;a href=|http://wes.biblecommenter.com/isaiah/14.htm| title=|Wesley's Notes on the Bible| target=|_top|&gt;WES&lt;/a&gt;</v>
      </c>
      <c r="AJ693" t="str">
        <f t="shared" si="2770"/>
        <v>&lt;/li&gt;&lt;li&gt;&lt;a href=|http://worldebible.com/isaiah/14.htm| title=|World English Bible| target=|_top|&gt;WEB&lt;/a&gt;</v>
      </c>
      <c r="AK693" t="str">
        <f t="shared" si="2770"/>
        <v>&lt;/li&gt;&lt;li&gt;&lt;a href=|http://yltbible.com/isaiah/14.htm| title=|Young's Literal Translation| target=|_top|&gt;YLT&lt;/a&gt;</v>
      </c>
      <c r="AL693" t="str">
        <f>CONCATENATE("&lt;a href=|http://",AL1191,"/isaiah/14.htm","| ","title=|",AL1190,"| target=|_top|&gt;",AL1192,"&lt;/a&gt;")</f>
        <v>&lt;a href=|http://kjv.us/isaiah/14.htm| title=|American King James Version| target=|_top|&gt;AKJ&lt;/a&gt;</v>
      </c>
      <c r="AM693" t="str">
        <f t="shared" ref="AM693:AN693" si="2771">CONCATENATE("&lt;/li&gt;&lt;li&gt;&lt;a href=|http://",AM1191,"/isaiah/14.htm","| ","title=|",AM1190,"| target=|_top|&gt;",AM1192,"&lt;/a&gt;")</f>
        <v>&lt;/li&gt;&lt;li&gt;&lt;a href=|http://basicenglishbible.com/isaiah/14.htm| title=|Bible in Basic English| target=|_top|&gt;BBE&lt;/a&gt;</v>
      </c>
      <c r="AN693" t="str">
        <f t="shared" si="2771"/>
        <v>&lt;/li&gt;&lt;li&gt;&lt;a href=|http://darbybible.com/isaiah/14.htm| title=|Darby Bible Translation| target=|_top|&gt;DBY&lt;/a&gt;</v>
      </c>
      <c r="AO69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9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9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93" t="str">
        <f>CONCATENATE("&lt;/li&gt;&lt;li&gt;&lt;a href=|http://",AR1191,"/isaiah/14.htm","| ","title=|",AR1190,"| target=|_top|&gt;",AR1192,"&lt;/a&gt;")</f>
        <v>&lt;/li&gt;&lt;li&gt;&lt;a href=|http://websterbible.com/isaiah/14.htm| title=|Webster's Bible Translation| target=|_top|&gt;WBS&lt;/a&gt;</v>
      </c>
      <c r="AS69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93" t="str">
        <f>CONCATENATE("&lt;/li&gt;&lt;li&gt;&lt;a href=|http://",AT1191,"/isaiah/14-1.htm","| ","title=|",AT1190,"| target=|_top|&gt;",AT1192,"&lt;/a&gt;")</f>
        <v>&lt;/li&gt;&lt;li&gt;&lt;a href=|http://biblebrowser.com/isaiah/14-1.htm| title=|Split View| target=|_top|&gt;Split&lt;/a&gt;</v>
      </c>
      <c r="AU693" s="2" t="s">
        <v>1276</v>
      </c>
      <c r="AV693" t="s">
        <v>64</v>
      </c>
    </row>
    <row r="694" spans="1:48">
      <c r="A694" t="s">
        <v>622</v>
      </c>
      <c r="B694" t="s">
        <v>1198</v>
      </c>
      <c r="C694" t="s">
        <v>624</v>
      </c>
      <c r="D694" t="s">
        <v>1268</v>
      </c>
      <c r="E694" t="s">
        <v>1277</v>
      </c>
      <c r="F694" t="s">
        <v>1304</v>
      </c>
      <c r="G694" t="s">
        <v>1266</v>
      </c>
      <c r="H694" t="s">
        <v>1305</v>
      </c>
      <c r="I694" t="s">
        <v>1303</v>
      </c>
      <c r="J694" t="s">
        <v>1267</v>
      </c>
      <c r="K694" t="s">
        <v>1275</v>
      </c>
      <c r="L694" s="2" t="s">
        <v>1274</v>
      </c>
      <c r="M694" t="str">
        <f t="shared" ref="M694:AB694" si="2772">CONCATENATE("&lt;/li&gt;&lt;li&gt;&lt;a href=|http://",M1191,"/isaiah/15.htm","| ","title=|",M1190,"| target=|_top|&gt;",M1192,"&lt;/a&gt;")</f>
        <v>&lt;/li&gt;&lt;li&gt;&lt;a href=|http://niv.scripturetext.com/isaiah/15.htm| title=|New International Version| target=|_top|&gt;NIV&lt;/a&gt;</v>
      </c>
      <c r="N694" t="str">
        <f t="shared" si="2772"/>
        <v>&lt;/li&gt;&lt;li&gt;&lt;a href=|http://nlt.scripturetext.com/isaiah/15.htm| title=|New Living Translation| target=|_top|&gt;NLT&lt;/a&gt;</v>
      </c>
      <c r="O694" t="str">
        <f t="shared" si="2772"/>
        <v>&lt;/li&gt;&lt;li&gt;&lt;a href=|http://nasb.scripturetext.com/isaiah/15.htm| title=|New American Standard Bible| target=|_top|&gt;NAS&lt;/a&gt;</v>
      </c>
      <c r="P694" t="str">
        <f t="shared" si="2772"/>
        <v>&lt;/li&gt;&lt;li&gt;&lt;a href=|http://gwt.scripturetext.com/isaiah/15.htm| title=|God's Word Translation| target=|_top|&gt;GWT&lt;/a&gt;</v>
      </c>
      <c r="Q694" t="str">
        <f t="shared" si="2772"/>
        <v>&lt;/li&gt;&lt;li&gt;&lt;a href=|http://kingjbible.com/isaiah/15.htm| title=|King James Bible| target=|_top|&gt;KJV&lt;/a&gt;</v>
      </c>
      <c r="R694" t="str">
        <f t="shared" si="2772"/>
        <v>&lt;/li&gt;&lt;li&gt;&lt;a href=|http://asvbible.com/isaiah/15.htm| title=|American Standard Version| target=|_top|&gt;ASV&lt;/a&gt;</v>
      </c>
      <c r="S694" t="str">
        <f t="shared" si="2772"/>
        <v>&lt;/li&gt;&lt;li&gt;&lt;a href=|http://drb.scripturetext.com/isaiah/15.htm| title=|Douay-Rheims Bible| target=|_top|&gt;DRB&lt;/a&gt;</v>
      </c>
      <c r="T694" t="str">
        <f t="shared" si="2772"/>
        <v>&lt;/li&gt;&lt;li&gt;&lt;a href=|http://erv.scripturetext.com/isaiah/15.htm| title=|English Revised Version| target=|_top|&gt;ERV&lt;/a&gt;</v>
      </c>
      <c r="V694" t="str">
        <f>CONCATENATE("&lt;/li&gt;&lt;li&gt;&lt;a href=|http://",V1191,"/isaiah/15.htm","| ","title=|",V1190,"| target=|_top|&gt;",V1192,"&lt;/a&gt;")</f>
        <v>&lt;/li&gt;&lt;li&gt;&lt;a href=|http://study.interlinearbible.org/isaiah/15.htm| title=|Hebrew Study Bible| target=|_top|&gt;Heb Study&lt;/a&gt;</v>
      </c>
      <c r="W694" t="str">
        <f t="shared" si="2772"/>
        <v>&lt;/li&gt;&lt;li&gt;&lt;a href=|http://apostolic.interlinearbible.org/isaiah/15.htm| title=|Apostolic Bible Polyglot Interlinear| target=|_top|&gt;Polyglot&lt;/a&gt;</v>
      </c>
      <c r="X694" t="str">
        <f t="shared" si="2772"/>
        <v>&lt;/li&gt;&lt;li&gt;&lt;a href=|http://interlinearbible.org/isaiah/15.htm| title=|Interlinear Bible| target=|_top|&gt;Interlin&lt;/a&gt;</v>
      </c>
      <c r="Y694" t="str">
        <f t="shared" ref="Y694" si="2773">CONCATENATE("&lt;/li&gt;&lt;li&gt;&lt;a href=|http://",Y1191,"/isaiah/15.htm","| ","title=|",Y1190,"| target=|_top|&gt;",Y1192,"&lt;/a&gt;")</f>
        <v>&lt;/li&gt;&lt;li&gt;&lt;a href=|http://bibleoutline.org/isaiah/15.htm| title=|Outline with People and Places List| target=|_top|&gt;Outline&lt;/a&gt;</v>
      </c>
      <c r="Z694" t="str">
        <f t="shared" si="2772"/>
        <v>&lt;/li&gt;&lt;li&gt;&lt;a href=|http://kjvs.scripturetext.com/isaiah/15.htm| title=|King James Bible with Strong's Numbers| target=|_top|&gt;Strong's&lt;/a&gt;</v>
      </c>
      <c r="AA694" t="str">
        <f t="shared" si="2772"/>
        <v>&lt;/li&gt;&lt;li&gt;&lt;a href=|http://childrensbibleonline.com/isaiah/15.htm| title=|The Children's Bible| target=|_top|&gt;Children's&lt;/a&gt;</v>
      </c>
      <c r="AB694" s="2" t="str">
        <f t="shared" si="2772"/>
        <v>&lt;/li&gt;&lt;li&gt;&lt;a href=|http://tsk.scripturetext.com/isaiah/15.htm| title=|Treasury of Scripture Knowledge| target=|_top|&gt;TSK&lt;/a&gt;</v>
      </c>
      <c r="AC694" t="str">
        <f>CONCATENATE("&lt;a href=|http://",AC1191,"/isaiah/15.htm","| ","title=|",AC1190,"| target=|_top|&gt;",AC1192,"&lt;/a&gt;")</f>
        <v>&lt;a href=|http://parallelbible.com/isaiah/15.htm| title=|Parallel Chapters| target=|_top|&gt;PAR&lt;/a&gt;</v>
      </c>
      <c r="AD694" s="2" t="str">
        <f t="shared" ref="AD694:AK694" si="2774">CONCATENATE("&lt;/li&gt;&lt;li&gt;&lt;a href=|http://",AD1191,"/isaiah/15.htm","| ","title=|",AD1190,"| target=|_top|&gt;",AD1192,"&lt;/a&gt;")</f>
        <v>&lt;/li&gt;&lt;li&gt;&lt;a href=|http://gsb.biblecommenter.com/isaiah/15.htm| title=|Geneva Study Bible| target=|_top|&gt;GSB&lt;/a&gt;</v>
      </c>
      <c r="AE694" s="2" t="str">
        <f t="shared" si="2774"/>
        <v>&lt;/li&gt;&lt;li&gt;&lt;a href=|http://jfb.biblecommenter.com/isaiah/15.htm| title=|Jamieson-Fausset-Brown Bible Commentary| target=|_top|&gt;JFB&lt;/a&gt;</v>
      </c>
      <c r="AF694" s="2" t="str">
        <f t="shared" si="2774"/>
        <v>&lt;/li&gt;&lt;li&gt;&lt;a href=|http://kjt.biblecommenter.com/isaiah/15.htm| title=|King James Translators' Notes| target=|_top|&gt;KJT&lt;/a&gt;</v>
      </c>
      <c r="AG694" s="2" t="str">
        <f t="shared" si="2774"/>
        <v>&lt;/li&gt;&lt;li&gt;&lt;a href=|http://mhc.biblecommenter.com/isaiah/15.htm| title=|Matthew Henry's Concise Commentary| target=|_top|&gt;MHC&lt;/a&gt;</v>
      </c>
      <c r="AH694" s="2" t="str">
        <f t="shared" si="2774"/>
        <v>&lt;/li&gt;&lt;li&gt;&lt;a href=|http://sco.biblecommenter.com/isaiah/15.htm| title=|Scofield Reference Notes| target=|_top|&gt;SCO&lt;/a&gt;</v>
      </c>
      <c r="AI694" s="2" t="str">
        <f t="shared" si="2774"/>
        <v>&lt;/li&gt;&lt;li&gt;&lt;a href=|http://wes.biblecommenter.com/isaiah/15.htm| title=|Wesley's Notes on the Bible| target=|_top|&gt;WES&lt;/a&gt;</v>
      </c>
      <c r="AJ694" t="str">
        <f t="shared" si="2774"/>
        <v>&lt;/li&gt;&lt;li&gt;&lt;a href=|http://worldebible.com/isaiah/15.htm| title=|World English Bible| target=|_top|&gt;WEB&lt;/a&gt;</v>
      </c>
      <c r="AK694" t="str">
        <f t="shared" si="2774"/>
        <v>&lt;/li&gt;&lt;li&gt;&lt;a href=|http://yltbible.com/isaiah/15.htm| title=|Young's Literal Translation| target=|_top|&gt;YLT&lt;/a&gt;</v>
      </c>
      <c r="AL694" t="str">
        <f>CONCATENATE("&lt;a href=|http://",AL1191,"/isaiah/15.htm","| ","title=|",AL1190,"| target=|_top|&gt;",AL1192,"&lt;/a&gt;")</f>
        <v>&lt;a href=|http://kjv.us/isaiah/15.htm| title=|American King James Version| target=|_top|&gt;AKJ&lt;/a&gt;</v>
      </c>
      <c r="AM694" t="str">
        <f t="shared" ref="AM694:AN694" si="2775">CONCATENATE("&lt;/li&gt;&lt;li&gt;&lt;a href=|http://",AM1191,"/isaiah/15.htm","| ","title=|",AM1190,"| target=|_top|&gt;",AM1192,"&lt;/a&gt;")</f>
        <v>&lt;/li&gt;&lt;li&gt;&lt;a href=|http://basicenglishbible.com/isaiah/15.htm| title=|Bible in Basic English| target=|_top|&gt;BBE&lt;/a&gt;</v>
      </c>
      <c r="AN694" t="str">
        <f t="shared" si="2775"/>
        <v>&lt;/li&gt;&lt;li&gt;&lt;a href=|http://darbybible.com/isaiah/15.htm| title=|Darby Bible Translation| target=|_top|&gt;DBY&lt;/a&gt;</v>
      </c>
      <c r="AO69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9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9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94" t="str">
        <f>CONCATENATE("&lt;/li&gt;&lt;li&gt;&lt;a href=|http://",AR1191,"/isaiah/15.htm","| ","title=|",AR1190,"| target=|_top|&gt;",AR1192,"&lt;/a&gt;")</f>
        <v>&lt;/li&gt;&lt;li&gt;&lt;a href=|http://websterbible.com/isaiah/15.htm| title=|Webster's Bible Translation| target=|_top|&gt;WBS&lt;/a&gt;</v>
      </c>
      <c r="AS69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94" t="str">
        <f>CONCATENATE("&lt;/li&gt;&lt;li&gt;&lt;a href=|http://",AT1191,"/isaiah/15-1.htm","| ","title=|",AT1190,"| target=|_top|&gt;",AT1192,"&lt;/a&gt;")</f>
        <v>&lt;/li&gt;&lt;li&gt;&lt;a href=|http://biblebrowser.com/isaiah/15-1.htm| title=|Split View| target=|_top|&gt;Split&lt;/a&gt;</v>
      </c>
      <c r="AU694" s="2" t="s">
        <v>1276</v>
      </c>
      <c r="AV694" t="s">
        <v>64</v>
      </c>
    </row>
    <row r="695" spans="1:48">
      <c r="A695" t="s">
        <v>622</v>
      </c>
      <c r="B695" t="s">
        <v>1199</v>
      </c>
      <c r="C695" t="s">
        <v>624</v>
      </c>
      <c r="D695" t="s">
        <v>1268</v>
      </c>
      <c r="E695" t="s">
        <v>1277</v>
      </c>
      <c r="F695" t="s">
        <v>1304</v>
      </c>
      <c r="G695" t="s">
        <v>1266</v>
      </c>
      <c r="H695" t="s">
        <v>1305</v>
      </c>
      <c r="I695" t="s">
        <v>1303</v>
      </c>
      <c r="J695" t="s">
        <v>1267</v>
      </c>
      <c r="K695" t="s">
        <v>1275</v>
      </c>
      <c r="L695" s="2" t="s">
        <v>1274</v>
      </c>
      <c r="M695" t="str">
        <f t="shared" ref="M695:AB695" si="2776">CONCATENATE("&lt;/li&gt;&lt;li&gt;&lt;a href=|http://",M1191,"/isaiah/16.htm","| ","title=|",M1190,"| target=|_top|&gt;",M1192,"&lt;/a&gt;")</f>
        <v>&lt;/li&gt;&lt;li&gt;&lt;a href=|http://niv.scripturetext.com/isaiah/16.htm| title=|New International Version| target=|_top|&gt;NIV&lt;/a&gt;</v>
      </c>
      <c r="N695" t="str">
        <f t="shared" si="2776"/>
        <v>&lt;/li&gt;&lt;li&gt;&lt;a href=|http://nlt.scripturetext.com/isaiah/16.htm| title=|New Living Translation| target=|_top|&gt;NLT&lt;/a&gt;</v>
      </c>
      <c r="O695" t="str">
        <f t="shared" si="2776"/>
        <v>&lt;/li&gt;&lt;li&gt;&lt;a href=|http://nasb.scripturetext.com/isaiah/16.htm| title=|New American Standard Bible| target=|_top|&gt;NAS&lt;/a&gt;</v>
      </c>
      <c r="P695" t="str">
        <f t="shared" si="2776"/>
        <v>&lt;/li&gt;&lt;li&gt;&lt;a href=|http://gwt.scripturetext.com/isaiah/16.htm| title=|God's Word Translation| target=|_top|&gt;GWT&lt;/a&gt;</v>
      </c>
      <c r="Q695" t="str">
        <f t="shared" si="2776"/>
        <v>&lt;/li&gt;&lt;li&gt;&lt;a href=|http://kingjbible.com/isaiah/16.htm| title=|King James Bible| target=|_top|&gt;KJV&lt;/a&gt;</v>
      </c>
      <c r="R695" t="str">
        <f t="shared" si="2776"/>
        <v>&lt;/li&gt;&lt;li&gt;&lt;a href=|http://asvbible.com/isaiah/16.htm| title=|American Standard Version| target=|_top|&gt;ASV&lt;/a&gt;</v>
      </c>
      <c r="S695" t="str">
        <f t="shared" si="2776"/>
        <v>&lt;/li&gt;&lt;li&gt;&lt;a href=|http://drb.scripturetext.com/isaiah/16.htm| title=|Douay-Rheims Bible| target=|_top|&gt;DRB&lt;/a&gt;</v>
      </c>
      <c r="T695" t="str">
        <f t="shared" si="2776"/>
        <v>&lt;/li&gt;&lt;li&gt;&lt;a href=|http://erv.scripturetext.com/isaiah/16.htm| title=|English Revised Version| target=|_top|&gt;ERV&lt;/a&gt;</v>
      </c>
      <c r="V695" t="str">
        <f>CONCATENATE("&lt;/li&gt;&lt;li&gt;&lt;a href=|http://",V1191,"/isaiah/16.htm","| ","title=|",V1190,"| target=|_top|&gt;",V1192,"&lt;/a&gt;")</f>
        <v>&lt;/li&gt;&lt;li&gt;&lt;a href=|http://study.interlinearbible.org/isaiah/16.htm| title=|Hebrew Study Bible| target=|_top|&gt;Heb Study&lt;/a&gt;</v>
      </c>
      <c r="W695" t="str">
        <f t="shared" si="2776"/>
        <v>&lt;/li&gt;&lt;li&gt;&lt;a href=|http://apostolic.interlinearbible.org/isaiah/16.htm| title=|Apostolic Bible Polyglot Interlinear| target=|_top|&gt;Polyglot&lt;/a&gt;</v>
      </c>
      <c r="X695" t="str">
        <f t="shared" si="2776"/>
        <v>&lt;/li&gt;&lt;li&gt;&lt;a href=|http://interlinearbible.org/isaiah/16.htm| title=|Interlinear Bible| target=|_top|&gt;Interlin&lt;/a&gt;</v>
      </c>
      <c r="Y695" t="str">
        <f t="shared" ref="Y695" si="2777">CONCATENATE("&lt;/li&gt;&lt;li&gt;&lt;a href=|http://",Y1191,"/isaiah/16.htm","| ","title=|",Y1190,"| target=|_top|&gt;",Y1192,"&lt;/a&gt;")</f>
        <v>&lt;/li&gt;&lt;li&gt;&lt;a href=|http://bibleoutline.org/isaiah/16.htm| title=|Outline with People and Places List| target=|_top|&gt;Outline&lt;/a&gt;</v>
      </c>
      <c r="Z695" t="str">
        <f t="shared" si="2776"/>
        <v>&lt;/li&gt;&lt;li&gt;&lt;a href=|http://kjvs.scripturetext.com/isaiah/16.htm| title=|King James Bible with Strong's Numbers| target=|_top|&gt;Strong's&lt;/a&gt;</v>
      </c>
      <c r="AA695" t="str">
        <f t="shared" si="2776"/>
        <v>&lt;/li&gt;&lt;li&gt;&lt;a href=|http://childrensbibleonline.com/isaiah/16.htm| title=|The Children's Bible| target=|_top|&gt;Children's&lt;/a&gt;</v>
      </c>
      <c r="AB695" s="2" t="str">
        <f t="shared" si="2776"/>
        <v>&lt;/li&gt;&lt;li&gt;&lt;a href=|http://tsk.scripturetext.com/isaiah/16.htm| title=|Treasury of Scripture Knowledge| target=|_top|&gt;TSK&lt;/a&gt;</v>
      </c>
      <c r="AC695" t="str">
        <f>CONCATENATE("&lt;a href=|http://",AC1191,"/isaiah/16.htm","| ","title=|",AC1190,"| target=|_top|&gt;",AC1192,"&lt;/a&gt;")</f>
        <v>&lt;a href=|http://parallelbible.com/isaiah/16.htm| title=|Parallel Chapters| target=|_top|&gt;PAR&lt;/a&gt;</v>
      </c>
      <c r="AD695" s="2" t="str">
        <f t="shared" ref="AD695:AK695" si="2778">CONCATENATE("&lt;/li&gt;&lt;li&gt;&lt;a href=|http://",AD1191,"/isaiah/16.htm","| ","title=|",AD1190,"| target=|_top|&gt;",AD1192,"&lt;/a&gt;")</f>
        <v>&lt;/li&gt;&lt;li&gt;&lt;a href=|http://gsb.biblecommenter.com/isaiah/16.htm| title=|Geneva Study Bible| target=|_top|&gt;GSB&lt;/a&gt;</v>
      </c>
      <c r="AE695" s="2" t="str">
        <f t="shared" si="2778"/>
        <v>&lt;/li&gt;&lt;li&gt;&lt;a href=|http://jfb.biblecommenter.com/isaiah/16.htm| title=|Jamieson-Fausset-Brown Bible Commentary| target=|_top|&gt;JFB&lt;/a&gt;</v>
      </c>
      <c r="AF695" s="2" t="str">
        <f t="shared" si="2778"/>
        <v>&lt;/li&gt;&lt;li&gt;&lt;a href=|http://kjt.biblecommenter.com/isaiah/16.htm| title=|King James Translators' Notes| target=|_top|&gt;KJT&lt;/a&gt;</v>
      </c>
      <c r="AG695" s="2" t="str">
        <f t="shared" si="2778"/>
        <v>&lt;/li&gt;&lt;li&gt;&lt;a href=|http://mhc.biblecommenter.com/isaiah/16.htm| title=|Matthew Henry's Concise Commentary| target=|_top|&gt;MHC&lt;/a&gt;</v>
      </c>
      <c r="AH695" s="2" t="str">
        <f t="shared" si="2778"/>
        <v>&lt;/li&gt;&lt;li&gt;&lt;a href=|http://sco.biblecommenter.com/isaiah/16.htm| title=|Scofield Reference Notes| target=|_top|&gt;SCO&lt;/a&gt;</v>
      </c>
      <c r="AI695" s="2" t="str">
        <f t="shared" si="2778"/>
        <v>&lt;/li&gt;&lt;li&gt;&lt;a href=|http://wes.biblecommenter.com/isaiah/16.htm| title=|Wesley's Notes on the Bible| target=|_top|&gt;WES&lt;/a&gt;</v>
      </c>
      <c r="AJ695" t="str">
        <f t="shared" si="2778"/>
        <v>&lt;/li&gt;&lt;li&gt;&lt;a href=|http://worldebible.com/isaiah/16.htm| title=|World English Bible| target=|_top|&gt;WEB&lt;/a&gt;</v>
      </c>
      <c r="AK695" t="str">
        <f t="shared" si="2778"/>
        <v>&lt;/li&gt;&lt;li&gt;&lt;a href=|http://yltbible.com/isaiah/16.htm| title=|Young's Literal Translation| target=|_top|&gt;YLT&lt;/a&gt;</v>
      </c>
      <c r="AL695" t="str">
        <f>CONCATENATE("&lt;a href=|http://",AL1191,"/isaiah/16.htm","| ","title=|",AL1190,"| target=|_top|&gt;",AL1192,"&lt;/a&gt;")</f>
        <v>&lt;a href=|http://kjv.us/isaiah/16.htm| title=|American King James Version| target=|_top|&gt;AKJ&lt;/a&gt;</v>
      </c>
      <c r="AM695" t="str">
        <f t="shared" ref="AM695:AN695" si="2779">CONCATENATE("&lt;/li&gt;&lt;li&gt;&lt;a href=|http://",AM1191,"/isaiah/16.htm","| ","title=|",AM1190,"| target=|_top|&gt;",AM1192,"&lt;/a&gt;")</f>
        <v>&lt;/li&gt;&lt;li&gt;&lt;a href=|http://basicenglishbible.com/isaiah/16.htm| title=|Bible in Basic English| target=|_top|&gt;BBE&lt;/a&gt;</v>
      </c>
      <c r="AN695" t="str">
        <f t="shared" si="2779"/>
        <v>&lt;/li&gt;&lt;li&gt;&lt;a href=|http://darbybible.com/isaiah/16.htm| title=|Darby Bible Translation| target=|_top|&gt;DBY&lt;/a&gt;</v>
      </c>
      <c r="AO69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9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9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95" t="str">
        <f>CONCATENATE("&lt;/li&gt;&lt;li&gt;&lt;a href=|http://",AR1191,"/isaiah/16.htm","| ","title=|",AR1190,"| target=|_top|&gt;",AR1192,"&lt;/a&gt;")</f>
        <v>&lt;/li&gt;&lt;li&gt;&lt;a href=|http://websterbible.com/isaiah/16.htm| title=|Webster's Bible Translation| target=|_top|&gt;WBS&lt;/a&gt;</v>
      </c>
      <c r="AS69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95" t="str">
        <f>CONCATENATE("&lt;/li&gt;&lt;li&gt;&lt;a href=|http://",AT1191,"/isaiah/16-1.htm","| ","title=|",AT1190,"| target=|_top|&gt;",AT1192,"&lt;/a&gt;")</f>
        <v>&lt;/li&gt;&lt;li&gt;&lt;a href=|http://biblebrowser.com/isaiah/16-1.htm| title=|Split View| target=|_top|&gt;Split&lt;/a&gt;</v>
      </c>
      <c r="AU695" s="2" t="s">
        <v>1276</v>
      </c>
      <c r="AV695" t="s">
        <v>64</v>
      </c>
    </row>
    <row r="696" spans="1:48">
      <c r="A696" t="s">
        <v>622</v>
      </c>
      <c r="B696" t="s">
        <v>1200</v>
      </c>
      <c r="C696" t="s">
        <v>624</v>
      </c>
      <c r="D696" t="s">
        <v>1268</v>
      </c>
      <c r="E696" t="s">
        <v>1277</v>
      </c>
      <c r="F696" t="s">
        <v>1304</v>
      </c>
      <c r="G696" t="s">
        <v>1266</v>
      </c>
      <c r="H696" t="s">
        <v>1305</v>
      </c>
      <c r="I696" t="s">
        <v>1303</v>
      </c>
      <c r="J696" t="s">
        <v>1267</v>
      </c>
      <c r="K696" t="s">
        <v>1275</v>
      </c>
      <c r="L696" s="2" t="s">
        <v>1274</v>
      </c>
      <c r="M696" t="str">
        <f t="shared" ref="M696:AB696" si="2780">CONCATENATE("&lt;/li&gt;&lt;li&gt;&lt;a href=|http://",M1191,"/isaiah/17.htm","| ","title=|",M1190,"| target=|_top|&gt;",M1192,"&lt;/a&gt;")</f>
        <v>&lt;/li&gt;&lt;li&gt;&lt;a href=|http://niv.scripturetext.com/isaiah/17.htm| title=|New International Version| target=|_top|&gt;NIV&lt;/a&gt;</v>
      </c>
      <c r="N696" t="str">
        <f t="shared" si="2780"/>
        <v>&lt;/li&gt;&lt;li&gt;&lt;a href=|http://nlt.scripturetext.com/isaiah/17.htm| title=|New Living Translation| target=|_top|&gt;NLT&lt;/a&gt;</v>
      </c>
      <c r="O696" t="str">
        <f t="shared" si="2780"/>
        <v>&lt;/li&gt;&lt;li&gt;&lt;a href=|http://nasb.scripturetext.com/isaiah/17.htm| title=|New American Standard Bible| target=|_top|&gt;NAS&lt;/a&gt;</v>
      </c>
      <c r="P696" t="str">
        <f t="shared" si="2780"/>
        <v>&lt;/li&gt;&lt;li&gt;&lt;a href=|http://gwt.scripturetext.com/isaiah/17.htm| title=|God's Word Translation| target=|_top|&gt;GWT&lt;/a&gt;</v>
      </c>
      <c r="Q696" t="str">
        <f t="shared" si="2780"/>
        <v>&lt;/li&gt;&lt;li&gt;&lt;a href=|http://kingjbible.com/isaiah/17.htm| title=|King James Bible| target=|_top|&gt;KJV&lt;/a&gt;</v>
      </c>
      <c r="R696" t="str">
        <f t="shared" si="2780"/>
        <v>&lt;/li&gt;&lt;li&gt;&lt;a href=|http://asvbible.com/isaiah/17.htm| title=|American Standard Version| target=|_top|&gt;ASV&lt;/a&gt;</v>
      </c>
      <c r="S696" t="str">
        <f t="shared" si="2780"/>
        <v>&lt;/li&gt;&lt;li&gt;&lt;a href=|http://drb.scripturetext.com/isaiah/17.htm| title=|Douay-Rheims Bible| target=|_top|&gt;DRB&lt;/a&gt;</v>
      </c>
      <c r="T696" t="str">
        <f t="shared" si="2780"/>
        <v>&lt;/li&gt;&lt;li&gt;&lt;a href=|http://erv.scripturetext.com/isaiah/17.htm| title=|English Revised Version| target=|_top|&gt;ERV&lt;/a&gt;</v>
      </c>
      <c r="V696" t="str">
        <f>CONCATENATE("&lt;/li&gt;&lt;li&gt;&lt;a href=|http://",V1191,"/isaiah/17.htm","| ","title=|",V1190,"| target=|_top|&gt;",V1192,"&lt;/a&gt;")</f>
        <v>&lt;/li&gt;&lt;li&gt;&lt;a href=|http://study.interlinearbible.org/isaiah/17.htm| title=|Hebrew Study Bible| target=|_top|&gt;Heb Study&lt;/a&gt;</v>
      </c>
      <c r="W696" t="str">
        <f t="shared" si="2780"/>
        <v>&lt;/li&gt;&lt;li&gt;&lt;a href=|http://apostolic.interlinearbible.org/isaiah/17.htm| title=|Apostolic Bible Polyglot Interlinear| target=|_top|&gt;Polyglot&lt;/a&gt;</v>
      </c>
      <c r="X696" t="str">
        <f t="shared" si="2780"/>
        <v>&lt;/li&gt;&lt;li&gt;&lt;a href=|http://interlinearbible.org/isaiah/17.htm| title=|Interlinear Bible| target=|_top|&gt;Interlin&lt;/a&gt;</v>
      </c>
      <c r="Y696" t="str">
        <f t="shared" ref="Y696" si="2781">CONCATENATE("&lt;/li&gt;&lt;li&gt;&lt;a href=|http://",Y1191,"/isaiah/17.htm","| ","title=|",Y1190,"| target=|_top|&gt;",Y1192,"&lt;/a&gt;")</f>
        <v>&lt;/li&gt;&lt;li&gt;&lt;a href=|http://bibleoutline.org/isaiah/17.htm| title=|Outline with People and Places List| target=|_top|&gt;Outline&lt;/a&gt;</v>
      </c>
      <c r="Z696" t="str">
        <f t="shared" si="2780"/>
        <v>&lt;/li&gt;&lt;li&gt;&lt;a href=|http://kjvs.scripturetext.com/isaiah/17.htm| title=|King James Bible with Strong's Numbers| target=|_top|&gt;Strong's&lt;/a&gt;</v>
      </c>
      <c r="AA696" t="str">
        <f t="shared" si="2780"/>
        <v>&lt;/li&gt;&lt;li&gt;&lt;a href=|http://childrensbibleonline.com/isaiah/17.htm| title=|The Children's Bible| target=|_top|&gt;Children's&lt;/a&gt;</v>
      </c>
      <c r="AB696" s="2" t="str">
        <f t="shared" si="2780"/>
        <v>&lt;/li&gt;&lt;li&gt;&lt;a href=|http://tsk.scripturetext.com/isaiah/17.htm| title=|Treasury of Scripture Knowledge| target=|_top|&gt;TSK&lt;/a&gt;</v>
      </c>
      <c r="AC696" t="str">
        <f>CONCATENATE("&lt;a href=|http://",AC1191,"/isaiah/17.htm","| ","title=|",AC1190,"| target=|_top|&gt;",AC1192,"&lt;/a&gt;")</f>
        <v>&lt;a href=|http://parallelbible.com/isaiah/17.htm| title=|Parallel Chapters| target=|_top|&gt;PAR&lt;/a&gt;</v>
      </c>
      <c r="AD696" s="2" t="str">
        <f t="shared" ref="AD696:AK696" si="2782">CONCATENATE("&lt;/li&gt;&lt;li&gt;&lt;a href=|http://",AD1191,"/isaiah/17.htm","| ","title=|",AD1190,"| target=|_top|&gt;",AD1192,"&lt;/a&gt;")</f>
        <v>&lt;/li&gt;&lt;li&gt;&lt;a href=|http://gsb.biblecommenter.com/isaiah/17.htm| title=|Geneva Study Bible| target=|_top|&gt;GSB&lt;/a&gt;</v>
      </c>
      <c r="AE696" s="2" t="str">
        <f t="shared" si="2782"/>
        <v>&lt;/li&gt;&lt;li&gt;&lt;a href=|http://jfb.biblecommenter.com/isaiah/17.htm| title=|Jamieson-Fausset-Brown Bible Commentary| target=|_top|&gt;JFB&lt;/a&gt;</v>
      </c>
      <c r="AF696" s="2" t="str">
        <f t="shared" si="2782"/>
        <v>&lt;/li&gt;&lt;li&gt;&lt;a href=|http://kjt.biblecommenter.com/isaiah/17.htm| title=|King James Translators' Notes| target=|_top|&gt;KJT&lt;/a&gt;</v>
      </c>
      <c r="AG696" s="2" t="str">
        <f t="shared" si="2782"/>
        <v>&lt;/li&gt;&lt;li&gt;&lt;a href=|http://mhc.biblecommenter.com/isaiah/17.htm| title=|Matthew Henry's Concise Commentary| target=|_top|&gt;MHC&lt;/a&gt;</v>
      </c>
      <c r="AH696" s="2" t="str">
        <f t="shared" si="2782"/>
        <v>&lt;/li&gt;&lt;li&gt;&lt;a href=|http://sco.biblecommenter.com/isaiah/17.htm| title=|Scofield Reference Notes| target=|_top|&gt;SCO&lt;/a&gt;</v>
      </c>
      <c r="AI696" s="2" t="str">
        <f t="shared" si="2782"/>
        <v>&lt;/li&gt;&lt;li&gt;&lt;a href=|http://wes.biblecommenter.com/isaiah/17.htm| title=|Wesley's Notes on the Bible| target=|_top|&gt;WES&lt;/a&gt;</v>
      </c>
      <c r="AJ696" t="str">
        <f t="shared" si="2782"/>
        <v>&lt;/li&gt;&lt;li&gt;&lt;a href=|http://worldebible.com/isaiah/17.htm| title=|World English Bible| target=|_top|&gt;WEB&lt;/a&gt;</v>
      </c>
      <c r="AK696" t="str">
        <f t="shared" si="2782"/>
        <v>&lt;/li&gt;&lt;li&gt;&lt;a href=|http://yltbible.com/isaiah/17.htm| title=|Young's Literal Translation| target=|_top|&gt;YLT&lt;/a&gt;</v>
      </c>
      <c r="AL696" t="str">
        <f>CONCATENATE("&lt;a href=|http://",AL1191,"/isaiah/17.htm","| ","title=|",AL1190,"| target=|_top|&gt;",AL1192,"&lt;/a&gt;")</f>
        <v>&lt;a href=|http://kjv.us/isaiah/17.htm| title=|American King James Version| target=|_top|&gt;AKJ&lt;/a&gt;</v>
      </c>
      <c r="AM696" t="str">
        <f t="shared" ref="AM696:AN696" si="2783">CONCATENATE("&lt;/li&gt;&lt;li&gt;&lt;a href=|http://",AM1191,"/isaiah/17.htm","| ","title=|",AM1190,"| target=|_top|&gt;",AM1192,"&lt;/a&gt;")</f>
        <v>&lt;/li&gt;&lt;li&gt;&lt;a href=|http://basicenglishbible.com/isaiah/17.htm| title=|Bible in Basic English| target=|_top|&gt;BBE&lt;/a&gt;</v>
      </c>
      <c r="AN696" t="str">
        <f t="shared" si="2783"/>
        <v>&lt;/li&gt;&lt;li&gt;&lt;a href=|http://darbybible.com/isaiah/17.htm| title=|Darby Bible Translation| target=|_top|&gt;DBY&lt;/a&gt;</v>
      </c>
      <c r="AO69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9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9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96" t="str">
        <f>CONCATENATE("&lt;/li&gt;&lt;li&gt;&lt;a href=|http://",AR1191,"/isaiah/17.htm","| ","title=|",AR1190,"| target=|_top|&gt;",AR1192,"&lt;/a&gt;")</f>
        <v>&lt;/li&gt;&lt;li&gt;&lt;a href=|http://websterbible.com/isaiah/17.htm| title=|Webster's Bible Translation| target=|_top|&gt;WBS&lt;/a&gt;</v>
      </c>
      <c r="AS69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96" t="str">
        <f>CONCATENATE("&lt;/li&gt;&lt;li&gt;&lt;a href=|http://",AT1191,"/isaiah/17-1.htm","| ","title=|",AT1190,"| target=|_top|&gt;",AT1192,"&lt;/a&gt;")</f>
        <v>&lt;/li&gt;&lt;li&gt;&lt;a href=|http://biblebrowser.com/isaiah/17-1.htm| title=|Split View| target=|_top|&gt;Split&lt;/a&gt;</v>
      </c>
      <c r="AU696" s="2" t="s">
        <v>1276</v>
      </c>
      <c r="AV696" t="s">
        <v>64</v>
      </c>
    </row>
    <row r="697" spans="1:48">
      <c r="A697" t="s">
        <v>622</v>
      </c>
      <c r="B697" t="s">
        <v>1201</v>
      </c>
      <c r="C697" t="s">
        <v>624</v>
      </c>
      <c r="D697" t="s">
        <v>1268</v>
      </c>
      <c r="E697" t="s">
        <v>1277</v>
      </c>
      <c r="F697" t="s">
        <v>1304</v>
      </c>
      <c r="G697" t="s">
        <v>1266</v>
      </c>
      <c r="H697" t="s">
        <v>1305</v>
      </c>
      <c r="I697" t="s">
        <v>1303</v>
      </c>
      <c r="J697" t="s">
        <v>1267</v>
      </c>
      <c r="K697" t="s">
        <v>1275</v>
      </c>
      <c r="L697" s="2" t="s">
        <v>1274</v>
      </c>
      <c r="M697" t="str">
        <f t="shared" ref="M697:AB697" si="2784">CONCATENATE("&lt;/li&gt;&lt;li&gt;&lt;a href=|http://",M1191,"/isaiah/18.htm","| ","title=|",M1190,"| target=|_top|&gt;",M1192,"&lt;/a&gt;")</f>
        <v>&lt;/li&gt;&lt;li&gt;&lt;a href=|http://niv.scripturetext.com/isaiah/18.htm| title=|New International Version| target=|_top|&gt;NIV&lt;/a&gt;</v>
      </c>
      <c r="N697" t="str">
        <f t="shared" si="2784"/>
        <v>&lt;/li&gt;&lt;li&gt;&lt;a href=|http://nlt.scripturetext.com/isaiah/18.htm| title=|New Living Translation| target=|_top|&gt;NLT&lt;/a&gt;</v>
      </c>
      <c r="O697" t="str">
        <f t="shared" si="2784"/>
        <v>&lt;/li&gt;&lt;li&gt;&lt;a href=|http://nasb.scripturetext.com/isaiah/18.htm| title=|New American Standard Bible| target=|_top|&gt;NAS&lt;/a&gt;</v>
      </c>
      <c r="P697" t="str">
        <f t="shared" si="2784"/>
        <v>&lt;/li&gt;&lt;li&gt;&lt;a href=|http://gwt.scripturetext.com/isaiah/18.htm| title=|God's Word Translation| target=|_top|&gt;GWT&lt;/a&gt;</v>
      </c>
      <c r="Q697" t="str">
        <f t="shared" si="2784"/>
        <v>&lt;/li&gt;&lt;li&gt;&lt;a href=|http://kingjbible.com/isaiah/18.htm| title=|King James Bible| target=|_top|&gt;KJV&lt;/a&gt;</v>
      </c>
      <c r="R697" t="str">
        <f t="shared" si="2784"/>
        <v>&lt;/li&gt;&lt;li&gt;&lt;a href=|http://asvbible.com/isaiah/18.htm| title=|American Standard Version| target=|_top|&gt;ASV&lt;/a&gt;</v>
      </c>
      <c r="S697" t="str">
        <f t="shared" si="2784"/>
        <v>&lt;/li&gt;&lt;li&gt;&lt;a href=|http://drb.scripturetext.com/isaiah/18.htm| title=|Douay-Rheims Bible| target=|_top|&gt;DRB&lt;/a&gt;</v>
      </c>
      <c r="T697" t="str">
        <f t="shared" si="2784"/>
        <v>&lt;/li&gt;&lt;li&gt;&lt;a href=|http://erv.scripturetext.com/isaiah/18.htm| title=|English Revised Version| target=|_top|&gt;ERV&lt;/a&gt;</v>
      </c>
      <c r="V697" t="str">
        <f>CONCATENATE("&lt;/li&gt;&lt;li&gt;&lt;a href=|http://",V1191,"/isaiah/18.htm","| ","title=|",V1190,"| target=|_top|&gt;",V1192,"&lt;/a&gt;")</f>
        <v>&lt;/li&gt;&lt;li&gt;&lt;a href=|http://study.interlinearbible.org/isaiah/18.htm| title=|Hebrew Study Bible| target=|_top|&gt;Heb Study&lt;/a&gt;</v>
      </c>
      <c r="W697" t="str">
        <f t="shared" si="2784"/>
        <v>&lt;/li&gt;&lt;li&gt;&lt;a href=|http://apostolic.interlinearbible.org/isaiah/18.htm| title=|Apostolic Bible Polyglot Interlinear| target=|_top|&gt;Polyglot&lt;/a&gt;</v>
      </c>
      <c r="X697" t="str">
        <f t="shared" si="2784"/>
        <v>&lt;/li&gt;&lt;li&gt;&lt;a href=|http://interlinearbible.org/isaiah/18.htm| title=|Interlinear Bible| target=|_top|&gt;Interlin&lt;/a&gt;</v>
      </c>
      <c r="Y697" t="str">
        <f t="shared" ref="Y697" si="2785">CONCATENATE("&lt;/li&gt;&lt;li&gt;&lt;a href=|http://",Y1191,"/isaiah/18.htm","| ","title=|",Y1190,"| target=|_top|&gt;",Y1192,"&lt;/a&gt;")</f>
        <v>&lt;/li&gt;&lt;li&gt;&lt;a href=|http://bibleoutline.org/isaiah/18.htm| title=|Outline with People and Places List| target=|_top|&gt;Outline&lt;/a&gt;</v>
      </c>
      <c r="Z697" t="str">
        <f t="shared" si="2784"/>
        <v>&lt;/li&gt;&lt;li&gt;&lt;a href=|http://kjvs.scripturetext.com/isaiah/18.htm| title=|King James Bible with Strong's Numbers| target=|_top|&gt;Strong's&lt;/a&gt;</v>
      </c>
      <c r="AA697" t="str">
        <f t="shared" si="2784"/>
        <v>&lt;/li&gt;&lt;li&gt;&lt;a href=|http://childrensbibleonline.com/isaiah/18.htm| title=|The Children's Bible| target=|_top|&gt;Children's&lt;/a&gt;</v>
      </c>
      <c r="AB697" s="2" t="str">
        <f t="shared" si="2784"/>
        <v>&lt;/li&gt;&lt;li&gt;&lt;a href=|http://tsk.scripturetext.com/isaiah/18.htm| title=|Treasury of Scripture Knowledge| target=|_top|&gt;TSK&lt;/a&gt;</v>
      </c>
      <c r="AC697" t="str">
        <f>CONCATENATE("&lt;a href=|http://",AC1191,"/isaiah/18.htm","| ","title=|",AC1190,"| target=|_top|&gt;",AC1192,"&lt;/a&gt;")</f>
        <v>&lt;a href=|http://parallelbible.com/isaiah/18.htm| title=|Parallel Chapters| target=|_top|&gt;PAR&lt;/a&gt;</v>
      </c>
      <c r="AD697" s="2" t="str">
        <f t="shared" ref="AD697:AK697" si="2786">CONCATENATE("&lt;/li&gt;&lt;li&gt;&lt;a href=|http://",AD1191,"/isaiah/18.htm","| ","title=|",AD1190,"| target=|_top|&gt;",AD1192,"&lt;/a&gt;")</f>
        <v>&lt;/li&gt;&lt;li&gt;&lt;a href=|http://gsb.biblecommenter.com/isaiah/18.htm| title=|Geneva Study Bible| target=|_top|&gt;GSB&lt;/a&gt;</v>
      </c>
      <c r="AE697" s="2" t="str">
        <f t="shared" si="2786"/>
        <v>&lt;/li&gt;&lt;li&gt;&lt;a href=|http://jfb.biblecommenter.com/isaiah/18.htm| title=|Jamieson-Fausset-Brown Bible Commentary| target=|_top|&gt;JFB&lt;/a&gt;</v>
      </c>
      <c r="AF697" s="2" t="str">
        <f t="shared" si="2786"/>
        <v>&lt;/li&gt;&lt;li&gt;&lt;a href=|http://kjt.biblecommenter.com/isaiah/18.htm| title=|King James Translators' Notes| target=|_top|&gt;KJT&lt;/a&gt;</v>
      </c>
      <c r="AG697" s="2" t="str">
        <f t="shared" si="2786"/>
        <v>&lt;/li&gt;&lt;li&gt;&lt;a href=|http://mhc.biblecommenter.com/isaiah/18.htm| title=|Matthew Henry's Concise Commentary| target=|_top|&gt;MHC&lt;/a&gt;</v>
      </c>
      <c r="AH697" s="2" t="str">
        <f t="shared" si="2786"/>
        <v>&lt;/li&gt;&lt;li&gt;&lt;a href=|http://sco.biblecommenter.com/isaiah/18.htm| title=|Scofield Reference Notes| target=|_top|&gt;SCO&lt;/a&gt;</v>
      </c>
      <c r="AI697" s="2" t="str">
        <f t="shared" si="2786"/>
        <v>&lt;/li&gt;&lt;li&gt;&lt;a href=|http://wes.biblecommenter.com/isaiah/18.htm| title=|Wesley's Notes on the Bible| target=|_top|&gt;WES&lt;/a&gt;</v>
      </c>
      <c r="AJ697" t="str">
        <f t="shared" si="2786"/>
        <v>&lt;/li&gt;&lt;li&gt;&lt;a href=|http://worldebible.com/isaiah/18.htm| title=|World English Bible| target=|_top|&gt;WEB&lt;/a&gt;</v>
      </c>
      <c r="AK697" t="str">
        <f t="shared" si="2786"/>
        <v>&lt;/li&gt;&lt;li&gt;&lt;a href=|http://yltbible.com/isaiah/18.htm| title=|Young's Literal Translation| target=|_top|&gt;YLT&lt;/a&gt;</v>
      </c>
      <c r="AL697" t="str">
        <f>CONCATENATE("&lt;a href=|http://",AL1191,"/isaiah/18.htm","| ","title=|",AL1190,"| target=|_top|&gt;",AL1192,"&lt;/a&gt;")</f>
        <v>&lt;a href=|http://kjv.us/isaiah/18.htm| title=|American King James Version| target=|_top|&gt;AKJ&lt;/a&gt;</v>
      </c>
      <c r="AM697" t="str">
        <f t="shared" ref="AM697:AN697" si="2787">CONCATENATE("&lt;/li&gt;&lt;li&gt;&lt;a href=|http://",AM1191,"/isaiah/18.htm","| ","title=|",AM1190,"| target=|_top|&gt;",AM1192,"&lt;/a&gt;")</f>
        <v>&lt;/li&gt;&lt;li&gt;&lt;a href=|http://basicenglishbible.com/isaiah/18.htm| title=|Bible in Basic English| target=|_top|&gt;BBE&lt;/a&gt;</v>
      </c>
      <c r="AN697" t="str">
        <f t="shared" si="2787"/>
        <v>&lt;/li&gt;&lt;li&gt;&lt;a href=|http://darbybible.com/isaiah/18.htm| title=|Darby Bible Translation| target=|_top|&gt;DBY&lt;/a&gt;</v>
      </c>
      <c r="AO69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9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9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97" t="str">
        <f>CONCATENATE("&lt;/li&gt;&lt;li&gt;&lt;a href=|http://",AR1191,"/isaiah/18.htm","| ","title=|",AR1190,"| target=|_top|&gt;",AR1192,"&lt;/a&gt;")</f>
        <v>&lt;/li&gt;&lt;li&gt;&lt;a href=|http://websterbible.com/isaiah/18.htm| title=|Webster's Bible Translation| target=|_top|&gt;WBS&lt;/a&gt;</v>
      </c>
      <c r="AS69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97" t="str">
        <f>CONCATENATE("&lt;/li&gt;&lt;li&gt;&lt;a href=|http://",AT1191,"/isaiah/18-1.htm","| ","title=|",AT1190,"| target=|_top|&gt;",AT1192,"&lt;/a&gt;")</f>
        <v>&lt;/li&gt;&lt;li&gt;&lt;a href=|http://biblebrowser.com/isaiah/18-1.htm| title=|Split View| target=|_top|&gt;Split&lt;/a&gt;</v>
      </c>
      <c r="AU697" s="2" t="s">
        <v>1276</v>
      </c>
      <c r="AV697" t="s">
        <v>64</v>
      </c>
    </row>
    <row r="698" spans="1:48">
      <c r="A698" t="s">
        <v>622</v>
      </c>
      <c r="B698" t="s">
        <v>1202</v>
      </c>
      <c r="C698" t="s">
        <v>624</v>
      </c>
      <c r="D698" t="s">
        <v>1268</v>
      </c>
      <c r="E698" t="s">
        <v>1277</v>
      </c>
      <c r="F698" t="s">
        <v>1304</v>
      </c>
      <c r="G698" t="s">
        <v>1266</v>
      </c>
      <c r="H698" t="s">
        <v>1305</v>
      </c>
      <c r="I698" t="s">
        <v>1303</v>
      </c>
      <c r="J698" t="s">
        <v>1267</v>
      </c>
      <c r="K698" t="s">
        <v>1275</v>
      </c>
      <c r="L698" s="2" t="s">
        <v>1274</v>
      </c>
      <c r="M698" t="str">
        <f t="shared" ref="M698:AB698" si="2788">CONCATENATE("&lt;/li&gt;&lt;li&gt;&lt;a href=|http://",M1191,"/isaiah/19.htm","| ","title=|",M1190,"| target=|_top|&gt;",M1192,"&lt;/a&gt;")</f>
        <v>&lt;/li&gt;&lt;li&gt;&lt;a href=|http://niv.scripturetext.com/isaiah/19.htm| title=|New International Version| target=|_top|&gt;NIV&lt;/a&gt;</v>
      </c>
      <c r="N698" t="str">
        <f t="shared" si="2788"/>
        <v>&lt;/li&gt;&lt;li&gt;&lt;a href=|http://nlt.scripturetext.com/isaiah/19.htm| title=|New Living Translation| target=|_top|&gt;NLT&lt;/a&gt;</v>
      </c>
      <c r="O698" t="str">
        <f t="shared" si="2788"/>
        <v>&lt;/li&gt;&lt;li&gt;&lt;a href=|http://nasb.scripturetext.com/isaiah/19.htm| title=|New American Standard Bible| target=|_top|&gt;NAS&lt;/a&gt;</v>
      </c>
      <c r="P698" t="str">
        <f t="shared" si="2788"/>
        <v>&lt;/li&gt;&lt;li&gt;&lt;a href=|http://gwt.scripturetext.com/isaiah/19.htm| title=|God's Word Translation| target=|_top|&gt;GWT&lt;/a&gt;</v>
      </c>
      <c r="Q698" t="str">
        <f t="shared" si="2788"/>
        <v>&lt;/li&gt;&lt;li&gt;&lt;a href=|http://kingjbible.com/isaiah/19.htm| title=|King James Bible| target=|_top|&gt;KJV&lt;/a&gt;</v>
      </c>
      <c r="R698" t="str">
        <f t="shared" si="2788"/>
        <v>&lt;/li&gt;&lt;li&gt;&lt;a href=|http://asvbible.com/isaiah/19.htm| title=|American Standard Version| target=|_top|&gt;ASV&lt;/a&gt;</v>
      </c>
      <c r="S698" t="str">
        <f t="shared" si="2788"/>
        <v>&lt;/li&gt;&lt;li&gt;&lt;a href=|http://drb.scripturetext.com/isaiah/19.htm| title=|Douay-Rheims Bible| target=|_top|&gt;DRB&lt;/a&gt;</v>
      </c>
      <c r="T698" t="str">
        <f t="shared" si="2788"/>
        <v>&lt;/li&gt;&lt;li&gt;&lt;a href=|http://erv.scripturetext.com/isaiah/19.htm| title=|English Revised Version| target=|_top|&gt;ERV&lt;/a&gt;</v>
      </c>
      <c r="V698" t="str">
        <f>CONCATENATE("&lt;/li&gt;&lt;li&gt;&lt;a href=|http://",V1191,"/isaiah/19.htm","| ","title=|",V1190,"| target=|_top|&gt;",V1192,"&lt;/a&gt;")</f>
        <v>&lt;/li&gt;&lt;li&gt;&lt;a href=|http://study.interlinearbible.org/isaiah/19.htm| title=|Hebrew Study Bible| target=|_top|&gt;Heb Study&lt;/a&gt;</v>
      </c>
      <c r="W698" t="str">
        <f t="shared" si="2788"/>
        <v>&lt;/li&gt;&lt;li&gt;&lt;a href=|http://apostolic.interlinearbible.org/isaiah/19.htm| title=|Apostolic Bible Polyglot Interlinear| target=|_top|&gt;Polyglot&lt;/a&gt;</v>
      </c>
      <c r="X698" t="str">
        <f t="shared" si="2788"/>
        <v>&lt;/li&gt;&lt;li&gt;&lt;a href=|http://interlinearbible.org/isaiah/19.htm| title=|Interlinear Bible| target=|_top|&gt;Interlin&lt;/a&gt;</v>
      </c>
      <c r="Y698" t="str">
        <f t="shared" ref="Y698" si="2789">CONCATENATE("&lt;/li&gt;&lt;li&gt;&lt;a href=|http://",Y1191,"/isaiah/19.htm","| ","title=|",Y1190,"| target=|_top|&gt;",Y1192,"&lt;/a&gt;")</f>
        <v>&lt;/li&gt;&lt;li&gt;&lt;a href=|http://bibleoutline.org/isaiah/19.htm| title=|Outline with People and Places List| target=|_top|&gt;Outline&lt;/a&gt;</v>
      </c>
      <c r="Z698" t="str">
        <f t="shared" si="2788"/>
        <v>&lt;/li&gt;&lt;li&gt;&lt;a href=|http://kjvs.scripturetext.com/isaiah/19.htm| title=|King James Bible with Strong's Numbers| target=|_top|&gt;Strong's&lt;/a&gt;</v>
      </c>
      <c r="AA698" t="str">
        <f t="shared" si="2788"/>
        <v>&lt;/li&gt;&lt;li&gt;&lt;a href=|http://childrensbibleonline.com/isaiah/19.htm| title=|The Children's Bible| target=|_top|&gt;Children's&lt;/a&gt;</v>
      </c>
      <c r="AB698" s="2" t="str">
        <f t="shared" si="2788"/>
        <v>&lt;/li&gt;&lt;li&gt;&lt;a href=|http://tsk.scripturetext.com/isaiah/19.htm| title=|Treasury of Scripture Knowledge| target=|_top|&gt;TSK&lt;/a&gt;</v>
      </c>
      <c r="AC698" t="str">
        <f>CONCATENATE("&lt;a href=|http://",AC1191,"/isaiah/19.htm","| ","title=|",AC1190,"| target=|_top|&gt;",AC1192,"&lt;/a&gt;")</f>
        <v>&lt;a href=|http://parallelbible.com/isaiah/19.htm| title=|Parallel Chapters| target=|_top|&gt;PAR&lt;/a&gt;</v>
      </c>
      <c r="AD698" s="2" t="str">
        <f t="shared" ref="AD698:AK698" si="2790">CONCATENATE("&lt;/li&gt;&lt;li&gt;&lt;a href=|http://",AD1191,"/isaiah/19.htm","| ","title=|",AD1190,"| target=|_top|&gt;",AD1192,"&lt;/a&gt;")</f>
        <v>&lt;/li&gt;&lt;li&gt;&lt;a href=|http://gsb.biblecommenter.com/isaiah/19.htm| title=|Geneva Study Bible| target=|_top|&gt;GSB&lt;/a&gt;</v>
      </c>
      <c r="AE698" s="2" t="str">
        <f t="shared" si="2790"/>
        <v>&lt;/li&gt;&lt;li&gt;&lt;a href=|http://jfb.biblecommenter.com/isaiah/19.htm| title=|Jamieson-Fausset-Brown Bible Commentary| target=|_top|&gt;JFB&lt;/a&gt;</v>
      </c>
      <c r="AF698" s="2" t="str">
        <f t="shared" si="2790"/>
        <v>&lt;/li&gt;&lt;li&gt;&lt;a href=|http://kjt.biblecommenter.com/isaiah/19.htm| title=|King James Translators' Notes| target=|_top|&gt;KJT&lt;/a&gt;</v>
      </c>
      <c r="AG698" s="2" t="str">
        <f t="shared" si="2790"/>
        <v>&lt;/li&gt;&lt;li&gt;&lt;a href=|http://mhc.biblecommenter.com/isaiah/19.htm| title=|Matthew Henry's Concise Commentary| target=|_top|&gt;MHC&lt;/a&gt;</v>
      </c>
      <c r="AH698" s="2" t="str">
        <f t="shared" si="2790"/>
        <v>&lt;/li&gt;&lt;li&gt;&lt;a href=|http://sco.biblecommenter.com/isaiah/19.htm| title=|Scofield Reference Notes| target=|_top|&gt;SCO&lt;/a&gt;</v>
      </c>
      <c r="AI698" s="2" t="str">
        <f t="shared" si="2790"/>
        <v>&lt;/li&gt;&lt;li&gt;&lt;a href=|http://wes.biblecommenter.com/isaiah/19.htm| title=|Wesley's Notes on the Bible| target=|_top|&gt;WES&lt;/a&gt;</v>
      </c>
      <c r="AJ698" t="str">
        <f t="shared" si="2790"/>
        <v>&lt;/li&gt;&lt;li&gt;&lt;a href=|http://worldebible.com/isaiah/19.htm| title=|World English Bible| target=|_top|&gt;WEB&lt;/a&gt;</v>
      </c>
      <c r="AK698" t="str">
        <f t="shared" si="2790"/>
        <v>&lt;/li&gt;&lt;li&gt;&lt;a href=|http://yltbible.com/isaiah/19.htm| title=|Young's Literal Translation| target=|_top|&gt;YLT&lt;/a&gt;</v>
      </c>
      <c r="AL698" t="str">
        <f>CONCATENATE("&lt;a href=|http://",AL1191,"/isaiah/19.htm","| ","title=|",AL1190,"| target=|_top|&gt;",AL1192,"&lt;/a&gt;")</f>
        <v>&lt;a href=|http://kjv.us/isaiah/19.htm| title=|American King James Version| target=|_top|&gt;AKJ&lt;/a&gt;</v>
      </c>
      <c r="AM698" t="str">
        <f t="shared" ref="AM698:AN698" si="2791">CONCATENATE("&lt;/li&gt;&lt;li&gt;&lt;a href=|http://",AM1191,"/isaiah/19.htm","| ","title=|",AM1190,"| target=|_top|&gt;",AM1192,"&lt;/a&gt;")</f>
        <v>&lt;/li&gt;&lt;li&gt;&lt;a href=|http://basicenglishbible.com/isaiah/19.htm| title=|Bible in Basic English| target=|_top|&gt;BBE&lt;/a&gt;</v>
      </c>
      <c r="AN698" t="str">
        <f t="shared" si="2791"/>
        <v>&lt;/li&gt;&lt;li&gt;&lt;a href=|http://darbybible.com/isaiah/19.htm| title=|Darby Bible Translation| target=|_top|&gt;DBY&lt;/a&gt;</v>
      </c>
      <c r="AO69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9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9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98" t="str">
        <f>CONCATENATE("&lt;/li&gt;&lt;li&gt;&lt;a href=|http://",AR1191,"/isaiah/19.htm","| ","title=|",AR1190,"| target=|_top|&gt;",AR1192,"&lt;/a&gt;")</f>
        <v>&lt;/li&gt;&lt;li&gt;&lt;a href=|http://websterbible.com/isaiah/19.htm| title=|Webster's Bible Translation| target=|_top|&gt;WBS&lt;/a&gt;</v>
      </c>
      <c r="AS69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98" t="str">
        <f>CONCATENATE("&lt;/li&gt;&lt;li&gt;&lt;a href=|http://",AT1191,"/isaiah/19-1.htm","| ","title=|",AT1190,"| target=|_top|&gt;",AT1192,"&lt;/a&gt;")</f>
        <v>&lt;/li&gt;&lt;li&gt;&lt;a href=|http://biblebrowser.com/isaiah/19-1.htm| title=|Split View| target=|_top|&gt;Split&lt;/a&gt;</v>
      </c>
      <c r="AU698" s="2" t="s">
        <v>1276</v>
      </c>
      <c r="AV698" t="s">
        <v>64</v>
      </c>
    </row>
    <row r="699" spans="1:48">
      <c r="A699" t="s">
        <v>622</v>
      </c>
      <c r="B699" t="s">
        <v>1203</v>
      </c>
      <c r="C699" t="s">
        <v>624</v>
      </c>
      <c r="D699" t="s">
        <v>1268</v>
      </c>
      <c r="E699" t="s">
        <v>1277</v>
      </c>
      <c r="F699" t="s">
        <v>1304</v>
      </c>
      <c r="G699" t="s">
        <v>1266</v>
      </c>
      <c r="H699" t="s">
        <v>1305</v>
      </c>
      <c r="I699" t="s">
        <v>1303</v>
      </c>
      <c r="J699" t="s">
        <v>1267</v>
      </c>
      <c r="K699" t="s">
        <v>1275</v>
      </c>
      <c r="L699" s="2" t="s">
        <v>1274</v>
      </c>
      <c r="M699" t="str">
        <f t="shared" ref="M699:AB699" si="2792">CONCATENATE("&lt;/li&gt;&lt;li&gt;&lt;a href=|http://",M1191,"/isaiah/20.htm","| ","title=|",M1190,"| target=|_top|&gt;",M1192,"&lt;/a&gt;")</f>
        <v>&lt;/li&gt;&lt;li&gt;&lt;a href=|http://niv.scripturetext.com/isaiah/20.htm| title=|New International Version| target=|_top|&gt;NIV&lt;/a&gt;</v>
      </c>
      <c r="N699" t="str">
        <f t="shared" si="2792"/>
        <v>&lt;/li&gt;&lt;li&gt;&lt;a href=|http://nlt.scripturetext.com/isaiah/20.htm| title=|New Living Translation| target=|_top|&gt;NLT&lt;/a&gt;</v>
      </c>
      <c r="O699" t="str">
        <f t="shared" si="2792"/>
        <v>&lt;/li&gt;&lt;li&gt;&lt;a href=|http://nasb.scripturetext.com/isaiah/20.htm| title=|New American Standard Bible| target=|_top|&gt;NAS&lt;/a&gt;</v>
      </c>
      <c r="P699" t="str">
        <f t="shared" si="2792"/>
        <v>&lt;/li&gt;&lt;li&gt;&lt;a href=|http://gwt.scripturetext.com/isaiah/20.htm| title=|God's Word Translation| target=|_top|&gt;GWT&lt;/a&gt;</v>
      </c>
      <c r="Q699" t="str">
        <f t="shared" si="2792"/>
        <v>&lt;/li&gt;&lt;li&gt;&lt;a href=|http://kingjbible.com/isaiah/20.htm| title=|King James Bible| target=|_top|&gt;KJV&lt;/a&gt;</v>
      </c>
      <c r="R699" t="str">
        <f t="shared" si="2792"/>
        <v>&lt;/li&gt;&lt;li&gt;&lt;a href=|http://asvbible.com/isaiah/20.htm| title=|American Standard Version| target=|_top|&gt;ASV&lt;/a&gt;</v>
      </c>
      <c r="S699" t="str">
        <f t="shared" si="2792"/>
        <v>&lt;/li&gt;&lt;li&gt;&lt;a href=|http://drb.scripturetext.com/isaiah/20.htm| title=|Douay-Rheims Bible| target=|_top|&gt;DRB&lt;/a&gt;</v>
      </c>
      <c r="T699" t="str">
        <f t="shared" si="2792"/>
        <v>&lt;/li&gt;&lt;li&gt;&lt;a href=|http://erv.scripturetext.com/isaiah/20.htm| title=|English Revised Version| target=|_top|&gt;ERV&lt;/a&gt;</v>
      </c>
      <c r="V699" t="str">
        <f>CONCATENATE("&lt;/li&gt;&lt;li&gt;&lt;a href=|http://",V1191,"/isaiah/20.htm","| ","title=|",V1190,"| target=|_top|&gt;",V1192,"&lt;/a&gt;")</f>
        <v>&lt;/li&gt;&lt;li&gt;&lt;a href=|http://study.interlinearbible.org/isaiah/20.htm| title=|Hebrew Study Bible| target=|_top|&gt;Heb Study&lt;/a&gt;</v>
      </c>
      <c r="W699" t="str">
        <f t="shared" si="2792"/>
        <v>&lt;/li&gt;&lt;li&gt;&lt;a href=|http://apostolic.interlinearbible.org/isaiah/20.htm| title=|Apostolic Bible Polyglot Interlinear| target=|_top|&gt;Polyglot&lt;/a&gt;</v>
      </c>
      <c r="X699" t="str">
        <f t="shared" si="2792"/>
        <v>&lt;/li&gt;&lt;li&gt;&lt;a href=|http://interlinearbible.org/isaiah/20.htm| title=|Interlinear Bible| target=|_top|&gt;Interlin&lt;/a&gt;</v>
      </c>
      <c r="Y699" t="str">
        <f t="shared" ref="Y699" si="2793">CONCATENATE("&lt;/li&gt;&lt;li&gt;&lt;a href=|http://",Y1191,"/isaiah/20.htm","| ","title=|",Y1190,"| target=|_top|&gt;",Y1192,"&lt;/a&gt;")</f>
        <v>&lt;/li&gt;&lt;li&gt;&lt;a href=|http://bibleoutline.org/isaiah/20.htm| title=|Outline with People and Places List| target=|_top|&gt;Outline&lt;/a&gt;</v>
      </c>
      <c r="Z699" t="str">
        <f t="shared" si="2792"/>
        <v>&lt;/li&gt;&lt;li&gt;&lt;a href=|http://kjvs.scripturetext.com/isaiah/20.htm| title=|King James Bible with Strong's Numbers| target=|_top|&gt;Strong's&lt;/a&gt;</v>
      </c>
      <c r="AA699" t="str">
        <f t="shared" si="2792"/>
        <v>&lt;/li&gt;&lt;li&gt;&lt;a href=|http://childrensbibleonline.com/isaiah/20.htm| title=|The Children's Bible| target=|_top|&gt;Children's&lt;/a&gt;</v>
      </c>
      <c r="AB699" s="2" t="str">
        <f t="shared" si="2792"/>
        <v>&lt;/li&gt;&lt;li&gt;&lt;a href=|http://tsk.scripturetext.com/isaiah/20.htm| title=|Treasury of Scripture Knowledge| target=|_top|&gt;TSK&lt;/a&gt;</v>
      </c>
      <c r="AC699" t="str">
        <f>CONCATENATE("&lt;a href=|http://",AC1191,"/isaiah/20.htm","| ","title=|",AC1190,"| target=|_top|&gt;",AC1192,"&lt;/a&gt;")</f>
        <v>&lt;a href=|http://parallelbible.com/isaiah/20.htm| title=|Parallel Chapters| target=|_top|&gt;PAR&lt;/a&gt;</v>
      </c>
      <c r="AD699" s="2" t="str">
        <f t="shared" ref="AD699:AK699" si="2794">CONCATENATE("&lt;/li&gt;&lt;li&gt;&lt;a href=|http://",AD1191,"/isaiah/20.htm","| ","title=|",AD1190,"| target=|_top|&gt;",AD1192,"&lt;/a&gt;")</f>
        <v>&lt;/li&gt;&lt;li&gt;&lt;a href=|http://gsb.biblecommenter.com/isaiah/20.htm| title=|Geneva Study Bible| target=|_top|&gt;GSB&lt;/a&gt;</v>
      </c>
      <c r="AE699" s="2" t="str">
        <f t="shared" si="2794"/>
        <v>&lt;/li&gt;&lt;li&gt;&lt;a href=|http://jfb.biblecommenter.com/isaiah/20.htm| title=|Jamieson-Fausset-Brown Bible Commentary| target=|_top|&gt;JFB&lt;/a&gt;</v>
      </c>
      <c r="AF699" s="2" t="str">
        <f t="shared" si="2794"/>
        <v>&lt;/li&gt;&lt;li&gt;&lt;a href=|http://kjt.biblecommenter.com/isaiah/20.htm| title=|King James Translators' Notes| target=|_top|&gt;KJT&lt;/a&gt;</v>
      </c>
      <c r="AG699" s="2" t="str">
        <f t="shared" si="2794"/>
        <v>&lt;/li&gt;&lt;li&gt;&lt;a href=|http://mhc.biblecommenter.com/isaiah/20.htm| title=|Matthew Henry's Concise Commentary| target=|_top|&gt;MHC&lt;/a&gt;</v>
      </c>
      <c r="AH699" s="2" t="str">
        <f t="shared" si="2794"/>
        <v>&lt;/li&gt;&lt;li&gt;&lt;a href=|http://sco.biblecommenter.com/isaiah/20.htm| title=|Scofield Reference Notes| target=|_top|&gt;SCO&lt;/a&gt;</v>
      </c>
      <c r="AI699" s="2" t="str">
        <f t="shared" si="2794"/>
        <v>&lt;/li&gt;&lt;li&gt;&lt;a href=|http://wes.biblecommenter.com/isaiah/20.htm| title=|Wesley's Notes on the Bible| target=|_top|&gt;WES&lt;/a&gt;</v>
      </c>
      <c r="AJ699" t="str">
        <f t="shared" si="2794"/>
        <v>&lt;/li&gt;&lt;li&gt;&lt;a href=|http://worldebible.com/isaiah/20.htm| title=|World English Bible| target=|_top|&gt;WEB&lt;/a&gt;</v>
      </c>
      <c r="AK699" t="str">
        <f t="shared" si="2794"/>
        <v>&lt;/li&gt;&lt;li&gt;&lt;a href=|http://yltbible.com/isaiah/20.htm| title=|Young's Literal Translation| target=|_top|&gt;YLT&lt;/a&gt;</v>
      </c>
      <c r="AL699" t="str">
        <f>CONCATENATE("&lt;a href=|http://",AL1191,"/isaiah/20.htm","| ","title=|",AL1190,"| target=|_top|&gt;",AL1192,"&lt;/a&gt;")</f>
        <v>&lt;a href=|http://kjv.us/isaiah/20.htm| title=|American King James Version| target=|_top|&gt;AKJ&lt;/a&gt;</v>
      </c>
      <c r="AM699" t="str">
        <f t="shared" ref="AM699:AN699" si="2795">CONCATENATE("&lt;/li&gt;&lt;li&gt;&lt;a href=|http://",AM1191,"/isaiah/20.htm","| ","title=|",AM1190,"| target=|_top|&gt;",AM1192,"&lt;/a&gt;")</f>
        <v>&lt;/li&gt;&lt;li&gt;&lt;a href=|http://basicenglishbible.com/isaiah/20.htm| title=|Bible in Basic English| target=|_top|&gt;BBE&lt;/a&gt;</v>
      </c>
      <c r="AN699" t="str">
        <f t="shared" si="2795"/>
        <v>&lt;/li&gt;&lt;li&gt;&lt;a href=|http://darbybible.com/isaiah/20.htm| title=|Darby Bible Translation| target=|_top|&gt;DBY&lt;/a&gt;</v>
      </c>
      <c r="AO69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69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69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699" t="str">
        <f>CONCATENATE("&lt;/li&gt;&lt;li&gt;&lt;a href=|http://",AR1191,"/isaiah/20.htm","| ","title=|",AR1190,"| target=|_top|&gt;",AR1192,"&lt;/a&gt;")</f>
        <v>&lt;/li&gt;&lt;li&gt;&lt;a href=|http://websterbible.com/isaiah/20.htm| title=|Webster's Bible Translation| target=|_top|&gt;WBS&lt;/a&gt;</v>
      </c>
      <c r="AS69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699" t="str">
        <f>CONCATENATE("&lt;/li&gt;&lt;li&gt;&lt;a href=|http://",AT1191,"/isaiah/20-1.htm","| ","title=|",AT1190,"| target=|_top|&gt;",AT1192,"&lt;/a&gt;")</f>
        <v>&lt;/li&gt;&lt;li&gt;&lt;a href=|http://biblebrowser.com/isaiah/20-1.htm| title=|Split View| target=|_top|&gt;Split&lt;/a&gt;</v>
      </c>
      <c r="AU699" s="2" t="s">
        <v>1276</v>
      </c>
      <c r="AV699" t="s">
        <v>64</v>
      </c>
    </row>
    <row r="700" spans="1:48">
      <c r="A700" t="s">
        <v>622</v>
      </c>
      <c r="B700" t="s">
        <v>1204</v>
      </c>
      <c r="C700" t="s">
        <v>624</v>
      </c>
      <c r="D700" t="s">
        <v>1268</v>
      </c>
      <c r="E700" t="s">
        <v>1277</v>
      </c>
      <c r="F700" t="s">
        <v>1304</v>
      </c>
      <c r="G700" t="s">
        <v>1266</v>
      </c>
      <c r="H700" t="s">
        <v>1305</v>
      </c>
      <c r="I700" t="s">
        <v>1303</v>
      </c>
      <c r="J700" t="s">
        <v>1267</v>
      </c>
      <c r="K700" t="s">
        <v>1275</v>
      </c>
      <c r="L700" s="2" t="s">
        <v>1274</v>
      </c>
      <c r="M700" t="str">
        <f t="shared" ref="M700:AB700" si="2796">CONCATENATE("&lt;/li&gt;&lt;li&gt;&lt;a href=|http://",M1191,"/isaiah/21.htm","| ","title=|",M1190,"| target=|_top|&gt;",M1192,"&lt;/a&gt;")</f>
        <v>&lt;/li&gt;&lt;li&gt;&lt;a href=|http://niv.scripturetext.com/isaiah/21.htm| title=|New International Version| target=|_top|&gt;NIV&lt;/a&gt;</v>
      </c>
      <c r="N700" t="str">
        <f t="shared" si="2796"/>
        <v>&lt;/li&gt;&lt;li&gt;&lt;a href=|http://nlt.scripturetext.com/isaiah/21.htm| title=|New Living Translation| target=|_top|&gt;NLT&lt;/a&gt;</v>
      </c>
      <c r="O700" t="str">
        <f t="shared" si="2796"/>
        <v>&lt;/li&gt;&lt;li&gt;&lt;a href=|http://nasb.scripturetext.com/isaiah/21.htm| title=|New American Standard Bible| target=|_top|&gt;NAS&lt;/a&gt;</v>
      </c>
      <c r="P700" t="str">
        <f t="shared" si="2796"/>
        <v>&lt;/li&gt;&lt;li&gt;&lt;a href=|http://gwt.scripturetext.com/isaiah/21.htm| title=|God's Word Translation| target=|_top|&gt;GWT&lt;/a&gt;</v>
      </c>
      <c r="Q700" t="str">
        <f t="shared" si="2796"/>
        <v>&lt;/li&gt;&lt;li&gt;&lt;a href=|http://kingjbible.com/isaiah/21.htm| title=|King James Bible| target=|_top|&gt;KJV&lt;/a&gt;</v>
      </c>
      <c r="R700" t="str">
        <f t="shared" si="2796"/>
        <v>&lt;/li&gt;&lt;li&gt;&lt;a href=|http://asvbible.com/isaiah/21.htm| title=|American Standard Version| target=|_top|&gt;ASV&lt;/a&gt;</v>
      </c>
      <c r="S700" t="str">
        <f t="shared" si="2796"/>
        <v>&lt;/li&gt;&lt;li&gt;&lt;a href=|http://drb.scripturetext.com/isaiah/21.htm| title=|Douay-Rheims Bible| target=|_top|&gt;DRB&lt;/a&gt;</v>
      </c>
      <c r="T700" t="str">
        <f t="shared" si="2796"/>
        <v>&lt;/li&gt;&lt;li&gt;&lt;a href=|http://erv.scripturetext.com/isaiah/21.htm| title=|English Revised Version| target=|_top|&gt;ERV&lt;/a&gt;</v>
      </c>
      <c r="V700" t="str">
        <f>CONCATENATE("&lt;/li&gt;&lt;li&gt;&lt;a href=|http://",V1191,"/isaiah/21.htm","| ","title=|",V1190,"| target=|_top|&gt;",V1192,"&lt;/a&gt;")</f>
        <v>&lt;/li&gt;&lt;li&gt;&lt;a href=|http://study.interlinearbible.org/isaiah/21.htm| title=|Hebrew Study Bible| target=|_top|&gt;Heb Study&lt;/a&gt;</v>
      </c>
      <c r="W700" t="str">
        <f t="shared" si="2796"/>
        <v>&lt;/li&gt;&lt;li&gt;&lt;a href=|http://apostolic.interlinearbible.org/isaiah/21.htm| title=|Apostolic Bible Polyglot Interlinear| target=|_top|&gt;Polyglot&lt;/a&gt;</v>
      </c>
      <c r="X700" t="str">
        <f t="shared" si="2796"/>
        <v>&lt;/li&gt;&lt;li&gt;&lt;a href=|http://interlinearbible.org/isaiah/21.htm| title=|Interlinear Bible| target=|_top|&gt;Interlin&lt;/a&gt;</v>
      </c>
      <c r="Y700" t="str">
        <f t="shared" ref="Y700" si="2797">CONCATENATE("&lt;/li&gt;&lt;li&gt;&lt;a href=|http://",Y1191,"/isaiah/21.htm","| ","title=|",Y1190,"| target=|_top|&gt;",Y1192,"&lt;/a&gt;")</f>
        <v>&lt;/li&gt;&lt;li&gt;&lt;a href=|http://bibleoutline.org/isaiah/21.htm| title=|Outline with People and Places List| target=|_top|&gt;Outline&lt;/a&gt;</v>
      </c>
      <c r="Z700" t="str">
        <f t="shared" si="2796"/>
        <v>&lt;/li&gt;&lt;li&gt;&lt;a href=|http://kjvs.scripturetext.com/isaiah/21.htm| title=|King James Bible with Strong's Numbers| target=|_top|&gt;Strong's&lt;/a&gt;</v>
      </c>
      <c r="AA700" t="str">
        <f t="shared" si="2796"/>
        <v>&lt;/li&gt;&lt;li&gt;&lt;a href=|http://childrensbibleonline.com/isaiah/21.htm| title=|The Children's Bible| target=|_top|&gt;Children's&lt;/a&gt;</v>
      </c>
      <c r="AB700" s="2" t="str">
        <f t="shared" si="2796"/>
        <v>&lt;/li&gt;&lt;li&gt;&lt;a href=|http://tsk.scripturetext.com/isaiah/21.htm| title=|Treasury of Scripture Knowledge| target=|_top|&gt;TSK&lt;/a&gt;</v>
      </c>
      <c r="AC700" t="str">
        <f>CONCATENATE("&lt;a href=|http://",AC1191,"/isaiah/21.htm","| ","title=|",AC1190,"| target=|_top|&gt;",AC1192,"&lt;/a&gt;")</f>
        <v>&lt;a href=|http://parallelbible.com/isaiah/21.htm| title=|Parallel Chapters| target=|_top|&gt;PAR&lt;/a&gt;</v>
      </c>
      <c r="AD700" s="2" t="str">
        <f t="shared" ref="AD700:AK700" si="2798">CONCATENATE("&lt;/li&gt;&lt;li&gt;&lt;a href=|http://",AD1191,"/isaiah/21.htm","| ","title=|",AD1190,"| target=|_top|&gt;",AD1192,"&lt;/a&gt;")</f>
        <v>&lt;/li&gt;&lt;li&gt;&lt;a href=|http://gsb.biblecommenter.com/isaiah/21.htm| title=|Geneva Study Bible| target=|_top|&gt;GSB&lt;/a&gt;</v>
      </c>
      <c r="AE700" s="2" t="str">
        <f t="shared" si="2798"/>
        <v>&lt;/li&gt;&lt;li&gt;&lt;a href=|http://jfb.biblecommenter.com/isaiah/21.htm| title=|Jamieson-Fausset-Brown Bible Commentary| target=|_top|&gt;JFB&lt;/a&gt;</v>
      </c>
      <c r="AF700" s="2" t="str">
        <f t="shared" si="2798"/>
        <v>&lt;/li&gt;&lt;li&gt;&lt;a href=|http://kjt.biblecommenter.com/isaiah/21.htm| title=|King James Translators' Notes| target=|_top|&gt;KJT&lt;/a&gt;</v>
      </c>
      <c r="AG700" s="2" t="str">
        <f t="shared" si="2798"/>
        <v>&lt;/li&gt;&lt;li&gt;&lt;a href=|http://mhc.biblecommenter.com/isaiah/21.htm| title=|Matthew Henry's Concise Commentary| target=|_top|&gt;MHC&lt;/a&gt;</v>
      </c>
      <c r="AH700" s="2" t="str">
        <f t="shared" si="2798"/>
        <v>&lt;/li&gt;&lt;li&gt;&lt;a href=|http://sco.biblecommenter.com/isaiah/21.htm| title=|Scofield Reference Notes| target=|_top|&gt;SCO&lt;/a&gt;</v>
      </c>
      <c r="AI700" s="2" t="str">
        <f t="shared" si="2798"/>
        <v>&lt;/li&gt;&lt;li&gt;&lt;a href=|http://wes.biblecommenter.com/isaiah/21.htm| title=|Wesley's Notes on the Bible| target=|_top|&gt;WES&lt;/a&gt;</v>
      </c>
      <c r="AJ700" t="str">
        <f t="shared" si="2798"/>
        <v>&lt;/li&gt;&lt;li&gt;&lt;a href=|http://worldebible.com/isaiah/21.htm| title=|World English Bible| target=|_top|&gt;WEB&lt;/a&gt;</v>
      </c>
      <c r="AK700" t="str">
        <f t="shared" si="2798"/>
        <v>&lt;/li&gt;&lt;li&gt;&lt;a href=|http://yltbible.com/isaiah/21.htm| title=|Young's Literal Translation| target=|_top|&gt;YLT&lt;/a&gt;</v>
      </c>
      <c r="AL700" t="str">
        <f>CONCATENATE("&lt;a href=|http://",AL1191,"/isaiah/21.htm","| ","title=|",AL1190,"| target=|_top|&gt;",AL1192,"&lt;/a&gt;")</f>
        <v>&lt;a href=|http://kjv.us/isaiah/21.htm| title=|American King James Version| target=|_top|&gt;AKJ&lt;/a&gt;</v>
      </c>
      <c r="AM700" t="str">
        <f t="shared" ref="AM700:AN700" si="2799">CONCATENATE("&lt;/li&gt;&lt;li&gt;&lt;a href=|http://",AM1191,"/isaiah/21.htm","| ","title=|",AM1190,"| target=|_top|&gt;",AM1192,"&lt;/a&gt;")</f>
        <v>&lt;/li&gt;&lt;li&gt;&lt;a href=|http://basicenglishbible.com/isaiah/21.htm| title=|Bible in Basic English| target=|_top|&gt;BBE&lt;/a&gt;</v>
      </c>
      <c r="AN700" t="str">
        <f t="shared" si="2799"/>
        <v>&lt;/li&gt;&lt;li&gt;&lt;a href=|http://darbybible.com/isaiah/21.htm| title=|Darby Bible Translation| target=|_top|&gt;DBY&lt;/a&gt;</v>
      </c>
      <c r="AO70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0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0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00" t="str">
        <f>CONCATENATE("&lt;/li&gt;&lt;li&gt;&lt;a href=|http://",AR1191,"/isaiah/21.htm","| ","title=|",AR1190,"| target=|_top|&gt;",AR1192,"&lt;/a&gt;")</f>
        <v>&lt;/li&gt;&lt;li&gt;&lt;a href=|http://websterbible.com/isaiah/21.htm| title=|Webster's Bible Translation| target=|_top|&gt;WBS&lt;/a&gt;</v>
      </c>
      <c r="AS70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00" t="str">
        <f>CONCATENATE("&lt;/li&gt;&lt;li&gt;&lt;a href=|http://",AT1191,"/isaiah/21-1.htm","| ","title=|",AT1190,"| target=|_top|&gt;",AT1192,"&lt;/a&gt;")</f>
        <v>&lt;/li&gt;&lt;li&gt;&lt;a href=|http://biblebrowser.com/isaiah/21-1.htm| title=|Split View| target=|_top|&gt;Split&lt;/a&gt;</v>
      </c>
      <c r="AU700" s="2" t="s">
        <v>1276</v>
      </c>
      <c r="AV700" t="s">
        <v>64</v>
      </c>
    </row>
    <row r="701" spans="1:48">
      <c r="A701" t="s">
        <v>622</v>
      </c>
      <c r="B701" t="s">
        <v>1205</v>
      </c>
      <c r="C701" t="s">
        <v>624</v>
      </c>
      <c r="D701" t="s">
        <v>1268</v>
      </c>
      <c r="E701" t="s">
        <v>1277</v>
      </c>
      <c r="F701" t="s">
        <v>1304</v>
      </c>
      <c r="G701" t="s">
        <v>1266</v>
      </c>
      <c r="H701" t="s">
        <v>1305</v>
      </c>
      <c r="I701" t="s">
        <v>1303</v>
      </c>
      <c r="J701" t="s">
        <v>1267</v>
      </c>
      <c r="K701" t="s">
        <v>1275</v>
      </c>
      <c r="L701" s="2" t="s">
        <v>1274</v>
      </c>
      <c r="M701" t="str">
        <f t="shared" ref="M701:AB701" si="2800">CONCATENATE("&lt;/li&gt;&lt;li&gt;&lt;a href=|http://",M1191,"/isaiah/22.htm","| ","title=|",M1190,"| target=|_top|&gt;",M1192,"&lt;/a&gt;")</f>
        <v>&lt;/li&gt;&lt;li&gt;&lt;a href=|http://niv.scripturetext.com/isaiah/22.htm| title=|New International Version| target=|_top|&gt;NIV&lt;/a&gt;</v>
      </c>
      <c r="N701" t="str">
        <f t="shared" si="2800"/>
        <v>&lt;/li&gt;&lt;li&gt;&lt;a href=|http://nlt.scripturetext.com/isaiah/22.htm| title=|New Living Translation| target=|_top|&gt;NLT&lt;/a&gt;</v>
      </c>
      <c r="O701" t="str">
        <f t="shared" si="2800"/>
        <v>&lt;/li&gt;&lt;li&gt;&lt;a href=|http://nasb.scripturetext.com/isaiah/22.htm| title=|New American Standard Bible| target=|_top|&gt;NAS&lt;/a&gt;</v>
      </c>
      <c r="P701" t="str">
        <f t="shared" si="2800"/>
        <v>&lt;/li&gt;&lt;li&gt;&lt;a href=|http://gwt.scripturetext.com/isaiah/22.htm| title=|God's Word Translation| target=|_top|&gt;GWT&lt;/a&gt;</v>
      </c>
      <c r="Q701" t="str">
        <f t="shared" si="2800"/>
        <v>&lt;/li&gt;&lt;li&gt;&lt;a href=|http://kingjbible.com/isaiah/22.htm| title=|King James Bible| target=|_top|&gt;KJV&lt;/a&gt;</v>
      </c>
      <c r="R701" t="str">
        <f t="shared" si="2800"/>
        <v>&lt;/li&gt;&lt;li&gt;&lt;a href=|http://asvbible.com/isaiah/22.htm| title=|American Standard Version| target=|_top|&gt;ASV&lt;/a&gt;</v>
      </c>
      <c r="S701" t="str">
        <f t="shared" si="2800"/>
        <v>&lt;/li&gt;&lt;li&gt;&lt;a href=|http://drb.scripturetext.com/isaiah/22.htm| title=|Douay-Rheims Bible| target=|_top|&gt;DRB&lt;/a&gt;</v>
      </c>
      <c r="T701" t="str">
        <f t="shared" si="2800"/>
        <v>&lt;/li&gt;&lt;li&gt;&lt;a href=|http://erv.scripturetext.com/isaiah/22.htm| title=|English Revised Version| target=|_top|&gt;ERV&lt;/a&gt;</v>
      </c>
      <c r="V701" t="str">
        <f>CONCATENATE("&lt;/li&gt;&lt;li&gt;&lt;a href=|http://",V1191,"/isaiah/22.htm","| ","title=|",V1190,"| target=|_top|&gt;",V1192,"&lt;/a&gt;")</f>
        <v>&lt;/li&gt;&lt;li&gt;&lt;a href=|http://study.interlinearbible.org/isaiah/22.htm| title=|Hebrew Study Bible| target=|_top|&gt;Heb Study&lt;/a&gt;</v>
      </c>
      <c r="W701" t="str">
        <f t="shared" si="2800"/>
        <v>&lt;/li&gt;&lt;li&gt;&lt;a href=|http://apostolic.interlinearbible.org/isaiah/22.htm| title=|Apostolic Bible Polyglot Interlinear| target=|_top|&gt;Polyglot&lt;/a&gt;</v>
      </c>
      <c r="X701" t="str">
        <f t="shared" si="2800"/>
        <v>&lt;/li&gt;&lt;li&gt;&lt;a href=|http://interlinearbible.org/isaiah/22.htm| title=|Interlinear Bible| target=|_top|&gt;Interlin&lt;/a&gt;</v>
      </c>
      <c r="Y701" t="str">
        <f t="shared" ref="Y701" si="2801">CONCATENATE("&lt;/li&gt;&lt;li&gt;&lt;a href=|http://",Y1191,"/isaiah/22.htm","| ","title=|",Y1190,"| target=|_top|&gt;",Y1192,"&lt;/a&gt;")</f>
        <v>&lt;/li&gt;&lt;li&gt;&lt;a href=|http://bibleoutline.org/isaiah/22.htm| title=|Outline with People and Places List| target=|_top|&gt;Outline&lt;/a&gt;</v>
      </c>
      <c r="Z701" t="str">
        <f t="shared" si="2800"/>
        <v>&lt;/li&gt;&lt;li&gt;&lt;a href=|http://kjvs.scripturetext.com/isaiah/22.htm| title=|King James Bible with Strong's Numbers| target=|_top|&gt;Strong's&lt;/a&gt;</v>
      </c>
      <c r="AA701" t="str">
        <f t="shared" si="2800"/>
        <v>&lt;/li&gt;&lt;li&gt;&lt;a href=|http://childrensbibleonline.com/isaiah/22.htm| title=|The Children's Bible| target=|_top|&gt;Children's&lt;/a&gt;</v>
      </c>
      <c r="AB701" s="2" t="str">
        <f t="shared" si="2800"/>
        <v>&lt;/li&gt;&lt;li&gt;&lt;a href=|http://tsk.scripturetext.com/isaiah/22.htm| title=|Treasury of Scripture Knowledge| target=|_top|&gt;TSK&lt;/a&gt;</v>
      </c>
      <c r="AC701" t="str">
        <f>CONCATENATE("&lt;a href=|http://",AC1191,"/isaiah/22.htm","| ","title=|",AC1190,"| target=|_top|&gt;",AC1192,"&lt;/a&gt;")</f>
        <v>&lt;a href=|http://parallelbible.com/isaiah/22.htm| title=|Parallel Chapters| target=|_top|&gt;PAR&lt;/a&gt;</v>
      </c>
      <c r="AD701" s="2" t="str">
        <f t="shared" ref="AD701:AK701" si="2802">CONCATENATE("&lt;/li&gt;&lt;li&gt;&lt;a href=|http://",AD1191,"/isaiah/22.htm","| ","title=|",AD1190,"| target=|_top|&gt;",AD1192,"&lt;/a&gt;")</f>
        <v>&lt;/li&gt;&lt;li&gt;&lt;a href=|http://gsb.biblecommenter.com/isaiah/22.htm| title=|Geneva Study Bible| target=|_top|&gt;GSB&lt;/a&gt;</v>
      </c>
      <c r="AE701" s="2" t="str">
        <f t="shared" si="2802"/>
        <v>&lt;/li&gt;&lt;li&gt;&lt;a href=|http://jfb.biblecommenter.com/isaiah/22.htm| title=|Jamieson-Fausset-Brown Bible Commentary| target=|_top|&gt;JFB&lt;/a&gt;</v>
      </c>
      <c r="AF701" s="2" t="str">
        <f t="shared" si="2802"/>
        <v>&lt;/li&gt;&lt;li&gt;&lt;a href=|http://kjt.biblecommenter.com/isaiah/22.htm| title=|King James Translators' Notes| target=|_top|&gt;KJT&lt;/a&gt;</v>
      </c>
      <c r="AG701" s="2" t="str">
        <f t="shared" si="2802"/>
        <v>&lt;/li&gt;&lt;li&gt;&lt;a href=|http://mhc.biblecommenter.com/isaiah/22.htm| title=|Matthew Henry's Concise Commentary| target=|_top|&gt;MHC&lt;/a&gt;</v>
      </c>
      <c r="AH701" s="2" t="str">
        <f t="shared" si="2802"/>
        <v>&lt;/li&gt;&lt;li&gt;&lt;a href=|http://sco.biblecommenter.com/isaiah/22.htm| title=|Scofield Reference Notes| target=|_top|&gt;SCO&lt;/a&gt;</v>
      </c>
      <c r="AI701" s="2" t="str">
        <f t="shared" si="2802"/>
        <v>&lt;/li&gt;&lt;li&gt;&lt;a href=|http://wes.biblecommenter.com/isaiah/22.htm| title=|Wesley's Notes on the Bible| target=|_top|&gt;WES&lt;/a&gt;</v>
      </c>
      <c r="AJ701" t="str">
        <f t="shared" si="2802"/>
        <v>&lt;/li&gt;&lt;li&gt;&lt;a href=|http://worldebible.com/isaiah/22.htm| title=|World English Bible| target=|_top|&gt;WEB&lt;/a&gt;</v>
      </c>
      <c r="AK701" t="str">
        <f t="shared" si="2802"/>
        <v>&lt;/li&gt;&lt;li&gt;&lt;a href=|http://yltbible.com/isaiah/22.htm| title=|Young's Literal Translation| target=|_top|&gt;YLT&lt;/a&gt;</v>
      </c>
      <c r="AL701" t="str">
        <f>CONCATENATE("&lt;a href=|http://",AL1191,"/isaiah/22.htm","| ","title=|",AL1190,"| target=|_top|&gt;",AL1192,"&lt;/a&gt;")</f>
        <v>&lt;a href=|http://kjv.us/isaiah/22.htm| title=|American King James Version| target=|_top|&gt;AKJ&lt;/a&gt;</v>
      </c>
      <c r="AM701" t="str">
        <f t="shared" ref="AM701:AN701" si="2803">CONCATENATE("&lt;/li&gt;&lt;li&gt;&lt;a href=|http://",AM1191,"/isaiah/22.htm","| ","title=|",AM1190,"| target=|_top|&gt;",AM1192,"&lt;/a&gt;")</f>
        <v>&lt;/li&gt;&lt;li&gt;&lt;a href=|http://basicenglishbible.com/isaiah/22.htm| title=|Bible in Basic English| target=|_top|&gt;BBE&lt;/a&gt;</v>
      </c>
      <c r="AN701" t="str">
        <f t="shared" si="2803"/>
        <v>&lt;/li&gt;&lt;li&gt;&lt;a href=|http://darbybible.com/isaiah/22.htm| title=|Darby Bible Translation| target=|_top|&gt;DBY&lt;/a&gt;</v>
      </c>
      <c r="AO70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0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0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01" t="str">
        <f>CONCATENATE("&lt;/li&gt;&lt;li&gt;&lt;a href=|http://",AR1191,"/isaiah/22.htm","| ","title=|",AR1190,"| target=|_top|&gt;",AR1192,"&lt;/a&gt;")</f>
        <v>&lt;/li&gt;&lt;li&gt;&lt;a href=|http://websterbible.com/isaiah/22.htm| title=|Webster's Bible Translation| target=|_top|&gt;WBS&lt;/a&gt;</v>
      </c>
      <c r="AS70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01" t="str">
        <f>CONCATENATE("&lt;/li&gt;&lt;li&gt;&lt;a href=|http://",AT1191,"/isaiah/22-1.htm","| ","title=|",AT1190,"| target=|_top|&gt;",AT1192,"&lt;/a&gt;")</f>
        <v>&lt;/li&gt;&lt;li&gt;&lt;a href=|http://biblebrowser.com/isaiah/22-1.htm| title=|Split View| target=|_top|&gt;Split&lt;/a&gt;</v>
      </c>
      <c r="AU701" s="2" t="s">
        <v>1276</v>
      </c>
      <c r="AV701" t="s">
        <v>64</v>
      </c>
    </row>
    <row r="702" spans="1:48">
      <c r="A702" t="s">
        <v>622</v>
      </c>
      <c r="B702" t="s">
        <v>1206</v>
      </c>
      <c r="C702" t="s">
        <v>624</v>
      </c>
      <c r="D702" t="s">
        <v>1268</v>
      </c>
      <c r="E702" t="s">
        <v>1277</v>
      </c>
      <c r="F702" t="s">
        <v>1304</v>
      </c>
      <c r="G702" t="s">
        <v>1266</v>
      </c>
      <c r="H702" t="s">
        <v>1305</v>
      </c>
      <c r="I702" t="s">
        <v>1303</v>
      </c>
      <c r="J702" t="s">
        <v>1267</v>
      </c>
      <c r="K702" t="s">
        <v>1275</v>
      </c>
      <c r="L702" s="2" t="s">
        <v>1274</v>
      </c>
      <c r="M702" t="str">
        <f t="shared" ref="M702:AB702" si="2804">CONCATENATE("&lt;/li&gt;&lt;li&gt;&lt;a href=|http://",M1191,"/isaiah/23.htm","| ","title=|",M1190,"| target=|_top|&gt;",M1192,"&lt;/a&gt;")</f>
        <v>&lt;/li&gt;&lt;li&gt;&lt;a href=|http://niv.scripturetext.com/isaiah/23.htm| title=|New International Version| target=|_top|&gt;NIV&lt;/a&gt;</v>
      </c>
      <c r="N702" t="str">
        <f t="shared" si="2804"/>
        <v>&lt;/li&gt;&lt;li&gt;&lt;a href=|http://nlt.scripturetext.com/isaiah/23.htm| title=|New Living Translation| target=|_top|&gt;NLT&lt;/a&gt;</v>
      </c>
      <c r="O702" t="str">
        <f t="shared" si="2804"/>
        <v>&lt;/li&gt;&lt;li&gt;&lt;a href=|http://nasb.scripturetext.com/isaiah/23.htm| title=|New American Standard Bible| target=|_top|&gt;NAS&lt;/a&gt;</v>
      </c>
      <c r="P702" t="str">
        <f t="shared" si="2804"/>
        <v>&lt;/li&gt;&lt;li&gt;&lt;a href=|http://gwt.scripturetext.com/isaiah/23.htm| title=|God's Word Translation| target=|_top|&gt;GWT&lt;/a&gt;</v>
      </c>
      <c r="Q702" t="str">
        <f t="shared" si="2804"/>
        <v>&lt;/li&gt;&lt;li&gt;&lt;a href=|http://kingjbible.com/isaiah/23.htm| title=|King James Bible| target=|_top|&gt;KJV&lt;/a&gt;</v>
      </c>
      <c r="R702" t="str">
        <f t="shared" si="2804"/>
        <v>&lt;/li&gt;&lt;li&gt;&lt;a href=|http://asvbible.com/isaiah/23.htm| title=|American Standard Version| target=|_top|&gt;ASV&lt;/a&gt;</v>
      </c>
      <c r="S702" t="str">
        <f t="shared" si="2804"/>
        <v>&lt;/li&gt;&lt;li&gt;&lt;a href=|http://drb.scripturetext.com/isaiah/23.htm| title=|Douay-Rheims Bible| target=|_top|&gt;DRB&lt;/a&gt;</v>
      </c>
      <c r="T702" t="str">
        <f t="shared" si="2804"/>
        <v>&lt;/li&gt;&lt;li&gt;&lt;a href=|http://erv.scripturetext.com/isaiah/23.htm| title=|English Revised Version| target=|_top|&gt;ERV&lt;/a&gt;</v>
      </c>
      <c r="V702" t="str">
        <f>CONCATENATE("&lt;/li&gt;&lt;li&gt;&lt;a href=|http://",V1191,"/isaiah/23.htm","| ","title=|",V1190,"| target=|_top|&gt;",V1192,"&lt;/a&gt;")</f>
        <v>&lt;/li&gt;&lt;li&gt;&lt;a href=|http://study.interlinearbible.org/isaiah/23.htm| title=|Hebrew Study Bible| target=|_top|&gt;Heb Study&lt;/a&gt;</v>
      </c>
      <c r="W702" t="str">
        <f t="shared" si="2804"/>
        <v>&lt;/li&gt;&lt;li&gt;&lt;a href=|http://apostolic.interlinearbible.org/isaiah/23.htm| title=|Apostolic Bible Polyglot Interlinear| target=|_top|&gt;Polyglot&lt;/a&gt;</v>
      </c>
      <c r="X702" t="str">
        <f t="shared" si="2804"/>
        <v>&lt;/li&gt;&lt;li&gt;&lt;a href=|http://interlinearbible.org/isaiah/23.htm| title=|Interlinear Bible| target=|_top|&gt;Interlin&lt;/a&gt;</v>
      </c>
      <c r="Y702" t="str">
        <f t="shared" ref="Y702" si="2805">CONCATENATE("&lt;/li&gt;&lt;li&gt;&lt;a href=|http://",Y1191,"/isaiah/23.htm","| ","title=|",Y1190,"| target=|_top|&gt;",Y1192,"&lt;/a&gt;")</f>
        <v>&lt;/li&gt;&lt;li&gt;&lt;a href=|http://bibleoutline.org/isaiah/23.htm| title=|Outline with People and Places List| target=|_top|&gt;Outline&lt;/a&gt;</v>
      </c>
      <c r="Z702" t="str">
        <f t="shared" si="2804"/>
        <v>&lt;/li&gt;&lt;li&gt;&lt;a href=|http://kjvs.scripturetext.com/isaiah/23.htm| title=|King James Bible with Strong's Numbers| target=|_top|&gt;Strong's&lt;/a&gt;</v>
      </c>
      <c r="AA702" t="str">
        <f t="shared" si="2804"/>
        <v>&lt;/li&gt;&lt;li&gt;&lt;a href=|http://childrensbibleonline.com/isaiah/23.htm| title=|The Children's Bible| target=|_top|&gt;Children's&lt;/a&gt;</v>
      </c>
      <c r="AB702" s="2" t="str">
        <f t="shared" si="2804"/>
        <v>&lt;/li&gt;&lt;li&gt;&lt;a href=|http://tsk.scripturetext.com/isaiah/23.htm| title=|Treasury of Scripture Knowledge| target=|_top|&gt;TSK&lt;/a&gt;</v>
      </c>
      <c r="AC702" t="str">
        <f>CONCATENATE("&lt;a href=|http://",AC1191,"/isaiah/23.htm","| ","title=|",AC1190,"| target=|_top|&gt;",AC1192,"&lt;/a&gt;")</f>
        <v>&lt;a href=|http://parallelbible.com/isaiah/23.htm| title=|Parallel Chapters| target=|_top|&gt;PAR&lt;/a&gt;</v>
      </c>
      <c r="AD702" s="2" t="str">
        <f t="shared" ref="AD702:AK702" si="2806">CONCATENATE("&lt;/li&gt;&lt;li&gt;&lt;a href=|http://",AD1191,"/isaiah/23.htm","| ","title=|",AD1190,"| target=|_top|&gt;",AD1192,"&lt;/a&gt;")</f>
        <v>&lt;/li&gt;&lt;li&gt;&lt;a href=|http://gsb.biblecommenter.com/isaiah/23.htm| title=|Geneva Study Bible| target=|_top|&gt;GSB&lt;/a&gt;</v>
      </c>
      <c r="AE702" s="2" t="str">
        <f t="shared" si="2806"/>
        <v>&lt;/li&gt;&lt;li&gt;&lt;a href=|http://jfb.biblecommenter.com/isaiah/23.htm| title=|Jamieson-Fausset-Brown Bible Commentary| target=|_top|&gt;JFB&lt;/a&gt;</v>
      </c>
      <c r="AF702" s="2" t="str">
        <f t="shared" si="2806"/>
        <v>&lt;/li&gt;&lt;li&gt;&lt;a href=|http://kjt.biblecommenter.com/isaiah/23.htm| title=|King James Translators' Notes| target=|_top|&gt;KJT&lt;/a&gt;</v>
      </c>
      <c r="AG702" s="2" t="str">
        <f t="shared" si="2806"/>
        <v>&lt;/li&gt;&lt;li&gt;&lt;a href=|http://mhc.biblecommenter.com/isaiah/23.htm| title=|Matthew Henry's Concise Commentary| target=|_top|&gt;MHC&lt;/a&gt;</v>
      </c>
      <c r="AH702" s="2" t="str">
        <f t="shared" si="2806"/>
        <v>&lt;/li&gt;&lt;li&gt;&lt;a href=|http://sco.biblecommenter.com/isaiah/23.htm| title=|Scofield Reference Notes| target=|_top|&gt;SCO&lt;/a&gt;</v>
      </c>
      <c r="AI702" s="2" t="str">
        <f t="shared" si="2806"/>
        <v>&lt;/li&gt;&lt;li&gt;&lt;a href=|http://wes.biblecommenter.com/isaiah/23.htm| title=|Wesley's Notes on the Bible| target=|_top|&gt;WES&lt;/a&gt;</v>
      </c>
      <c r="AJ702" t="str">
        <f t="shared" si="2806"/>
        <v>&lt;/li&gt;&lt;li&gt;&lt;a href=|http://worldebible.com/isaiah/23.htm| title=|World English Bible| target=|_top|&gt;WEB&lt;/a&gt;</v>
      </c>
      <c r="AK702" t="str">
        <f t="shared" si="2806"/>
        <v>&lt;/li&gt;&lt;li&gt;&lt;a href=|http://yltbible.com/isaiah/23.htm| title=|Young's Literal Translation| target=|_top|&gt;YLT&lt;/a&gt;</v>
      </c>
      <c r="AL702" t="str">
        <f>CONCATENATE("&lt;a href=|http://",AL1191,"/isaiah/23.htm","| ","title=|",AL1190,"| target=|_top|&gt;",AL1192,"&lt;/a&gt;")</f>
        <v>&lt;a href=|http://kjv.us/isaiah/23.htm| title=|American King James Version| target=|_top|&gt;AKJ&lt;/a&gt;</v>
      </c>
      <c r="AM702" t="str">
        <f t="shared" ref="AM702:AN702" si="2807">CONCATENATE("&lt;/li&gt;&lt;li&gt;&lt;a href=|http://",AM1191,"/isaiah/23.htm","| ","title=|",AM1190,"| target=|_top|&gt;",AM1192,"&lt;/a&gt;")</f>
        <v>&lt;/li&gt;&lt;li&gt;&lt;a href=|http://basicenglishbible.com/isaiah/23.htm| title=|Bible in Basic English| target=|_top|&gt;BBE&lt;/a&gt;</v>
      </c>
      <c r="AN702" t="str">
        <f t="shared" si="2807"/>
        <v>&lt;/li&gt;&lt;li&gt;&lt;a href=|http://darbybible.com/isaiah/23.htm| title=|Darby Bible Translation| target=|_top|&gt;DBY&lt;/a&gt;</v>
      </c>
      <c r="AO70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0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0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02" t="str">
        <f>CONCATENATE("&lt;/li&gt;&lt;li&gt;&lt;a href=|http://",AR1191,"/isaiah/23.htm","| ","title=|",AR1190,"| target=|_top|&gt;",AR1192,"&lt;/a&gt;")</f>
        <v>&lt;/li&gt;&lt;li&gt;&lt;a href=|http://websterbible.com/isaiah/23.htm| title=|Webster's Bible Translation| target=|_top|&gt;WBS&lt;/a&gt;</v>
      </c>
      <c r="AS70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02" t="str">
        <f>CONCATENATE("&lt;/li&gt;&lt;li&gt;&lt;a href=|http://",AT1191,"/isaiah/23-1.htm","| ","title=|",AT1190,"| target=|_top|&gt;",AT1192,"&lt;/a&gt;")</f>
        <v>&lt;/li&gt;&lt;li&gt;&lt;a href=|http://biblebrowser.com/isaiah/23-1.htm| title=|Split View| target=|_top|&gt;Split&lt;/a&gt;</v>
      </c>
      <c r="AU702" s="2" t="s">
        <v>1276</v>
      </c>
      <c r="AV702" t="s">
        <v>64</v>
      </c>
    </row>
    <row r="703" spans="1:48">
      <c r="A703" t="s">
        <v>622</v>
      </c>
      <c r="B703" t="s">
        <v>1207</v>
      </c>
      <c r="C703" t="s">
        <v>624</v>
      </c>
      <c r="D703" t="s">
        <v>1268</v>
      </c>
      <c r="E703" t="s">
        <v>1277</v>
      </c>
      <c r="F703" t="s">
        <v>1304</v>
      </c>
      <c r="G703" t="s">
        <v>1266</v>
      </c>
      <c r="H703" t="s">
        <v>1305</v>
      </c>
      <c r="I703" t="s">
        <v>1303</v>
      </c>
      <c r="J703" t="s">
        <v>1267</v>
      </c>
      <c r="K703" t="s">
        <v>1275</v>
      </c>
      <c r="L703" s="2" t="s">
        <v>1274</v>
      </c>
      <c r="M703" t="str">
        <f t="shared" ref="M703:AB703" si="2808">CONCATENATE("&lt;/li&gt;&lt;li&gt;&lt;a href=|http://",M1191,"/isaiah/24.htm","| ","title=|",M1190,"| target=|_top|&gt;",M1192,"&lt;/a&gt;")</f>
        <v>&lt;/li&gt;&lt;li&gt;&lt;a href=|http://niv.scripturetext.com/isaiah/24.htm| title=|New International Version| target=|_top|&gt;NIV&lt;/a&gt;</v>
      </c>
      <c r="N703" t="str">
        <f t="shared" si="2808"/>
        <v>&lt;/li&gt;&lt;li&gt;&lt;a href=|http://nlt.scripturetext.com/isaiah/24.htm| title=|New Living Translation| target=|_top|&gt;NLT&lt;/a&gt;</v>
      </c>
      <c r="O703" t="str">
        <f t="shared" si="2808"/>
        <v>&lt;/li&gt;&lt;li&gt;&lt;a href=|http://nasb.scripturetext.com/isaiah/24.htm| title=|New American Standard Bible| target=|_top|&gt;NAS&lt;/a&gt;</v>
      </c>
      <c r="P703" t="str">
        <f t="shared" si="2808"/>
        <v>&lt;/li&gt;&lt;li&gt;&lt;a href=|http://gwt.scripturetext.com/isaiah/24.htm| title=|God's Word Translation| target=|_top|&gt;GWT&lt;/a&gt;</v>
      </c>
      <c r="Q703" t="str">
        <f t="shared" si="2808"/>
        <v>&lt;/li&gt;&lt;li&gt;&lt;a href=|http://kingjbible.com/isaiah/24.htm| title=|King James Bible| target=|_top|&gt;KJV&lt;/a&gt;</v>
      </c>
      <c r="R703" t="str">
        <f t="shared" si="2808"/>
        <v>&lt;/li&gt;&lt;li&gt;&lt;a href=|http://asvbible.com/isaiah/24.htm| title=|American Standard Version| target=|_top|&gt;ASV&lt;/a&gt;</v>
      </c>
      <c r="S703" t="str">
        <f t="shared" si="2808"/>
        <v>&lt;/li&gt;&lt;li&gt;&lt;a href=|http://drb.scripturetext.com/isaiah/24.htm| title=|Douay-Rheims Bible| target=|_top|&gt;DRB&lt;/a&gt;</v>
      </c>
      <c r="T703" t="str">
        <f t="shared" si="2808"/>
        <v>&lt;/li&gt;&lt;li&gt;&lt;a href=|http://erv.scripturetext.com/isaiah/24.htm| title=|English Revised Version| target=|_top|&gt;ERV&lt;/a&gt;</v>
      </c>
      <c r="V703" t="str">
        <f>CONCATENATE("&lt;/li&gt;&lt;li&gt;&lt;a href=|http://",V1191,"/isaiah/24.htm","| ","title=|",V1190,"| target=|_top|&gt;",V1192,"&lt;/a&gt;")</f>
        <v>&lt;/li&gt;&lt;li&gt;&lt;a href=|http://study.interlinearbible.org/isaiah/24.htm| title=|Hebrew Study Bible| target=|_top|&gt;Heb Study&lt;/a&gt;</v>
      </c>
      <c r="W703" t="str">
        <f t="shared" si="2808"/>
        <v>&lt;/li&gt;&lt;li&gt;&lt;a href=|http://apostolic.interlinearbible.org/isaiah/24.htm| title=|Apostolic Bible Polyglot Interlinear| target=|_top|&gt;Polyglot&lt;/a&gt;</v>
      </c>
      <c r="X703" t="str">
        <f t="shared" si="2808"/>
        <v>&lt;/li&gt;&lt;li&gt;&lt;a href=|http://interlinearbible.org/isaiah/24.htm| title=|Interlinear Bible| target=|_top|&gt;Interlin&lt;/a&gt;</v>
      </c>
      <c r="Y703" t="str">
        <f t="shared" ref="Y703" si="2809">CONCATENATE("&lt;/li&gt;&lt;li&gt;&lt;a href=|http://",Y1191,"/isaiah/24.htm","| ","title=|",Y1190,"| target=|_top|&gt;",Y1192,"&lt;/a&gt;")</f>
        <v>&lt;/li&gt;&lt;li&gt;&lt;a href=|http://bibleoutline.org/isaiah/24.htm| title=|Outline with People and Places List| target=|_top|&gt;Outline&lt;/a&gt;</v>
      </c>
      <c r="Z703" t="str">
        <f t="shared" si="2808"/>
        <v>&lt;/li&gt;&lt;li&gt;&lt;a href=|http://kjvs.scripturetext.com/isaiah/24.htm| title=|King James Bible with Strong's Numbers| target=|_top|&gt;Strong's&lt;/a&gt;</v>
      </c>
      <c r="AA703" t="str">
        <f t="shared" si="2808"/>
        <v>&lt;/li&gt;&lt;li&gt;&lt;a href=|http://childrensbibleonline.com/isaiah/24.htm| title=|The Children's Bible| target=|_top|&gt;Children's&lt;/a&gt;</v>
      </c>
      <c r="AB703" s="2" t="str">
        <f t="shared" si="2808"/>
        <v>&lt;/li&gt;&lt;li&gt;&lt;a href=|http://tsk.scripturetext.com/isaiah/24.htm| title=|Treasury of Scripture Knowledge| target=|_top|&gt;TSK&lt;/a&gt;</v>
      </c>
      <c r="AC703" t="str">
        <f>CONCATENATE("&lt;a href=|http://",AC1191,"/isaiah/24.htm","| ","title=|",AC1190,"| target=|_top|&gt;",AC1192,"&lt;/a&gt;")</f>
        <v>&lt;a href=|http://parallelbible.com/isaiah/24.htm| title=|Parallel Chapters| target=|_top|&gt;PAR&lt;/a&gt;</v>
      </c>
      <c r="AD703" s="2" t="str">
        <f t="shared" ref="AD703:AK703" si="2810">CONCATENATE("&lt;/li&gt;&lt;li&gt;&lt;a href=|http://",AD1191,"/isaiah/24.htm","| ","title=|",AD1190,"| target=|_top|&gt;",AD1192,"&lt;/a&gt;")</f>
        <v>&lt;/li&gt;&lt;li&gt;&lt;a href=|http://gsb.biblecommenter.com/isaiah/24.htm| title=|Geneva Study Bible| target=|_top|&gt;GSB&lt;/a&gt;</v>
      </c>
      <c r="AE703" s="2" t="str">
        <f t="shared" si="2810"/>
        <v>&lt;/li&gt;&lt;li&gt;&lt;a href=|http://jfb.biblecommenter.com/isaiah/24.htm| title=|Jamieson-Fausset-Brown Bible Commentary| target=|_top|&gt;JFB&lt;/a&gt;</v>
      </c>
      <c r="AF703" s="2" t="str">
        <f t="shared" si="2810"/>
        <v>&lt;/li&gt;&lt;li&gt;&lt;a href=|http://kjt.biblecommenter.com/isaiah/24.htm| title=|King James Translators' Notes| target=|_top|&gt;KJT&lt;/a&gt;</v>
      </c>
      <c r="AG703" s="2" t="str">
        <f t="shared" si="2810"/>
        <v>&lt;/li&gt;&lt;li&gt;&lt;a href=|http://mhc.biblecommenter.com/isaiah/24.htm| title=|Matthew Henry's Concise Commentary| target=|_top|&gt;MHC&lt;/a&gt;</v>
      </c>
      <c r="AH703" s="2" t="str">
        <f t="shared" si="2810"/>
        <v>&lt;/li&gt;&lt;li&gt;&lt;a href=|http://sco.biblecommenter.com/isaiah/24.htm| title=|Scofield Reference Notes| target=|_top|&gt;SCO&lt;/a&gt;</v>
      </c>
      <c r="AI703" s="2" t="str">
        <f t="shared" si="2810"/>
        <v>&lt;/li&gt;&lt;li&gt;&lt;a href=|http://wes.biblecommenter.com/isaiah/24.htm| title=|Wesley's Notes on the Bible| target=|_top|&gt;WES&lt;/a&gt;</v>
      </c>
      <c r="AJ703" t="str">
        <f t="shared" si="2810"/>
        <v>&lt;/li&gt;&lt;li&gt;&lt;a href=|http://worldebible.com/isaiah/24.htm| title=|World English Bible| target=|_top|&gt;WEB&lt;/a&gt;</v>
      </c>
      <c r="AK703" t="str">
        <f t="shared" si="2810"/>
        <v>&lt;/li&gt;&lt;li&gt;&lt;a href=|http://yltbible.com/isaiah/24.htm| title=|Young's Literal Translation| target=|_top|&gt;YLT&lt;/a&gt;</v>
      </c>
      <c r="AL703" t="str">
        <f>CONCATENATE("&lt;a href=|http://",AL1191,"/isaiah/24.htm","| ","title=|",AL1190,"| target=|_top|&gt;",AL1192,"&lt;/a&gt;")</f>
        <v>&lt;a href=|http://kjv.us/isaiah/24.htm| title=|American King James Version| target=|_top|&gt;AKJ&lt;/a&gt;</v>
      </c>
      <c r="AM703" t="str">
        <f t="shared" ref="AM703:AN703" si="2811">CONCATENATE("&lt;/li&gt;&lt;li&gt;&lt;a href=|http://",AM1191,"/isaiah/24.htm","| ","title=|",AM1190,"| target=|_top|&gt;",AM1192,"&lt;/a&gt;")</f>
        <v>&lt;/li&gt;&lt;li&gt;&lt;a href=|http://basicenglishbible.com/isaiah/24.htm| title=|Bible in Basic English| target=|_top|&gt;BBE&lt;/a&gt;</v>
      </c>
      <c r="AN703" t="str">
        <f t="shared" si="2811"/>
        <v>&lt;/li&gt;&lt;li&gt;&lt;a href=|http://darbybible.com/isaiah/24.htm| title=|Darby Bible Translation| target=|_top|&gt;DBY&lt;/a&gt;</v>
      </c>
      <c r="AO70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0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0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03" t="str">
        <f>CONCATENATE("&lt;/li&gt;&lt;li&gt;&lt;a href=|http://",AR1191,"/isaiah/24.htm","| ","title=|",AR1190,"| target=|_top|&gt;",AR1192,"&lt;/a&gt;")</f>
        <v>&lt;/li&gt;&lt;li&gt;&lt;a href=|http://websterbible.com/isaiah/24.htm| title=|Webster's Bible Translation| target=|_top|&gt;WBS&lt;/a&gt;</v>
      </c>
      <c r="AS70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03" t="str">
        <f>CONCATENATE("&lt;/li&gt;&lt;li&gt;&lt;a href=|http://",AT1191,"/isaiah/24-1.htm","| ","title=|",AT1190,"| target=|_top|&gt;",AT1192,"&lt;/a&gt;")</f>
        <v>&lt;/li&gt;&lt;li&gt;&lt;a href=|http://biblebrowser.com/isaiah/24-1.htm| title=|Split View| target=|_top|&gt;Split&lt;/a&gt;</v>
      </c>
      <c r="AU703" s="2" t="s">
        <v>1276</v>
      </c>
      <c r="AV703" t="s">
        <v>64</v>
      </c>
    </row>
    <row r="704" spans="1:48">
      <c r="A704" t="s">
        <v>622</v>
      </c>
      <c r="B704" t="s">
        <v>1208</v>
      </c>
      <c r="C704" t="s">
        <v>624</v>
      </c>
      <c r="D704" t="s">
        <v>1268</v>
      </c>
      <c r="E704" t="s">
        <v>1277</v>
      </c>
      <c r="F704" t="s">
        <v>1304</v>
      </c>
      <c r="G704" t="s">
        <v>1266</v>
      </c>
      <c r="H704" t="s">
        <v>1305</v>
      </c>
      <c r="I704" t="s">
        <v>1303</v>
      </c>
      <c r="J704" t="s">
        <v>1267</v>
      </c>
      <c r="K704" t="s">
        <v>1275</v>
      </c>
      <c r="L704" s="2" t="s">
        <v>1274</v>
      </c>
      <c r="M704" t="str">
        <f t="shared" ref="M704:AB704" si="2812">CONCATENATE("&lt;/li&gt;&lt;li&gt;&lt;a href=|http://",M1191,"/isaiah/25.htm","| ","title=|",M1190,"| target=|_top|&gt;",M1192,"&lt;/a&gt;")</f>
        <v>&lt;/li&gt;&lt;li&gt;&lt;a href=|http://niv.scripturetext.com/isaiah/25.htm| title=|New International Version| target=|_top|&gt;NIV&lt;/a&gt;</v>
      </c>
      <c r="N704" t="str">
        <f t="shared" si="2812"/>
        <v>&lt;/li&gt;&lt;li&gt;&lt;a href=|http://nlt.scripturetext.com/isaiah/25.htm| title=|New Living Translation| target=|_top|&gt;NLT&lt;/a&gt;</v>
      </c>
      <c r="O704" t="str">
        <f t="shared" si="2812"/>
        <v>&lt;/li&gt;&lt;li&gt;&lt;a href=|http://nasb.scripturetext.com/isaiah/25.htm| title=|New American Standard Bible| target=|_top|&gt;NAS&lt;/a&gt;</v>
      </c>
      <c r="P704" t="str">
        <f t="shared" si="2812"/>
        <v>&lt;/li&gt;&lt;li&gt;&lt;a href=|http://gwt.scripturetext.com/isaiah/25.htm| title=|God's Word Translation| target=|_top|&gt;GWT&lt;/a&gt;</v>
      </c>
      <c r="Q704" t="str">
        <f t="shared" si="2812"/>
        <v>&lt;/li&gt;&lt;li&gt;&lt;a href=|http://kingjbible.com/isaiah/25.htm| title=|King James Bible| target=|_top|&gt;KJV&lt;/a&gt;</v>
      </c>
      <c r="R704" t="str">
        <f t="shared" si="2812"/>
        <v>&lt;/li&gt;&lt;li&gt;&lt;a href=|http://asvbible.com/isaiah/25.htm| title=|American Standard Version| target=|_top|&gt;ASV&lt;/a&gt;</v>
      </c>
      <c r="S704" t="str">
        <f t="shared" si="2812"/>
        <v>&lt;/li&gt;&lt;li&gt;&lt;a href=|http://drb.scripturetext.com/isaiah/25.htm| title=|Douay-Rheims Bible| target=|_top|&gt;DRB&lt;/a&gt;</v>
      </c>
      <c r="T704" t="str">
        <f t="shared" si="2812"/>
        <v>&lt;/li&gt;&lt;li&gt;&lt;a href=|http://erv.scripturetext.com/isaiah/25.htm| title=|English Revised Version| target=|_top|&gt;ERV&lt;/a&gt;</v>
      </c>
      <c r="V704" t="str">
        <f>CONCATENATE("&lt;/li&gt;&lt;li&gt;&lt;a href=|http://",V1191,"/isaiah/25.htm","| ","title=|",V1190,"| target=|_top|&gt;",V1192,"&lt;/a&gt;")</f>
        <v>&lt;/li&gt;&lt;li&gt;&lt;a href=|http://study.interlinearbible.org/isaiah/25.htm| title=|Hebrew Study Bible| target=|_top|&gt;Heb Study&lt;/a&gt;</v>
      </c>
      <c r="W704" t="str">
        <f t="shared" si="2812"/>
        <v>&lt;/li&gt;&lt;li&gt;&lt;a href=|http://apostolic.interlinearbible.org/isaiah/25.htm| title=|Apostolic Bible Polyglot Interlinear| target=|_top|&gt;Polyglot&lt;/a&gt;</v>
      </c>
      <c r="X704" t="str">
        <f t="shared" si="2812"/>
        <v>&lt;/li&gt;&lt;li&gt;&lt;a href=|http://interlinearbible.org/isaiah/25.htm| title=|Interlinear Bible| target=|_top|&gt;Interlin&lt;/a&gt;</v>
      </c>
      <c r="Y704" t="str">
        <f t="shared" ref="Y704" si="2813">CONCATENATE("&lt;/li&gt;&lt;li&gt;&lt;a href=|http://",Y1191,"/isaiah/25.htm","| ","title=|",Y1190,"| target=|_top|&gt;",Y1192,"&lt;/a&gt;")</f>
        <v>&lt;/li&gt;&lt;li&gt;&lt;a href=|http://bibleoutline.org/isaiah/25.htm| title=|Outline with People and Places List| target=|_top|&gt;Outline&lt;/a&gt;</v>
      </c>
      <c r="Z704" t="str">
        <f t="shared" si="2812"/>
        <v>&lt;/li&gt;&lt;li&gt;&lt;a href=|http://kjvs.scripturetext.com/isaiah/25.htm| title=|King James Bible with Strong's Numbers| target=|_top|&gt;Strong's&lt;/a&gt;</v>
      </c>
      <c r="AA704" t="str">
        <f t="shared" si="2812"/>
        <v>&lt;/li&gt;&lt;li&gt;&lt;a href=|http://childrensbibleonline.com/isaiah/25.htm| title=|The Children's Bible| target=|_top|&gt;Children's&lt;/a&gt;</v>
      </c>
      <c r="AB704" s="2" t="str">
        <f t="shared" si="2812"/>
        <v>&lt;/li&gt;&lt;li&gt;&lt;a href=|http://tsk.scripturetext.com/isaiah/25.htm| title=|Treasury of Scripture Knowledge| target=|_top|&gt;TSK&lt;/a&gt;</v>
      </c>
      <c r="AC704" t="str">
        <f>CONCATENATE("&lt;a href=|http://",AC1191,"/isaiah/25.htm","| ","title=|",AC1190,"| target=|_top|&gt;",AC1192,"&lt;/a&gt;")</f>
        <v>&lt;a href=|http://parallelbible.com/isaiah/25.htm| title=|Parallel Chapters| target=|_top|&gt;PAR&lt;/a&gt;</v>
      </c>
      <c r="AD704" s="2" t="str">
        <f t="shared" ref="AD704:AK704" si="2814">CONCATENATE("&lt;/li&gt;&lt;li&gt;&lt;a href=|http://",AD1191,"/isaiah/25.htm","| ","title=|",AD1190,"| target=|_top|&gt;",AD1192,"&lt;/a&gt;")</f>
        <v>&lt;/li&gt;&lt;li&gt;&lt;a href=|http://gsb.biblecommenter.com/isaiah/25.htm| title=|Geneva Study Bible| target=|_top|&gt;GSB&lt;/a&gt;</v>
      </c>
      <c r="AE704" s="2" t="str">
        <f t="shared" si="2814"/>
        <v>&lt;/li&gt;&lt;li&gt;&lt;a href=|http://jfb.biblecommenter.com/isaiah/25.htm| title=|Jamieson-Fausset-Brown Bible Commentary| target=|_top|&gt;JFB&lt;/a&gt;</v>
      </c>
      <c r="AF704" s="2" t="str">
        <f t="shared" si="2814"/>
        <v>&lt;/li&gt;&lt;li&gt;&lt;a href=|http://kjt.biblecommenter.com/isaiah/25.htm| title=|King James Translators' Notes| target=|_top|&gt;KJT&lt;/a&gt;</v>
      </c>
      <c r="AG704" s="2" t="str">
        <f t="shared" si="2814"/>
        <v>&lt;/li&gt;&lt;li&gt;&lt;a href=|http://mhc.biblecommenter.com/isaiah/25.htm| title=|Matthew Henry's Concise Commentary| target=|_top|&gt;MHC&lt;/a&gt;</v>
      </c>
      <c r="AH704" s="2" t="str">
        <f t="shared" si="2814"/>
        <v>&lt;/li&gt;&lt;li&gt;&lt;a href=|http://sco.biblecommenter.com/isaiah/25.htm| title=|Scofield Reference Notes| target=|_top|&gt;SCO&lt;/a&gt;</v>
      </c>
      <c r="AI704" s="2" t="str">
        <f t="shared" si="2814"/>
        <v>&lt;/li&gt;&lt;li&gt;&lt;a href=|http://wes.biblecommenter.com/isaiah/25.htm| title=|Wesley's Notes on the Bible| target=|_top|&gt;WES&lt;/a&gt;</v>
      </c>
      <c r="AJ704" t="str">
        <f t="shared" si="2814"/>
        <v>&lt;/li&gt;&lt;li&gt;&lt;a href=|http://worldebible.com/isaiah/25.htm| title=|World English Bible| target=|_top|&gt;WEB&lt;/a&gt;</v>
      </c>
      <c r="AK704" t="str">
        <f t="shared" si="2814"/>
        <v>&lt;/li&gt;&lt;li&gt;&lt;a href=|http://yltbible.com/isaiah/25.htm| title=|Young's Literal Translation| target=|_top|&gt;YLT&lt;/a&gt;</v>
      </c>
      <c r="AL704" t="str">
        <f>CONCATENATE("&lt;a href=|http://",AL1191,"/isaiah/25.htm","| ","title=|",AL1190,"| target=|_top|&gt;",AL1192,"&lt;/a&gt;")</f>
        <v>&lt;a href=|http://kjv.us/isaiah/25.htm| title=|American King James Version| target=|_top|&gt;AKJ&lt;/a&gt;</v>
      </c>
      <c r="AM704" t="str">
        <f t="shared" ref="AM704:AN704" si="2815">CONCATENATE("&lt;/li&gt;&lt;li&gt;&lt;a href=|http://",AM1191,"/isaiah/25.htm","| ","title=|",AM1190,"| target=|_top|&gt;",AM1192,"&lt;/a&gt;")</f>
        <v>&lt;/li&gt;&lt;li&gt;&lt;a href=|http://basicenglishbible.com/isaiah/25.htm| title=|Bible in Basic English| target=|_top|&gt;BBE&lt;/a&gt;</v>
      </c>
      <c r="AN704" t="str">
        <f t="shared" si="2815"/>
        <v>&lt;/li&gt;&lt;li&gt;&lt;a href=|http://darbybible.com/isaiah/25.htm| title=|Darby Bible Translation| target=|_top|&gt;DBY&lt;/a&gt;</v>
      </c>
      <c r="AO70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0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0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04" t="str">
        <f>CONCATENATE("&lt;/li&gt;&lt;li&gt;&lt;a href=|http://",AR1191,"/isaiah/25.htm","| ","title=|",AR1190,"| target=|_top|&gt;",AR1192,"&lt;/a&gt;")</f>
        <v>&lt;/li&gt;&lt;li&gt;&lt;a href=|http://websterbible.com/isaiah/25.htm| title=|Webster's Bible Translation| target=|_top|&gt;WBS&lt;/a&gt;</v>
      </c>
      <c r="AS70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04" t="str">
        <f>CONCATENATE("&lt;/li&gt;&lt;li&gt;&lt;a href=|http://",AT1191,"/isaiah/25-1.htm","| ","title=|",AT1190,"| target=|_top|&gt;",AT1192,"&lt;/a&gt;")</f>
        <v>&lt;/li&gt;&lt;li&gt;&lt;a href=|http://biblebrowser.com/isaiah/25-1.htm| title=|Split View| target=|_top|&gt;Split&lt;/a&gt;</v>
      </c>
      <c r="AU704" s="2" t="s">
        <v>1276</v>
      </c>
      <c r="AV704" t="s">
        <v>64</v>
      </c>
    </row>
    <row r="705" spans="1:48">
      <c r="A705" t="s">
        <v>622</v>
      </c>
      <c r="B705" t="s">
        <v>1209</v>
      </c>
      <c r="C705" t="s">
        <v>624</v>
      </c>
      <c r="D705" t="s">
        <v>1268</v>
      </c>
      <c r="E705" t="s">
        <v>1277</v>
      </c>
      <c r="F705" t="s">
        <v>1304</v>
      </c>
      <c r="G705" t="s">
        <v>1266</v>
      </c>
      <c r="H705" t="s">
        <v>1305</v>
      </c>
      <c r="I705" t="s">
        <v>1303</v>
      </c>
      <c r="J705" t="s">
        <v>1267</v>
      </c>
      <c r="K705" t="s">
        <v>1275</v>
      </c>
      <c r="L705" s="2" t="s">
        <v>1274</v>
      </c>
      <c r="M705" t="str">
        <f t="shared" ref="M705:AB705" si="2816">CONCATENATE("&lt;/li&gt;&lt;li&gt;&lt;a href=|http://",M1191,"/isaiah/26.htm","| ","title=|",M1190,"| target=|_top|&gt;",M1192,"&lt;/a&gt;")</f>
        <v>&lt;/li&gt;&lt;li&gt;&lt;a href=|http://niv.scripturetext.com/isaiah/26.htm| title=|New International Version| target=|_top|&gt;NIV&lt;/a&gt;</v>
      </c>
      <c r="N705" t="str">
        <f t="shared" si="2816"/>
        <v>&lt;/li&gt;&lt;li&gt;&lt;a href=|http://nlt.scripturetext.com/isaiah/26.htm| title=|New Living Translation| target=|_top|&gt;NLT&lt;/a&gt;</v>
      </c>
      <c r="O705" t="str">
        <f t="shared" si="2816"/>
        <v>&lt;/li&gt;&lt;li&gt;&lt;a href=|http://nasb.scripturetext.com/isaiah/26.htm| title=|New American Standard Bible| target=|_top|&gt;NAS&lt;/a&gt;</v>
      </c>
      <c r="P705" t="str">
        <f t="shared" si="2816"/>
        <v>&lt;/li&gt;&lt;li&gt;&lt;a href=|http://gwt.scripturetext.com/isaiah/26.htm| title=|God's Word Translation| target=|_top|&gt;GWT&lt;/a&gt;</v>
      </c>
      <c r="Q705" t="str">
        <f t="shared" si="2816"/>
        <v>&lt;/li&gt;&lt;li&gt;&lt;a href=|http://kingjbible.com/isaiah/26.htm| title=|King James Bible| target=|_top|&gt;KJV&lt;/a&gt;</v>
      </c>
      <c r="R705" t="str">
        <f t="shared" si="2816"/>
        <v>&lt;/li&gt;&lt;li&gt;&lt;a href=|http://asvbible.com/isaiah/26.htm| title=|American Standard Version| target=|_top|&gt;ASV&lt;/a&gt;</v>
      </c>
      <c r="S705" t="str">
        <f t="shared" si="2816"/>
        <v>&lt;/li&gt;&lt;li&gt;&lt;a href=|http://drb.scripturetext.com/isaiah/26.htm| title=|Douay-Rheims Bible| target=|_top|&gt;DRB&lt;/a&gt;</v>
      </c>
      <c r="T705" t="str">
        <f t="shared" si="2816"/>
        <v>&lt;/li&gt;&lt;li&gt;&lt;a href=|http://erv.scripturetext.com/isaiah/26.htm| title=|English Revised Version| target=|_top|&gt;ERV&lt;/a&gt;</v>
      </c>
      <c r="V705" t="str">
        <f>CONCATENATE("&lt;/li&gt;&lt;li&gt;&lt;a href=|http://",V1191,"/isaiah/26.htm","| ","title=|",V1190,"| target=|_top|&gt;",V1192,"&lt;/a&gt;")</f>
        <v>&lt;/li&gt;&lt;li&gt;&lt;a href=|http://study.interlinearbible.org/isaiah/26.htm| title=|Hebrew Study Bible| target=|_top|&gt;Heb Study&lt;/a&gt;</v>
      </c>
      <c r="W705" t="str">
        <f t="shared" si="2816"/>
        <v>&lt;/li&gt;&lt;li&gt;&lt;a href=|http://apostolic.interlinearbible.org/isaiah/26.htm| title=|Apostolic Bible Polyglot Interlinear| target=|_top|&gt;Polyglot&lt;/a&gt;</v>
      </c>
      <c r="X705" t="str">
        <f t="shared" si="2816"/>
        <v>&lt;/li&gt;&lt;li&gt;&lt;a href=|http://interlinearbible.org/isaiah/26.htm| title=|Interlinear Bible| target=|_top|&gt;Interlin&lt;/a&gt;</v>
      </c>
      <c r="Y705" t="str">
        <f t="shared" ref="Y705" si="2817">CONCATENATE("&lt;/li&gt;&lt;li&gt;&lt;a href=|http://",Y1191,"/isaiah/26.htm","| ","title=|",Y1190,"| target=|_top|&gt;",Y1192,"&lt;/a&gt;")</f>
        <v>&lt;/li&gt;&lt;li&gt;&lt;a href=|http://bibleoutline.org/isaiah/26.htm| title=|Outline with People and Places List| target=|_top|&gt;Outline&lt;/a&gt;</v>
      </c>
      <c r="Z705" t="str">
        <f t="shared" si="2816"/>
        <v>&lt;/li&gt;&lt;li&gt;&lt;a href=|http://kjvs.scripturetext.com/isaiah/26.htm| title=|King James Bible with Strong's Numbers| target=|_top|&gt;Strong's&lt;/a&gt;</v>
      </c>
      <c r="AA705" t="str">
        <f t="shared" si="2816"/>
        <v>&lt;/li&gt;&lt;li&gt;&lt;a href=|http://childrensbibleonline.com/isaiah/26.htm| title=|The Children's Bible| target=|_top|&gt;Children's&lt;/a&gt;</v>
      </c>
      <c r="AB705" s="2" t="str">
        <f t="shared" si="2816"/>
        <v>&lt;/li&gt;&lt;li&gt;&lt;a href=|http://tsk.scripturetext.com/isaiah/26.htm| title=|Treasury of Scripture Knowledge| target=|_top|&gt;TSK&lt;/a&gt;</v>
      </c>
      <c r="AC705" t="str">
        <f>CONCATENATE("&lt;a href=|http://",AC1191,"/isaiah/26.htm","| ","title=|",AC1190,"| target=|_top|&gt;",AC1192,"&lt;/a&gt;")</f>
        <v>&lt;a href=|http://parallelbible.com/isaiah/26.htm| title=|Parallel Chapters| target=|_top|&gt;PAR&lt;/a&gt;</v>
      </c>
      <c r="AD705" s="2" t="str">
        <f t="shared" ref="AD705:AK705" si="2818">CONCATENATE("&lt;/li&gt;&lt;li&gt;&lt;a href=|http://",AD1191,"/isaiah/26.htm","| ","title=|",AD1190,"| target=|_top|&gt;",AD1192,"&lt;/a&gt;")</f>
        <v>&lt;/li&gt;&lt;li&gt;&lt;a href=|http://gsb.biblecommenter.com/isaiah/26.htm| title=|Geneva Study Bible| target=|_top|&gt;GSB&lt;/a&gt;</v>
      </c>
      <c r="AE705" s="2" t="str">
        <f t="shared" si="2818"/>
        <v>&lt;/li&gt;&lt;li&gt;&lt;a href=|http://jfb.biblecommenter.com/isaiah/26.htm| title=|Jamieson-Fausset-Brown Bible Commentary| target=|_top|&gt;JFB&lt;/a&gt;</v>
      </c>
      <c r="AF705" s="2" t="str">
        <f t="shared" si="2818"/>
        <v>&lt;/li&gt;&lt;li&gt;&lt;a href=|http://kjt.biblecommenter.com/isaiah/26.htm| title=|King James Translators' Notes| target=|_top|&gt;KJT&lt;/a&gt;</v>
      </c>
      <c r="AG705" s="2" t="str">
        <f t="shared" si="2818"/>
        <v>&lt;/li&gt;&lt;li&gt;&lt;a href=|http://mhc.biblecommenter.com/isaiah/26.htm| title=|Matthew Henry's Concise Commentary| target=|_top|&gt;MHC&lt;/a&gt;</v>
      </c>
      <c r="AH705" s="2" t="str">
        <f t="shared" si="2818"/>
        <v>&lt;/li&gt;&lt;li&gt;&lt;a href=|http://sco.biblecommenter.com/isaiah/26.htm| title=|Scofield Reference Notes| target=|_top|&gt;SCO&lt;/a&gt;</v>
      </c>
      <c r="AI705" s="2" t="str">
        <f t="shared" si="2818"/>
        <v>&lt;/li&gt;&lt;li&gt;&lt;a href=|http://wes.biblecommenter.com/isaiah/26.htm| title=|Wesley's Notes on the Bible| target=|_top|&gt;WES&lt;/a&gt;</v>
      </c>
      <c r="AJ705" t="str">
        <f t="shared" si="2818"/>
        <v>&lt;/li&gt;&lt;li&gt;&lt;a href=|http://worldebible.com/isaiah/26.htm| title=|World English Bible| target=|_top|&gt;WEB&lt;/a&gt;</v>
      </c>
      <c r="AK705" t="str">
        <f t="shared" si="2818"/>
        <v>&lt;/li&gt;&lt;li&gt;&lt;a href=|http://yltbible.com/isaiah/26.htm| title=|Young's Literal Translation| target=|_top|&gt;YLT&lt;/a&gt;</v>
      </c>
      <c r="AL705" t="str">
        <f>CONCATENATE("&lt;a href=|http://",AL1191,"/isaiah/26.htm","| ","title=|",AL1190,"| target=|_top|&gt;",AL1192,"&lt;/a&gt;")</f>
        <v>&lt;a href=|http://kjv.us/isaiah/26.htm| title=|American King James Version| target=|_top|&gt;AKJ&lt;/a&gt;</v>
      </c>
      <c r="AM705" t="str">
        <f t="shared" ref="AM705:AN705" si="2819">CONCATENATE("&lt;/li&gt;&lt;li&gt;&lt;a href=|http://",AM1191,"/isaiah/26.htm","| ","title=|",AM1190,"| target=|_top|&gt;",AM1192,"&lt;/a&gt;")</f>
        <v>&lt;/li&gt;&lt;li&gt;&lt;a href=|http://basicenglishbible.com/isaiah/26.htm| title=|Bible in Basic English| target=|_top|&gt;BBE&lt;/a&gt;</v>
      </c>
      <c r="AN705" t="str">
        <f t="shared" si="2819"/>
        <v>&lt;/li&gt;&lt;li&gt;&lt;a href=|http://darbybible.com/isaiah/26.htm| title=|Darby Bible Translation| target=|_top|&gt;DBY&lt;/a&gt;</v>
      </c>
      <c r="AO70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0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0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05" t="str">
        <f>CONCATENATE("&lt;/li&gt;&lt;li&gt;&lt;a href=|http://",AR1191,"/isaiah/26.htm","| ","title=|",AR1190,"| target=|_top|&gt;",AR1192,"&lt;/a&gt;")</f>
        <v>&lt;/li&gt;&lt;li&gt;&lt;a href=|http://websterbible.com/isaiah/26.htm| title=|Webster's Bible Translation| target=|_top|&gt;WBS&lt;/a&gt;</v>
      </c>
      <c r="AS70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05" t="str">
        <f>CONCATENATE("&lt;/li&gt;&lt;li&gt;&lt;a href=|http://",AT1191,"/isaiah/26-1.htm","| ","title=|",AT1190,"| target=|_top|&gt;",AT1192,"&lt;/a&gt;")</f>
        <v>&lt;/li&gt;&lt;li&gt;&lt;a href=|http://biblebrowser.com/isaiah/26-1.htm| title=|Split View| target=|_top|&gt;Split&lt;/a&gt;</v>
      </c>
      <c r="AU705" s="2" t="s">
        <v>1276</v>
      </c>
      <c r="AV705" t="s">
        <v>64</v>
      </c>
    </row>
    <row r="706" spans="1:48">
      <c r="A706" t="s">
        <v>622</v>
      </c>
      <c r="B706" t="s">
        <v>1210</v>
      </c>
      <c r="C706" t="s">
        <v>624</v>
      </c>
      <c r="D706" t="s">
        <v>1268</v>
      </c>
      <c r="E706" t="s">
        <v>1277</v>
      </c>
      <c r="F706" t="s">
        <v>1304</v>
      </c>
      <c r="G706" t="s">
        <v>1266</v>
      </c>
      <c r="H706" t="s">
        <v>1305</v>
      </c>
      <c r="I706" t="s">
        <v>1303</v>
      </c>
      <c r="J706" t="s">
        <v>1267</v>
      </c>
      <c r="K706" t="s">
        <v>1275</v>
      </c>
      <c r="L706" s="2" t="s">
        <v>1274</v>
      </c>
      <c r="M706" t="str">
        <f t="shared" ref="M706:AB706" si="2820">CONCATENATE("&lt;/li&gt;&lt;li&gt;&lt;a href=|http://",M1191,"/isaiah/27.htm","| ","title=|",M1190,"| target=|_top|&gt;",M1192,"&lt;/a&gt;")</f>
        <v>&lt;/li&gt;&lt;li&gt;&lt;a href=|http://niv.scripturetext.com/isaiah/27.htm| title=|New International Version| target=|_top|&gt;NIV&lt;/a&gt;</v>
      </c>
      <c r="N706" t="str">
        <f t="shared" si="2820"/>
        <v>&lt;/li&gt;&lt;li&gt;&lt;a href=|http://nlt.scripturetext.com/isaiah/27.htm| title=|New Living Translation| target=|_top|&gt;NLT&lt;/a&gt;</v>
      </c>
      <c r="O706" t="str">
        <f t="shared" si="2820"/>
        <v>&lt;/li&gt;&lt;li&gt;&lt;a href=|http://nasb.scripturetext.com/isaiah/27.htm| title=|New American Standard Bible| target=|_top|&gt;NAS&lt;/a&gt;</v>
      </c>
      <c r="P706" t="str">
        <f t="shared" si="2820"/>
        <v>&lt;/li&gt;&lt;li&gt;&lt;a href=|http://gwt.scripturetext.com/isaiah/27.htm| title=|God's Word Translation| target=|_top|&gt;GWT&lt;/a&gt;</v>
      </c>
      <c r="Q706" t="str">
        <f t="shared" si="2820"/>
        <v>&lt;/li&gt;&lt;li&gt;&lt;a href=|http://kingjbible.com/isaiah/27.htm| title=|King James Bible| target=|_top|&gt;KJV&lt;/a&gt;</v>
      </c>
      <c r="R706" t="str">
        <f t="shared" si="2820"/>
        <v>&lt;/li&gt;&lt;li&gt;&lt;a href=|http://asvbible.com/isaiah/27.htm| title=|American Standard Version| target=|_top|&gt;ASV&lt;/a&gt;</v>
      </c>
      <c r="S706" t="str">
        <f t="shared" si="2820"/>
        <v>&lt;/li&gt;&lt;li&gt;&lt;a href=|http://drb.scripturetext.com/isaiah/27.htm| title=|Douay-Rheims Bible| target=|_top|&gt;DRB&lt;/a&gt;</v>
      </c>
      <c r="T706" t="str">
        <f t="shared" si="2820"/>
        <v>&lt;/li&gt;&lt;li&gt;&lt;a href=|http://erv.scripturetext.com/isaiah/27.htm| title=|English Revised Version| target=|_top|&gt;ERV&lt;/a&gt;</v>
      </c>
      <c r="V706" t="str">
        <f>CONCATENATE("&lt;/li&gt;&lt;li&gt;&lt;a href=|http://",V1191,"/isaiah/27.htm","| ","title=|",V1190,"| target=|_top|&gt;",V1192,"&lt;/a&gt;")</f>
        <v>&lt;/li&gt;&lt;li&gt;&lt;a href=|http://study.interlinearbible.org/isaiah/27.htm| title=|Hebrew Study Bible| target=|_top|&gt;Heb Study&lt;/a&gt;</v>
      </c>
      <c r="W706" t="str">
        <f t="shared" si="2820"/>
        <v>&lt;/li&gt;&lt;li&gt;&lt;a href=|http://apostolic.interlinearbible.org/isaiah/27.htm| title=|Apostolic Bible Polyglot Interlinear| target=|_top|&gt;Polyglot&lt;/a&gt;</v>
      </c>
      <c r="X706" t="str">
        <f t="shared" si="2820"/>
        <v>&lt;/li&gt;&lt;li&gt;&lt;a href=|http://interlinearbible.org/isaiah/27.htm| title=|Interlinear Bible| target=|_top|&gt;Interlin&lt;/a&gt;</v>
      </c>
      <c r="Y706" t="str">
        <f t="shared" ref="Y706" si="2821">CONCATENATE("&lt;/li&gt;&lt;li&gt;&lt;a href=|http://",Y1191,"/isaiah/27.htm","| ","title=|",Y1190,"| target=|_top|&gt;",Y1192,"&lt;/a&gt;")</f>
        <v>&lt;/li&gt;&lt;li&gt;&lt;a href=|http://bibleoutline.org/isaiah/27.htm| title=|Outline with People and Places List| target=|_top|&gt;Outline&lt;/a&gt;</v>
      </c>
      <c r="Z706" t="str">
        <f t="shared" si="2820"/>
        <v>&lt;/li&gt;&lt;li&gt;&lt;a href=|http://kjvs.scripturetext.com/isaiah/27.htm| title=|King James Bible with Strong's Numbers| target=|_top|&gt;Strong's&lt;/a&gt;</v>
      </c>
      <c r="AA706" t="str">
        <f t="shared" si="2820"/>
        <v>&lt;/li&gt;&lt;li&gt;&lt;a href=|http://childrensbibleonline.com/isaiah/27.htm| title=|The Children's Bible| target=|_top|&gt;Children's&lt;/a&gt;</v>
      </c>
      <c r="AB706" s="2" t="str">
        <f t="shared" si="2820"/>
        <v>&lt;/li&gt;&lt;li&gt;&lt;a href=|http://tsk.scripturetext.com/isaiah/27.htm| title=|Treasury of Scripture Knowledge| target=|_top|&gt;TSK&lt;/a&gt;</v>
      </c>
      <c r="AC706" t="str">
        <f>CONCATENATE("&lt;a href=|http://",AC1191,"/isaiah/27.htm","| ","title=|",AC1190,"| target=|_top|&gt;",AC1192,"&lt;/a&gt;")</f>
        <v>&lt;a href=|http://parallelbible.com/isaiah/27.htm| title=|Parallel Chapters| target=|_top|&gt;PAR&lt;/a&gt;</v>
      </c>
      <c r="AD706" s="2" t="str">
        <f t="shared" ref="AD706:AK706" si="2822">CONCATENATE("&lt;/li&gt;&lt;li&gt;&lt;a href=|http://",AD1191,"/isaiah/27.htm","| ","title=|",AD1190,"| target=|_top|&gt;",AD1192,"&lt;/a&gt;")</f>
        <v>&lt;/li&gt;&lt;li&gt;&lt;a href=|http://gsb.biblecommenter.com/isaiah/27.htm| title=|Geneva Study Bible| target=|_top|&gt;GSB&lt;/a&gt;</v>
      </c>
      <c r="AE706" s="2" t="str">
        <f t="shared" si="2822"/>
        <v>&lt;/li&gt;&lt;li&gt;&lt;a href=|http://jfb.biblecommenter.com/isaiah/27.htm| title=|Jamieson-Fausset-Brown Bible Commentary| target=|_top|&gt;JFB&lt;/a&gt;</v>
      </c>
      <c r="AF706" s="2" t="str">
        <f t="shared" si="2822"/>
        <v>&lt;/li&gt;&lt;li&gt;&lt;a href=|http://kjt.biblecommenter.com/isaiah/27.htm| title=|King James Translators' Notes| target=|_top|&gt;KJT&lt;/a&gt;</v>
      </c>
      <c r="AG706" s="2" t="str">
        <f t="shared" si="2822"/>
        <v>&lt;/li&gt;&lt;li&gt;&lt;a href=|http://mhc.biblecommenter.com/isaiah/27.htm| title=|Matthew Henry's Concise Commentary| target=|_top|&gt;MHC&lt;/a&gt;</v>
      </c>
      <c r="AH706" s="2" t="str">
        <f t="shared" si="2822"/>
        <v>&lt;/li&gt;&lt;li&gt;&lt;a href=|http://sco.biblecommenter.com/isaiah/27.htm| title=|Scofield Reference Notes| target=|_top|&gt;SCO&lt;/a&gt;</v>
      </c>
      <c r="AI706" s="2" t="str">
        <f t="shared" si="2822"/>
        <v>&lt;/li&gt;&lt;li&gt;&lt;a href=|http://wes.biblecommenter.com/isaiah/27.htm| title=|Wesley's Notes on the Bible| target=|_top|&gt;WES&lt;/a&gt;</v>
      </c>
      <c r="AJ706" t="str">
        <f t="shared" si="2822"/>
        <v>&lt;/li&gt;&lt;li&gt;&lt;a href=|http://worldebible.com/isaiah/27.htm| title=|World English Bible| target=|_top|&gt;WEB&lt;/a&gt;</v>
      </c>
      <c r="AK706" t="str">
        <f t="shared" si="2822"/>
        <v>&lt;/li&gt;&lt;li&gt;&lt;a href=|http://yltbible.com/isaiah/27.htm| title=|Young's Literal Translation| target=|_top|&gt;YLT&lt;/a&gt;</v>
      </c>
      <c r="AL706" t="str">
        <f>CONCATENATE("&lt;a href=|http://",AL1191,"/isaiah/27.htm","| ","title=|",AL1190,"| target=|_top|&gt;",AL1192,"&lt;/a&gt;")</f>
        <v>&lt;a href=|http://kjv.us/isaiah/27.htm| title=|American King James Version| target=|_top|&gt;AKJ&lt;/a&gt;</v>
      </c>
      <c r="AM706" t="str">
        <f t="shared" ref="AM706:AN706" si="2823">CONCATENATE("&lt;/li&gt;&lt;li&gt;&lt;a href=|http://",AM1191,"/isaiah/27.htm","| ","title=|",AM1190,"| target=|_top|&gt;",AM1192,"&lt;/a&gt;")</f>
        <v>&lt;/li&gt;&lt;li&gt;&lt;a href=|http://basicenglishbible.com/isaiah/27.htm| title=|Bible in Basic English| target=|_top|&gt;BBE&lt;/a&gt;</v>
      </c>
      <c r="AN706" t="str">
        <f t="shared" si="2823"/>
        <v>&lt;/li&gt;&lt;li&gt;&lt;a href=|http://darbybible.com/isaiah/27.htm| title=|Darby Bible Translation| target=|_top|&gt;DBY&lt;/a&gt;</v>
      </c>
      <c r="AO70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0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0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06" t="str">
        <f>CONCATENATE("&lt;/li&gt;&lt;li&gt;&lt;a href=|http://",AR1191,"/isaiah/27.htm","| ","title=|",AR1190,"| target=|_top|&gt;",AR1192,"&lt;/a&gt;")</f>
        <v>&lt;/li&gt;&lt;li&gt;&lt;a href=|http://websterbible.com/isaiah/27.htm| title=|Webster's Bible Translation| target=|_top|&gt;WBS&lt;/a&gt;</v>
      </c>
      <c r="AS70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06" t="str">
        <f>CONCATENATE("&lt;/li&gt;&lt;li&gt;&lt;a href=|http://",AT1191,"/isaiah/27-1.htm","| ","title=|",AT1190,"| target=|_top|&gt;",AT1192,"&lt;/a&gt;")</f>
        <v>&lt;/li&gt;&lt;li&gt;&lt;a href=|http://biblebrowser.com/isaiah/27-1.htm| title=|Split View| target=|_top|&gt;Split&lt;/a&gt;</v>
      </c>
      <c r="AU706" s="2" t="s">
        <v>1276</v>
      </c>
      <c r="AV706" t="s">
        <v>64</v>
      </c>
    </row>
    <row r="707" spans="1:48">
      <c r="A707" t="s">
        <v>622</v>
      </c>
      <c r="B707" t="s">
        <v>1211</v>
      </c>
      <c r="C707" t="s">
        <v>624</v>
      </c>
      <c r="D707" t="s">
        <v>1268</v>
      </c>
      <c r="E707" t="s">
        <v>1277</v>
      </c>
      <c r="F707" t="s">
        <v>1304</v>
      </c>
      <c r="G707" t="s">
        <v>1266</v>
      </c>
      <c r="H707" t="s">
        <v>1305</v>
      </c>
      <c r="I707" t="s">
        <v>1303</v>
      </c>
      <c r="J707" t="s">
        <v>1267</v>
      </c>
      <c r="K707" t="s">
        <v>1275</v>
      </c>
      <c r="L707" s="2" t="s">
        <v>1274</v>
      </c>
      <c r="M707" t="str">
        <f t="shared" ref="M707:AB707" si="2824">CONCATENATE("&lt;/li&gt;&lt;li&gt;&lt;a href=|http://",M1191,"/isaiah/28.htm","| ","title=|",M1190,"| target=|_top|&gt;",M1192,"&lt;/a&gt;")</f>
        <v>&lt;/li&gt;&lt;li&gt;&lt;a href=|http://niv.scripturetext.com/isaiah/28.htm| title=|New International Version| target=|_top|&gt;NIV&lt;/a&gt;</v>
      </c>
      <c r="N707" t="str">
        <f t="shared" si="2824"/>
        <v>&lt;/li&gt;&lt;li&gt;&lt;a href=|http://nlt.scripturetext.com/isaiah/28.htm| title=|New Living Translation| target=|_top|&gt;NLT&lt;/a&gt;</v>
      </c>
      <c r="O707" t="str">
        <f t="shared" si="2824"/>
        <v>&lt;/li&gt;&lt;li&gt;&lt;a href=|http://nasb.scripturetext.com/isaiah/28.htm| title=|New American Standard Bible| target=|_top|&gt;NAS&lt;/a&gt;</v>
      </c>
      <c r="P707" t="str">
        <f t="shared" si="2824"/>
        <v>&lt;/li&gt;&lt;li&gt;&lt;a href=|http://gwt.scripturetext.com/isaiah/28.htm| title=|God's Word Translation| target=|_top|&gt;GWT&lt;/a&gt;</v>
      </c>
      <c r="Q707" t="str">
        <f t="shared" si="2824"/>
        <v>&lt;/li&gt;&lt;li&gt;&lt;a href=|http://kingjbible.com/isaiah/28.htm| title=|King James Bible| target=|_top|&gt;KJV&lt;/a&gt;</v>
      </c>
      <c r="R707" t="str">
        <f t="shared" si="2824"/>
        <v>&lt;/li&gt;&lt;li&gt;&lt;a href=|http://asvbible.com/isaiah/28.htm| title=|American Standard Version| target=|_top|&gt;ASV&lt;/a&gt;</v>
      </c>
      <c r="S707" t="str">
        <f t="shared" si="2824"/>
        <v>&lt;/li&gt;&lt;li&gt;&lt;a href=|http://drb.scripturetext.com/isaiah/28.htm| title=|Douay-Rheims Bible| target=|_top|&gt;DRB&lt;/a&gt;</v>
      </c>
      <c r="T707" t="str">
        <f t="shared" si="2824"/>
        <v>&lt;/li&gt;&lt;li&gt;&lt;a href=|http://erv.scripturetext.com/isaiah/28.htm| title=|English Revised Version| target=|_top|&gt;ERV&lt;/a&gt;</v>
      </c>
      <c r="V707" t="str">
        <f>CONCATENATE("&lt;/li&gt;&lt;li&gt;&lt;a href=|http://",V1191,"/isaiah/28.htm","| ","title=|",V1190,"| target=|_top|&gt;",V1192,"&lt;/a&gt;")</f>
        <v>&lt;/li&gt;&lt;li&gt;&lt;a href=|http://study.interlinearbible.org/isaiah/28.htm| title=|Hebrew Study Bible| target=|_top|&gt;Heb Study&lt;/a&gt;</v>
      </c>
      <c r="W707" t="str">
        <f t="shared" si="2824"/>
        <v>&lt;/li&gt;&lt;li&gt;&lt;a href=|http://apostolic.interlinearbible.org/isaiah/28.htm| title=|Apostolic Bible Polyglot Interlinear| target=|_top|&gt;Polyglot&lt;/a&gt;</v>
      </c>
      <c r="X707" t="str">
        <f t="shared" si="2824"/>
        <v>&lt;/li&gt;&lt;li&gt;&lt;a href=|http://interlinearbible.org/isaiah/28.htm| title=|Interlinear Bible| target=|_top|&gt;Interlin&lt;/a&gt;</v>
      </c>
      <c r="Y707" t="str">
        <f t="shared" ref="Y707" si="2825">CONCATENATE("&lt;/li&gt;&lt;li&gt;&lt;a href=|http://",Y1191,"/isaiah/28.htm","| ","title=|",Y1190,"| target=|_top|&gt;",Y1192,"&lt;/a&gt;")</f>
        <v>&lt;/li&gt;&lt;li&gt;&lt;a href=|http://bibleoutline.org/isaiah/28.htm| title=|Outline with People and Places List| target=|_top|&gt;Outline&lt;/a&gt;</v>
      </c>
      <c r="Z707" t="str">
        <f t="shared" si="2824"/>
        <v>&lt;/li&gt;&lt;li&gt;&lt;a href=|http://kjvs.scripturetext.com/isaiah/28.htm| title=|King James Bible with Strong's Numbers| target=|_top|&gt;Strong's&lt;/a&gt;</v>
      </c>
      <c r="AA707" t="str">
        <f t="shared" si="2824"/>
        <v>&lt;/li&gt;&lt;li&gt;&lt;a href=|http://childrensbibleonline.com/isaiah/28.htm| title=|The Children's Bible| target=|_top|&gt;Children's&lt;/a&gt;</v>
      </c>
      <c r="AB707" s="2" t="str">
        <f t="shared" si="2824"/>
        <v>&lt;/li&gt;&lt;li&gt;&lt;a href=|http://tsk.scripturetext.com/isaiah/28.htm| title=|Treasury of Scripture Knowledge| target=|_top|&gt;TSK&lt;/a&gt;</v>
      </c>
      <c r="AC707" t="str">
        <f>CONCATENATE("&lt;a href=|http://",AC1191,"/isaiah/28.htm","| ","title=|",AC1190,"| target=|_top|&gt;",AC1192,"&lt;/a&gt;")</f>
        <v>&lt;a href=|http://parallelbible.com/isaiah/28.htm| title=|Parallel Chapters| target=|_top|&gt;PAR&lt;/a&gt;</v>
      </c>
      <c r="AD707" s="2" t="str">
        <f t="shared" ref="AD707:AK707" si="2826">CONCATENATE("&lt;/li&gt;&lt;li&gt;&lt;a href=|http://",AD1191,"/isaiah/28.htm","| ","title=|",AD1190,"| target=|_top|&gt;",AD1192,"&lt;/a&gt;")</f>
        <v>&lt;/li&gt;&lt;li&gt;&lt;a href=|http://gsb.biblecommenter.com/isaiah/28.htm| title=|Geneva Study Bible| target=|_top|&gt;GSB&lt;/a&gt;</v>
      </c>
      <c r="AE707" s="2" t="str">
        <f t="shared" si="2826"/>
        <v>&lt;/li&gt;&lt;li&gt;&lt;a href=|http://jfb.biblecommenter.com/isaiah/28.htm| title=|Jamieson-Fausset-Brown Bible Commentary| target=|_top|&gt;JFB&lt;/a&gt;</v>
      </c>
      <c r="AF707" s="2" t="str">
        <f t="shared" si="2826"/>
        <v>&lt;/li&gt;&lt;li&gt;&lt;a href=|http://kjt.biblecommenter.com/isaiah/28.htm| title=|King James Translators' Notes| target=|_top|&gt;KJT&lt;/a&gt;</v>
      </c>
      <c r="AG707" s="2" t="str">
        <f t="shared" si="2826"/>
        <v>&lt;/li&gt;&lt;li&gt;&lt;a href=|http://mhc.biblecommenter.com/isaiah/28.htm| title=|Matthew Henry's Concise Commentary| target=|_top|&gt;MHC&lt;/a&gt;</v>
      </c>
      <c r="AH707" s="2" t="str">
        <f t="shared" si="2826"/>
        <v>&lt;/li&gt;&lt;li&gt;&lt;a href=|http://sco.biblecommenter.com/isaiah/28.htm| title=|Scofield Reference Notes| target=|_top|&gt;SCO&lt;/a&gt;</v>
      </c>
      <c r="AI707" s="2" t="str">
        <f t="shared" si="2826"/>
        <v>&lt;/li&gt;&lt;li&gt;&lt;a href=|http://wes.biblecommenter.com/isaiah/28.htm| title=|Wesley's Notes on the Bible| target=|_top|&gt;WES&lt;/a&gt;</v>
      </c>
      <c r="AJ707" t="str">
        <f t="shared" si="2826"/>
        <v>&lt;/li&gt;&lt;li&gt;&lt;a href=|http://worldebible.com/isaiah/28.htm| title=|World English Bible| target=|_top|&gt;WEB&lt;/a&gt;</v>
      </c>
      <c r="AK707" t="str">
        <f t="shared" si="2826"/>
        <v>&lt;/li&gt;&lt;li&gt;&lt;a href=|http://yltbible.com/isaiah/28.htm| title=|Young's Literal Translation| target=|_top|&gt;YLT&lt;/a&gt;</v>
      </c>
      <c r="AL707" t="str">
        <f>CONCATENATE("&lt;a href=|http://",AL1191,"/isaiah/28.htm","| ","title=|",AL1190,"| target=|_top|&gt;",AL1192,"&lt;/a&gt;")</f>
        <v>&lt;a href=|http://kjv.us/isaiah/28.htm| title=|American King James Version| target=|_top|&gt;AKJ&lt;/a&gt;</v>
      </c>
      <c r="AM707" t="str">
        <f t="shared" ref="AM707:AN707" si="2827">CONCATENATE("&lt;/li&gt;&lt;li&gt;&lt;a href=|http://",AM1191,"/isaiah/28.htm","| ","title=|",AM1190,"| target=|_top|&gt;",AM1192,"&lt;/a&gt;")</f>
        <v>&lt;/li&gt;&lt;li&gt;&lt;a href=|http://basicenglishbible.com/isaiah/28.htm| title=|Bible in Basic English| target=|_top|&gt;BBE&lt;/a&gt;</v>
      </c>
      <c r="AN707" t="str">
        <f t="shared" si="2827"/>
        <v>&lt;/li&gt;&lt;li&gt;&lt;a href=|http://darbybible.com/isaiah/28.htm| title=|Darby Bible Translation| target=|_top|&gt;DBY&lt;/a&gt;</v>
      </c>
      <c r="AO70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0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0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07" t="str">
        <f>CONCATENATE("&lt;/li&gt;&lt;li&gt;&lt;a href=|http://",AR1191,"/isaiah/28.htm","| ","title=|",AR1190,"| target=|_top|&gt;",AR1192,"&lt;/a&gt;")</f>
        <v>&lt;/li&gt;&lt;li&gt;&lt;a href=|http://websterbible.com/isaiah/28.htm| title=|Webster's Bible Translation| target=|_top|&gt;WBS&lt;/a&gt;</v>
      </c>
      <c r="AS70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07" t="str">
        <f>CONCATENATE("&lt;/li&gt;&lt;li&gt;&lt;a href=|http://",AT1191,"/isaiah/28-1.htm","| ","title=|",AT1190,"| target=|_top|&gt;",AT1192,"&lt;/a&gt;")</f>
        <v>&lt;/li&gt;&lt;li&gt;&lt;a href=|http://biblebrowser.com/isaiah/28-1.htm| title=|Split View| target=|_top|&gt;Split&lt;/a&gt;</v>
      </c>
      <c r="AU707" s="2" t="s">
        <v>1276</v>
      </c>
      <c r="AV707" t="s">
        <v>64</v>
      </c>
    </row>
    <row r="708" spans="1:48">
      <c r="A708" t="s">
        <v>622</v>
      </c>
      <c r="B708" t="s">
        <v>1212</v>
      </c>
      <c r="C708" t="s">
        <v>624</v>
      </c>
      <c r="D708" t="s">
        <v>1268</v>
      </c>
      <c r="E708" t="s">
        <v>1277</v>
      </c>
      <c r="F708" t="s">
        <v>1304</v>
      </c>
      <c r="G708" t="s">
        <v>1266</v>
      </c>
      <c r="H708" t="s">
        <v>1305</v>
      </c>
      <c r="I708" t="s">
        <v>1303</v>
      </c>
      <c r="J708" t="s">
        <v>1267</v>
      </c>
      <c r="K708" t="s">
        <v>1275</v>
      </c>
      <c r="L708" s="2" t="s">
        <v>1274</v>
      </c>
      <c r="M708" t="str">
        <f t="shared" ref="M708:AB708" si="2828">CONCATENATE("&lt;/li&gt;&lt;li&gt;&lt;a href=|http://",M1191,"/isaiah/29.htm","| ","title=|",M1190,"| target=|_top|&gt;",M1192,"&lt;/a&gt;")</f>
        <v>&lt;/li&gt;&lt;li&gt;&lt;a href=|http://niv.scripturetext.com/isaiah/29.htm| title=|New International Version| target=|_top|&gt;NIV&lt;/a&gt;</v>
      </c>
      <c r="N708" t="str">
        <f t="shared" si="2828"/>
        <v>&lt;/li&gt;&lt;li&gt;&lt;a href=|http://nlt.scripturetext.com/isaiah/29.htm| title=|New Living Translation| target=|_top|&gt;NLT&lt;/a&gt;</v>
      </c>
      <c r="O708" t="str">
        <f t="shared" si="2828"/>
        <v>&lt;/li&gt;&lt;li&gt;&lt;a href=|http://nasb.scripturetext.com/isaiah/29.htm| title=|New American Standard Bible| target=|_top|&gt;NAS&lt;/a&gt;</v>
      </c>
      <c r="P708" t="str">
        <f t="shared" si="2828"/>
        <v>&lt;/li&gt;&lt;li&gt;&lt;a href=|http://gwt.scripturetext.com/isaiah/29.htm| title=|God's Word Translation| target=|_top|&gt;GWT&lt;/a&gt;</v>
      </c>
      <c r="Q708" t="str">
        <f t="shared" si="2828"/>
        <v>&lt;/li&gt;&lt;li&gt;&lt;a href=|http://kingjbible.com/isaiah/29.htm| title=|King James Bible| target=|_top|&gt;KJV&lt;/a&gt;</v>
      </c>
      <c r="R708" t="str">
        <f t="shared" si="2828"/>
        <v>&lt;/li&gt;&lt;li&gt;&lt;a href=|http://asvbible.com/isaiah/29.htm| title=|American Standard Version| target=|_top|&gt;ASV&lt;/a&gt;</v>
      </c>
      <c r="S708" t="str">
        <f t="shared" si="2828"/>
        <v>&lt;/li&gt;&lt;li&gt;&lt;a href=|http://drb.scripturetext.com/isaiah/29.htm| title=|Douay-Rheims Bible| target=|_top|&gt;DRB&lt;/a&gt;</v>
      </c>
      <c r="T708" t="str">
        <f t="shared" si="2828"/>
        <v>&lt;/li&gt;&lt;li&gt;&lt;a href=|http://erv.scripturetext.com/isaiah/29.htm| title=|English Revised Version| target=|_top|&gt;ERV&lt;/a&gt;</v>
      </c>
      <c r="V708" t="str">
        <f>CONCATENATE("&lt;/li&gt;&lt;li&gt;&lt;a href=|http://",V1191,"/isaiah/29.htm","| ","title=|",V1190,"| target=|_top|&gt;",V1192,"&lt;/a&gt;")</f>
        <v>&lt;/li&gt;&lt;li&gt;&lt;a href=|http://study.interlinearbible.org/isaiah/29.htm| title=|Hebrew Study Bible| target=|_top|&gt;Heb Study&lt;/a&gt;</v>
      </c>
      <c r="W708" t="str">
        <f t="shared" si="2828"/>
        <v>&lt;/li&gt;&lt;li&gt;&lt;a href=|http://apostolic.interlinearbible.org/isaiah/29.htm| title=|Apostolic Bible Polyglot Interlinear| target=|_top|&gt;Polyglot&lt;/a&gt;</v>
      </c>
      <c r="X708" t="str">
        <f t="shared" si="2828"/>
        <v>&lt;/li&gt;&lt;li&gt;&lt;a href=|http://interlinearbible.org/isaiah/29.htm| title=|Interlinear Bible| target=|_top|&gt;Interlin&lt;/a&gt;</v>
      </c>
      <c r="Y708" t="str">
        <f t="shared" ref="Y708" si="2829">CONCATENATE("&lt;/li&gt;&lt;li&gt;&lt;a href=|http://",Y1191,"/isaiah/29.htm","| ","title=|",Y1190,"| target=|_top|&gt;",Y1192,"&lt;/a&gt;")</f>
        <v>&lt;/li&gt;&lt;li&gt;&lt;a href=|http://bibleoutline.org/isaiah/29.htm| title=|Outline with People and Places List| target=|_top|&gt;Outline&lt;/a&gt;</v>
      </c>
      <c r="Z708" t="str">
        <f t="shared" si="2828"/>
        <v>&lt;/li&gt;&lt;li&gt;&lt;a href=|http://kjvs.scripturetext.com/isaiah/29.htm| title=|King James Bible with Strong's Numbers| target=|_top|&gt;Strong's&lt;/a&gt;</v>
      </c>
      <c r="AA708" t="str">
        <f t="shared" si="2828"/>
        <v>&lt;/li&gt;&lt;li&gt;&lt;a href=|http://childrensbibleonline.com/isaiah/29.htm| title=|The Children's Bible| target=|_top|&gt;Children's&lt;/a&gt;</v>
      </c>
      <c r="AB708" s="2" t="str">
        <f t="shared" si="2828"/>
        <v>&lt;/li&gt;&lt;li&gt;&lt;a href=|http://tsk.scripturetext.com/isaiah/29.htm| title=|Treasury of Scripture Knowledge| target=|_top|&gt;TSK&lt;/a&gt;</v>
      </c>
      <c r="AC708" t="str">
        <f>CONCATENATE("&lt;a href=|http://",AC1191,"/isaiah/29.htm","| ","title=|",AC1190,"| target=|_top|&gt;",AC1192,"&lt;/a&gt;")</f>
        <v>&lt;a href=|http://parallelbible.com/isaiah/29.htm| title=|Parallel Chapters| target=|_top|&gt;PAR&lt;/a&gt;</v>
      </c>
      <c r="AD708" s="2" t="str">
        <f t="shared" ref="AD708:AK708" si="2830">CONCATENATE("&lt;/li&gt;&lt;li&gt;&lt;a href=|http://",AD1191,"/isaiah/29.htm","| ","title=|",AD1190,"| target=|_top|&gt;",AD1192,"&lt;/a&gt;")</f>
        <v>&lt;/li&gt;&lt;li&gt;&lt;a href=|http://gsb.biblecommenter.com/isaiah/29.htm| title=|Geneva Study Bible| target=|_top|&gt;GSB&lt;/a&gt;</v>
      </c>
      <c r="AE708" s="2" t="str">
        <f t="shared" si="2830"/>
        <v>&lt;/li&gt;&lt;li&gt;&lt;a href=|http://jfb.biblecommenter.com/isaiah/29.htm| title=|Jamieson-Fausset-Brown Bible Commentary| target=|_top|&gt;JFB&lt;/a&gt;</v>
      </c>
      <c r="AF708" s="2" t="str">
        <f t="shared" si="2830"/>
        <v>&lt;/li&gt;&lt;li&gt;&lt;a href=|http://kjt.biblecommenter.com/isaiah/29.htm| title=|King James Translators' Notes| target=|_top|&gt;KJT&lt;/a&gt;</v>
      </c>
      <c r="AG708" s="2" t="str">
        <f t="shared" si="2830"/>
        <v>&lt;/li&gt;&lt;li&gt;&lt;a href=|http://mhc.biblecommenter.com/isaiah/29.htm| title=|Matthew Henry's Concise Commentary| target=|_top|&gt;MHC&lt;/a&gt;</v>
      </c>
      <c r="AH708" s="2" t="str">
        <f t="shared" si="2830"/>
        <v>&lt;/li&gt;&lt;li&gt;&lt;a href=|http://sco.biblecommenter.com/isaiah/29.htm| title=|Scofield Reference Notes| target=|_top|&gt;SCO&lt;/a&gt;</v>
      </c>
      <c r="AI708" s="2" t="str">
        <f t="shared" si="2830"/>
        <v>&lt;/li&gt;&lt;li&gt;&lt;a href=|http://wes.biblecommenter.com/isaiah/29.htm| title=|Wesley's Notes on the Bible| target=|_top|&gt;WES&lt;/a&gt;</v>
      </c>
      <c r="AJ708" t="str">
        <f t="shared" si="2830"/>
        <v>&lt;/li&gt;&lt;li&gt;&lt;a href=|http://worldebible.com/isaiah/29.htm| title=|World English Bible| target=|_top|&gt;WEB&lt;/a&gt;</v>
      </c>
      <c r="AK708" t="str">
        <f t="shared" si="2830"/>
        <v>&lt;/li&gt;&lt;li&gt;&lt;a href=|http://yltbible.com/isaiah/29.htm| title=|Young's Literal Translation| target=|_top|&gt;YLT&lt;/a&gt;</v>
      </c>
      <c r="AL708" t="str">
        <f>CONCATENATE("&lt;a href=|http://",AL1191,"/isaiah/29.htm","| ","title=|",AL1190,"| target=|_top|&gt;",AL1192,"&lt;/a&gt;")</f>
        <v>&lt;a href=|http://kjv.us/isaiah/29.htm| title=|American King James Version| target=|_top|&gt;AKJ&lt;/a&gt;</v>
      </c>
      <c r="AM708" t="str">
        <f t="shared" ref="AM708:AN708" si="2831">CONCATENATE("&lt;/li&gt;&lt;li&gt;&lt;a href=|http://",AM1191,"/isaiah/29.htm","| ","title=|",AM1190,"| target=|_top|&gt;",AM1192,"&lt;/a&gt;")</f>
        <v>&lt;/li&gt;&lt;li&gt;&lt;a href=|http://basicenglishbible.com/isaiah/29.htm| title=|Bible in Basic English| target=|_top|&gt;BBE&lt;/a&gt;</v>
      </c>
      <c r="AN708" t="str">
        <f t="shared" si="2831"/>
        <v>&lt;/li&gt;&lt;li&gt;&lt;a href=|http://darbybible.com/isaiah/29.htm| title=|Darby Bible Translation| target=|_top|&gt;DBY&lt;/a&gt;</v>
      </c>
      <c r="AO70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0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0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08" t="str">
        <f>CONCATENATE("&lt;/li&gt;&lt;li&gt;&lt;a href=|http://",AR1191,"/isaiah/29.htm","| ","title=|",AR1190,"| target=|_top|&gt;",AR1192,"&lt;/a&gt;")</f>
        <v>&lt;/li&gt;&lt;li&gt;&lt;a href=|http://websterbible.com/isaiah/29.htm| title=|Webster's Bible Translation| target=|_top|&gt;WBS&lt;/a&gt;</v>
      </c>
      <c r="AS70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08" t="str">
        <f>CONCATENATE("&lt;/li&gt;&lt;li&gt;&lt;a href=|http://",AT1191,"/isaiah/29-1.htm","| ","title=|",AT1190,"| target=|_top|&gt;",AT1192,"&lt;/a&gt;")</f>
        <v>&lt;/li&gt;&lt;li&gt;&lt;a href=|http://biblebrowser.com/isaiah/29-1.htm| title=|Split View| target=|_top|&gt;Split&lt;/a&gt;</v>
      </c>
      <c r="AU708" s="2" t="s">
        <v>1276</v>
      </c>
      <c r="AV708" t="s">
        <v>64</v>
      </c>
    </row>
    <row r="709" spans="1:48">
      <c r="A709" t="s">
        <v>622</v>
      </c>
      <c r="B709" t="s">
        <v>1213</v>
      </c>
      <c r="C709" t="s">
        <v>624</v>
      </c>
      <c r="D709" t="s">
        <v>1268</v>
      </c>
      <c r="E709" t="s">
        <v>1277</v>
      </c>
      <c r="F709" t="s">
        <v>1304</v>
      </c>
      <c r="G709" t="s">
        <v>1266</v>
      </c>
      <c r="H709" t="s">
        <v>1305</v>
      </c>
      <c r="I709" t="s">
        <v>1303</v>
      </c>
      <c r="J709" t="s">
        <v>1267</v>
      </c>
      <c r="K709" t="s">
        <v>1275</v>
      </c>
      <c r="L709" s="2" t="s">
        <v>1274</v>
      </c>
      <c r="M709" t="str">
        <f t="shared" ref="M709:AB709" si="2832">CONCATENATE("&lt;/li&gt;&lt;li&gt;&lt;a href=|http://",M1191,"/isaiah/30.htm","| ","title=|",M1190,"| target=|_top|&gt;",M1192,"&lt;/a&gt;")</f>
        <v>&lt;/li&gt;&lt;li&gt;&lt;a href=|http://niv.scripturetext.com/isaiah/30.htm| title=|New International Version| target=|_top|&gt;NIV&lt;/a&gt;</v>
      </c>
      <c r="N709" t="str">
        <f t="shared" si="2832"/>
        <v>&lt;/li&gt;&lt;li&gt;&lt;a href=|http://nlt.scripturetext.com/isaiah/30.htm| title=|New Living Translation| target=|_top|&gt;NLT&lt;/a&gt;</v>
      </c>
      <c r="O709" t="str">
        <f t="shared" si="2832"/>
        <v>&lt;/li&gt;&lt;li&gt;&lt;a href=|http://nasb.scripturetext.com/isaiah/30.htm| title=|New American Standard Bible| target=|_top|&gt;NAS&lt;/a&gt;</v>
      </c>
      <c r="P709" t="str">
        <f t="shared" si="2832"/>
        <v>&lt;/li&gt;&lt;li&gt;&lt;a href=|http://gwt.scripturetext.com/isaiah/30.htm| title=|God's Word Translation| target=|_top|&gt;GWT&lt;/a&gt;</v>
      </c>
      <c r="Q709" t="str">
        <f t="shared" si="2832"/>
        <v>&lt;/li&gt;&lt;li&gt;&lt;a href=|http://kingjbible.com/isaiah/30.htm| title=|King James Bible| target=|_top|&gt;KJV&lt;/a&gt;</v>
      </c>
      <c r="R709" t="str">
        <f t="shared" si="2832"/>
        <v>&lt;/li&gt;&lt;li&gt;&lt;a href=|http://asvbible.com/isaiah/30.htm| title=|American Standard Version| target=|_top|&gt;ASV&lt;/a&gt;</v>
      </c>
      <c r="S709" t="str">
        <f t="shared" si="2832"/>
        <v>&lt;/li&gt;&lt;li&gt;&lt;a href=|http://drb.scripturetext.com/isaiah/30.htm| title=|Douay-Rheims Bible| target=|_top|&gt;DRB&lt;/a&gt;</v>
      </c>
      <c r="T709" t="str">
        <f t="shared" si="2832"/>
        <v>&lt;/li&gt;&lt;li&gt;&lt;a href=|http://erv.scripturetext.com/isaiah/30.htm| title=|English Revised Version| target=|_top|&gt;ERV&lt;/a&gt;</v>
      </c>
      <c r="V709" t="str">
        <f>CONCATENATE("&lt;/li&gt;&lt;li&gt;&lt;a href=|http://",V1191,"/isaiah/30.htm","| ","title=|",V1190,"| target=|_top|&gt;",V1192,"&lt;/a&gt;")</f>
        <v>&lt;/li&gt;&lt;li&gt;&lt;a href=|http://study.interlinearbible.org/isaiah/30.htm| title=|Hebrew Study Bible| target=|_top|&gt;Heb Study&lt;/a&gt;</v>
      </c>
      <c r="W709" t="str">
        <f t="shared" si="2832"/>
        <v>&lt;/li&gt;&lt;li&gt;&lt;a href=|http://apostolic.interlinearbible.org/isaiah/30.htm| title=|Apostolic Bible Polyglot Interlinear| target=|_top|&gt;Polyglot&lt;/a&gt;</v>
      </c>
      <c r="X709" t="str">
        <f t="shared" si="2832"/>
        <v>&lt;/li&gt;&lt;li&gt;&lt;a href=|http://interlinearbible.org/isaiah/30.htm| title=|Interlinear Bible| target=|_top|&gt;Interlin&lt;/a&gt;</v>
      </c>
      <c r="Y709" t="str">
        <f t="shared" ref="Y709" si="2833">CONCATENATE("&lt;/li&gt;&lt;li&gt;&lt;a href=|http://",Y1191,"/isaiah/30.htm","| ","title=|",Y1190,"| target=|_top|&gt;",Y1192,"&lt;/a&gt;")</f>
        <v>&lt;/li&gt;&lt;li&gt;&lt;a href=|http://bibleoutline.org/isaiah/30.htm| title=|Outline with People and Places List| target=|_top|&gt;Outline&lt;/a&gt;</v>
      </c>
      <c r="Z709" t="str">
        <f t="shared" si="2832"/>
        <v>&lt;/li&gt;&lt;li&gt;&lt;a href=|http://kjvs.scripturetext.com/isaiah/30.htm| title=|King James Bible with Strong's Numbers| target=|_top|&gt;Strong's&lt;/a&gt;</v>
      </c>
      <c r="AA709" t="str">
        <f t="shared" si="2832"/>
        <v>&lt;/li&gt;&lt;li&gt;&lt;a href=|http://childrensbibleonline.com/isaiah/30.htm| title=|The Children's Bible| target=|_top|&gt;Children's&lt;/a&gt;</v>
      </c>
      <c r="AB709" s="2" t="str">
        <f t="shared" si="2832"/>
        <v>&lt;/li&gt;&lt;li&gt;&lt;a href=|http://tsk.scripturetext.com/isaiah/30.htm| title=|Treasury of Scripture Knowledge| target=|_top|&gt;TSK&lt;/a&gt;</v>
      </c>
      <c r="AC709" t="str">
        <f>CONCATENATE("&lt;a href=|http://",AC1191,"/isaiah/30.htm","| ","title=|",AC1190,"| target=|_top|&gt;",AC1192,"&lt;/a&gt;")</f>
        <v>&lt;a href=|http://parallelbible.com/isaiah/30.htm| title=|Parallel Chapters| target=|_top|&gt;PAR&lt;/a&gt;</v>
      </c>
      <c r="AD709" s="2" t="str">
        <f t="shared" ref="AD709:AK709" si="2834">CONCATENATE("&lt;/li&gt;&lt;li&gt;&lt;a href=|http://",AD1191,"/isaiah/30.htm","| ","title=|",AD1190,"| target=|_top|&gt;",AD1192,"&lt;/a&gt;")</f>
        <v>&lt;/li&gt;&lt;li&gt;&lt;a href=|http://gsb.biblecommenter.com/isaiah/30.htm| title=|Geneva Study Bible| target=|_top|&gt;GSB&lt;/a&gt;</v>
      </c>
      <c r="AE709" s="2" t="str">
        <f t="shared" si="2834"/>
        <v>&lt;/li&gt;&lt;li&gt;&lt;a href=|http://jfb.biblecommenter.com/isaiah/30.htm| title=|Jamieson-Fausset-Brown Bible Commentary| target=|_top|&gt;JFB&lt;/a&gt;</v>
      </c>
      <c r="AF709" s="2" t="str">
        <f t="shared" si="2834"/>
        <v>&lt;/li&gt;&lt;li&gt;&lt;a href=|http://kjt.biblecommenter.com/isaiah/30.htm| title=|King James Translators' Notes| target=|_top|&gt;KJT&lt;/a&gt;</v>
      </c>
      <c r="AG709" s="2" t="str">
        <f t="shared" si="2834"/>
        <v>&lt;/li&gt;&lt;li&gt;&lt;a href=|http://mhc.biblecommenter.com/isaiah/30.htm| title=|Matthew Henry's Concise Commentary| target=|_top|&gt;MHC&lt;/a&gt;</v>
      </c>
      <c r="AH709" s="2" t="str">
        <f t="shared" si="2834"/>
        <v>&lt;/li&gt;&lt;li&gt;&lt;a href=|http://sco.biblecommenter.com/isaiah/30.htm| title=|Scofield Reference Notes| target=|_top|&gt;SCO&lt;/a&gt;</v>
      </c>
      <c r="AI709" s="2" t="str">
        <f t="shared" si="2834"/>
        <v>&lt;/li&gt;&lt;li&gt;&lt;a href=|http://wes.biblecommenter.com/isaiah/30.htm| title=|Wesley's Notes on the Bible| target=|_top|&gt;WES&lt;/a&gt;</v>
      </c>
      <c r="AJ709" t="str">
        <f t="shared" si="2834"/>
        <v>&lt;/li&gt;&lt;li&gt;&lt;a href=|http://worldebible.com/isaiah/30.htm| title=|World English Bible| target=|_top|&gt;WEB&lt;/a&gt;</v>
      </c>
      <c r="AK709" t="str">
        <f t="shared" si="2834"/>
        <v>&lt;/li&gt;&lt;li&gt;&lt;a href=|http://yltbible.com/isaiah/30.htm| title=|Young's Literal Translation| target=|_top|&gt;YLT&lt;/a&gt;</v>
      </c>
      <c r="AL709" t="str">
        <f>CONCATENATE("&lt;a href=|http://",AL1191,"/isaiah/30.htm","| ","title=|",AL1190,"| target=|_top|&gt;",AL1192,"&lt;/a&gt;")</f>
        <v>&lt;a href=|http://kjv.us/isaiah/30.htm| title=|American King James Version| target=|_top|&gt;AKJ&lt;/a&gt;</v>
      </c>
      <c r="AM709" t="str">
        <f t="shared" ref="AM709:AN709" si="2835">CONCATENATE("&lt;/li&gt;&lt;li&gt;&lt;a href=|http://",AM1191,"/isaiah/30.htm","| ","title=|",AM1190,"| target=|_top|&gt;",AM1192,"&lt;/a&gt;")</f>
        <v>&lt;/li&gt;&lt;li&gt;&lt;a href=|http://basicenglishbible.com/isaiah/30.htm| title=|Bible in Basic English| target=|_top|&gt;BBE&lt;/a&gt;</v>
      </c>
      <c r="AN709" t="str">
        <f t="shared" si="2835"/>
        <v>&lt;/li&gt;&lt;li&gt;&lt;a href=|http://darbybible.com/isaiah/30.htm| title=|Darby Bible Translation| target=|_top|&gt;DBY&lt;/a&gt;</v>
      </c>
      <c r="AO70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0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0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09" t="str">
        <f>CONCATENATE("&lt;/li&gt;&lt;li&gt;&lt;a href=|http://",AR1191,"/isaiah/30.htm","| ","title=|",AR1190,"| target=|_top|&gt;",AR1192,"&lt;/a&gt;")</f>
        <v>&lt;/li&gt;&lt;li&gt;&lt;a href=|http://websterbible.com/isaiah/30.htm| title=|Webster's Bible Translation| target=|_top|&gt;WBS&lt;/a&gt;</v>
      </c>
      <c r="AS70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09" t="str">
        <f>CONCATENATE("&lt;/li&gt;&lt;li&gt;&lt;a href=|http://",AT1191,"/isaiah/30-1.htm","| ","title=|",AT1190,"| target=|_top|&gt;",AT1192,"&lt;/a&gt;")</f>
        <v>&lt;/li&gt;&lt;li&gt;&lt;a href=|http://biblebrowser.com/isaiah/30-1.htm| title=|Split View| target=|_top|&gt;Split&lt;/a&gt;</v>
      </c>
      <c r="AU709" s="2" t="s">
        <v>1276</v>
      </c>
      <c r="AV709" t="s">
        <v>64</v>
      </c>
    </row>
    <row r="710" spans="1:48">
      <c r="A710" t="s">
        <v>622</v>
      </c>
      <c r="B710" t="s">
        <v>1214</v>
      </c>
      <c r="C710" t="s">
        <v>624</v>
      </c>
      <c r="D710" t="s">
        <v>1268</v>
      </c>
      <c r="E710" t="s">
        <v>1277</v>
      </c>
      <c r="F710" t="s">
        <v>1304</v>
      </c>
      <c r="G710" t="s">
        <v>1266</v>
      </c>
      <c r="H710" t="s">
        <v>1305</v>
      </c>
      <c r="I710" t="s">
        <v>1303</v>
      </c>
      <c r="J710" t="s">
        <v>1267</v>
      </c>
      <c r="K710" t="s">
        <v>1275</v>
      </c>
      <c r="L710" s="2" t="s">
        <v>1274</v>
      </c>
      <c r="M710" t="str">
        <f t="shared" ref="M710:AB710" si="2836">CONCATENATE("&lt;/li&gt;&lt;li&gt;&lt;a href=|http://",M1191,"/isaiah/31.htm","| ","title=|",M1190,"| target=|_top|&gt;",M1192,"&lt;/a&gt;")</f>
        <v>&lt;/li&gt;&lt;li&gt;&lt;a href=|http://niv.scripturetext.com/isaiah/31.htm| title=|New International Version| target=|_top|&gt;NIV&lt;/a&gt;</v>
      </c>
      <c r="N710" t="str">
        <f t="shared" si="2836"/>
        <v>&lt;/li&gt;&lt;li&gt;&lt;a href=|http://nlt.scripturetext.com/isaiah/31.htm| title=|New Living Translation| target=|_top|&gt;NLT&lt;/a&gt;</v>
      </c>
      <c r="O710" t="str">
        <f t="shared" si="2836"/>
        <v>&lt;/li&gt;&lt;li&gt;&lt;a href=|http://nasb.scripturetext.com/isaiah/31.htm| title=|New American Standard Bible| target=|_top|&gt;NAS&lt;/a&gt;</v>
      </c>
      <c r="P710" t="str">
        <f t="shared" si="2836"/>
        <v>&lt;/li&gt;&lt;li&gt;&lt;a href=|http://gwt.scripturetext.com/isaiah/31.htm| title=|God's Word Translation| target=|_top|&gt;GWT&lt;/a&gt;</v>
      </c>
      <c r="Q710" t="str">
        <f t="shared" si="2836"/>
        <v>&lt;/li&gt;&lt;li&gt;&lt;a href=|http://kingjbible.com/isaiah/31.htm| title=|King James Bible| target=|_top|&gt;KJV&lt;/a&gt;</v>
      </c>
      <c r="R710" t="str">
        <f t="shared" si="2836"/>
        <v>&lt;/li&gt;&lt;li&gt;&lt;a href=|http://asvbible.com/isaiah/31.htm| title=|American Standard Version| target=|_top|&gt;ASV&lt;/a&gt;</v>
      </c>
      <c r="S710" t="str">
        <f t="shared" si="2836"/>
        <v>&lt;/li&gt;&lt;li&gt;&lt;a href=|http://drb.scripturetext.com/isaiah/31.htm| title=|Douay-Rheims Bible| target=|_top|&gt;DRB&lt;/a&gt;</v>
      </c>
      <c r="T710" t="str">
        <f t="shared" si="2836"/>
        <v>&lt;/li&gt;&lt;li&gt;&lt;a href=|http://erv.scripturetext.com/isaiah/31.htm| title=|English Revised Version| target=|_top|&gt;ERV&lt;/a&gt;</v>
      </c>
      <c r="V710" t="str">
        <f>CONCATENATE("&lt;/li&gt;&lt;li&gt;&lt;a href=|http://",V1191,"/isaiah/31.htm","| ","title=|",V1190,"| target=|_top|&gt;",V1192,"&lt;/a&gt;")</f>
        <v>&lt;/li&gt;&lt;li&gt;&lt;a href=|http://study.interlinearbible.org/isaiah/31.htm| title=|Hebrew Study Bible| target=|_top|&gt;Heb Study&lt;/a&gt;</v>
      </c>
      <c r="W710" t="str">
        <f t="shared" si="2836"/>
        <v>&lt;/li&gt;&lt;li&gt;&lt;a href=|http://apostolic.interlinearbible.org/isaiah/31.htm| title=|Apostolic Bible Polyglot Interlinear| target=|_top|&gt;Polyglot&lt;/a&gt;</v>
      </c>
      <c r="X710" t="str">
        <f t="shared" si="2836"/>
        <v>&lt;/li&gt;&lt;li&gt;&lt;a href=|http://interlinearbible.org/isaiah/31.htm| title=|Interlinear Bible| target=|_top|&gt;Interlin&lt;/a&gt;</v>
      </c>
      <c r="Y710" t="str">
        <f t="shared" ref="Y710" si="2837">CONCATENATE("&lt;/li&gt;&lt;li&gt;&lt;a href=|http://",Y1191,"/isaiah/31.htm","| ","title=|",Y1190,"| target=|_top|&gt;",Y1192,"&lt;/a&gt;")</f>
        <v>&lt;/li&gt;&lt;li&gt;&lt;a href=|http://bibleoutline.org/isaiah/31.htm| title=|Outline with People and Places List| target=|_top|&gt;Outline&lt;/a&gt;</v>
      </c>
      <c r="Z710" t="str">
        <f t="shared" si="2836"/>
        <v>&lt;/li&gt;&lt;li&gt;&lt;a href=|http://kjvs.scripturetext.com/isaiah/31.htm| title=|King James Bible with Strong's Numbers| target=|_top|&gt;Strong's&lt;/a&gt;</v>
      </c>
      <c r="AA710" t="str">
        <f t="shared" si="2836"/>
        <v>&lt;/li&gt;&lt;li&gt;&lt;a href=|http://childrensbibleonline.com/isaiah/31.htm| title=|The Children's Bible| target=|_top|&gt;Children's&lt;/a&gt;</v>
      </c>
      <c r="AB710" s="2" t="str">
        <f t="shared" si="2836"/>
        <v>&lt;/li&gt;&lt;li&gt;&lt;a href=|http://tsk.scripturetext.com/isaiah/31.htm| title=|Treasury of Scripture Knowledge| target=|_top|&gt;TSK&lt;/a&gt;</v>
      </c>
      <c r="AC710" t="str">
        <f>CONCATENATE("&lt;a href=|http://",AC1191,"/isaiah/31.htm","| ","title=|",AC1190,"| target=|_top|&gt;",AC1192,"&lt;/a&gt;")</f>
        <v>&lt;a href=|http://parallelbible.com/isaiah/31.htm| title=|Parallel Chapters| target=|_top|&gt;PAR&lt;/a&gt;</v>
      </c>
      <c r="AD710" s="2" t="str">
        <f t="shared" ref="AD710:AK710" si="2838">CONCATENATE("&lt;/li&gt;&lt;li&gt;&lt;a href=|http://",AD1191,"/isaiah/31.htm","| ","title=|",AD1190,"| target=|_top|&gt;",AD1192,"&lt;/a&gt;")</f>
        <v>&lt;/li&gt;&lt;li&gt;&lt;a href=|http://gsb.biblecommenter.com/isaiah/31.htm| title=|Geneva Study Bible| target=|_top|&gt;GSB&lt;/a&gt;</v>
      </c>
      <c r="AE710" s="2" t="str">
        <f t="shared" si="2838"/>
        <v>&lt;/li&gt;&lt;li&gt;&lt;a href=|http://jfb.biblecommenter.com/isaiah/31.htm| title=|Jamieson-Fausset-Brown Bible Commentary| target=|_top|&gt;JFB&lt;/a&gt;</v>
      </c>
      <c r="AF710" s="2" t="str">
        <f t="shared" si="2838"/>
        <v>&lt;/li&gt;&lt;li&gt;&lt;a href=|http://kjt.biblecommenter.com/isaiah/31.htm| title=|King James Translators' Notes| target=|_top|&gt;KJT&lt;/a&gt;</v>
      </c>
      <c r="AG710" s="2" t="str">
        <f t="shared" si="2838"/>
        <v>&lt;/li&gt;&lt;li&gt;&lt;a href=|http://mhc.biblecommenter.com/isaiah/31.htm| title=|Matthew Henry's Concise Commentary| target=|_top|&gt;MHC&lt;/a&gt;</v>
      </c>
      <c r="AH710" s="2" t="str">
        <f t="shared" si="2838"/>
        <v>&lt;/li&gt;&lt;li&gt;&lt;a href=|http://sco.biblecommenter.com/isaiah/31.htm| title=|Scofield Reference Notes| target=|_top|&gt;SCO&lt;/a&gt;</v>
      </c>
      <c r="AI710" s="2" t="str">
        <f t="shared" si="2838"/>
        <v>&lt;/li&gt;&lt;li&gt;&lt;a href=|http://wes.biblecommenter.com/isaiah/31.htm| title=|Wesley's Notes on the Bible| target=|_top|&gt;WES&lt;/a&gt;</v>
      </c>
      <c r="AJ710" t="str">
        <f t="shared" si="2838"/>
        <v>&lt;/li&gt;&lt;li&gt;&lt;a href=|http://worldebible.com/isaiah/31.htm| title=|World English Bible| target=|_top|&gt;WEB&lt;/a&gt;</v>
      </c>
      <c r="AK710" t="str">
        <f t="shared" si="2838"/>
        <v>&lt;/li&gt;&lt;li&gt;&lt;a href=|http://yltbible.com/isaiah/31.htm| title=|Young's Literal Translation| target=|_top|&gt;YLT&lt;/a&gt;</v>
      </c>
      <c r="AL710" t="str">
        <f>CONCATENATE("&lt;a href=|http://",AL1191,"/isaiah/31.htm","| ","title=|",AL1190,"| target=|_top|&gt;",AL1192,"&lt;/a&gt;")</f>
        <v>&lt;a href=|http://kjv.us/isaiah/31.htm| title=|American King James Version| target=|_top|&gt;AKJ&lt;/a&gt;</v>
      </c>
      <c r="AM710" t="str">
        <f t="shared" ref="AM710:AN710" si="2839">CONCATENATE("&lt;/li&gt;&lt;li&gt;&lt;a href=|http://",AM1191,"/isaiah/31.htm","| ","title=|",AM1190,"| target=|_top|&gt;",AM1192,"&lt;/a&gt;")</f>
        <v>&lt;/li&gt;&lt;li&gt;&lt;a href=|http://basicenglishbible.com/isaiah/31.htm| title=|Bible in Basic English| target=|_top|&gt;BBE&lt;/a&gt;</v>
      </c>
      <c r="AN710" t="str">
        <f t="shared" si="2839"/>
        <v>&lt;/li&gt;&lt;li&gt;&lt;a href=|http://darbybible.com/isaiah/31.htm| title=|Darby Bible Translation| target=|_top|&gt;DBY&lt;/a&gt;</v>
      </c>
      <c r="AO71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1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1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10" t="str">
        <f>CONCATENATE("&lt;/li&gt;&lt;li&gt;&lt;a href=|http://",AR1191,"/isaiah/31.htm","| ","title=|",AR1190,"| target=|_top|&gt;",AR1192,"&lt;/a&gt;")</f>
        <v>&lt;/li&gt;&lt;li&gt;&lt;a href=|http://websterbible.com/isaiah/31.htm| title=|Webster's Bible Translation| target=|_top|&gt;WBS&lt;/a&gt;</v>
      </c>
      <c r="AS71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10" t="str">
        <f>CONCATENATE("&lt;/li&gt;&lt;li&gt;&lt;a href=|http://",AT1191,"/isaiah/31-1.htm","| ","title=|",AT1190,"| target=|_top|&gt;",AT1192,"&lt;/a&gt;")</f>
        <v>&lt;/li&gt;&lt;li&gt;&lt;a href=|http://biblebrowser.com/isaiah/31-1.htm| title=|Split View| target=|_top|&gt;Split&lt;/a&gt;</v>
      </c>
      <c r="AU710" s="2" t="s">
        <v>1276</v>
      </c>
      <c r="AV710" t="s">
        <v>64</v>
      </c>
    </row>
    <row r="711" spans="1:48">
      <c r="A711" t="s">
        <v>622</v>
      </c>
      <c r="B711" t="s">
        <v>1215</v>
      </c>
      <c r="C711" t="s">
        <v>624</v>
      </c>
      <c r="D711" t="s">
        <v>1268</v>
      </c>
      <c r="E711" t="s">
        <v>1277</v>
      </c>
      <c r="F711" t="s">
        <v>1304</v>
      </c>
      <c r="G711" t="s">
        <v>1266</v>
      </c>
      <c r="H711" t="s">
        <v>1305</v>
      </c>
      <c r="I711" t="s">
        <v>1303</v>
      </c>
      <c r="J711" t="s">
        <v>1267</v>
      </c>
      <c r="K711" t="s">
        <v>1275</v>
      </c>
      <c r="L711" s="2" t="s">
        <v>1274</v>
      </c>
      <c r="M711" t="str">
        <f t="shared" ref="M711:AB711" si="2840">CONCATENATE("&lt;/li&gt;&lt;li&gt;&lt;a href=|http://",M1191,"/isaiah/32.htm","| ","title=|",M1190,"| target=|_top|&gt;",M1192,"&lt;/a&gt;")</f>
        <v>&lt;/li&gt;&lt;li&gt;&lt;a href=|http://niv.scripturetext.com/isaiah/32.htm| title=|New International Version| target=|_top|&gt;NIV&lt;/a&gt;</v>
      </c>
      <c r="N711" t="str">
        <f t="shared" si="2840"/>
        <v>&lt;/li&gt;&lt;li&gt;&lt;a href=|http://nlt.scripturetext.com/isaiah/32.htm| title=|New Living Translation| target=|_top|&gt;NLT&lt;/a&gt;</v>
      </c>
      <c r="O711" t="str">
        <f t="shared" si="2840"/>
        <v>&lt;/li&gt;&lt;li&gt;&lt;a href=|http://nasb.scripturetext.com/isaiah/32.htm| title=|New American Standard Bible| target=|_top|&gt;NAS&lt;/a&gt;</v>
      </c>
      <c r="P711" t="str">
        <f t="shared" si="2840"/>
        <v>&lt;/li&gt;&lt;li&gt;&lt;a href=|http://gwt.scripturetext.com/isaiah/32.htm| title=|God's Word Translation| target=|_top|&gt;GWT&lt;/a&gt;</v>
      </c>
      <c r="Q711" t="str">
        <f t="shared" si="2840"/>
        <v>&lt;/li&gt;&lt;li&gt;&lt;a href=|http://kingjbible.com/isaiah/32.htm| title=|King James Bible| target=|_top|&gt;KJV&lt;/a&gt;</v>
      </c>
      <c r="R711" t="str">
        <f t="shared" si="2840"/>
        <v>&lt;/li&gt;&lt;li&gt;&lt;a href=|http://asvbible.com/isaiah/32.htm| title=|American Standard Version| target=|_top|&gt;ASV&lt;/a&gt;</v>
      </c>
      <c r="S711" t="str">
        <f t="shared" si="2840"/>
        <v>&lt;/li&gt;&lt;li&gt;&lt;a href=|http://drb.scripturetext.com/isaiah/32.htm| title=|Douay-Rheims Bible| target=|_top|&gt;DRB&lt;/a&gt;</v>
      </c>
      <c r="T711" t="str">
        <f t="shared" si="2840"/>
        <v>&lt;/li&gt;&lt;li&gt;&lt;a href=|http://erv.scripturetext.com/isaiah/32.htm| title=|English Revised Version| target=|_top|&gt;ERV&lt;/a&gt;</v>
      </c>
      <c r="V711" t="str">
        <f>CONCATENATE("&lt;/li&gt;&lt;li&gt;&lt;a href=|http://",V1191,"/isaiah/32.htm","| ","title=|",V1190,"| target=|_top|&gt;",V1192,"&lt;/a&gt;")</f>
        <v>&lt;/li&gt;&lt;li&gt;&lt;a href=|http://study.interlinearbible.org/isaiah/32.htm| title=|Hebrew Study Bible| target=|_top|&gt;Heb Study&lt;/a&gt;</v>
      </c>
      <c r="W711" t="str">
        <f t="shared" si="2840"/>
        <v>&lt;/li&gt;&lt;li&gt;&lt;a href=|http://apostolic.interlinearbible.org/isaiah/32.htm| title=|Apostolic Bible Polyglot Interlinear| target=|_top|&gt;Polyglot&lt;/a&gt;</v>
      </c>
      <c r="X711" t="str">
        <f t="shared" si="2840"/>
        <v>&lt;/li&gt;&lt;li&gt;&lt;a href=|http://interlinearbible.org/isaiah/32.htm| title=|Interlinear Bible| target=|_top|&gt;Interlin&lt;/a&gt;</v>
      </c>
      <c r="Y711" t="str">
        <f t="shared" ref="Y711" si="2841">CONCATENATE("&lt;/li&gt;&lt;li&gt;&lt;a href=|http://",Y1191,"/isaiah/32.htm","| ","title=|",Y1190,"| target=|_top|&gt;",Y1192,"&lt;/a&gt;")</f>
        <v>&lt;/li&gt;&lt;li&gt;&lt;a href=|http://bibleoutline.org/isaiah/32.htm| title=|Outline with People and Places List| target=|_top|&gt;Outline&lt;/a&gt;</v>
      </c>
      <c r="Z711" t="str">
        <f t="shared" si="2840"/>
        <v>&lt;/li&gt;&lt;li&gt;&lt;a href=|http://kjvs.scripturetext.com/isaiah/32.htm| title=|King James Bible with Strong's Numbers| target=|_top|&gt;Strong's&lt;/a&gt;</v>
      </c>
      <c r="AA711" t="str">
        <f t="shared" si="2840"/>
        <v>&lt;/li&gt;&lt;li&gt;&lt;a href=|http://childrensbibleonline.com/isaiah/32.htm| title=|The Children's Bible| target=|_top|&gt;Children's&lt;/a&gt;</v>
      </c>
      <c r="AB711" s="2" t="str">
        <f t="shared" si="2840"/>
        <v>&lt;/li&gt;&lt;li&gt;&lt;a href=|http://tsk.scripturetext.com/isaiah/32.htm| title=|Treasury of Scripture Knowledge| target=|_top|&gt;TSK&lt;/a&gt;</v>
      </c>
      <c r="AC711" t="str">
        <f>CONCATENATE("&lt;a href=|http://",AC1191,"/isaiah/32.htm","| ","title=|",AC1190,"| target=|_top|&gt;",AC1192,"&lt;/a&gt;")</f>
        <v>&lt;a href=|http://parallelbible.com/isaiah/32.htm| title=|Parallel Chapters| target=|_top|&gt;PAR&lt;/a&gt;</v>
      </c>
      <c r="AD711" s="2" t="str">
        <f t="shared" ref="AD711:AK711" si="2842">CONCATENATE("&lt;/li&gt;&lt;li&gt;&lt;a href=|http://",AD1191,"/isaiah/32.htm","| ","title=|",AD1190,"| target=|_top|&gt;",AD1192,"&lt;/a&gt;")</f>
        <v>&lt;/li&gt;&lt;li&gt;&lt;a href=|http://gsb.biblecommenter.com/isaiah/32.htm| title=|Geneva Study Bible| target=|_top|&gt;GSB&lt;/a&gt;</v>
      </c>
      <c r="AE711" s="2" t="str">
        <f t="shared" si="2842"/>
        <v>&lt;/li&gt;&lt;li&gt;&lt;a href=|http://jfb.biblecommenter.com/isaiah/32.htm| title=|Jamieson-Fausset-Brown Bible Commentary| target=|_top|&gt;JFB&lt;/a&gt;</v>
      </c>
      <c r="AF711" s="2" t="str">
        <f t="shared" si="2842"/>
        <v>&lt;/li&gt;&lt;li&gt;&lt;a href=|http://kjt.biblecommenter.com/isaiah/32.htm| title=|King James Translators' Notes| target=|_top|&gt;KJT&lt;/a&gt;</v>
      </c>
      <c r="AG711" s="2" t="str">
        <f t="shared" si="2842"/>
        <v>&lt;/li&gt;&lt;li&gt;&lt;a href=|http://mhc.biblecommenter.com/isaiah/32.htm| title=|Matthew Henry's Concise Commentary| target=|_top|&gt;MHC&lt;/a&gt;</v>
      </c>
      <c r="AH711" s="2" t="str">
        <f t="shared" si="2842"/>
        <v>&lt;/li&gt;&lt;li&gt;&lt;a href=|http://sco.biblecommenter.com/isaiah/32.htm| title=|Scofield Reference Notes| target=|_top|&gt;SCO&lt;/a&gt;</v>
      </c>
      <c r="AI711" s="2" t="str">
        <f t="shared" si="2842"/>
        <v>&lt;/li&gt;&lt;li&gt;&lt;a href=|http://wes.biblecommenter.com/isaiah/32.htm| title=|Wesley's Notes on the Bible| target=|_top|&gt;WES&lt;/a&gt;</v>
      </c>
      <c r="AJ711" t="str">
        <f t="shared" si="2842"/>
        <v>&lt;/li&gt;&lt;li&gt;&lt;a href=|http://worldebible.com/isaiah/32.htm| title=|World English Bible| target=|_top|&gt;WEB&lt;/a&gt;</v>
      </c>
      <c r="AK711" t="str">
        <f t="shared" si="2842"/>
        <v>&lt;/li&gt;&lt;li&gt;&lt;a href=|http://yltbible.com/isaiah/32.htm| title=|Young's Literal Translation| target=|_top|&gt;YLT&lt;/a&gt;</v>
      </c>
      <c r="AL711" t="str">
        <f>CONCATENATE("&lt;a href=|http://",AL1191,"/isaiah/32.htm","| ","title=|",AL1190,"| target=|_top|&gt;",AL1192,"&lt;/a&gt;")</f>
        <v>&lt;a href=|http://kjv.us/isaiah/32.htm| title=|American King James Version| target=|_top|&gt;AKJ&lt;/a&gt;</v>
      </c>
      <c r="AM711" t="str">
        <f t="shared" ref="AM711:AN711" si="2843">CONCATENATE("&lt;/li&gt;&lt;li&gt;&lt;a href=|http://",AM1191,"/isaiah/32.htm","| ","title=|",AM1190,"| target=|_top|&gt;",AM1192,"&lt;/a&gt;")</f>
        <v>&lt;/li&gt;&lt;li&gt;&lt;a href=|http://basicenglishbible.com/isaiah/32.htm| title=|Bible in Basic English| target=|_top|&gt;BBE&lt;/a&gt;</v>
      </c>
      <c r="AN711" t="str">
        <f t="shared" si="2843"/>
        <v>&lt;/li&gt;&lt;li&gt;&lt;a href=|http://darbybible.com/isaiah/32.htm| title=|Darby Bible Translation| target=|_top|&gt;DBY&lt;/a&gt;</v>
      </c>
      <c r="AO71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1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1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11" t="str">
        <f>CONCATENATE("&lt;/li&gt;&lt;li&gt;&lt;a href=|http://",AR1191,"/isaiah/32.htm","| ","title=|",AR1190,"| target=|_top|&gt;",AR1192,"&lt;/a&gt;")</f>
        <v>&lt;/li&gt;&lt;li&gt;&lt;a href=|http://websterbible.com/isaiah/32.htm| title=|Webster's Bible Translation| target=|_top|&gt;WBS&lt;/a&gt;</v>
      </c>
      <c r="AS71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11" t="str">
        <f>CONCATENATE("&lt;/li&gt;&lt;li&gt;&lt;a href=|http://",AT1191,"/isaiah/32-1.htm","| ","title=|",AT1190,"| target=|_top|&gt;",AT1192,"&lt;/a&gt;")</f>
        <v>&lt;/li&gt;&lt;li&gt;&lt;a href=|http://biblebrowser.com/isaiah/32-1.htm| title=|Split View| target=|_top|&gt;Split&lt;/a&gt;</v>
      </c>
      <c r="AU711" s="2" t="s">
        <v>1276</v>
      </c>
      <c r="AV711" t="s">
        <v>64</v>
      </c>
    </row>
    <row r="712" spans="1:48">
      <c r="A712" t="s">
        <v>622</v>
      </c>
      <c r="B712" t="s">
        <v>1216</v>
      </c>
      <c r="C712" t="s">
        <v>624</v>
      </c>
      <c r="D712" t="s">
        <v>1268</v>
      </c>
      <c r="E712" t="s">
        <v>1277</v>
      </c>
      <c r="F712" t="s">
        <v>1304</v>
      </c>
      <c r="G712" t="s">
        <v>1266</v>
      </c>
      <c r="H712" t="s">
        <v>1305</v>
      </c>
      <c r="I712" t="s">
        <v>1303</v>
      </c>
      <c r="J712" t="s">
        <v>1267</v>
      </c>
      <c r="K712" t="s">
        <v>1275</v>
      </c>
      <c r="L712" s="2" t="s">
        <v>1274</v>
      </c>
      <c r="M712" t="str">
        <f t="shared" ref="M712:AB712" si="2844">CONCATENATE("&lt;/li&gt;&lt;li&gt;&lt;a href=|http://",M1191,"/isaiah/33.htm","| ","title=|",M1190,"| target=|_top|&gt;",M1192,"&lt;/a&gt;")</f>
        <v>&lt;/li&gt;&lt;li&gt;&lt;a href=|http://niv.scripturetext.com/isaiah/33.htm| title=|New International Version| target=|_top|&gt;NIV&lt;/a&gt;</v>
      </c>
      <c r="N712" t="str">
        <f t="shared" si="2844"/>
        <v>&lt;/li&gt;&lt;li&gt;&lt;a href=|http://nlt.scripturetext.com/isaiah/33.htm| title=|New Living Translation| target=|_top|&gt;NLT&lt;/a&gt;</v>
      </c>
      <c r="O712" t="str">
        <f t="shared" si="2844"/>
        <v>&lt;/li&gt;&lt;li&gt;&lt;a href=|http://nasb.scripturetext.com/isaiah/33.htm| title=|New American Standard Bible| target=|_top|&gt;NAS&lt;/a&gt;</v>
      </c>
      <c r="P712" t="str">
        <f t="shared" si="2844"/>
        <v>&lt;/li&gt;&lt;li&gt;&lt;a href=|http://gwt.scripturetext.com/isaiah/33.htm| title=|God's Word Translation| target=|_top|&gt;GWT&lt;/a&gt;</v>
      </c>
      <c r="Q712" t="str">
        <f t="shared" si="2844"/>
        <v>&lt;/li&gt;&lt;li&gt;&lt;a href=|http://kingjbible.com/isaiah/33.htm| title=|King James Bible| target=|_top|&gt;KJV&lt;/a&gt;</v>
      </c>
      <c r="R712" t="str">
        <f t="shared" si="2844"/>
        <v>&lt;/li&gt;&lt;li&gt;&lt;a href=|http://asvbible.com/isaiah/33.htm| title=|American Standard Version| target=|_top|&gt;ASV&lt;/a&gt;</v>
      </c>
      <c r="S712" t="str">
        <f t="shared" si="2844"/>
        <v>&lt;/li&gt;&lt;li&gt;&lt;a href=|http://drb.scripturetext.com/isaiah/33.htm| title=|Douay-Rheims Bible| target=|_top|&gt;DRB&lt;/a&gt;</v>
      </c>
      <c r="T712" t="str">
        <f t="shared" si="2844"/>
        <v>&lt;/li&gt;&lt;li&gt;&lt;a href=|http://erv.scripturetext.com/isaiah/33.htm| title=|English Revised Version| target=|_top|&gt;ERV&lt;/a&gt;</v>
      </c>
      <c r="V712" t="str">
        <f>CONCATENATE("&lt;/li&gt;&lt;li&gt;&lt;a href=|http://",V1191,"/isaiah/33.htm","| ","title=|",V1190,"| target=|_top|&gt;",V1192,"&lt;/a&gt;")</f>
        <v>&lt;/li&gt;&lt;li&gt;&lt;a href=|http://study.interlinearbible.org/isaiah/33.htm| title=|Hebrew Study Bible| target=|_top|&gt;Heb Study&lt;/a&gt;</v>
      </c>
      <c r="W712" t="str">
        <f t="shared" si="2844"/>
        <v>&lt;/li&gt;&lt;li&gt;&lt;a href=|http://apostolic.interlinearbible.org/isaiah/33.htm| title=|Apostolic Bible Polyglot Interlinear| target=|_top|&gt;Polyglot&lt;/a&gt;</v>
      </c>
      <c r="X712" t="str">
        <f t="shared" si="2844"/>
        <v>&lt;/li&gt;&lt;li&gt;&lt;a href=|http://interlinearbible.org/isaiah/33.htm| title=|Interlinear Bible| target=|_top|&gt;Interlin&lt;/a&gt;</v>
      </c>
      <c r="Y712" t="str">
        <f t="shared" ref="Y712" si="2845">CONCATENATE("&lt;/li&gt;&lt;li&gt;&lt;a href=|http://",Y1191,"/isaiah/33.htm","| ","title=|",Y1190,"| target=|_top|&gt;",Y1192,"&lt;/a&gt;")</f>
        <v>&lt;/li&gt;&lt;li&gt;&lt;a href=|http://bibleoutline.org/isaiah/33.htm| title=|Outline with People and Places List| target=|_top|&gt;Outline&lt;/a&gt;</v>
      </c>
      <c r="Z712" t="str">
        <f t="shared" si="2844"/>
        <v>&lt;/li&gt;&lt;li&gt;&lt;a href=|http://kjvs.scripturetext.com/isaiah/33.htm| title=|King James Bible with Strong's Numbers| target=|_top|&gt;Strong's&lt;/a&gt;</v>
      </c>
      <c r="AA712" t="str">
        <f t="shared" si="2844"/>
        <v>&lt;/li&gt;&lt;li&gt;&lt;a href=|http://childrensbibleonline.com/isaiah/33.htm| title=|The Children's Bible| target=|_top|&gt;Children's&lt;/a&gt;</v>
      </c>
      <c r="AB712" s="2" t="str">
        <f t="shared" si="2844"/>
        <v>&lt;/li&gt;&lt;li&gt;&lt;a href=|http://tsk.scripturetext.com/isaiah/33.htm| title=|Treasury of Scripture Knowledge| target=|_top|&gt;TSK&lt;/a&gt;</v>
      </c>
      <c r="AC712" t="str">
        <f>CONCATENATE("&lt;a href=|http://",AC1191,"/isaiah/33.htm","| ","title=|",AC1190,"| target=|_top|&gt;",AC1192,"&lt;/a&gt;")</f>
        <v>&lt;a href=|http://parallelbible.com/isaiah/33.htm| title=|Parallel Chapters| target=|_top|&gt;PAR&lt;/a&gt;</v>
      </c>
      <c r="AD712" s="2" t="str">
        <f t="shared" ref="AD712:AK712" si="2846">CONCATENATE("&lt;/li&gt;&lt;li&gt;&lt;a href=|http://",AD1191,"/isaiah/33.htm","| ","title=|",AD1190,"| target=|_top|&gt;",AD1192,"&lt;/a&gt;")</f>
        <v>&lt;/li&gt;&lt;li&gt;&lt;a href=|http://gsb.biblecommenter.com/isaiah/33.htm| title=|Geneva Study Bible| target=|_top|&gt;GSB&lt;/a&gt;</v>
      </c>
      <c r="AE712" s="2" t="str">
        <f t="shared" si="2846"/>
        <v>&lt;/li&gt;&lt;li&gt;&lt;a href=|http://jfb.biblecommenter.com/isaiah/33.htm| title=|Jamieson-Fausset-Brown Bible Commentary| target=|_top|&gt;JFB&lt;/a&gt;</v>
      </c>
      <c r="AF712" s="2" t="str">
        <f t="shared" si="2846"/>
        <v>&lt;/li&gt;&lt;li&gt;&lt;a href=|http://kjt.biblecommenter.com/isaiah/33.htm| title=|King James Translators' Notes| target=|_top|&gt;KJT&lt;/a&gt;</v>
      </c>
      <c r="AG712" s="2" t="str">
        <f t="shared" si="2846"/>
        <v>&lt;/li&gt;&lt;li&gt;&lt;a href=|http://mhc.biblecommenter.com/isaiah/33.htm| title=|Matthew Henry's Concise Commentary| target=|_top|&gt;MHC&lt;/a&gt;</v>
      </c>
      <c r="AH712" s="2" t="str">
        <f t="shared" si="2846"/>
        <v>&lt;/li&gt;&lt;li&gt;&lt;a href=|http://sco.biblecommenter.com/isaiah/33.htm| title=|Scofield Reference Notes| target=|_top|&gt;SCO&lt;/a&gt;</v>
      </c>
      <c r="AI712" s="2" t="str">
        <f t="shared" si="2846"/>
        <v>&lt;/li&gt;&lt;li&gt;&lt;a href=|http://wes.biblecommenter.com/isaiah/33.htm| title=|Wesley's Notes on the Bible| target=|_top|&gt;WES&lt;/a&gt;</v>
      </c>
      <c r="AJ712" t="str">
        <f t="shared" si="2846"/>
        <v>&lt;/li&gt;&lt;li&gt;&lt;a href=|http://worldebible.com/isaiah/33.htm| title=|World English Bible| target=|_top|&gt;WEB&lt;/a&gt;</v>
      </c>
      <c r="AK712" t="str">
        <f t="shared" si="2846"/>
        <v>&lt;/li&gt;&lt;li&gt;&lt;a href=|http://yltbible.com/isaiah/33.htm| title=|Young's Literal Translation| target=|_top|&gt;YLT&lt;/a&gt;</v>
      </c>
      <c r="AL712" t="str">
        <f>CONCATENATE("&lt;a href=|http://",AL1191,"/isaiah/33.htm","| ","title=|",AL1190,"| target=|_top|&gt;",AL1192,"&lt;/a&gt;")</f>
        <v>&lt;a href=|http://kjv.us/isaiah/33.htm| title=|American King James Version| target=|_top|&gt;AKJ&lt;/a&gt;</v>
      </c>
      <c r="AM712" t="str">
        <f t="shared" ref="AM712:AN712" si="2847">CONCATENATE("&lt;/li&gt;&lt;li&gt;&lt;a href=|http://",AM1191,"/isaiah/33.htm","| ","title=|",AM1190,"| target=|_top|&gt;",AM1192,"&lt;/a&gt;")</f>
        <v>&lt;/li&gt;&lt;li&gt;&lt;a href=|http://basicenglishbible.com/isaiah/33.htm| title=|Bible in Basic English| target=|_top|&gt;BBE&lt;/a&gt;</v>
      </c>
      <c r="AN712" t="str">
        <f t="shared" si="2847"/>
        <v>&lt;/li&gt;&lt;li&gt;&lt;a href=|http://darbybible.com/isaiah/33.htm| title=|Darby Bible Translation| target=|_top|&gt;DBY&lt;/a&gt;</v>
      </c>
      <c r="AO71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1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1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12" t="str">
        <f>CONCATENATE("&lt;/li&gt;&lt;li&gt;&lt;a href=|http://",AR1191,"/isaiah/33.htm","| ","title=|",AR1190,"| target=|_top|&gt;",AR1192,"&lt;/a&gt;")</f>
        <v>&lt;/li&gt;&lt;li&gt;&lt;a href=|http://websterbible.com/isaiah/33.htm| title=|Webster's Bible Translation| target=|_top|&gt;WBS&lt;/a&gt;</v>
      </c>
      <c r="AS71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12" t="str">
        <f>CONCATENATE("&lt;/li&gt;&lt;li&gt;&lt;a href=|http://",AT1191,"/isaiah/33-1.htm","| ","title=|",AT1190,"| target=|_top|&gt;",AT1192,"&lt;/a&gt;")</f>
        <v>&lt;/li&gt;&lt;li&gt;&lt;a href=|http://biblebrowser.com/isaiah/33-1.htm| title=|Split View| target=|_top|&gt;Split&lt;/a&gt;</v>
      </c>
      <c r="AU712" s="2" t="s">
        <v>1276</v>
      </c>
      <c r="AV712" t="s">
        <v>64</v>
      </c>
    </row>
    <row r="713" spans="1:48">
      <c r="A713" t="s">
        <v>622</v>
      </c>
      <c r="B713" t="s">
        <v>1217</v>
      </c>
      <c r="C713" t="s">
        <v>624</v>
      </c>
      <c r="D713" t="s">
        <v>1268</v>
      </c>
      <c r="E713" t="s">
        <v>1277</v>
      </c>
      <c r="F713" t="s">
        <v>1304</v>
      </c>
      <c r="G713" t="s">
        <v>1266</v>
      </c>
      <c r="H713" t="s">
        <v>1305</v>
      </c>
      <c r="I713" t="s">
        <v>1303</v>
      </c>
      <c r="J713" t="s">
        <v>1267</v>
      </c>
      <c r="K713" t="s">
        <v>1275</v>
      </c>
      <c r="L713" s="2" t="s">
        <v>1274</v>
      </c>
      <c r="M713" t="str">
        <f t="shared" ref="M713:AB713" si="2848">CONCATENATE("&lt;/li&gt;&lt;li&gt;&lt;a href=|http://",M1191,"/isaiah/34.htm","| ","title=|",M1190,"| target=|_top|&gt;",M1192,"&lt;/a&gt;")</f>
        <v>&lt;/li&gt;&lt;li&gt;&lt;a href=|http://niv.scripturetext.com/isaiah/34.htm| title=|New International Version| target=|_top|&gt;NIV&lt;/a&gt;</v>
      </c>
      <c r="N713" t="str">
        <f t="shared" si="2848"/>
        <v>&lt;/li&gt;&lt;li&gt;&lt;a href=|http://nlt.scripturetext.com/isaiah/34.htm| title=|New Living Translation| target=|_top|&gt;NLT&lt;/a&gt;</v>
      </c>
      <c r="O713" t="str">
        <f t="shared" si="2848"/>
        <v>&lt;/li&gt;&lt;li&gt;&lt;a href=|http://nasb.scripturetext.com/isaiah/34.htm| title=|New American Standard Bible| target=|_top|&gt;NAS&lt;/a&gt;</v>
      </c>
      <c r="P713" t="str">
        <f t="shared" si="2848"/>
        <v>&lt;/li&gt;&lt;li&gt;&lt;a href=|http://gwt.scripturetext.com/isaiah/34.htm| title=|God's Word Translation| target=|_top|&gt;GWT&lt;/a&gt;</v>
      </c>
      <c r="Q713" t="str">
        <f t="shared" si="2848"/>
        <v>&lt;/li&gt;&lt;li&gt;&lt;a href=|http://kingjbible.com/isaiah/34.htm| title=|King James Bible| target=|_top|&gt;KJV&lt;/a&gt;</v>
      </c>
      <c r="R713" t="str">
        <f t="shared" si="2848"/>
        <v>&lt;/li&gt;&lt;li&gt;&lt;a href=|http://asvbible.com/isaiah/34.htm| title=|American Standard Version| target=|_top|&gt;ASV&lt;/a&gt;</v>
      </c>
      <c r="S713" t="str">
        <f t="shared" si="2848"/>
        <v>&lt;/li&gt;&lt;li&gt;&lt;a href=|http://drb.scripturetext.com/isaiah/34.htm| title=|Douay-Rheims Bible| target=|_top|&gt;DRB&lt;/a&gt;</v>
      </c>
      <c r="T713" t="str">
        <f t="shared" si="2848"/>
        <v>&lt;/li&gt;&lt;li&gt;&lt;a href=|http://erv.scripturetext.com/isaiah/34.htm| title=|English Revised Version| target=|_top|&gt;ERV&lt;/a&gt;</v>
      </c>
      <c r="V713" t="str">
        <f>CONCATENATE("&lt;/li&gt;&lt;li&gt;&lt;a href=|http://",V1191,"/isaiah/34.htm","| ","title=|",V1190,"| target=|_top|&gt;",V1192,"&lt;/a&gt;")</f>
        <v>&lt;/li&gt;&lt;li&gt;&lt;a href=|http://study.interlinearbible.org/isaiah/34.htm| title=|Hebrew Study Bible| target=|_top|&gt;Heb Study&lt;/a&gt;</v>
      </c>
      <c r="W713" t="str">
        <f t="shared" si="2848"/>
        <v>&lt;/li&gt;&lt;li&gt;&lt;a href=|http://apostolic.interlinearbible.org/isaiah/34.htm| title=|Apostolic Bible Polyglot Interlinear| target=|_top|&gt;Polyglot&lt;/a&gt;</v>
      </c>
      <c r="X713" t="str">
        <f t="shared" si="2848"/>
        <v>&lt;/li&gt;&lt;li&gt;&lt;a href=|http://interlinearbible.org/isaiah/34.htm| title=|Interlinear Bible| target=|_top|&gt;Interlin&lt;/a&gt;</v>
      </c>
      <c r="Y713" t="str">
        <f t="shared" ref="Y713" si="2849">CONCATENATE("&lt;/li&gt;&lt;li&gt;&lt;a href=|http://",Y1191,"/isaiah/34.htm","| ","title=|",Y1190,"| target=|_top|&gt;",Y1192,"&lt;/a&gt;")</f>
        <v>&lt;/li&gt;&lt;li&gt;&lt;a href=|http://bibleoutline.org/isaiah/34.htm| title=|Outline with People and Places List| target=|_top|&gt;Outline&lt;/a&gt;</v>
      </c>
      <c r="Z713" t="str">
        <f t="shared" si="2848"/>
        <v>&lt;/li&gt;&lt;li&gt;&lt;a href=|http://kjvs.scripturetext.com/isaiah/34.htm| title=|King James Bible with Strong's Numbers| target=|_top|&gt;Strong's&lt;/a&gt;</v>
      </c>
      <c r="AA713" t="str">
        <f t="shared" si="2848"/>
        <v>&lt;/li&gt;&lt;li&gt;&lt;a href=|http://childrensbibleonline.com/isaiah/34.htm| title=|The Children's Bible| target=|_top|&gt;Children's&lt;/a&gt;</v>
      </c>
      <c r="AB713" s="2" t="str">
        <f t="shared" si="2848"/>
        <v>&lt;/li&gt;&lt;li&gt;&lt;a href=|http://tsk.scripturetext.com/isaiah/34.htm| title=|Treasury of Scripture Knowledge| target=|_top|&gt;TSK&lt;/a&gt;</v>
      </c>
      <c r="AC713" t="str">
        <f>CONCATENATE("&lt;a href=|http://",AC1191,"/isaiah/34.htm","| ","title=|",AC1190,"| target=|_top|&gt;",AC1192,"&lt;/a&gt;")</f>
        <v>&lt;a href=|http://parallelbible.com/isaiah/34.htm| title=|Parallel Chapters| target=|_top|&gt;PAR&lt;/a&gt;</v>
      </c>
      <c r="AD713" s="2" t="str">
        <f t="shared" ref="AD713:AK713" si="2850">CONCATENATE("&lt;/li&gt;&lt;li&gt;&lt;a href=|http://",AD1191,"/isaiah/34.htm","| ","title=|",AD1190,"| target=|_top|&gt;",AD1192,"&lt;/a&gt;")</f>
        <v>&lt;/li&gt;&lt;li&gt;&lt;a href=|http://gsb.biblecommenter.com/isaiah/34.htm| title=|Geneva Study Bible| target=|_top|&gt;GSB&lt;/a&gt;</v>
      </c>
      <c r="AE713" s="2" t="str">
        <f t="shared" si="2850"/>
        <v>&lt;/li&gt;&lt;li&gt;&lt;a href=|http://jfb.biblecommenter.com/isaiah/34.htm| title=|Jamieson-Fausset-Brown Bible Commentary| target=|_top|&gt;JFB&lt;/a&gt;</v>
      </c>
      <c r="AF713" s="2" t="str">
        <f t="shared" si="2850"/>
        <v>&lt;/li&gt;&lt;li&gt;&lt;a href=|http://kjt.biblecommenter.com/isaiah/34.htm| title=|King James Translators' Notes| target=|_top|&gt;KJT&lt;/a&gt;</v>
      </c>
      <c r="AG713" s="2" t="str">
        <f t="shared" si="2850"/>
        <v>&lt;/li&gt;&lt;li&gt;&lt;a href=|http://mhc.biblecommenter.com/isaiah/34.htm| title=|Matthew Henry's Concise Commentary| target=|_top|&gt;MHC&lt;/a&gt;</v>
      </c>
      <c r="AH713" s="2" t="str">
        <f t="shared" si="2850"/>
        <v>&lt;/li&gt;&lt;li&gt;&lt;a href=|http://sco.biblecommenter.com/isaiah/34.htm| title=|Scofield Reference Notes| target=|_top|&gt;SCO&lt;/a&gt;</v>
      </c>
      <c r="AI713" s="2" t="str">
        <f t="shared" si="2850"/>
        <v>&lt;/li&gt;&lt;li&gt;&lt;a href=|http://wes.biblecommenter.com/isaiah/34.htm| title=|Wesley's Notes on the Bible| target=|_top|&gt;WES&lt;/a&gt;</v>
      </c>
      <c r="AJ713" t="str">
        <f t="shared" si="2850"/>
        <v>&lt;/li&gt;&lt;li&gt;&lt;a href=|http://worldebible.com/isaiah/34.htm| title=|World English Bible| target=|_top|&gt;WEB&lt;/a&gt;</v>
      </c>
      <c r="AK713" t="str">
        <f t="shared" si="2850"/>
        <v>&lt;/li&gt;&lt;li&gt;&lt;a href=|http://yltbible.com/isaiah/34.htm| title=|Young's Literal Translation| target=|_top|&gt;YLT&lt;/a&gt;</v>
      </c>
      <c r="AL713" t="str">
        <f>CONCATENATE("&lt;a href=|http://",AL1191,"/isaiah/34.htm","| ","title=|",AL1190,"| target=|_top|&gt;",AL1192,"&lt;/a&gt;")</f>
        <v>&lt;a href=|http://kjv.us/isaiah/34.htm| title=|American King James Version| target=|_top|&gt;AKJ&lt;/a&gt;</v>
      </c>
      <c r="AM713" t="str">
        <f t="shared" ref="AM713:AN713" si="2851">CONCATENATE("&lt;/li&gt;&lt;li&gt;&lt;a href=|http://",AM1191,"/isaiah/34.htm","| ","title=|",AM1190,"| target=|_top|&gt;",AM1192,"&lt;/a&gt;")</f>
        <v>&lt;/li&gt;&lt;li&gt;&lt;a href=|http://basicenglishbible.com/isaiah/34.htm| title=|Bible in Basic English| target=|_top|&gt;BBE&lt;/a&gt;</v>
      </c>
      <c r="AN713" t="str">
        <f t="shared" si="2851"/>
        <v>&lt;/li&gt;&lt;li&gt;&lt;a href=|http://darbybible.com/isaiah/34.htm| title=|Darby Bible Translation| target=|_top|&gt;DBY&lt;/a&gt;</v>
      </c>
      <c r="AO71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1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1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13" t="str">
        <f>CONCATENATE("&lt;/li&gt;&lt;li&gt;&lt;a href=|http://",AR1191,"/isaiah/34.htm","| ","title=|",AR1190,"| target=|_top|&gt;",AR1192,"&lt;/a&gt;")</f>
        <v>&lt;/li&gt;&lt;li&gt;&lt;a href=|http://websterbible.com/isaiah/34.htm| title=|Webster's Bible Translation| target=|_top|&gt;WBS&lt;/a&gt;</v>
      </c>
      <c r="AS71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13" t="str">
        <f>CONCATENATE("&lt;/li&gt;&lt;li&gt;&lt;a href=|http://",AT1191,"/isaiah/34-1.htm","| ","title=|",AT1190,"| target=|_top|&gt;",AT1192,"&lt;/a&gt;")</f>
        <v>&lt;/li&gt;&lt;li&gt;&lt;a href=|http://biblebrowser.com/isaiah/34-1.htm| title=|Split View| target=|_top|&gt;Split&lt;/a&gt;</v>
      </c>
      <c r="AU713" s="2" t="s">
        <v>1276</v>
      </c>
      <c r="AV713" t="s">
        <v>64</v>
      </c>
    </row>
    <row r="714" spans="1:48">
      <c r="A714" t="s">
        <v>622</v>
      </c>
      <c r="B714" t="s">
        <v>1218</v>
      </c>
      <c r="C714" t="s">
        <v>624</v>
      </c>
      <c r="D714" t="s">
        <v>1268</v>
      </c>
      <c r="E714" t="s">
        <v>1277</v>
      </c>
      <c r="F714" t="s">
        <v>1304</v>
      </c>
      <c r="G714" t="s">
        <v>1266</v>
      </c>
      <c r="H714" t="s">
        <v>1305</v>
      </c>
      <c r="I714" t="s">
        <v>1303</v>
      </c>
      <c r="J714" t="s">
        <v>1267</v>
      </c>
      <c r="K714" t="s">
        <v>1275</v>
      </c>
      <c r="L714" s="2" t="s">
        <v>1274</v>
      </c>
      <c r="M714" t="str">
        <f t="shared" ref="M714:AB714" si="2852">CONCATENATE("&lt;/li&gt;&lt;li&gt;&lt;a href=|http://",M1191,"/isaiah/35.htm","| ","title=|",M1190,"| target=|_top|&gt;",M1192,"&lt;/a&gt;")</f>
        <v>&lt;/li&gt;&lt;li&gt;&lt;a href=|http://niv.scripturetext.com/isaiah/35.htm| title=|New International Version| target=|_top|&gt;NIV&lt;/a&gt;</v>
      </c>
      <c r="N714" t="str">
        <f t="shared" si="2852"/>
        <v>&lt;/li&gt;&lt;li&gt;&lt;a href=|http://nlt.scripturetext.com/isaiah/35.htm| title=|New Living Translation| target=|_top|&gt;NLT&lt;/a&gt;</v>
      </c>
      <c r="O714" t="str">
        <f t="shared" si="2852"/>
        <v>&lt;/li&gt;&lt;li&gt;&lt;a href=|http://nasb.scripturetext.com/isaiah/35.htm| title=|New American Standard Bible| target=|_top|&gt;NAS&lt;/a&gt;</v>
      </c>
      <c r="P714" t="str">
        <f t="shared" si="2852"/>
        <v>&lt;/li&gt;&lt;li&gt;&lt;a href=|http://gwt.scripturetext.com/isaiah/35.htm| title=|God's Word Translation| target=|_top|&gt;GWT&lt;/a&gt;</v>
      </c>
      <c r="Q714" t="str">
        <f t="shared" si="2852"/>
        <v>&lt;/li&gt;&lt;li&gt;&lt;a href=|http://kingjbible.com/isaiah/35.htm| title=|King James Bible| target=|_top|&gt;KJV&lt;/a&gt;</v>
      </c>
      <c r="R714" t="str">
        <f t="shared" si="2852"/>
        <v>&lt;/li&gt;&lt;li&gt;&lt;a href=|http://asvbible.com/isaiah/35.htm| title=|American Standard Version| target=|_top|&gt;ASV&lt;/a&gt;</v>
      </c>
      <c r="S714" t="str">
        <f t="shared" si="2852"/>
        <v>&lt;/li&gt;&lt;li&gt;&lt;a href=|http://drb.scripturetext.com/isaiah/35.htm| title=|Douay-Rheims Bible| target=|_top|&gt;DRB&lt;/a&gt;</v>
      </c>
      <c r="T714" t="str">
        <f t="shared" si="2852"/>
        <v>&lt;/li&gt;&lt;li&gt;&lt;a href=|http://erv.scripturetext.com/isaiah/35.htm| title=|English Revised Version| target=|_top|&gt;ERV&lt;/a&gt;</v>
      </c>
      <c r="V714" t="str">
        <f>CONCATENATE("&lt;/li&gt;&lt;li&gt;&lt;a href=|http://",V1191,"/isaiah/35.htm","| ","title=|",V1190,"| target=|_top|&gt;",V1192,"&lt;/a&gt;")</f>
        <v>&lt;/li&gt;&lt;li&gt;&lt;a href=|http://study.interlinearbible.org/isaiah/35.htm| title=|Hebrew Study Bible| target=|_top|&gt;Heb Study&lt;/a&gt;</v>
      </c>
      <c r="W714" t="str">
        <f t="shared" si="2852"/>
        <v>&lt;/li&gt;&lt;li&gt;&lt;a href=|http://apostolic.interlinearbible.org/isaiah/35.htm| title=|Apostolic Bible Polyglot Interlinear| target=|_top|&gt;Polyglot&lt;/a&gt;</v>
      </c>
      <c r="X714" t="str">
        <f t="shared" si="2852"/>
        <v>&lt;/li&gt;&lt;li&gt;&lt;a href=|http://interlinearbible.org/isaiah/35.htm| title=|Interlinear Bible| target=|_top|&gt;Interlin&lt;/a&gt;</v>
      </c>
      <c r="Y714" t="str">
        <f t="shared" ref="Y714" si="2853">CONCATENATE("&lt;/li&gt;&lt;li&gt;&lt;a href=|http://",Y1191,"/isaiah/35.htm","| ","title=|",Y1190,"| target=|_top|&gt;",Y1192,"&lt;/a&gt;")</f>
        <v>&lt;/li&gt;&lt;li&gt;&lt;a href=|http://bibleoutline.org/isaiah/35.htm| title=|Outline with People and Places List| target=|_top|&gt;Outline&lt;/a&gt;</v>
      </c>
      <c r="Z714" t="str">
        <f t="shared" si="2852"/>
        <v>&lt;/li&gt;&lt;li&gt;&lt;a href=|http://kjvs.scripturetext.com/isaiah/35.htm| title=|King James Bible with Strong's Numbers| target=|_top|&gt;Strong's&lt;/a&gt;</v>
      </c>
      <c r="AA714" t="str">
        <f t="shared" si="2852"/>
        <v>&lt;/li&gt;&lt;li&gt;&lt;a href=|http://childrensbibleonline.com/isaiah/35.htm| title=|The Children's Bible| target=|_top|&gt;Children's&lt;/a&gt;</v>
      </c>
      <c r="AB714" s="2" t="str">
        <f t="shared" si="2852"/>
        <v>&lt;/li&gt;&lt;li&gt;&lt;a href=|http://tsk.scripturetext.com/isaiah/35.htm| title=|Treasury of Scripture Knowledge| target=|_top|&gt;TSK&lt;/a&gt;</v>
      </c>
      <c r="AC714" t="str">
        <f>CONCATENATE("&lt;a href=|http://",AC1191,"/isaiah/35.htm","| ","title=|",AC1190,"| target=|_top|&gt;",AC1192,"&lt;/a&gt;")</f>
        <v>&lt;a href=|http://parallelbible.com/isaiah/35.htm| title=|Parallel Chapters| target=|_top|&gt;PAR&lt;/a&gt;</v>
      </c>
      <c r="AD714" s="2" t="str">
        <f t="shared" ref="AD714:AK714" si="2854">CONCATENATE("&lt;/li&gt;&lt;li&gt;&lt;a href=|http://",AD1191,"/isaiah/35.htm","| ","title=|",AD1190,"| target=|_top|&gt;",AD1192,"&lt;/a&gt;")</f>
        <v>&lt;/li&gt;&lt;li&gt;&lt;a href=|http://gsb.biblecommenter.com/isaiah/35.htm| title=|Geneva Study Bible| target=|_top|&gt;GSB&lt;/a&gt;</v>
      </c>
      <c r="AE714" s="2" t="str">
        <f t="shared" si="2854"/>
        <v>&lt;/li&gt;&lt;li&gt;&lt;a href=|http://jfb.biblecommenter.com/isaiah/35.htm| title=|Jamieson-Fausset-Brown Bible Commentary| target=|_top|&gt;JFB&lt;/a&gt;</v>
      </c>
      <c r="AF714" s="2" t="str">
        <f t="shared" si="2854"/>
        <v>&lt;/li&gt;&lt;li&gt;&lt;a href=|http://kjt.biblecommenter.com/isaiah/35.htm| title=|King James Translators' Notes| target=|_top|&gt;KJT&lt;/a&gt;</v>
      </c>
      <c r="AG714" s="2" t="str">
        <f t="shared" si="2854"/>
        <v>&lt;/li&gt;&lt;li&gt;&lt;a href=|http://mhc.biblecommenter.com/isaiah/35.htm| title=|Matthew Henry's Concise Commentary| target=|_top|&gt;MHC&lt;/a&gt;</v>
      </c>
      <c r="AH714" s="2" t="str">
        <f t="shared" si="2854"/>
        <v>&lt;/li&gt;&lt;li&gt;&lt;a href=|http://sco.biblecommenter.com/isaiah/35.htm| title=|Scofield Reference Notes| target=|_top|&gt;SCO&lt;/a&gt;</v>
      </c>
      <c r="AI714" s="2" t="str">
        <f t="shared" si="2854"/>
        <v>&lt;/li&gt;&lt;li&gt;&lt;a href=|http://wes.biblecommenter.com/isaiah/35.htm| title=|Wesley's Notes on the Bible| target=|_top|&gt;WES&lt;/a&gt;</v>
      </c>
      <c r="AJ714" t="str">
        <f t="shared" si="2854"/>
        <v>&lt;/li&gt;&lt;li&gt;&lt;a href=|http://worldebible.com/isaiah/35.htm| title=|World English Bible| target=|_top|&gt;WEB&lt;/a&gt;</v>
      </c>
      <c r="AK714" t="str">
        <f t="shared" si="2854"/>
        <v>&lt;/li&gt;&lt;li&gt;&lt;a href=|http://yltbible.com/isaiah/35.htm| title=|Young's Literal Translation| target=|_top|&gt;YLT&lt;/a&gt;</v>
      </c>
      <c r="AL714" t="str">
        <f>CONCATENATE("&lt;a href=|http://",AL1191,"/isaiah/35.htm","| ","title=|",AL1190,"| target=|_top|&gt;",AL1192,"&lt;/a&gt;")</f>
        <v>&lt;a href=|http://kjv.us/isaiah/35.htm| title=|American King James Version| target=|_top|&gt;AKJ&lt;/a&gt;</v>
      </c>
      <c r="AM714" t="str">
        <f t="shared" ref="AM714:AN714" si="2855">CONCATENATE("&lt;/li&gt;&lt;li&gt;&lt;a href=|http://",AM1191,"/isaiah/35.htm","| ","title=|",AM1190,"| target=|_top|&gt;",AM1192,"&lt;/a&gt;")</f>
        <v>&lt;/li&gt;&lt;li&gt;&lt;a href=|http://basicenglishbible.com/isaiah/35.htm| title=|Bible in Basic English| target=|_top|&gt;BBE&lt;/a&gt;</v>
      </c>
      <c r="AN714" t="str">
        <f t="shared" si="2855"/>
        <v>&lt;/li&gt;&lt;li&gt;&lt;a href=|http://darbybible.com/isaiah/35.htm| title=|Darby Bible Translation| target=|_top|&gt;DBY&lt;/a&gt;</v>
      </c>
      <c r="AO71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1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1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14" t="str">
        <f>CONCATENATE("&lt;/li&gt;&lt;li&gt;&lt;a href=|http://",AR1191,"/isaiah/35.htm","| ","title=|",AR1190,"| target=|_top|&gt;",AR1192,"&lt;/a&gt;")</f>
        <v>&lt;/li&gt;&lt;li&gt;&lt;a href=|http://websterbible.com/isaiah/35.htm| title=|Webster's Bible Translation| target=|_top|&gt;WBS&lt;/a&gt;</v>
      </c>
      <c r="AS71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14" t="str">
        <f>CONCATENATE("&lt;/li&gt;&lt;li&gt;&lt;a href=|http://",AT1191,"/isaiah/35-1.htm","| ","title=|",AT1190,"| target=|_top|&gt;",AT1192,"&lt;/a&gt;")</f>
        <v>&lt;/li&gt;&lt;li&gt;&lt;a href=|http://biblebrowser.com/isaiah/35-1.htm| title=|Split View| target=|_top|&gt;Split&lt;/a&gt;</v>
      </c>
      <c r="AU714" s="2" t="s">
        <v>1276</v>
      </c>
      <c r="AV714" t="s">
        <v>64</v>
      </c>
    </row>
    <row r="715" spans="1:48">
      <c r="A715" t="s">
        <v>622</v>
      </c>
      <c r="B715" t="s">
        <v>1219</v>
      </c>
      <c r="C715" t="s">
        <v>624</v>
      </c>
      <c r="D715" t="s">
        <v>1268</v>
      </c>
      <c r="E715" t="s">
        <v>1277</v>
      </c>
      <c r="F715" t="s">
        <v>1304</v>
      </c>
      <c r="G715" t="s">
        <v>1266</v>
      </c>
      <c r="H715" t="s">
        <v>1305</v>
      </c>
      <c r="I715" t="s">
        <v>1303</v>
      </c>
      <c r="J715" t="s">
        <v>1267</v>
      </c>
      <c r="K715" t="s">
        <v>1275</v>
      </c>
      <c r="L715" s="2" t="s">
        <v>1274</v>
      </c>
      <c r="M715" t="str">
        <f t="shared" ref="M715:AB715" si="2856">CONCATENATE("&lt;/li&gt;&lt;li&gt;&lt;a href=|http://",M1191,"/isaiah/36.htm","| ","title=|",M1190,"| target=|_top|&gt;",M1192,"&lt;/a&gt;")</f>
        <v>&lt;/li&gt;&lt;li&gt;&lt;a href=|http://niv.scripturetext.com/isaiah/36.htm| title=|New International Version| target=|_top|&gt;NIV&lt;/a&gt;</v>
      </c>
      <c r="N715" t="str">
        <f t="shared" si="2856"/>
        <v>&lt;/li&gt;&lt;li&gt;&lt;a href=|http://nlt.scripturetext.com/isaiah/36.htm| title=|New Living Translation| target=|_top|&gt;NLT&lt;/a&gt;</v>
      </c>
      <c r="O715" t="str">
        <f t="shared" si="2856"/>
        <v>&lt;/li&gt;&lt;li&gt;&lt;a href=|http://nasb.scripturetext.com/isaiah/36.htm| title=|New American Standard Bible| target=|_top|&gt;NAS&lt;/a&gt;</v>
      </c>
      <c r="P715" t="str">
        <f t="shared" si="2856"/>
        <v>&lt;/li&gt;&lt;li&gt;&lt;a href=|http://gwt.scripturetext.com/isaiah/36.htm| title=|God's Word Translation| target=|_top|&gt;GWT&lt;/a&gt;</v>
      </c>
      <c r="Q715" t="str">
        <f t="shared" si="2856"/>
        <v>&lt;/li&gt;&lt;li&gt;&lt;a href=|http://kingjbible.com/isaiah/36.htm| title=|King James Bible| target=|_top|&gt;KJV&lt;/a&gt;</v>
      </c>
      <c r="R715" t="str">
        <f t="shared" si="2856"/>
        <v>&lt;/li&gt;&lt;li&gt;&lt;a href=|http://asvbible.com/isaiah/36.htm| title=|American Standard Version| target=|_top|&gt;ASV&lt;/a&gt;</v>
      </c>
      <c r="S715" t="str">
        <f t="shared" si="2856"/>
        <v>&lt;/li&gt;&lt;li&gt;&lt;a href=|http://drb.scripturetext.com/isaiah/36.htm| title=|Douay-Rheims Bible| target=|_top|&gt;DRB&lt;/a&gt;</v>
      </c>
      <c r="T715" t="str">
        <f t="shared" si="2856"/>
        <v>&lt;/li&gt;&lt;li&gt;&lt;a href=|http://erv.scripturetext.com/isaiah/36.htm| title=|English Revised Version| target=|_top|&gt;ERV&lt;/a&gt;</v>
      </c>
      <c r="V715" t="str">
        <f>CONCATENATE("&lt;/li&gt;&lt;li&gt;&lt;a href=|http://",V1191,"/isaiah/36.htm","| ","title=|",V1190,"| target=|_top|&gt;",V1192,"&lt;/a&gt;")</f>
        <v>&lt;/li&gt;&lt;li&gt;&lt;a href=|http://study.interlinearbible.org/isaiah/36.htm| title=|Hebrew Study Bible| target=|_top|&gt;Heb Study&lt;/a&gt;</v>
      </c>
      <c r="W715" t="str">
        <f t="shared" si="2856"/>
        <v>&lt;/li&gt;&lt;li&gt;&lt;a href=|http://apostolic.interlinearbible.org/isaiah/36.htm| title=|Apostolic Bible Polyglot Interlinear| target=|_top|&gt;Polyglot&lt;/a&gt;</v>
      </c>
      <c r="X715" t="str">
        <f t="shared" si="2856"/>
        <v>&lt;/li&gt;&lt;li&gt;&lt;a href=|http://interlinearbible.org/isaiah/36.htm| title=|Interlinear Bible| target=|_top|&gt;Interlin&lt;/a&gt;</v>
      </c>
      <c r="Y715" t="str">
        <f t="shared" ref="Y715" si="2857">CONCATENATE("&lt;/li&gt;&lt;li&gt;&lt;a href=|http://",Y1191,"/isaiah/36.htm","| ","title=|",Y1190,"| target=|_top|&gt;",Y1192,"&lt;/a&gt;")</f>
        <v>&lt;/li&gt;&lt;li&gt;&lt;a href=|http://bibleoutline.org/isaiah/36.htm| title=|Outline with People and Places List| target=|_top|&gt;Outline&lt;/a&gt;</v>
      </c>
      <c r="Z715" t="str">
        <f t="shared" si="2856"/>
        <v>&lt;/li&gt;&lt;li&gt;&lt;a href=|http://kjvs.scripturetext.com/isaiah/36.htm| title=|King James Bible with Strong's Numbers| target=|_top|&gt;Strong's&lt;/a&gt;</v>
      </c>
      <c r="AA715" t="str">
        <f t="shared" si="2856"/>
        <v>&lt;/li&gt;&lt;li&gt;&lt;a href=|http://childrensbibleonline.com/isaiah/36.htm| title=|The Children's Bible| target=|_top|&gt;Children's&lt;/a&gt;</v>
      </c>
      <c r="AB715" s="2" t="str">
        <f t="shared" si="2856"/>
        <v>&lt;/li&gt;&lt;li&gt;&lt;a href=|http://tsk.scripturetext.com/isaiah/36.htm| title=|Treasury of Scripture Knowledge| target=|_top|&gt;TSK&lt;/a&gt;</v>
      </c>
      <c r="AC715" t="str">
        <f>CONCATENATE("&lt;a href=|http://",AC1191,"/isaiah/36.htm","| ","title=|",AC1190,"| target=|_top|&gt;",AC1192,"&lt;/a&gt;")</f>
        <v>&lt;a href=|http://parallelbible.com/isaiah/36.htm| title=|Parallel Chapters| target=|_top|&gt;PAR&lt;/a&gt;</v>
      </c>
      <c r="AD715" s="2" t="str">
        <f t="shared" ref="AD715:AK715" si="2858">CONCATENATE("&lt;/li&gt;&lt;li&gt;&lt;a href=|http://",AD1191,"/isaiah/36.htm","| ","title=|",AD1190,"| target=|_top|&gt;",AD1192,"&lt;/a&gt;")</f>
        <v>&lt;/li&gt;&lt;li&gt;&lt;a href=|http://gsb.biblecommenter.com/isaiah/36.htm| title=|Geneva Study Bible| target=|_top|&gt;GSB&lt;/a&gt;</v>
      </c>
      <c r="AE715" s="2" t="str">
        <f t="shared" si="2858"/>
        <v>&lt;/li&gt;&lt;li&gt;&lt;a href=|http://jfb.biblecommenter.com/isaiah/36.htm| title=|Jamieson-Fausset-Brown Bible Commentary| target=|_top|&gt;JFB&lt;/a&gt;</v>
      </c>
      <c r="AF715" s="2" t="str">
        <f t="shared" si="2858"/>
        <v>&lt;/li&gt;&lt;li&gt;&lt;a href=|http://kjt.biblecommenter.com/isaiah/36.htm| title=|King James Translators' Notes| target=|_top|&gt;KJT&lt;/a&gt;</v>
      </c>
      <c r="AG715" s="2" t="str">
        <f t="shared" si="2858"/>
        <v>&lt;/li&gt;&lt;li&gt;&lt;a href=|http://mhc.biblecommenter.com/isaiah/36.htm| title=|Matthew Henry's Concise Commentary| target=|_top|&gt;MHC&lt;/a&gt;</v>
      </c>
      <c r="AH715" s="2" t="str">
        <f t="shared" si="2858"/>
        <v>&lt;/li&gt;&lt;li&gt;&lt;a href=|http://sco.biblecommenter.com/isaiah/36.htm| title=|Scofield Reference Notes| target=|_top|&gt;SCO&lt;/a&gt;</v>
      </c>
      <c r="AI715" s="2" t="str">
        <f t="shared" si="2858"/>
        <v>&lt;/li&gt;&lt;li&gt;&lt;a href=|http://wes.biblecommenter.com/isaiah/36.htm| title=|Wesley's Notes on the Bible| target=|_top|&gt;WES&lt;/a&gt;</v>
      </c>
      <c r="AJ715" t="str">
        <f t="shared" si="2858"/>
        <v>&lt;/li&gt;&lt;li&gt;&lt;a href=|http://worldebible.com/isaiah/36.htm| title=|World English Bible| target=|_top|&gt;WEB&lt;/a&gt;</v>
      </c>
      <c r="AK715" t="str">
        <f t="shared" si="2858"/>
        <v>&lt;/li&gt;&lt;li&gt;&lt;a href=|http://yltbible.com/isaiah/36.htm| title=|Young's Literal Translation| target=|_top|&gt;YLT&lt;/a&gt;</v>
      </c>
      <c r="AL715" t="str">
        <f>CONCATENATE("&lt;a href=|http://",AL1191,"/isaiah/36.htm","| ","title=|",AL1190,"| target=|_top|&gt;",AL1192,"&lt;/a&gt;")</f>
        <v>&lt;a href=|http://kjv.us/isaiah/36.htm| title=|American King James Version| target=|_top|&gt;AKJ&lt;/a&gt;</v>
      </c>
      <c r="AM715" t="str">
        <f t="shared" ref="AM715:AN715" si="2859">CONCATENATE("&lt;/li&gt;&lt;li&gt;&lt;a href=|http://",AM1191,"/isaiah/36.htm","| ","title=|",AM1190,"| target=|_top|&gt;",AM1192,"&lt;/a&gt;")</f>
        <v>&lt;/li&gt;&lt;li&gt;&lt;a href=|http://basicenglishbible.com/isaiah/36.htm| title=|Bible in Basic English| target=|_top|&gt;BBE&lt;/a&gt;</v>
      </c>
      <c r="AN715" t="str">
        <f t="shared" si="2859"/>
        <v>&lt;/li&gt;&lt;li&gt;&lt;a href=|http://darbybible.com/isaiah/36.htm| title=|Darby Bible Translation| target=|_top|&gt;DBY&lt;/a&gt;</v>
      </c>
      <c r="AO71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1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1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15" t="str">
        <f>CONCATENATE("&lt;/li&gt;&lt;li&gt;&lt;a href=|http://",AR1191,"/isaiah/36.htm","| ","title=|",AR1190,"| target=|_top|&gt;",AR1192,"&lt;/a&gt;")</f>
        <v>&lt;/li&gt;&lt;li&gt;&lt;a href=|http://websterbible.com/isaiah/36.htm| title=|Webster's Bible Translation| target=|_top|&gt;WBS&lt;/a&gt;</v>
      </c>
      <c r="AS71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15" t="str">
        <f>CONCATENATE("&lt;/li&gt;&lt;li&gt;&lt;a href=|http://",AT1191,"/isaiah/36-1.htm","| ","title=|",AT1190,"| target=|_top|&gt;",AT1192,"&lt;/a&gt;")</f>
        <v>&lt;/li&gt;&lt;li&gt;&lt;a href=|http://biblebrowser.com/isaiah/36-1.htm| title=|Split View| target=|_top|&gt;Split&lt;/a&gt;</v>
      </c>
      <c r="AU715" s="2" t="s">
        <v>1276</v>
      </c>
      <c r="AV715" t="s">
        <v>64</v>
      </c>
    </row>
    <row r="716" spans="1:48">
      <c r="A716" t="s">
        <v>622</v>
      </c>
      <c r="B716" t="s">
        <v>1220</v>
      </c>
      <c r="C716" t="s">
        <v>624</v>
      </c>
      <c r="D716" t="s">
        <v>1268</v>
      </c>
      <c r="E716" t="s">
        <v>1277</v>
      </c>
      <c r="F716" t="s">
        <v>1304</v>
      </c>
      <c r="G716" t="s">
        <v>1266</v>
      </c>
      <c r="H716" t="s">
        <v>1305</v>
      </c>
      <c r="I716" t="s">
        <v>1303</v>
      </c>
      <c r="J716" t="s">
        <v>1267</v>
      </c>
      <c r="K716" t="s">
        <v>1275</v>
      </c>
      <c r="L716" s="2" t="s">
        <v>1274</v>
      </c>
      <c r="M716" t="str">
        <f t="shared" ref="M716:AB716" si="2860">CONCATENATE("&lt;/li&gt;&lt;li&gt;&lt;a href=|http://",M1191,"/isaiah/37.htm","| ","title=|",M1190,"| target=|_top|&gt;",M1192,"&lt;/a&gt;")</f>
        <v>&lt;/li&gt;&lt;li&gt;&lt;a href=|http://niv.scripturetext.com/isaiah/37.htm| title=|New International Version| target=|_top|&gt;NIV&lt;/a&gt;</v>
      </c>
      <c r="N716" t="str">
        <f t="shared" si="2860"/>
        <v>&lt;/li&gt;&lt;li&gt;&lt;a href=|http://nlt.scripturetext.com/isaiah/37.htm| title=|New Living Translation| target=|_top|&gt;NLT&lt;/a&gt;</v>
      </c>
      <c r="O716" t="str">
        <f t="shared" si="2860"/>
        <v>&lt;/li&gt;&lt;li&gt;&lt;a href=|http://nasb.scripturetext.com/isaiah/37.htm| title=|New American Standard Bible| target=|_top|&gt;NAS&lt;/a&gt;</v>
      </c>
      <c r="P716" t="str">
        <f t="shared" si="2860"/>
        <v>&lt;/li&gt;&lt;li&gt;&lt;a href=|http://gwt.scripturetext.com/isaiah/37.htm| title=|God's Word Translation| target=|_top|&gt;GWT&lt;/a&gt;</v>
      </c>
      <c r="Q716" t="str">
        <f t="shared" si="2860"/>
        <v>&lt;/li&gt;&lt;li&gt;&lt;a href=|http://kingjbible.com/isaiah/37.htm| title=|King James Bible| target=|_top|&gt;KJV&lt;/a&gt;</v>
      </c>
      <c r="R716" t="str">
        <f t="shared" si="2860"/>
        <v>&lt;/li&gt;&lt;li&gt;&lt;a href=|http://asvbible.com/isaiah/37.htm| title=|American Standard Version| target=|_top|&gt;ASV&lt;/a&gt;</v>
      </c>
      <c r="S716" t="str">
        <f t="shared" si="2860"/>
        <v>&lt;/li&gt;&lt;li&gt;&lt;a href=|http://drb.scripturetext.com/isaiah/37.htm| title=|Douay-Rheims Bible| target=|_top|&gt;DRB&lt;/a&gt;</v>
      </c>
      <c r="T716" t="str">
        <f t="shared" si="2860"/>
        <v>&lt;/li&gt;&lt;li&gt;&lt;a href=|http://erv.scripturetext.com/isaiah/37.htm| title=|English Revised Version| target=|_top|&gt;ERV&lt;/a&gt;</v>
      </c>
      <c r="V716" t="str">
        <f>CONCATENATE("&lt;/li&gt;&lt;li&gt;&lt;a href=|http://",V1191,"/isaiah/37.htm","| ","title=|",V1190,"| target=|_top|&gt;",V1192,"&lt;/a&gt;")</f>
        <v>&lt;/li&gt;&lt;li&gt;&lt;a href=|http://study.interlinearbible.org/isaiah/37.htm| title=|Hebrew Study Bible| target=|_top|&gt;Heb Study&lt;/a&gt;</v>
      </c>
      <c r="W716" t="str">
        <f t="shared" si="2860"/>
        <v>&lt;/li&gt;&lt;li&gt;&lt;a href=|http://apostolic.interlinearbible.org/isaiah/37.htm| title=|Apostolic Bible Polyglot Interlinear| target=|_top|&gt;Polyglot&lt;/a&gt;</v>
      </c>
      <c r="X716" t="str">
        <f t="shared" si="2860"/>
        <v>&lt;/li&gt;&lt;li&gt;&lt;a href=|http://interlinearbible.org/isaiah/37.htm| title=|Interlinear Bible| target=|_top|&gt;Interlin&lt;/a&gt;</v>
      </c>
      <c r="Y716" t="str">
        <f t="shared" ref="Y716" si="2861">CONCATENATE("&lt;/li&gt;&lt;li&gt;&lt;a href=|http://",Y1191,"/isaiah/37.htm","| ","title=|",Y1190,"| target=|_top|&gt;",Y1192,"&lt;/a&gt;")</f>
        <v>&lt;/li&gt;&lt;li&gt;&lt;a href=|http://bibleoutline.org/isaiah/37.htm| title=|Outline with People and Places List| target=|_top|&gt;Outline&lt;/a&gt;</v>
      </c>
      <c r="Z716" t="str">
        <f t="shared" si="2860"/>
        <v>&lt;/li&gt;&lt;li&gt;&lt;a href=|http://kjvs.scripturetext.com/isaiah/37.htm| title=|King James Bible with Strong's Numbers| target=|_top|&gt;Strong's&lt;/a&gt;</v>
      </c>
      <c r="AA716" t="str">
        <f t="shared" si="2860"/>
        <v>&lt;/li&gt;&lt;li&gt;&lt;a href=|http://childrensbibleonline.com/isaiah/37.htm| title=|The Children's Bible| target=|_top|&gt;Children's&lt;/a&gt;</v>
      </c>
      <c r="AB716" s="2" t="str">
        <f t="shared" si="2860"/>
        <v>&lt;/li&gt;&lt;li&gt;&lt;a href=|http://tsk.scripturetext.com/isaiah/37.htm| title=|Treasury of Scripture Knowledge| target=|_top|&gt;TSK&lt;/a&gt;</v>
      </c>
      <c r="AC716" t="str">
        <f>CONCATENATE("&lt;a href=|http://",AC1191,"/isaiah/37.htm","| ","title=|",AC1190,"| target=|_top|&gt;",AC1192,"&lt;/a&gt;")</f>
        <v>&lt;a href=|http://parallelbible.com/isaiah/37.htm| title=|Parallel Chapters| target=|_top|&gt;PAR&lt;/a&gt;</v>
      </c>
      <c r="AD716" s="2" t="str">
        <f t="shared" ref="AD716:AK716" si="2862">CONCATENATE("&lt;/li&gt;&lt;li&gt;&lt;a href=|http://",AD1191,"/isaiah/37.htm","| ","title=|",AD1190,"| target=|_top|&gt;",AD1192,"&lt;/a&gt;")</f>
        <v>&lt;/li&gt;&lt;li&gt;&lt;a href=|http://gsb.biblecommenter.com/isaiah/37.htm| title=|Geneva Study Bible| target=|_top|&gt;GSB&lt;/a&gt;</v>
      </c>
      <c r="AE716" s="2" t="str">
        <f t="shared" si="2862"/>
        <v>&lt;/li&gt;&lt;li&gt;&lt;a href=|http://jfb.biblecommenter.com/isaiah/37.htm| title=|Jamieson-Fausset-Brown Bible Commentary| target=|_top|&gt;JFB&lt;/a&gt;</v>
      </c>
      <c r="AF716" s="2" t="str">
        <f t="shared" si="2862"/>
        <v>&lt;/li&gt;&lt;li&gt;&lt;a href=|http://kjt.biblecommenter.com/isaiah/37.htm| title=|King James Translators' Notes| target=|_top|&gt;KJT&lt;/a&gt;</v>
      </c>
      <c r="AG716" s="2" t="str">
        <f t="shared" si="2862"/>
        <v>&lt;/li&gt;&lt;li&gt;&lt;a href=|http://mhc.biblecommenter.com/isaiah/37.htm| title=|Matthew Henry's Concise Commentary| target=|_top|&gt;MHC&lt;/a&gt;</v>
      </c>
      <c r="AH716" s="2" t="str">
        <f t="shared" si="2862"/>
        <v>&lt;/li&gt;&lt;li&gt;&lt;a href=|http://sco.biblecommenter.com/isaiah/37.htm| title=|Scofield Reference Notes| target=|_top|&gt;SCO&lt;/a&gt;</v>
      </c>
      <c r="AI716" s="2" t="str">
        <f t="shared" si="2862"/>
        <v>&lt;/li&gt;&lt;li&gt;&lt;a href=|http://wes.biblecommenter.com/isaiah/37.htm| title=|Wesley's Notes on the Bible| target=|_top|&gt;WES&lt;/a&gt;</v>
      </c>
      <c r="AJ716" t="str">
        <f t="shared" si="2862"/>
        <v>&lt;/li&gt;&lt;li&gt;&lt;a href=|http://worldebible.com/isaiah/37.htm| title=|World English Bible| target=|_top|&gt;WEB&lt;/a&gt;</v>
      </c>
      <c r="AK716" t="str">
        <f t="shared" si="2862"/>
        <v>&lt;/li&gt;&lt;li&gt;&lt;a href=|http://yltbible.com/isaiah/37.htm| title=|Young's Literal Translation| target=|_top|&gt;YLT&lt;/a&gt;</v>
      </c>
      <c r="AL716" t="str">
        <f>CONCATENATE("&lt;a href=|http://",AL1191,"/isaiah/37.htm","| ","title=|",AL1190,"| target=|_top|&gt;",AL1192,"&lt;/a&gt;")</f>
        <v>&lt;a href=|http://kjv.us/isaiah/37.htm| title=|American King James Version| target=|_top|&gt;AKJ&lt;/a&gt;</v>
      </c>
      <c r="AM716" t="str">
        <f t="shared" ref="AM716:AN716" si="2863">CONCATENATE("&lt;/li&gt;&lt;li&gt;&lt;a href=|http://",AM1191,"/isaiah/37.htm","| ","title=|",AM1190,"| target=|_top|&gt;",AM1192,"&lt;/a&gt;")</f>
        <v>&lt;/li&gt;&lt;li&gt;&lt;a href=|http://basicenglishbible.com/isaiah/37.htm| title=|Bible in Basic English| target=|_top|&gt;BBE&lt;/a&gt;</v>
      </c>
      <c r="AN716" t="str">
        <f t="shared" si="2863"/>
        <v>&lt;/li&gt;&lt;li&gt;&lt;a href=|http://darbybible.com/isaiah/37.htm| title=|Darby Bible Translation| target=|_top|&gt;DBY&lt;/a&gt;</v>
      </c>
      <c r="AO71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1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1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16" t="str">
        <f>CONCATENATE("&lt;/li&gt;&lt;li&gt;&lt;a href=|http://",AR1191,"/isaiah/37.htm","| ","title=|",AR1190,"| target=|_top|&gt;",AR1192,"&lt;/a&gt;")</f>
        <v>&lt;/li&gt;&lt;li&gt;&lt;a href=|http://websterbible.com/isaiah/37.htm| title=|Webster's Bible Translation| target=|_top|&gt;WBS&lt;/a&gt;</v>
      </c>
      <c r="AS71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16" t="str">
        <f>CONCATENATE("&lt;/li&gt;&lt;li&gt;&lt;a href=|http://",AT1191,"/isaiah/37-1.htm","| ","title=|",AT1190,"| target=|_top|&gt;",AT1192,"&lt;/a&gt;")</f>
        <v>&lt;/li&gt;&lt;li&gt;&lt;a href=|http://biblebrowser.com/isaiah/37-1.htm| title=|Split View| target=|_top|&gt;Split&lt;/a&gt;</v>
      </c>
      <c r="AU716" s="2" t="s">
        <v>1276</v>
      </c>
      <c r="AV716" t="s">
        <v>64</v>
      </c>
    </row>
    <row r="717" spans="1:48">
      <c r="A717" t="s">
        <v>622</v>
      </c>
      <c r="B717" t="s">
        <v>1221</v>
      </c>
      <c r="C717" t="s">
        <v>624</v>
      </c>
      <c r="D717" t="s">
        <v>1268</v>
      </c>
      <c r="E717" t="s">
        <v>1277</v>
      </c>
      <c r="F717" t="s">
        <v>1304</v>
      </c>
      <c r="G717" t="s">
        <v>1266</v>
      </c>
      <c r="H717" t="s">
        <v>1305</v>
      </c>
      <c r="I717" t="s">
        <v>1303</v>
      </c>
      <c r="J717" t="s">
        <v>1267</v>
      </c>
      <c r="K717" t="s">
        <v>1275</v>
      </c>
      <c r="L717" s="2" t="s">
        <v>1274</v>
      </c>
      <c r="M717" t="str">
        <f t="shared" ref="M717:AB717" si="2864">CONCATENATE("&lt;/li&gt;&lt;li&gt;&lt;a href=|http://",M1191,"/isaiah/38.htm","| ","title=|",M1190,"| target=|_top|&gt;",M1192,"&lt;/a&gt;")</f>
        <v>&lt;/li&gt;&lt;li&gt;&lt;a href=|http://niv.scripturetext.com/isaiah/38.htm| title=|New International Version| target=|_top|&gt;NIV&lt;/a&gt;</v>
      </c>
      <c r="N717" t="str">
        <f t="shared" si="2864"/>
        <v>&lt;/li&gt;&lt;li&gt;&lt;a href=|http://nlt.scripturetext.com/isaiah/38.htm| title=|New Living Translation| target=|_top|&gt;NLT&lt;/a&gt;</v>
      </c>
      <c r="O717" t="str">
        <f t="shared" si="2864"/>
        <v>&lt;/li&gt;&lt;li&gt;&lt;a href=|http://nasb.scripturetext.com/isaiah/38.htm| title=|New American Standard Bible| target=|_top|&gt;NAS&lt;/a&gt;</v>
      </c>
      <c r="P717" t="str">
        <f t="shared" si="2864"/>
        <v>&lt;/li&gt;&lt;li&gt;&lt;a href=|http://gwt.scripturetext.com/isaiah/38.htm| title=|God's Word Translation| target=|_top|&gt;GWT&lt;/a&gt;</v>
      </c>
      <c r="Q717" t="str">
        <f t="shared" si="2864"/>
        <v>&lt;/li&gt;&lt;li&gt;&lt;a href=|http://kingjbible.com/isaiah/38.htm| title=|King James Bible| target=|_top|&gt;KJV&lt;/a&gt;</v>
      </c>
      <c r="R717" t="str">
        <f t="shared" si="2864"/>
        <v>&lt;/li&gt;&lt;li&gt;&lt;a href=|http://asvbible.com/isaiah/38.htm| title=|American Standard Version| target=|_top|&gt;ASV&lt;/a&gt;</v>
      </c>
      <c r="S717" t="str">
        <f t="shared" si="2864"/>
        <v>&lt;/li&gt;&lt;li&gt;&lt;a href=|http://drb.scripturetext.com/isaiah/38.htm| title=|Douay-Rheims Bible| target=|_top|&gt;DRB&lt;/a&gt;</v>
      </c>
      <c r="T717" t="str">
        <f t="shared" si="2864"/>
        <v>&lt;/li&gt;&lt;li&gt;&lt;a href=|http://erv.scripturetext.com/isaiah/38.htm| title=|English Revised Version| target=|_top|&gt;ERV&lt;/a&gt;</v>
      </c>
      <c r="V717" t="str">
        <f>CONCATENATE("&lt;/li&gt;&lt;li&gt;&lt;a href=|http://",V1191,"/isaiah/38.htm","| ","title=|",V1190,"| target=|_top|&gt;",V1192,"&lt;/a&gt;")</f>
        <v>&lt;/li&gt;&lt;li&gt;&lt;a href=|http://study.interlinearbible.org/isaiah/38.htm| title=|Hebrew Study Bible| target=|_top|&gt;Heb Study&lt;/a&gt;</v>
      </c>
      <c r="W717" t="str">
        <f t="shared" si="2864"/>
        <v>&lt;/li&gt;&lt;li&gt;&lt;a href=|http://apostolic.interlinearbible.org/isaiah/38.htm| title=|Apostolic Bible Polyglot Interlinear| target=|_top|&gt;Polyglot&lt;/a&gt;</v>
      </c>
      <c r="X717" t="str">
        <f t="shared" si="2864"/>
        <v>&lt;/li&gt;&lt;li&gt;&lt;a href=|http://interlinearbible.org/isaiah/38.htm| title=|Interlinear Bible| target=|_top|&gt;Interlin&lt;/a&gt;</v>
      </c>
      <c r="Y717" t="str">
        <f t="shared" ref="Y717" si="2865">CONCATENATE("&lt;/li&gt;&lt;li&gt;&lt;a href=|http://",Y1191,"/isaiah/38.htm","| ","title=|",Y1190,"| target=|_top|&gt;",Y1192,"&lt;/a&gt;")</f>
        <v>&lt;/li&gt;&lt;li&gt;&lt;a href=|http://bibleoutline.org/isaiah/38.htm| title=|Outline with People and Places List| target=|_top|&gt;Outline&lt;/a&gt;</v>
      </c>
      <c r="Z717" t="str">
        <f t="shared" si="2864"/>
        <v>&lt;/li&gt;&lt;li&gt;&lt;a href=|http://kjvs.scripturetext.com/isaiah/38.htm| title=|King James Bible with Strong's Numbers| target=|_top|&gt;Strong's&lt;/a&gt;</v>
      </c>
      <c r="AA717" t="str">
        <f t="shared" si="2864"/>
        <v>&lt;/li&gt;&lt;li&gt;&lt;a href=|http://childrensbibleonline.com/isaiah/38.htm| title=|The Children's Bible| target=|_top|&gt;Children's&lt;/a&gt;</v>
      </c>
      <c r="AB717" s="2" t="str">
        <f t="shared" si="2864"/>
        <v>&lt;/li&gt;&lt;li&gt;&lt;a href=|http://tsk.scripturetext.com/isaiah/38.htm| title=|Treasury of Scripture Knowledge| target=|_top|&gt;TSK&lt;/a&gt;</v>
      </c>
      <c r="AC717" t="str">
        <f>CONCATENATE("&lt;a href=|http://",AC1191,"/isaiah/38.htm","| ","title=|",AC1190,"| target=|_top|&gt;",AC1192,"&lt;/a&gt;")</f>
        <v>&lt;a href=|http://parallelbible.com/isaiah/38.htm| title=|Parallel Chapters| target=|_top|&gt;PAR&lt;/a&gt;</v>
      </c>
      <c r="AD717" s="2" t="str">
        <f t="shared" ref="AD717:AK717" si="2866">CONCATENATE("&lt;/li&gt;&lt;li&gt;&lt;a href=|http://",AD1191,"/isaiah/38.htm","| ","title=|",AD1190,"| target=|_top|&gt;",AD1192,"&lt;/a&gt;")</f>
        <v>&lt;/li&gt;&lt;li&gt;&lt;a href=|http://gsb.biblecommenter.com/isaiah/38.htm| title=|Geneva Study Bible| target=|_top|&gt;GSB&lt;/a&gt;</v>
      </c>
      <c r="AE717" s="2" t="str">
        <f t="shared" si="2866"/>
        <v>&lt;/li&gt;&lt;li&gt;&lt;a href=|http://jfb.biblecommenter.com/isaiah/38.htm| title=|Jamieson-Fausset-Brown Bible Commentary| target=|_top|&gt;JFB&lt;/a&gt;</v>
      </c>
      <c r="AF717" s="2" t="str">
        <f t="shared" si="2866"/>
        <v>&lt;/li&gt;&lt;li&gt;&lt;a href=|http://kjt.biblecommenter.com/isaiah/38.htm| title=|King James Translators' Notes| target=|_top|&gt;KJT&lt;/a&gt;</v>
      </c>
      <c r="AG717" s="2" t="str">
        <f t="shared" si="2866"/>
        <v>&lt;/li&gt;&lt;li&gt;&lt;a href=|http://mhc.biblecommenter.com/isaiah/38.htm| title=|Matthew Henry's Concise Commentary| target=|_top|&gt;MHC&lt;/a&gt;</v>
      </c>
      <c r="AH717" s="2" t="str">
        <f t="shared" si="2866"/>
        <v>&lt;/li&gt;&lt;li&gt;&lt;a href=|http://sco.biblecommenter.com/isaiah/38.htm| title=|Scofield Reference Notes| target=|_top|&gt;SCO&lt;/a&gt;</v>
      </c>
      <c r="AI717" s="2" t="str">
        <f t="shared" si="2866"/>
        <v>&lt;/li&gt;&lt;li&gt;&lt;a href=|http://wes.biblecommenter.com/isaiah/38.htm| title=|Wesley's Notes on the Bible| target=|_top|&gt;WES&lt;/a&gt;</v>
      </c>
      <c r="AJ717" t="str">
        <f t="shared" si="2866"/>
        <v>&lt;/li&gt;&lt;li&gt;&lt;a href=|http://worldebible.com/isaiah/38.htm| title=|World English Bible| target=|_top|&gt;WEB&lt;/a&gt;</v>
      </c>
      <c r="AK717" t="str">
        <f t="shared" si="2866"/>
        <v>&lt;/li&gt;&lt;li&gt;&lt;a href=|http://yltbible.com/isaiah/38.htm| title=|Young's Literal Translation| target=|_top|&gt;YLT&lt;/a&gt;</v>
      </c>
      <c r="AL717" t="str">
        <f>CONCATENATE("&lt;a href=|http://",AL1191,"/isaiah/38.htm","| ","title=|",AL1190,"| target=|_top|&gt;",AL1192,"&lt;/a&gt;")</f>
        <v>&lt;a href=|http://kjv.us/isaiah/38.htm| title=|American King James Version| target=|_top|&gt;AKJ&lt;/a&gt;</v>
      </c>
      <c r="AM717" t="str">
        <f t="shared" ref="AM717:AN717" si="2867">CONCATENATE("&lt;/li&gt;&lt;li&gt;&lt;a href=|http://",AM1191,"/isaiah/38.htm","| ","title=|",AM1190,"| target=|_top|&gt;",AM1192,"&lt;/a&gt;")</f>
        <v>&lt;/li&gt;&lt;li&gt;&lt;a href=|http://basicenglishbible.com/isaiah/38.htm| title=|Bible in Basic English| target=|_top|&gt;BBE&lt;/a&gt;</v>
      </c>
      <c r="AN717" t="str">
        <f t="shared" si="2867"/>
        <v>&lt;/li&gt;&lt;li&gt;&lt;a href=|http://darbybible.com/isaiah/38.htm| title=|Darby Bible Translation| target=|_top|&gt;DBY&lt;/a&gt;</v>
      </c>
      <c r="AO71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1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1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17" t="str">
        <f>CONCATENATE("&lt;/li&gt;&lt;li&gt;&lt;a href=|http://",AR1191,"/isaiah/38.htm","| ","title=|",AR1190,"| target=|_top|&gt;",AR1192,"&lt;/a&gt;")</f>
        <v>&lt;/li&gt;&lt;li&gt;&lt;a href=|http://websterbible.com/isaiah/38.htm| title=|Webster's Bible Translation| target=|_top|&gt;WBS&lt;/a&gt;</v>
      </c>
      <c r="AS71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17" t="str">
        <f>CONCATENATE("&lt;/li&gt;&lt;li&gt;&lt;a href=|http://",AT1191,"/isaiah/38-1.htm","| ","title=|",AT1190,"| target=|_top|&gt;",AT1192,"&lt;/a&gt;")</f>
        <v>&lt;/li&gt;&lt;li&gt;&lt;a href=|http://biblebrowser.com/isaiah/38-1.htm| title=|Split View| target=|_top|&gt;Split&lt;/a&gt;</v>
      </c>
      <c r="AU717" s="2" t="s">
        <v>1276</v>
      </c>
      <c r="AV717" t="s">
        <v>64</v>
      </c>
    </row>
    <row r="718" spans="1:48">
      <c r="A718" t="s">
        <v>622</v>
      </c>
      <c r="B718" t="s">
        <v>1222</v>
      </c>
      <c r="C718" t="s">
        <v>624</v>
      </c>
      <c r="D718" t="s">
        <v>1268</v>
      </c>
      <c r="E718" t="s">
        <v>1277</v>
      </c>
      <c r="F718" t="s">
        <v>1304</v>
      </c>
      <c r="G718" t="s">
        <v>1266</v>
      </c>
      <c r="H718" t="s">
        <v>1305</v>
      </c>
      <c r="I718" t="s">
        <v>1303</v>
      </c>
      <c r="J718" t="s">
        <v>1267</v>
      </c>
      <c r="K718" t="s">
        <v>1275</v>
      </c>
      <c r="L718" s="2" t="s">
        <v>1274</v>
      </c>
      <c r="M718" t="str">
        <f t="shared" ref="M718:AB718" si="2868">CONCATENATE("&lt;/li&gt;&lt;li&gt;&lt;a href=|http://",M1191,"/isaiah/39.htm","| ","title=|",M1190,"| target=|_top|&gt;",M1192,"&lt;/a&gt;")</f>
        <v>&lt;/li&gt;&lt;li&gt;&lt;a href=|http://niv.scripturetext.com/isaiah/39.htm| title=|New International Version| target=|_top|&gt;NIV&lt;/a&gt;</v>
      </c>
      <c r="N718" t="str">
        <f t="shared" si="2868"/>
        <v>&lt;/li&gt;&lt;li&gt;&lt;a href=|http://nlt.scripturetext.com/isaiah/39.htm| title=|New Living Translation| target=|_top|&gt;NLT&lt;/a&gt;</v>
      </c>
      <c r="O718" t="str">
        <f t="shared" si="2868"/>
        <v>&lt;/li&gt;&lt;li&gt;&lt;a href=|http://nasb.scripturetext.com/isaiah/39.htm| title=|New American Standard Bible| target=|_top|&gt;NAS&lt;/a&gt;</v>
      </c>
      <c r="P718" t="str">
        <f t="shared" si="2868"/>
        <v>&lt;/li&gt;&lt;li&gt;&lt;a href=|http://gwt.scripturetext.com/isaiah/39.htm| title=|God's Word Translation| target=|_top|&gt;GWT&lt;/a&gt;</v>
      </c>
      <c r="Q718" t="str">
        <f t="shared" si="2868"/>
        <v>&lt;/li&gt;&lt;li&gt;&lt;a href=|http://kingjbible.com/isaiah/39.htm| title=|King James Bible| target=|_top|&gt;KJV&lt;/a&gt;</v>
      </c>
      <c r="R718" t="str">
        <f t="shared" si="2868"/>
        <v>&lt;/li&gt;&lt;li&gt;&lt;a href=|http://asvbible.com/isaiah/39.htm| title=|American Standard Version| target=|_top|&gt;ASV&lt;/a&gt;</v>
      </c>
      <c r="S718" t="str">
        <f t="shared" si="2868"/>
        <v>&lt;/li&gt;&lt;li&gt;&lt;a href=|http://drb.scripturetext.com/isaiah/39.htm| title=|Douay-Rheims Bible| target=|_top|&gt;DRB&lt;/a&gt;</v>
      </c>
      <c r="T718" t="str">
        <f t="shared" si="2868"/>
        <v>&lt;/li&gt;&lt;li&gt;&lt;a href=|http://erv.scripturetext.com/isaiah/39.htm| title=|English Revised Version| target=|_top|&gt;ERV&lt;/a&gt;</v>
      </c>
      <c r="V718" t="str">
        <f>CONCATENATE("&lt;/li&gt;&lt;li&gt;&lt;a href=|http://",V1191,"/isaiah/39.htm","| ","title=|",V1190,"| target=|_top|&gt;",V1192,"&lt;/a&gt;")</f>
        <v>&lt;/li&gt;&lt;li&gt;&lt;a href=|http://study.interlinearbible.org/isaiah/39.htm| title=|Hebrew Study Bible| target=|_top|&gt;Heb Study&lt;/a&gt;</v>
      </c>
      <c r="W718" t="str">
        <f t="shared" si="2868"/>
        <v>&lt;/li&gt;&lt;li&gt;&lt;a href=|http://apostolic.interlinearbible.org/isaiah/39.htm| title=|Apostolic Bible Polyglot Interlinear| target=|_top|&gt;Polyglot&lt;/a&gt;</v>
      </c>
      <c r="X718" t="str">
        <f t="shared" si="2868"/>
        <v>&lt;/li&gt;&lt;li&gt;&lt;a href=|http://interlinearbible.org/isaiah/39.htm| title=|Interlinear Bible| target=|_top|&gt;Interlin&lt;/a&gt;</v>
      </c>
      <c r="Y718" t="str">
        <f t="shared" ref="Y718" si="2869">CONCATENATE("&lt;/li&gt;&lt;li&gt;&lt;a href=|http://",Y1191,"/isaiah/39.htm","| ","title=|",Y1190,"| target=|_top|&gt;",Y1192,"&lt;/a&gt;")</f>
        <v>&lt;/li&gt;&lt;li&gt;&lt;a href=|http://bibleoutline.org/isaiah/39.htm| title=|Outline with People and Places List| target=|_top|&gt;Outline&lt;/a&gt;</v>
      </c>
      <c r="Z718" t="str">
        <f t="shared" si="2868"/>
        <v>&lt;/li&gt;&lt;li&gt;&lt;a href=|http://kjvs.scripturetext.com/isaiah/39.htm| title=|King James Bible with Strong's Numbers| target=|_top|&gt;Strong's&lt;/a&gt;</v>
      </c>
      <c r="AA718" t="str">
        <f t="shared" si="2868"/>
        <v>&lt;/li&gt;&lt;li&gt;&lt;a href=|http://childrensbibleonline.com/isaiah/39.htm| title=|The Children's Bible| target=|_top|&gt;Children's&lt;/a&gt;</v>
      </c>
      <c r="AB718" s="2" t="str">
        <f t="shared" si="2868"/>
        <v>&lt;/li&gt;&lt;li&gt;&lt;a href=|http://tsk.scripturetext.com/isaiah/39.htm| title=|Treasury of Scripture Knowledge| target=|_top|&gt;TSK&lt;/a&gt;</v>
      </c>
      <c r="AC718" t="str">
        <f>CONCATENATE("&lt;a href=|http://",AC1191,"/isaiah/39.htm","| ","title=|",AC1190,"| target=|_top|&gt;",AC1192,"&lt;/a&gt;")</f>
        <v>&lt;a href=|http://parallelbible.com/isaiah/39.htm| title=|Parallel Chapters| target=|_top|&gt;PAR&lt;/a&gt;</v>
      </c>
      <c r="AD718" s="2" t="str">
        <f t="shared" ref="AD718:AK718" si="2870">CONCATENATE("&lt;/li&gt;&lt;li&gt;&lt;a href=|http://",AD1191,"/isaiah/39.htm","| ","title=|",AD1190,"| target=|_top|&gt;",AD1192,"&lt;/a&gt;")</f>
        <v>&lt;/li&gt;&lt;li&gt;&lt;a href=|http://gsb.biblecommenter.com/isaiah/39.htm| title=|Geneva Study Bible| target=|_top|&gt;GSB&lt;/a&gt;</v>
      </c>
      <c r="AE718" s="2" t="str">
        <f t="shared" si="2870"/>
        <v>&lt;/li&gt;&lt;li&gt;&lt;a href=|http://jfb.biblecommenter.com/isaiah/39.htm| title=|Jamieson-Fausset-Brown Bible Commentary| target=|_top|&gt;JFB&lt;/a&gt;</v>
      </c>
      <c r="AF718" s="2" t="str">
        <f t="shared" si="2870"/>
        <v>&lt;/li&gt;&lt;li&gt;&lt;a href=|http://kjt.biblecommenter.com/isaiah/39.htm| title=|King James Translators' Notes| target=|_top|&gt;KJT&lt;/a&gt;</v>
      </c>
      <c r="AG718" s="2" t="str">
        <f t="shared" si="2870"/>
        <v>&lt;/li&gt;&lt;li&gt;&lt;a href=|http://mhc.biblecommenter.com/isaiah/39.htm| title=|Matthew Henry's Concise Commentary| target=|_top|&gt;MHC&lt;/a&gt;</v>
      </c>
      <c r="AH718" s="2" t="str">
        <f t="shared" si="2870"/>
        <v>&lt;/li&gt;&lt;li&gt;&lt;a href=|http://sco.biblecommenter.com/isaiah/39.htm| title=|Scofield Reference Notes| target=|_top|&gt;SCO&lt;/a&gt;</v>
      </c>
      <c r="AI718" s="2" t="str">
        <f t="shared" si="2870"/>
        <v>&lt;/li&gt;&lt;li&gt;&lt;a href=|http://wes.biblecommenter.com/isaiah/39.htm| title=|Wesley's Notes on the Bible| target=|_top|&gt;WES&lt;/a&gt;</v>
      </c>
      <c r="AJ718" t="str">
        <f t="shared" si="2870"/>
        <v>&lt;/li&gt;&lt;li&gt;&lt;a href=|http://worldebible.com/isaiah/39.htm| title=|World English Bible| target=|_top|&gt;WEB&lt;/a&gt;</v>
      </c>
      <c r="AK718" t="str">
        <f t="shared" si="2870"/>
        <v>&lt;/li&gt;&lt;li&gt;&lt;a href=|http://yltbible.com/isaiah/39.htm| title=|Young's Literal Translation| target=|_top|&gt;YLT&lt;/a&gt;</v>
      </c>
      <c r="AL718" t="str">
        <f>CONCATENATE("&lt;a href=|http://",AL1191,"/isaiah/39.htm","| ","title=|",AL1190,"| target=|_top|&gt;",AL1192,"&lt;/a&gt;")</f>
        <v>&lt;a href=|http://kjv.us/isaiah/39.htm| title=|American King James Version| target=|_top|&gt;AKJ&lt;/a&gt;</v>
      </c>
      <c r="AM718" t="str">
        <f t="shared" ref="AM718:AN718" si="2871">CONCATENATE("&lt;/li&gt;&lt;li&gt;&lt;a href=|http://",AM1191,"/isaiah/39.htm","| ","title=|",AM1190,"| target=|_top|&gt;",AM1192,"&lt;/a&gt;")</f>
        <v>&lt;/li&gt;&lt;li&gt;&lt;a href=|http://basicenglishbible.com/isaiah/39.htm| title=|Bible in Basic English| target=|_top|&gt;BBE&lt;/a&gt;</v>
      </c>
      <c r="AN718" t="str">
        <f t="shared" si="2871"/>
        <v>&lt;/li&gt;&lt;li&gt;&lt;a href=|http://darbybible.com/isaiah/39.htm| title=|Darby Bible Translation| target=|_top|&gt;DBY&lt;/a&gt;</v>
      </c>
      <c r="AO71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1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1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18" t="str">
        <f>CONCATENATE("&lt;/li&gt;&lt;li&gt;&lt;a href=|http://",AR1191,"/isaiah/39.htm","| ","title=|",AR1190,"| target=|_top|&gt;",AR1192,"&lt;/a&gt;")</f>
        <v>&lt;/li&gt;&lt;li&gt;&lt;a href=|http://websterbible.com/isaiah/39.htm| title=|Webster's Bible Translation| target=|_top|&gt;WBS&lt;/a&gt;</v>
      </c>
      <c r="AS71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18" t="str">
        <f>CONCATENATE("&lt;/li&gt;&lt;li&gt;&lt;a href=|http://",AT1191,"/isaiah/39-1.htm","| ","title=|",AT1190,"| target=|_top|&gt;",AT1192,"&lt;/a&gt;")</f>
        <v>&lt;/li&gt;&lt;li&gt;&lt;a href=|http://biblebrowser.com/isaiah/39-1.htm| title=|Split View| target=|_top|&gt;Split&lt;/a&gt;</v>
      </c>
      <c r="AU718" s="2" t="s">
        <v>1276</v>
      </c>
      <c r="AV718" t="s">
        <v>64</v>
      </c>
    </row>
    <row r="719" spans="1:48">
      <c r="A719" t="s">
        <v>622</v>
      </c>
      <c r="B719" t="s">
        <v>1223</v>
      </c>
      <c r="C719" t="s">
        <v>624</v>
      </c>
      <c r="D719" t="s">
        <v>1268</v>
      </c>
      <c r="E719" t="s">
        <v>1277</v>
      </c>
      <c r="F719" t="s">
        <v>1304</v>
      </c>
      <c r="G719" t="s">
        <v>1266</v>
      </c>
      <c r="H719" t="s">
        <v>1305</v>
      </c>
      <c r="I719" t="s">
        <v>1303</v>
      </c>
      <c r="J719" t="s">
        <v>1267</v>
      </c>
      <c r="K719" t="s">
        <v>1275</v>
      </c>
      <c r="L719" s="2" t="s">
        <v>1274</v>
      </c>
      <c r="M719" t="str">
        <f t="shared" ref="M719:AB719" si="2872">CONCATENATE("&lt;/li&gt;&lt;li&gt;&lt;a href=|http://",M1191,"/isaiah/40.htm","| ","title=|",M1190,"| target=|_top|&gt;",M1192,"&lt;/a&gt;")</f>
        <v>&lt;/li&gt;&lt;li&gt;&lt;a href=|http://niv.scripturetext.com/isaiah/40.htm| title=|New International Version| target=|_top|&gt;NIV&lt;/a&gt;</v>
      </c>
      <c r="N719" t="str">
        <f t="shared" si="2872"/>
        <v>&lt;/li&gt;&lt;li&gt;&lt;a href=|http://nlt.scripturetext.com/isaiah/40.htm| title=|New Living Translation| target=|_top|&gt;NLT&lt;/a&gt;</v>
      </c>
      <c r="O719" t="str">
        <f t="shared" si="2872"/>
        <v>&lt;/li&gt;&lt;li&gt;&lt;a href=|http://nasb.scripturetext.com/isaiah/40.htm| title=|New American Standard Bible| target=|_top|&gt;NAS&lt;/a&gt;</v>
      </c>
      <c r="P719" t="str">
        <f t="shared" si="2872"/>
        <v>&lt;/li&gt;&lt;li&gt;&lt;a href=|http://gwt.scripturetext.com/isaiah/40.htm| title=|God's Word Translation| target=|_top|&gt;GWT&lt;/a&gt;</v>
      </c>
      <c r="Q719" t="str">
        <f t="shared" si="2872"/>
        <v>&lt;/li&gt;&lt;li&gt;&lt;a href=|http://kingjbible.com/isaiah/40.htm| title=|King James Bible| target=|_top|&gt;KJV&lt;/a&gt;</v>
      </c>
      <c r="R719" t="str">
        <f t="shared" si="2872"/>
        <v>&lt;/li&gt;&lt;li&gt;&lt;a href=|http://asvbible.com/isaiah/40.htm| title=|American Standard Version| target=|_top|&gt;ASV&lt;/a&gt;</v>
      </c>
      <c r="S719" t="str">
        <f t="shared" si="2872"/>
        <v>&lt;/li&gt;&lt;li&gt;&lt;a href=|http://drb.scripturetext.com/isaiah/40.htm| title=|Douay-Rheims Bible| target=|_top|&gt;DRB&lt;/a&gt;</v>
      </c>
      <c r="T719" t="str">
        <f t="shared" si="2872"/>
        <v>&lt;/li&gt;&lt;li&gt;&lt;a href=|http://erv.scripturetext.com/isaiah/40.htm| title=|English Revised Version| target=|_top|&gt;ERV&lt;/a&gt;</v>
      </c>
      <c r="V719" t="str">
        <f>CONCATENATE("&lt;/li&gt;&lt;li&gt;&lt;a href=|http://",V1191,"/isaiah/40.htm","| ","title=|",V1190,"| target=|_top|&gt;",V1192,"&lt;/a&gt;")</f>
        <v>&lt;/li&gt;&lt;li&gt;&lt;a href=|http://study.interlinearbible.org/isaiah/40.htm| title=|Hebrew Study Bible| target=|_top|&gt;Heb Study&lt;/a&gt;</v>
      </c>
      <c r="W719" t="str">
        <f t="shared" si="2872"/>
        <v>&lt;/li&gt;&lt;li&gt;&lt;a href=|http://apostolic.interlinearbible.org/isaiah/40.htm| title=|Apostolic Bible Polyglot Interlinear| target=|_top|&gt;Polyglot&lt;/a&gt;</v>
      </c>
      <c r="X719" t="str">
        <f t="shared" si="2872"/>
        <v>&lt;/li&gt;&lt;li&gt;&lt;a href=|http://interlinearbible.org/isaiah/40.htm| title=|Interlinear Bible| target=|_top|&gt;Interlin&lt;/a&gt;</v>
      </c>
      <c r="Y719" t="str">
        <f t="shared" ref="Y719" si="2873">CONCATENATE("&lt;/li&gt;&lt;li&gt;&lt;a href=|http://",Y1191,"/isaiah/40.htm","| ","title=|",Y1190,"| target=|_top|&gt;",Y1192,"&lt;/a&gt;")</f>
        <v>&lt;/li&gt;&lt;li&gt;&lt;a href=|http://bibleoutline.org/isaiah/40.htm| title=|Outline with People and Places List| target=|_top|&gt;Outline&lt;/a&gt;</v>
      </c>
      <c r="Z719" t="str">
        <f t="shared" si="2872"/>
        <v>&lt;/li&gt;&lt;li&gt;&lt;a href=|http://kjvs.scripturetext.com/isaiah/40.htm| title=|King James Bible with Strong's Numbers| target=|_top|&gt;Strong's&lt;/a&gt;</v>
      </c>
      <c r="AA719" t="str">
        <f t="shared" si="2872"/>
        <v>&lt;/li&gt;&lt;li&gt;&lt;a href=|http://childrensbibleonline.com/isaiah/40.htm| title=|The Children's Bible| target=|_top|&gt;Children's&lt;/a&gt;</v>
      </c>
      <c r="AB719" s="2" t="str">
        <f t="shared" si="2872"/>
        <v>&lt;/li&gt;&lt;li&gt;&lt;a href=|http://tsk.scripturetext.com/isaiah/40.htm| title=|Treasury of Scripture Knowledge| target=|_top|&gt;TSK&lt;/a&gt;</v>
      </c>
      <c r="AC719" t="str">
        <f>CONCATENATE("&lt;a href=|http://",AC1191,"/isaiah/40.htm","| ","title=|",AC1190,"| target=|_top|&gt;",AC1192,"&lt;/a&gt;")</f>
        <v>&lt;a href=|http://parallelbible.com/isaiah/40.htm| title=|Parallel Chapters| target=|_top|&gt;PAR&lt;/a&gt;</v>
      </c>
      <c r="AD719" s="2" t="str">
        <f t="shared" ref="AD719:AK719" si="2874">CONCATENATE("&lt;/li&gt;&lt;li&gt;&lt;a href=|http://",AD1191,"/isaiah/40.htm","| ","title=|",AD1190,"| target=|_top|&gt;",AD1192,"&lt;/a&gt;")</f>
        <v>&lt;/li&gt;&lt;li&gt;&lt;a href=|http://gsb.biblecommenter.com/isaiah/40.htm| title=|Geneva Study Bible| target=|_top|&gt;GSB&lt;/a&gt;</v>
      </c>
      <c r="AE719" s="2" t="str">
        <f t="shared" si="2874"/>
        <v>&lt;/li&gt;&lt;li&gt;&lt;a href=|http://jfb.biblecommenter.com/isaiah/40.htm| title=|Jamieson-Fausset-Brown Bible Commentary| target=|_top|&gt;JFB&lt;/a&gt;</v>
      </c>
      <c r="AF719" s="2" t="str">
        <f t="shared" si="2874"/>
        <v>&lt;/li&gt;&lt;li&gt;&lt;a href=|http://kjt.biblecommenter.com/isaiah/40.htm| title=|King James Translators' Notes| target=|_top|&gt;KJT&lt;/a&gt;</v>
      </c>
      <c r="AG719" s="2" t="str">
        <f t="shared" si="2874"/>
        <v>&lt;/li&gt;&lt;li&gt;&lt;a href=|http://mhc.biblecommenter.com/isaiah/40.htm| title=|Matthew Henry's Concise Commentary| target=|_top|&gt;MHC&lt;/a&gt;</v>
      </c>
      <c r="AH719" s="2" t="str">
        <f t="shared" si="2874"/>
        <v>&lt;/li&gt;&lt;li&gt;&lt;a href=|http://sco.biblecommenter.com/isaiah/40.htm| title=|Scofield Reference Notes| target=|_top|&gt;SCO&lt;/a&gt;</v>
      </c>
      <c r="AI719" s="2" t="str">
        <f t="shared" si="2874"/>
        <v>&lt;/li&gt;&lt;li&gt;&lt;a href=|http://wes.biblecommenter.com/isaiah/40.htm| title=|Wesley's Notes on the Bible| target=|_top|&gt;WES&lt;/a&gt;</v>
      </c>
      <c r="AJ719" t="str">
        <f t="shared" si="2874"/>
        <v>&lt;/li&gt;&lt;li&gt;&lt;a href=|http://worldebible.com/isaiah/40.htm| title=|World English Bible| target=|_top|&gt;WEB&lt;/a&gt;</v>
      </c>
      <c r="AK719" t="str">
        <f t="shared" si="2874"/>
        <v>&lt;/li&gt;&lt;li&gt;&lt;a href=|http://yltbible.com/isaiah/40.htm| title=|Young's Literal Translation| target=|_top|&gt;YLT&lt;/a&gt;</v>
      </c>
      <c r="AL719" t="str">
        <f>CONCATENATE("&lt;a href=|http://",AL1191,"/isaiah/40.htm","| ","title=|",AL1190,"| target=|_top|&gt;",AL1192,"&lt;/a&gt;")</f>
        <v>&lt;a href=|http://kjv.us/isaiah/40.htm| title=|American King James Version| target=|_top|&gt;AKJ&lt;/a&gt;</v>
      </c>
      <c r="AM719" t="str">
        <f t="shared" ref="AM719:AN719" si="2875">CONCATENATE("&lt;/li&gt;&lt;li&gt;&lt;a href=|http://",AM1191,"/isaiah/40.htm","| ","title=|",AM1190,"| target=|_top|&gt;",AM1192,"&lt;/a&gt;")</f>
        <v>&lt;/li&gt;&lt;li&gt;&lt;a href=|http://basicenglishbible.com/isaiah/40.htm| title=|Bible in Basic English| target=|_top|&gt;BBE&lt;/a&gt;</v>
      </c>
      <c r="AN719" t="str">
        <f t="shared" si="2875"/>
        <v>&lt;/li&gt;&lt;li&gt;&lt;a href=|http://darbybible.com/isaiah/40.htm| title=|Darby Bible Translation| target=|_top|&gt;DBY&lt;/a&gt;</v>
      </c>
      <c r="AO71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1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1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19" t="str">
        <f>CONCATENATE("&lt;/li&gt;&lt;li&gt;&lt;a href=|http://",AR1191,"/isaiah/40.htm","| ","title=|",AR1190,"| target=|_top|&gt;",AR1192,"&lt;/a&gt;")</f>
        <v>&lt;/li&gt;&lt;li&gt;&lt;a href=|http://websterbible.com/isaiah/40.htm| title=|Webster's Bible Translation| target=|_top|&gt;WBS&lt;/a&gt;</v>
      </c>
      <c r="AS71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19" t="str">
        <f>CONCATENATE("&lt;/li&gt;&lt;li&gt;&lt;a href=|http://",AT1191,"/isaiah/40-1.htm","| ","title=|",AT1190,"| target=|_top|&gt;",AT1192,"&lt;/a&gt;")</f>
        <v>&lt;/li&gt;&lt;li&gt;&lt;a href=|http://biblebrowser.com/isaiah/40-1.htm| title=|Split View| target=|_top|&gt;Split&lt;/a&gt;</v>
      </c>
      <c r="AU719" s="2" t="s">
        <v>1276</v>
      </c>
      <c r="AV719" t="s">
        <v>64</v>
      </c>
    </row>
    <row r="720" spans="1:48">
      <c r="A720" t="s">
        <v>622</v>
      </c>
      <c r="B720" t="s">
        <v>1224</v>
      </c>
      <c r="C720" t="s">
        <v>624</v>
      </c>
      <c r="D720" t="s">
        <v>1268</v>
      </c>
      <c r="E720" t="s">
        <v>1277</v>
      </c>
      <c r="F720" t="s">
        <v>1304</v>
      </c>
      <c r="G720" t="s">
        <v>1266</v>
      </c>
      <c r="H720" t="s">
        <v>1305</v>
      </c>
      <c r="I720" t="s">
        <v>1303</v>
      </c>
      <c r="J720" t="s">
        <v>1267</v>
      </c>
      <c r="K720" t="s">
        <v>1275</v>
      </c>
      <c r="L720" s="2" t="s">
        <v>1274</v>
      </c>
      <c r="M720" t="str">
        <f t="shared" ref="M720:AB720" si="2876">CONCATENATE("&lt;/li&gt;&lt;li&gt;&lt;a href=|http://",M1191,"/isaiah/41.htm","| ","title=|",M1190,"| target=|_top|&gt;",M1192,"&lt;/a&gt;")</f>
        <v>&lt;/li&gt;&lt;li&gt;&lt;a href=|http://niv.scripturetext.com/isaiah/41.htm| title=|New International Version| target=|_top|&gt;NIV&lt;/a&gt;</v>
      </c>
      <c r="N720" t="str">
        <f t="shared" si="2876"/>
        <v>&lt;/li&gt;&lt;li&gt;&lt;a href=|http://nlt.scripturetext.com/isaiah/41.htm| title=|New Living Translation| target=|_top|&gt;NLT&lt;/a&gt;</v>
      </c>
      <c r="O720" t="str">
        <f t="shared" si="2876"/>
        <v>&lt;/li&gt;&lt;li&gt;&lt;a href=|http://nasb.scripturetext.com/isaiah/41.htm| title=|New American Standard Bible| target=|_top|&gt;NAS&lt;/a&gt;</v>
      </c>
      <c r="P720" t="str">
        <f t="shared" si="2876"/>
        <v>&lt;/li&gt;&lt;li&gt;&lt;a href=|http://gwt.scripturetext.com/isaiah/41.htm| title=|God's Word Translation| target=|_top|&gt;GWT&lt;/a&gt;</v>
      </c>
      <c r="Q720" t="str">
        <f t="shared" si="2876"/>
        <v>&lt;/li&gt;&lt;li&gt;&lt;a href=|http://kingjbible.com/isaiah/41.htm| title=|King James Bible| target=|_top|&gt;KJV&lt;/a&gt;</v>
      </c>
      <c r="R720" t="str">
        <f t="shared" si="2876"/>
        <v>&lt;/li&gt;&lt;li&gt;&lt;a href=|http://asvbible.com/isaiah/41.htm| title=|American Standard Version| target=|_top|&gt;ASV&lt;/a&gt;</v>
      </c>
      <c r="S720" t="str">
        <f t="shared" si="2876"/>
        <v>&lt;/li&gt;&lt;li&gt;&lt;a href=|http://drb.scripturetext.com/isaiah/41.htm| title=|Douay-Rheims Bible| target=|_top|&gt;DRB&lt;/a&gt;</v>
      </c>
      <c r="T720" t="str">
        <f t="shared" si="2876"/>
        <v>&lt;/li&gt;&lt;li&gt;&lt;a href=|http://erv.scripturetext.com/isaiah/41.htm| title=|English Revised Version| target=|_top|&gt;ERV&lt;/a&gt;</v>
      </c>
      <c r="V720" t="str">
        <f>CONCATENATE("&lt;/li&gt;&lt;li&gt;&lt;a href=|http://",V1191,"/isaiah/41.htm","| ","title=|",V1190,"| target=|_top|&gt;",V1192,"&lt;/a&gt;")</f>
        <v>&lt;/li&gt;&lt;li&gt;&lt;a href=|http://study.interlinearbible.org/isaiah/41.htm| title=|Hebrew Study Bible| target=|_top|&gt;Heb Study&lt;/a&gt;</v>
      </c>
      <c r="W720" t="str">
        <f t="shared" si="2876"/>
        <v>&lt;/li&gt;&lt;li&gt;&lt;a href=|http://apostolic.interlinearbible.org/isaiah/41.htm| title=|Apostolic Bible Polyglot Interlinear| target=|_top|&gt;Polyglot&lt;/a&gt;</v>
      </c>
      <c r="X720" t="str">
        <f t="shared" si="2876"/>
        <v>&lt;/li&gt;&lt;li&gt;&lt;a href=|http://interlinearbible.org/isaiah/41.htm| title=|Interlinear Bible| target=|_top|&gt;Interlin&lt;/a&gt;</v>
      </c>
      <c r="Y720" t="str">
        <f t="shared" ref="Y720" si="2877">CONCATENATE("&lt;/li&gt;&lt;li&gt;&lt;a href=|http://",Y1191,"/isaiah/41.htm","| ","title=|",Y1190,"| target=|_top|&gt;",Y1192,"&lt;/a&gt;")</f>
        <v>&lt;/li&gt;&lt;li&gt;&lt;a href=|http://bibleoutline.org/isaiah/41.htm| title=|Outline with People and Places List| target=|_top|&gt;Outline&lt;/a&gt;</v>
      </c>
      <c r="Z720" t="str">
        <f t="shared" si="2876"/>
        <v>&lt;/li&gt;&lt;li&gt;&lt;a href=|http://kjvs.scripturetext.com/isaiah/41.htm| title=|King James Bible with Strong's Numbers| target=|_top|&gt;Strong's&lt;/a&gt;</v>
      </c>
      <c r="AA720" t="str">
        <f t="shared" si="2876"/>
        <v>&lt;/li&gt;&lt;li&gt;&lt;a href=|http://childrensbibleonline.com/isaiah/41.htm| title=|The Children's Bible| target=|_top|&gt;Children's&lt;/a&gt;</v>
      </c>
      <c r="AB720" s="2" t="str">
        <f t="shared" si="2876"/>
        <v>&lt;/li&gt;&lt;li&gt;&lt;a href=|http://tsk.scripturetext.com/isaiah/41.htm| title=|Treasury of Scripture Knowledge| target=|_top|&gt;TSK&lt;/a&gt;</v>
      </c>
      <c r="AC720" t="str">
        <f>CONCATENATE("&lt;a href=|http://",AC1191,"/isaiah/41.htm","| ","title=|",AC1190,"| target=|_top|&gt;",AC1192,"&lt;/a&gt;")</f>
        <v>&lt;a href=|http://parallelbible.com/isaiah/41.htm| title=|Parallel Chapters| target=|_top|&gt;PAR&lt;/a&gt;</v>
      </c>
      <c r="AD720" s="2" t="str">
        <f t="shared" ref="AD720:AK720" si="2878">CONCATENATE("&lt;/li&gt;&lt;li&gt;&lt;a href=|http://",AD1191,"/isaiah/41.htm","| ","title=|",AD1190,"| target=|_top|&gt;",AD1192,"&lt;/a&gt;")</f>
        <v>&lt;/li&gt;&lt;li&gt;&lt;a href=|http://gsb.biblecommenter.com/isaiah/41.htm| title=|Geneva Study Bible| target=|_top|&gt;GSB&lt;/a&gt;</v>
      </c>
      <c r="AE720" s="2" t="str">
        <f t="shared" si="2878"/>
        <v>&lt;/li&gt;&lt;li&gt;&lt;a href=|http://jfb.biblecommenter.com/isaiah/41.htm| title=|Jamieson-Fausset-Brown Bible Commentary| target=|_top|&gt;JFB&lt;/a&gt;</v>
      </c>
      <c r="AF720" s="2" t="str">
        <f t="shared" si="2878"/>
        <v>&lt;/li&gt;&lt;li&gt;&lt;a href=|http://kjt.biblecommenter.com/isaiah/41.htm| title=|King James Translators' Notes| target=|_top|&gt;KJT&lt;/a&gt;</v>
      </c>
      <c r="AG720" s="2" t="str">
        <f t="shared" si="2878"/>
        <v>&lt;/li&gt;&lt;li&gt;&lt;a href=|http://mhc.biblecommenter.com/isaiah/41.htm| title=|Matthew Henry's Concise Commentary| target=|_top|&gt;MHC&lt;/a&gt;</v>
      </c>
      <c r="AH720" s="2" t="str">
        <f t="shared" si="2878"/>
        <v>&lt;/li&gt;&lt;li&gt;&lt;a href=|http://sco.biblecommenter.com/isaiah/41.htm| title=|Scofield Reference Notes| target=|_top|&gt;SCO&lt;/a&gt;</v>
      </c>
      <c r="AI720" s="2" t="str">
        <f t="shared" si="2878"/>
        <v>&lt;/li&gt;&lt;li&gt;&lt;a href=|http://wes.biblecommenter.com/isaiah/41.htm| title=|Wesley's Notes on the Bible| target=|_top|&gt;WES&lt;/a&gt;</v>
      </c>
      <c r="AJ720" t="str">
        <f t="shared" si="2878"/>
        <v>&lt;/li&gt;&lt;li&gt;&lt;a href=|http://worldebible.com/isaiah/41.htm| title=|World English Bible| target=|_top|&gt;WEB&lt;/a&gt;</v>
      </c>
      <c r="AK720" t="str">
        <f t="shared" si="2878"/>
        <v>&lt;/li&gt;&lt;li&gt;&lt;a href=|http://yltbible.com/isaiah/41.htm| title=|Young's Literal Translation| target=|_top|&gt;YLT&lt;/a&gt;</v>
      </c>
      <c r="AL720" t="str">
        <f>CONCATENATE("&lt;a href=|http://",AL1191,"/isaiah/41.htm","| ","title=|",AL1190,"| target=|_top|&gt;",AL1192,"&lt;/a&gt;")</f>
        <v>&lt;a href=|http://kjv.us/isaiah/41.htm| title=|American King James Version| target=|_top|&gt;AKJ&lt;/a&gt;</v>
      </c>
      <c r="AM720" t="str">
        <f t="shared" ref="AM720:AN720" si="2879">CONCATENATE("&lt;/li&gt;&lt;li&gt;&lt;a href=|http://",AM1191,"/isaiah/41.htm","| ","title=|",AM1190,"| target=|_top|&gt;",AM1192,"&lt;/a&gt;")</f>
        <v>&lt;/li&gt;&lt;li&gt;&lt;a href=|http://basicenglishbible.com/isaiah/41.htm| title=|Bible in Basic English| target=|_top|&gt;BBE&lt;/a&gt;</v>
      </c>
      <c r="AN720" t="str">
        <f t="shared" si="2879"/>
        <v>&lt;/li&gt;&lt;li&gt;&lt;a href=|http://darbybible.com/isaiah/41.htm| title=|Darby Bible Translation| target=|_top|&gt;DBY&lt;/a&gt;</v>
      </c>
      <c r="AO72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2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2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20" t="str">
        <f>CONCATENATE("&lt;/li&gt;&lt;li&gt;&lt;a href=|http://",AR1191,"/isaiah/41.htm","| ","title=|",AR1190,"| target=|_top|&gt;",AR1192,"&lt;/a&gt;")</f>
        <v>&lt;/li&gt;&lt;li&gt;&lt;a href=|http://websterbible.com/isaiah/41.htm| title=|Webster's Bible Translation| target=|_top|&gt;WBS&lt;/a&gt;</v>
      </c>
      <c r="AS72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20" t="str">
        <f>CONCATENATE("&lt;/li&gt;&lt;li&gt;&lt;a href=|http://",AT1191,"/isaiah/41-1.htm","| ","title=|",AT1190,"| target=|_top|&gt;",AT1192,"&lt;/a&gt;")</f>
        <v>&lt;/li&gt;&lt;li&gt;&lt;a href=|http://biblebrowser.com/isaiah/41-1.htm| title=|Split View| target=|_top|&gt;Split&lt;/a&gt;</v>
      </c>
      <c r="AU720" s="2" t="s">
        <v>1276</v>
      </c>
      <c r="AV720" t="s">
        <v>64</v>
      </c>
    </row>
    <row r="721" spans="1:48">
      <c r="A721" t="s">
        <v>622</v>
      </c>
      <c r="B721" t="s">
        <v>1225</v>
      </c>
      <c r="C721" t="s">
        <v>624</v>
      </c>
      <c r="D721" t="s">
        <v>1268</v>
      </c>
      <c r="E721" t="s">
        <v>1277</v>
      </c>
      <c r="F721" t="s">
        <v>1304</v>
      </c>
      <c r="G721" t="s">
        <v>1266</v>
      </c>
      <c r="H721" t="s">
        <v>1305</v>
      </c>
      <c r="I721" t="s">
        <v>1303</v>
      </c>
      <c r="J721" t="s">
        <v>1267</v>
      </c>
      <c r="K721" t="s">
        <v>1275</v>
      </c>
      <c r="L721" s="2" t="s">
        <v>1274</v>
      </c>
      <c r="M721" t="str">
        <f t="shared" ref="M721:AB721" si="2880">CONCATENATE("&lt;/li&gt;&lt;li&gt;&lt;a href=|http://",M1191,"/isaiah/42.htm","| ","title=|",M1190,"| target=|_top|&gt;",M1192,"&lt;/a&gt;")</f>
        <v>&lt;/li&gt;&lt;li&gt;&lt;a href=|http://niv.scripturetext.com/isaiah/42.htm| title=|New International Version| target=|_top|&gt;NIV&lt;/a&gt;</v>
      </c>
      <c r="N721" t="str">
        <f t="shared" si="2880"/>
        <v>&lt;/li&gt;&lt;li&gt;&lt;a href=|http://nlt.scripturetext.com/isaiah/42.htm| title=|New Living Translation| target=|_top|&gt;NLT&lt;/a&gt;</v>
      </c>
      <c r="O721" t="str">
        <f t="shared" si="2880"/>
        <v>&lt;/li&gt;&lt;li&gt;&lt;a href=|http://nasb.scripturetext.com/isaiah/42.htm| title=|New American Standard Bible| target=|_top|&gt;NAS&lt;/a&gt;</v>
      </c>
      <c r="P721" t="str">
        <f t="shared" si="2880"/>
        <v>&lt;/li&gt;&lt;li&gt;&lt;a href=|http://gwt.scripturetext.com/isaiah/42.htm| title=|God's Word Translation| target=|_top|&gt;GWT&lt;/a&gt;</v>
      </c>
      <c r="Q721" t="str">
        <f t="shared" si="2880"/>
        <v>&lt;/li&gt;&lt;li&gt;&lt;a href=|http://kingjbible.com/isaiah/42.htm| title=|King James Bible| target=|_top|&gt;KJV&lt;/a&gt;</v>
      </c>
      <c r="R721" t="str">
        <f t="shared" si="2880"/>
        <v>&lt;/li&gt;&lt;li&gt;&lt;a href=|http://asvbible.com/isaiah/42.htm| title=|American Standard Version| target=|_top|&gt;ASV&lt;/a&gt;</v>
      </c>
      <c r="S721" t="str">
        <f t="shared" si="2880"/>
        <v>&lt;/li&gt;&lt;li&gt;&lt;a href=|http://drb.scripturetext.com/isaiah/42.htm| title=|Douay-Rheims Bible| target=|_top|&gt;DRB&lt;/a&gt;</v>
      </c>
      <c r="T721" t="str">
        <f t="shared" si="2880"/>
        <v>&lt;/li&gt;&lt;li&gt;&lt;a href=|http://erv.scripturetext.com/isaiah/42.htm| title=|English Revised Version| target=|_top|&gt;ERV&lt;/a&gt;</v>
      </c>
      <c r="V721" t="str">
        <f>CONCATENATE("&lt;/li&gt;&lt;li&gt;&lt;a href=|http://",V1191,"/isaiah/42.htm","| ","title=|",V1190,"| target=|_top|&gt;",V1192,"&lt;/a&gt;")</f>
        <v>&lt;/li&gt;&lt;li&gt;&lt;a href=|http://study.interlinearbible.org/isaiah/42.htm| title=|Hebrew Study Bible| target=|_top|&gt;Heb Study&lt;/a&gt;</v>
      </c>
      <c r="W721" t="str">
        <f t="shared" si="2880"/>
        <v>&lt;/li&gt;&lt;li&gt;&lt;a href=|http://apostolic.interlinearbible.org/isaiah/42.htm| title=|Apostolic Bible Polyglot Interlinear| target=|_top|&gt;Polyglot&lt;/a&gt;</v>
      </c>
      <c r="X721" t="str">
        <f t="shared" si="2880"/>
        <v>&lt;/li&gt;&lt;li&gt;&lt;a href=|http://interlinearbible.org/isaiah/42.htm| title=|Interlinear Bible| target=|_top|&gt;Interlin&lt;/a&gt;</v>
      </c>
      <c r="Y721" t="str">
        <f t="shared" ref="Y721" si="2881">CONCATENATE("&lt;/li&gt;&lt;li&gt;&lt;a href=|http://",Y1191,"/isaiah/42.htm","| ","title=|",Y1190,"| target=|_top|&gt;",Y1192,"&lt;/a&gt;")</f>
        <v>&lt;/li&gt;&lt;li&gt;&lt;a href=|http://bibleoutline.org/isaiah/42.htm| title=|Outline with People and Places List| target=|_top|&gt;Outline&lt;/a&gt;</v>
      </c>
      <c r="Z721" t="str">
        <f t="shared" si="2880"/>
        <v>&lt;/li&gt;&lt;li&gt;&lt;a href=|http://kjvs.scripturetext.com/isaiah/42.htm| title=|King James Bible with Strong's Numbers| target=|_top|&gt;Strong's&lt;/a&gt;</v>
      </c>
      <c r="AA721" t="str">
        <f t="shared" si="2880"/>
        <v>&lt;/li&gt;&lt;li&gt;&lt;a href=|http://childrensbibleonline.com/isaiah/42.htm| title=|The Children's Bible| target=|_top|&gt;Children's&lt;/a&gt;</v>
      </c>
      <c r="AB721" s="2" t="str">
        <f t="shared" si="2880"/>
        <v>&lt;/li&gt;&lt;li&gt;&lt;a href=|http://tsk.scripturetext.com/isaiah/42.htm| title=|Treasury of Scripture Knowledge| target=|_top|&gt;TSK&lt;/a&gt;</v>
      </c>
      <c r="AC721" t="str">
        <f>CONCATENATE("&lt;a href=|http://",AC1191,"/isaiah/42.htm","| ","title=|",AC1190,"| target=|_top|&gt;",AC1192,"&lt;/a&gt;")</f>
        <v>&lt;a href=|http://parallelbible.com/isaiah/42.htm| title=|Parallel Chapters| target=|_top|&gt;PAR&lt;/a&gt;</v>
      </c>
      <c r="AD721" s="2" t="str">
        <f t="shared" ref="AD721:AK721" si="2882">CONCATENATE("&lt;/li&gt;&lt;li&gt;&lt;a href=|http://",AD1191,"/isaiah/42.htm","| ","title=|",AD1190,"| target=|_top|&gt;",AD1192,"&lt;/a&gt;")</f>
        <v>&lt;/li&gt;&lt;li&gt;&lt;a href=|http://gsb.biblecommenter.com/isaiah/42.htm| title=|Geneva Study Bible| target=|_top|&gt;GSB&lt;/a&gt;</v>
      </c>
      <c r="AE721" s="2" t="str">
        <f t="shared" si="2882"/>
        <v>&lt;/li&gt;&lt;li&gt;&lt;a href=|http://jfb.biblecommenter.com/isaiah/42.htm| title=|Jamieson-Fausset-Brown Bible Commentary| target=|_top|&gt;JFB&lt;/a&gt;</v>
      </c>
      <c r="AF721" s="2" t="str">
        <f t="shared" si="2882"/>
        <v>&lt;/li&gt;&lt;li&gt;&lt;a href=|http://kjt.biblecommenter.com/isaiah/42.htm| title=|King James Translators' Notes| target=|_top|&gt;KJT&lt;/a&gt;</v>
      </c>
      <c r="AG721" s="2" t="str">
        <f t="shared" si="2882"/>
        <v>&lt;/li&gt;&lt;li&gt;&lt;a href=|http://mhc.biblecommenter.com/isaiah/42.htm| title=|Matthew Henry's Concise Commentary| target=|_top|&gt;MHC&lt;/a&gt;</v>
      </c>
      <c r="AH721" s="2" t="str">
        <f t="shared" si="2882"/>
        <v>&lt;/li&gt;&lt;li&gt;&lt;a href=|http://sco.biblecommenter.com/isaiah/42.htm| title=|Scofield Reference Notes| target=|_top|&gt;SCO&lt;/a&gt;</v>
      </c>
      <c r="AI721" s="2" t="str">
        <f t="shared" si="2882"/>
        <v>&lt;/li&gt;&lt;li&gt;&lt;a href=|http://wes.biblecommenter.com/isaiah/42.htm| title=|Wesley's Notes on the Bible| target=|_top|&gt;WES&lt;/a&gt;</v>
      </c>
      <c r="AJ721" t="str">
        <f t="shared" si="2882"/>
        <v>&lt;/li&gt;&lt;li&gt;&lt;a href=|http://worldebible.com/isaiah/42.htm| title=|World English Bible| target=|_top|&gt;WEB&lt;/a&gt;</v>
      </c>
      <c r="AK721" t="str">
        <f t="shared" si="2882"/>
        <v>&lt;/li&gt;&lt;li&gt;&lt;a href=|http://yltbible.com/isaiah/42.htm| title=|Young's Literal Translation| target=|_top|&gt;YLT&lt;/a&gt;</v>
      </c>
      <c r="AL721" t="str">
        <f>CONCATENATE("&lt;a href=|http://",AL1191,"/isaiah/42.htm","| ","title=|",AL1190,"| target=|_top|&gt;",AL1192,"&lt;/a&gt;")</f>
        <v>&lt;a href=|http://kjv.us/isaiah/42.htm| title=|American King James Version| target=|_top|&gt;AKJ&lt;/a&gt;</v>
      </c>
      <c r="AM721" t="str">
        <f t="shared" ref="AM721:AN721" si="2883">CONCATENATE("&lt;/li&gt;&lt;li&gt;&lt;a href=|http://",AM1191,"/isaiah/42.htm","| ","title=|",AM1190,"| target=|_top|&gt;",AM1192,"&lt;/a&gt;")</f>
        <v>&lt;/li&gt;&lt;li&gt;&lt;a href=|http://basicenglishbible.com/isaiah/42.htm| title=|Bible in Basic English| target=|_top|&gt;BBE&lt;/a&gt;</v>
      </c>
      <c r="AN721" t="str">
        <f t="shared" si="2883"/>
        <v>&lt;/li&gt;&lt;li&gt;&lt;a href=|http://darbybible.com/isaiah/42.htm| title=|Darby Bible Translation| target=|_top|&gt;DBY&lt;/a&gt;</v>
      </c>
      <c r="AO72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2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2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21" t="str">
        <f>CONCATENATE("&lt;/li&gt;&lt;li&gt;&lt;a href=|http://",AR1191,"/isaiah/42.htm","| ","title=|",AR1190,"| target=|_top|&gt;",AR1192,"&lt;/a&gt;")</f>
        <v>&lt;/li&gt;&lt;li&gt;&lt;a href=|http://websterbible.com/isaiah/42.htm| title=|Webster's Bible Translation| target=|_top|&gt;WBS&lt;/a&gt;</v>
      </c>
      <c r="AS72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21" t="str">
        <f>CONCATENATE("&lt;/li&gt;&lt;li&gt;&lt;a href=|http://",AT1191,"/isaiah/42-1.htm","| ","title=|",AT1190,"| target=|_top|&gt;",AT1192,"&lt;/a&gt;")</f>
        <v>&lt;/li&gt;&lt;li&gt;&lt;a href=|http://biblebrowser.com/isaiah/42-1.htm| title=|Split View| target=|_top|&gt;Split&lt;/a&gt;</v>
      </c>
      <c r="AU721" s="2" t="s">
        <v>1276</v>
      </c>
      <c r="AV721" t="s">
        <v>64</v>
      </c>
    </row>
    <row r="722" spans="1:48">
      <c r="A722" t="s">
        <v>622</v>
      </c>
      <c r="B722" t="s">
        <v>1226</v>
      </c>
      <c r="C722" t="s">
        <v>624</v>
      </c>
      <c r="D722" t="s">
        <v>1268</v>
      </c>
      <c r="E722" t="s">
        <v>1277</v>
      </c>
      <c r="F722" t="s">
        <v>1304</v>
      </c>
      <c r="G722" t="s">
        <v>1266</v>
      </c>
      <c r="H722" t="s">
        <v>1305</v>
      </c>
      <c r="I722" t="s">
        <v>1303</v>
      </c>
      <c r="J722" t="s">
        <v>1267</v>
      </c>
      <c r="K722" t="s">
        <v>1275</v>
      </c>
      <c r="L722" s="2" t="s">
        <v>1274</v>
      </c>
      <c r="M722" t="str">
        <f t="shared" ref="M722:AB722" si="2884">CONCATENATE("&lt;/li&gt;&lt;li&gt;&lt;a href=|http://",M1191,"/isaiah/43.htm","| ","title=|",M1190,"| target=|_top|&gt;",M1192,"&lt;/a&gt;")</f>
        <v>&lt;/li&gt;&lt;li&gt;&lt;a href=|http://niv.scripturetext.com/isaiah/43.htm| title=|New International Version| target=|_top|&gt;NIV&lt;/a&gt;</v>
      </c>
      <c r="N722" t="str">
        <f t="shared" si="2884"/>
        <v>&lt;/li&gt;&lt;li&gt;&lt;a href=|http://nlt.scripturetext.com/isaiah/43.htm| title=|New Living Translation| target=|_top|&gt;NLT&lt;/a&gt;</v>
      </c>
      <c r="O722" t="str">
        <f t="shared" si="2884"/>
        <v>&lt;/li&gt;&lt;li&gt;&lt;a href=|http://nasb.scripturetext.com/isaiah/43.htm| title=|New American Standard Bible| target=|_top|&gt;NAS&lt;/a&gt;</v>
      </c>
      <c r="P722" t="str">
        <f t="shared" si="2884"/>
        <v>&lt;/li&gt;&lt;li&gt;&lt;a href=|http://gwt.scripturetext.com/isaiah/43.htm| title=|God's Word Translation| target=|_top|&gt;GWT&lt;/a&gt;</v>
      </c>
      <c r="Q722" t="str">
        <f t="shared" si="2884"/>
        <v>&lt;/li&gt;&lt;li&gt;&lt;a href=|http://kingjbible.com/isaiah/43.htm| title=|King James Bible| target=|_top|&gt;KJV&lt;/a&gt;</v>
      </c>
      <c r="R722" t="str">
        <f t="shared" si="2884"/>
        <v>&lt;/li&gt;&lt;li&gt;&lt;a href=|http://asvbible.com/isaiah/43.htm| title=|American Standard Version| target=|_top|&gt;ASV&lt;/a&gt;</v>
      </c>
      <c r="S722" t="str">
        <f t="shared" si="2884"/>
        <v>&lt;/li&gt;&lt;li&gt;&lt;a href=|http://drb.scripturetext.com/isaiah/43.htm| title=|Douay-Rheims Bible| target=|_top|&gt;DRB&lt;/a&gt;</v>
      </c>
      <c r="T722" t="str">
        <f t="shared" si="2884"/>
        <v>&lt;/li&gt;&lt;li&gt;&lt;a href=|http://erv.scripturetext.com/isaiah/43.htm| title=|English Revised Version| target=|_top|&gt;ERV&lt;/a&gt;</v>
      </c>
      <c r="V722" t="str">
        <f>CONCATENATE("&lt;/li&gt;&lt;li&gt;&lt;a href=|http://",V1191,"/isaiah/43.htm","| ","title=|",V1190,"| target=|_top|&gt;",V1192,"&lt;/a&gt;")</f>
        <v>&lt;/li&gt;&lt;li&gt;&lt;a href=|http://study.interlinearbible.org/isaiah/43.htm| title=|Hebrew Study Bible| target=|_top|&gt;Heb Study&lt;/a&gt;</v>
      </c>
      <c r="W722" t="str">
        <f t="shared" si="2884"/>
        <v>&lt;/li&gt;&lt;li&gt;&lt;a href=|http://apostolic.interlinearbible.org/isaiah/43.htm| title=|Apostolic Bible Polyglot Interlinear| target=|_top|&gt;Polyglot&lt;/a&gt;</v>
      </c>
      <c r="X722" t="str">
        <f t="shared" si="2884"/>
        <v>&lt;/li&gt;&lt;li&gt;&lt;a href=|http://interlinearbible.org/isaiah/43.htm| title=|Interlinear Bible| target=|_top|&gt;Interlin&lt;/a&gt;</v>
      </c>
      <c r="Y722" t="str">
        <f t="shared" ref="Y722" si="2885">CONCATENATE("&lt;/li&gt;&lt;li&gt;&lt;a href=|http://",Y1191,"/isaiah/43.htm","| ","title=|",Y1190,"| target=|_top|&gt;",Y1192,"&lt;/a&gt;")</f>
        <v>&lt;/li&gt;&lt;li&gt;&lt;a href=|http://bibleoutline.org/isaiah/43.htm| title=|Outline with People and Places List| target=|_top|&gt;Outline&lt;/a&gt;</v>
      </c>
      <c r="Z722" t="str">
        <f t="shared" si="2884"/>
        <v>&lt;/li&gt;&lt;li&gt;&lt;a href=|http://kjvs.scripturetext.com/isaiah/43.htm| title=|King James Bible with Strong's Numbers| target=|_top|&gt;Strong's&lt;/a&gt;</v>
      </c>
      <c r="AA722" t="str">
        <f t="shared" si="2884"/>
        <v>&lt;/li&gt;&lt;li&gt;&lt;a href=|http://childrensbibleonline.com/isaiah/43.htm| title=|The Children's Bible| target=|_top|&gt;Children's&lt;/a&gt;</v>
      </c>
      <c r="AB722" s="2" t="str">
        <f t="shared" si="2884"/>
        <v>&lt;/li&gt;&lt;li&gt;&lt;a href=|http://tsk.scripturetext.com/isaiah/43.htm| title=|Treasury of Scripture Knowledge| target=|_top|&gt;TSK&lt;/a&gt;</v>
      </c>
      <c r="AC722" t="str">
        <f>CONCATENATE("&lt;a href=|http://",AC1191,"/isaiah/43.htm","| ","title=|",AC1190,"| target=|_top|&gt;",AC1192,"&lt;/a&gt;")</f>
        <v>&lt;a href=|http://parallelbible.com/isaiah/43.htm| title=|Parallel Chapters| target=|_top|&gt;PAR&lt;/a&gt;</v>
      </c>
      <c r="AD722" s="2" t="str">
        <f t="shared" ref="AD722:AK722" si="2886">CONCATENATE("&lt;/li&gt;&lt;li&gt;&lt;a href=|http://",AD1191,"/isaiah/43.htm","| ","title=|",AD1190,"| target=|_top|&gt;",AD1192,"&lt;/a&gt;")</f>
        <v>&lt;/li&gt;&lt;li&gt;&lt;a href=|http://gsb.biblecommenter.com/isaiah/43.htm| title=|Geneva Study Bible| target=|_top|&gt;GSB&lt;/a&gt;</v>
      </c>
      <c r="AE722" s="2" t="str">
        <f t="shared" si="2886"/>
        <v>&lt;/li&gt;&lt;li&gt;&lt;a href=|http://jfb.biblecommenter.com/isaiah/43.htm| title=|Jamieson-Fausset-Brown Bible Commentary| target=|_top|&gt;JFB&lt;/a&gt;</v>
      </c>
      <c r="AF722" s="2" t="str">
        <f t="shared" si="2886"/>
        <v>&lt;/li&gt;&lt;li&gt;&lt;a href=|http://kjt.biblecommenter.com/isaiah/43.htm| title=|King James Translators' Notes| target=|_top|&gt;KJT&lt;/a&gt;</v>
      </c>
      <c r="AG722" s="2" t="str">
        <f t="shared" si="2886"/>
        <v>&lt;/li&gt;&lt;li&gt;&lt;a href=|http://mhc.biblecommenter.com/isaiah/43.htm| title=|Matthew Henry's Concise Commentary| target=|_top|&gt;MHC&lt;/a&gt;</v>
      </c>
      <c r="AH722" s="2" t="str">
        <f t="shared" si="2886"/>
        <v>&lt;/li&gt;&lt;li&gt;&lt;a href=|http://sco.biblecommenter.com/isaiah/43.htm| title=|Scofield Reference Notes| target=|_top|&gt;SCO&lt;/a&gt;</v>
      </c>
      <c r="AI722" s="2" t="str">
        <f t="shared" si="2886"/>
        <v>&lt;/li&gt;&lt;li&gt;&lt;a href=|http://wes.biblecommenter.com/isaiah/43.htm| title=|Wesley's Notes on the Bible| target=|_top|&gt;WES&lt;/a&gt;</v>
      </c>
      <c r="AJ722" t="str">
        <f t="shared" si="2886"/>
        <v>&lt;/li&gt;&lt;li&gt;&lt;a href=|http://worldebible.com/isaiah/43.htm| title=|World English Bible| target=|_top|&gt;WEB&lt;/a&gt;</v>
      </c>
      <c r="AK722" t="str">
        <f t="shared" si="2886"/>
        <v>&lt;/li&gt;&lt;li&gt;&lt;a href=|http://yltbible.com/isaiah/43.htm| title=|Young's Literal Translation| target=|_top|&gt;YLT&lt;/a&gt;</v>
      </c>
      <c r="AL722" t="str">
        <f>CONCATENATE("&lt;a href=|http://",AL1191,"/isaiah/43.htm","| ","title=|",AL1190,"| target=|_top|&gt;",AL1192,"&lt;/a&gt;")</f>
        <v>&lt;a href=|http://kjv.us/isaiah/43.htm| title=|American King James Version| target=|_top|&gt;AKJ&lt;/a&gt;</v>
      </c>
      <c r="AM722" t="str">
        <f t="shared" ref="AM722:AN722" si="2887">CONCATENATE("&lt;/li&gt;&lt;li&gt;&lt;a href=|http://",AM1191,"/isaiah/43.htm","| ","title=|",AM1190,"| target=|_top|&gt;",AM1192,"&lt;/a&gt;")</f>
        <v>&lt;/li&gt;&lt;li&gt;&lt;a href=|http://basicenglishbible.com/isaiah/43.htm| title=|Bible in Basic English| target=|_top|&gt;BBE&lt;/a&gt;</v>
      </c>
      <c r="AN722" t="str">
        <f t="shared" si="2887"/>
        <v>&lt;/li&gt;&lt;li&gt;&lt;a href=|http://darbybible.com/isaiah/43.htm| title=|Darby Bible Translation| target=|_top|&gt;DBY&lt;/a&gt;</v>
      </c>
      <c r="AO72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2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2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22" t="str">
        <f>CONCATENATE("&lt;/li&gt;&lt;li&gt;&lt;a href=|http://",AR1191,"/isaiah/43.htm","| ","title=|",AR1190,"| target=|_top|&gt;",AR1192,"&lt;/a&gt;")</f>
        <v>&lt;/li&gt;&lt;li&gt;&lt;a href=|http://websterbible.com/isaiah/43.htm| title=|Webster's Bible Translation| target=|_top|&gt;WBS&lt;/a&gt;</v>
      </c>
      <c r="AS72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22" t="str">
        <f>CONCATENATE("&lt;/li&gt;&lt;li&gt;&lt;a href=|http://",AT1191,"/isaiah/43-1.htm","| ","title=|",AT1190,"| target=|_top|&gt;",AT1192,"&lt;/a&gt;")</f>
        <v>&lt;/li&gt;&lt;li&gt;&lt;a href=|http://biblebrowser.com/isaiah/43-1.htm| title=|Split View| target=|_top|&gt;Split&lt;/a&gt;</v>
      </c>
      <c r="AU722" s="2" t="s">
        <v>1276</v>
      </c>
      <c r="AV722" t="s">
        <v>64</v>
      </c>
    </row>
    <row r="723" spans="1:48">
      <c r="A723" t="s">
        <v>622</v>
      </c>
      <c r="B723" t="s">
        <v>1227</v>
      </c>
      <c r="C723" t="s">
        <v>624</v>
      </c>
      <c r="D723" t="s">
        <v>1268</v>
      </c>
      <c r="E723" t="s">
        <v>1277</v>
      </c>
      <c r="F723" t="s">
        <v>1304</v>
      </c>
      <c r="G723" t="s">
        <v>1266</v>
      </c>
      <c r="H723" t="s">
        <v>1305</v>
      </c>
      <c r="I723" t="s">
        <v>1303</v>
      </c>
      <c r="J723" t="s">
        <v>1267</v>
      </c>
      <c r="K723" t="s">
        <v>1275</v>
      </c>
      <c r="L723" s="2" t="s">
        <v>1274</v>
      </c>
      <c r="M723" t="str">
        <f t="shared" ref="M723:AB723" si="2888">CONCATENATE("&lt;/li&gt;&lt;li&gt;&lt;a href=|http://",M1191,"/isaiah/44.htm","| ","title=|",M1190,"| target=|_top|&gt;",M1192,"&lt;/a&gt;")</f>
        <v>&lt;/li&gt;&lt;li&gt;&lt;a href=|http://niv.scripturetext.com/isaiah/44.htm| title=|New International Version| target=|_top|&gt;NIV&lt;/a&gt;</v>
      </c>
      <c r="N723" t="str">
        <f t="shared" si="2888"/>
        <v>&lt;/li&gt;&lt;li&gt;&lt;a href=|http://nlt.scripturetext.com/isaiah/44.htm| title=|New Living Translation| target=|_top|&gt;NLT&lt;/a&gt;</v>
      </c>
      <c r="O723" t="str">
        <f t="shared" si="2888"/>
        <v>&lt;/li&gt;&lt;li&gt;&lt;a href=|http://nasb.scripturetext.com/isaiah/44.htm| title=|New American Standard Bible| target=|_top|&gt;NAS&lt;/a&gt;</v>
      </c>
      <c r="P723" t="str">
        <f t="shared" si="2888"/>
        <v>&lt;/li&gt;&lt;li&gt;&lt;a href=|http://gwt.scripturetext.com/isaiah/44.htm| title=|God's Word Translation| target=|_top|&gt;GWT&lt;/a&gt;</v>
      </c>
      <c r="Q723" t="str">
        <f t="shared" si="2888"/>
        <v>&lt;/li&gt;&lt;li&gt;&lt;a href=|http://kingjbible.com/isaiah/44.htm| title=|King James Bible| target=|_top|&gt;KJV&lt;/a&gt;</v>
      </c>
      <c r="R723" t="str">
        <f t="shared" si="2888"/>
        <v>&lt;/li&gt;&lt;li&gt;&lt;a href=|http://asvbible.com/isaiah/44.htm| title=|American Standard Version| target=|_top|&gt;ASV&lt;/a&gt;</v>
      </c>
      <c r="S723" t="str">
        <f t="shared" si="2888"/>
        <v>&lt;/li&gt;&lt;li&gt;&lt;a href=|http://drb.scripturetext.com/isaiah/44.htm| title=|Douay-Rheims Bible| target=|_top|&gt;DRB&lt;/a&gt;</v>
      </c>
      <c r="T723" t="str">
        <f t="shared" si="2888"/>
        <v>&lt;/li&gt;&lt;li&gt;&lt;a href=|http://erv.scripturetext.com/isaiah/44.htm| title=|English Revised Version| target=|_top|&gt;ERV&lt;/a&gt;</v>
      </c>
      <c r="V723" t="str">
        <f>CONCATENATE("&lt;/li&gt;&lt;li&gt;&lt;a href=|http://",V1191,"/isaiah/44.htm","| ","title=|",V1190,"| target=|_top|&gt;",V1192,"&lt;/a&gt;")</f>
        <v>&lt;/li&gt;&lt;li&gt;&lt;a href=|http://study.interlinearbible.org/isaiah/44.htm| title=|Hebrew Study Bible| target=|_top|&gt;Heb Study&lt;/a&gt;</v>
      </c>
      <c r="W723" t="str">
        <f t="shared" si="2888"/>
        <v>&lt;/li&gt;&lt;li&gt;&lt;a href=|http://apostolic.interlinearbible.org/isaiah/44.htm| title=|Apostolic Bible Polyglot Interlinear| target=|_top|&gt;Polyglot&lt;/a&gt;</v>
      </c>
      <c r="X723" t="str">
        <f t="shared" si="2888"/>
        <v>&lt;/li&gt;&lt;li&gt;&lt;a href=|http://interlinearbible.org/isaiah/44.htm| title=|Interlinear Bible| target=|_top|&gt;Interlin&lt;/a&gt;</v>
      </c>
      <c r="Y723" t="str">
        <f t="shared" ref="Y723" si="2889">CONCATENATE("&lt;/li&gt;&lt;li&gt;&lt;a href=|http://",Y1191,"/isaiah/44.htm","| ","title=|",Y1190,"| target=|_top|&gt;",Y1192,"&lt;/a&gt;")</f>
        <v>&lt;/li&gt;&lt;li&gt;&lt;a href=|http://bibleoutline.org/isaiah/44.htm| title=|Outline with People and Places List| target=|_top|&gt;Outline&lt;/a&gt;</v>
      </c>
      <c r="Z723" t="str">
        <f t="shared" si="2888"/>
        <v>&lt;/li&gt;&lt;li&gt;&lt;a href=|http://kjvs.scripturetext.com/isaiah/44.htm| title=|King James Bible with Strong's Numbers| target=|_top|&gt;Strong's&lt;/a&gt;</v>
      </c>
      <c r="AA723" t="str">
        <f t="shared" si="2888"/>
        <v>&lt;/li&gt;&lt;li&gt;&lt;a href=|http://childrensbibleonline.com/isaiah/44.htm| title=|The Children's Bible| target=|_top|&gt;Children's&lt;/a&gt;</v>
      </c>
      <c r="AB723" s="2" t="str">
        <f t="shared" si="2888"/>
        <v>&lt;/li&gt;&lt;li&gt;&lt;a href=|http://tsk.scripturetext.com/isaiah/44.htm| title=|Treasury of Scripture Knowledge| target=|_top|&gt;TSK&lt;/a&gt;</v>
      </c>
      <c r="AC723" t="str">
        <f>CONCATENATE("&lt;a href=|http://",AC1191,"/isaiah/44.htm","| ","title=|",AC1190,"| target=|_top|&gt;",AC1192,"&lt;/a&gt;")</f>
        <v>&lt;a href=|http://parallelbible.com/isaiah/44.htm| title=|Parallel Chapters| target=|_top|&gt;PAR&lt;/a&gt;</v>
      </c>
      <c r="AD723" s="2" t="str">
        <f t="shared" ref="AD723:AK723" si="2890">CONCATENATE("&lt;/li&gt;&lt;li&gt;&lt;a href=|http://",AD1191,"/isaiah/44.htm","| ","title=|",AD1190,"| target=|_top|&gt;",AD1192,"&lt;/a&gt;")</f>
        <v>&lt;/li&gt;&lt;li&gt;&lt;a href=|http://gsb.biblecommenter.com/isaiah/44.htm| title=|Geneva Study Bible| target=|_top|&gt;GSB&lt;/a&gt;</v>
      </c>
      <c r="AE723" s="2" t="str">
        <f t="shared" si="2890"/>
        <v>&lt;/li&gt;&lt;li&gt;&lt;a href=|http://jfb.biblecommenter.com/isaiah/44.htm| title=|Jamieson-Fausset-Brown Bible Commentary| target=|_top|&gt;JFB&lt;/a&gt;</v>
      </c>
      <c r="AF723" s="2" t="str">
        <f t="shared" si="2890"/>
        <v>&lt;/li&gt;&lt;li&gt;&lt;a href=|http://kjt.biblecommenter.com/isaiah/44.htm| title=|King James Translators' Notes| target=|_top|&gt;KJT&lt;/a&gt;</v>
      </c>
      <c r="AG723" s="2" t="str">
        <f t="shared" si="2890"/>
        <v>&lt;/li&gt;&lt;li&gt;&lt;a href=|http://mhc.biblecommenter.com/isaiah/44.htm| title=|Matthew Henry's Concise Commentary| target=|_top|&gt;MHC&lt;/a&gt;</v>
      </c>
      <c r="AH723" s="2" t="str">
        <f t="shared" si="2890"/>
        <v>&lt;/li&gt;&lt;li&gt;&lt;a href=|http://sco.biblecommenter.com/isaiah/44.htm| title=|Scofield Reference Notes| target=|_top|&gt;SCO&lt;/a&gt;</v>
      </c>
      <c r="AI723" s="2" t="str">
        <f t="shared" si="2890"/>
        <v>&lt;/li&gt;&lt;li&gt;&lt;a href=|http://wes.biblecommenter.com/isaiah/44.htm| title=|Wesley's Notes on the Bible| target=|_top|&gt;WES&lt;/a&gt;</v>
      </c>
      <c r="AJ723" t="str">
        <f t="shared" si="2890"/>
        <v>&lt;/li&gt;&lt;li&gt;&lt;a href=|http://worldebible.com/isaiah/44.htm| title=|World English Bible| target=|_top|&gt;WEB&lt;/a&gt;</v>
      </c>
      <c r="AK723" t="str">
        <f t="shared" si="2890"/>
        <v>&lt;/li&gt;&lt;li&gt;&lt;a href=|http://yltbible.com/isaiah/44.htm| title=|Young's Literal Translation| target=|_top|&gt;YLT&lt;/a&gt;</v>
      </c>
      <c r="AL723" t="str">
        <f>CONCATENATE("&lt;a href=|http://",AL1191,"/isaiah/44.htm","| ","title=|",AL1190,"| target=|_top|&gt;",AL1192,"&lt;/a&gt;")</f>
        <v>&lt;a href=|http://kjv.us/isaiah/44.htm| title=|American King James Version| target=|_top|&gt;AKJ&lt;/a&gt;</v>
      </c>
      <c r="AM723" t="str">
        <f t="shared" ref="AM723:AN723" si="2891">CONCATENATE("&lt;/li&gt;&lt;li&gt;&lt;a href=|http://",AM1191,"/isaiah/44.htm","| ","title=|",AM1190,"| target=|_top|&gt;",AM1192,"&lt;/a&gt;")</f>
        <v>&lt;/li&gt;&lt;li&gt;&lt;a href=|http://basicenglishbible.com/isaiah/44.htm| title=|Bible in Basic English| target=|_top|&gt;BBE&lt;/a&gt;</v>
      </c>
      <c r="AN723" t="str">
        <f t="shared" si="2891"/>
        <v>&lt;/li&gt;&lt;li&gt;&lt;a href=|http://darbybible.com/isaiah/44.htm| title=|Darby Bible Translation| target=|_top|&gt;DBY&lt;/a&gt;</v>
      </c>
      <c r="AO72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2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2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23" t="str">
        <f>CONCATENATE("&lt;/li&gt;&lt;li&gt;&lt;a href=|http://",AR1191,"/isaiah/44.htm","| ","title=|",AR1190,"| target=|_top|&gt;",AR1192,"&lt;/a&gt;")</f>
        <v>&lt;/li&gt;&lt;li&gt;&lt;a href=|http://websterbible.com/isaiah/44.htm| title=|Webster's Bible Translation| target=|_top|&gt;WBS&lt;/a&gt;</v>
      </c>
      <c r="AS72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23" t="str">
        <f>CONCATENATE("&lt;/li&gt;&lt;li&gt;&lt;a href=|http://",AT1191,"/isaiah/44-1.htm","| ","title=|",AT1190,"| target=|_top|&gt;",AT1192,"&lt;/a&gt;")</f>
        <v>&lt;/li&gt;&lt;li&gt;&lt;a href=|http://biblebrowser.com/isaiah/44-1.htm| title=|Split View| target=|_top|&gt;Split&lt;/a&gt;</v>
      </c>
      <c r="AU723" s="2" t="s">
        <v>1276</v>
      </c>
      <c r="AV723" t="s">
        <v>64</v>
      </c>
    </row>
    <row r="724" spans="1:48">
      <c r="A724" t="s">
        <v>622</v>
      </c>
      <c r="B724" t="s">
        <v>1228</v>
      </c>
      <c r="C724" t="s">
        <v>624</v>
      </c>
      <c r="D724" t="s">
        <v>1268</v>
      </c>
      <c r="E724" t="s">
        <v>1277</v>
      </c>
      <c r="F724" t="s">
        <v>1304</v>
      </c>
      <c r="G724" t="s">
        <v>1266</v>
      </c>
      <c r="H724" t="s">
        <v>1305</v>
      </c>
      <c r="I724" t="s">
        <v>1303</v>
      </c>
      <c r="J724" t="s">
        <v>1267</v>
      </c>
      <c r="K724" t="s">
        <v>1275</v>
      </c>
      <c r="L724" s="2" t="s">
        <v>1274</v>
      </c>
      <c r="M724" t="str">
        <f t="shared" ref="M724:AB724" si="2892">CONCATENATE("&lt;/li&gt;&lt;li&gt;&lt;a href=|http://",M1191,"/isaiah/45.htm","| ","title=|",M1190,"| target=|_top|&gt;",M1192,"&lt;/a&gt;")</f>
        <v>&lt;/li&gt;&lt;li&gt;&lt;a href=|http://niv.scripturetext.com/isaiah/45.htm| title=|New International Version| target=|_top|&gt;NIV&lt;/a&gt;</v>
      </c>
      <c r="N724" t="str">
        <f t="shared" si="2892"/>
        <v>&lt;/li&gt;&lt;li&gt;&lt;a href=|http://nlt.scripturetext.com/isaiah/45.htm| title=|New Living Translation| target=|_top|&gt;NLT&lt;/a&gt;</v>
      </c>
      <c r="O724" t="str">
        <f t="shared" si="2892"/>
        <v>&lt;/li&gt;&lt;li&gt;&lt;a href=|http://nasb.scripturetext.com/isaiah/45.htm| title=|New American Standard Bible| target=|_top|&gt;NAS&lt;/a&gt;</v>
      </c>
      <c r="P724" t="str">
        <f t="shared" si="2892"/>
        <v>&lt;/li&gt;&lt;li&gt;&lt;a href=|http://gwt.scripturetext.com/isaiah/45.htm| title=|God's Word Translation| target=|_top|&gt;GWT&lt;/a&gt;</v>
      </c>
      <c r="Q724" t="str">
        <f t="shared" si="2892"/>
        <v>&lt;/li&gt;&lt;li&gt;&lt;a href=|http://kingjbible.com/isaiah/45.htm| title=|King James Bible| target=|_top|&gt;KJV&lt;/a&gt;</v>
      </c>
      <c r="R724" t="str">
        <f t="shared" si="2892"/>
        <v>&lt;/li&gt;&lt;li&gt;&lt;a href=|http://asvbible.com/isaiah/45.htm| title=|American Standard Version| target=|_top|&gt;ASV&lt;/a&gt;</v>
      </c>
      <c r="S724" t="str">
        <f t="shared" si="2892"/>
        <v>&lt;/li&gt;&lt;li&gt;&lt;a href=|http://drb.scripturetext.com/isaiah/45.htm| title=|Douay-Rheims Bible| target=|_top|&gt;DRB&lt;/a&gt;</v>
      </c>
      <c r="T724" t="str">
        <f t="shared" si="2892"/>
        <v>&lt;/li&gt;&lt;li&gt;&lt;a href=|http://erv.scripturetext.com/isaiah/45.htm| title=|English Revised Version| target=|_top|&gt;ERV&lt;/a&gt;</v>
      </c>
      <c r="V724" t="str">
        <f>CONCATENATE("&lt;/li&gt;&lt;li&gt;&lt;a href=|http://",V1191,"/isaiah/45.htm","| ","title=|",V1190,"| target=|_top|&gt;",V1192,"&lt;/a&gt;")</f>
        <v>&lt;/li&gt;&lt;li&gt;&lt;a href=|http://study.interlinearbible.org/isaiah/45.htm| title=|Hebrew Study Bible| target=|_top|&gt;Heb Study&lt;/a&gt;</v>
      </c>
      <c r="W724" t="str">
        <f t="shared" si="2892"/>
        <v>&lt;/li&gt;&lt;li&gt;&lt;a href=|http://apostolic.interlinearbible.org/isaiah/45.htm| title=|Apostolic Bible Polyglot Interlinear| target=|_top|&gt;Polyglot&lt;/a&gt;</v>
      </c>
      <c r="X724" t="str">
        <f t="shared" si="2892"/>
        <v>&lt;/li&gt;&lt;li&gt;&lt;a href=|http://interlinearbible.org/isaiah/45.htm| title=|Interlinear Bible| target=|_top|&gt;Interlin&lt;/a&gt;</v>
      </c>
      <c r="Y724" t="str">
        <f t="shared" ref="Y724" si="2893">CONCATENATE("&lt;/li&gt;&lt;li&gt;&lt;a href=|http://",Y1191,"/isaiah/45.htm","| ","title=|",Y1190,"| target=|_top|&gt;",Y1192,"&lt;/a&gt;")</f>
        <v>&lt;/li&gt;&lt;li&gt;&lt;a href=|http://bibleoutline.org/isaiah/45.htm| title=|Outline with People and Places List| target=|_top|&gt;Outline&lt;/a&gt;</v>
      </c>
      <c r="Z724" t="str">
        <f t="shared" si="2892"/>
        <v>&lt;/li&gt;&lt;li&gt;&lt;a href=|http://kjvs.scripturetext.com/isaiah/45.htm| title=|King James Bible with Strong's Numbers| target=|_top|&gt;Strong's&lt;/a&gt;</v>
      </c>
      <c r="AA724" t="str">
        <f t="shared" si="2892"/>
        <v>&lt;/li&gt;&lt;li&gt;&lt;a href=|http://childrensbibleonline.com/isaiah/45.htm| title=|The Children's Bible| target=|_top|&gt;Children's&lt;/a&gt;</v>
      </c>
      <c r="AB724" s="2" t="str">
        <f t="shared" si="2892"/>
        <v>&lt;/li&gt;&lt;li&gt;&lt;a href=|http://tsk.scripturetext.com/isaiah/45.htm| title=|Treasury of Scripture Knowledge| target=|_top|&gt;TSK&lt;/a&gt;</v>
      </c>
      <c r="AC724" t="str">
        <f>CONCATENATE("&lt;a href=|http://",AC1191,"/isaiah/45.htm","| ","title=|",AC1190,"| target=|_top|&gt;",AC1192,"&lt;/a&gt;")</f>
        <v>&lt;a href=|http://parallelbible.com/isaiah/45.htm| title=|Parallel Chapters| target=|_top|&gt;PAR&lt;/a&gt;</v>
      </c>
      <c r="AD724" s="2" t="str">
        <f t="shared" ref="AD724:AK724" si="2894">CONCATENATE("&lt;/li&gt;&lt;li&gt;&lt;a href=|http://",AD1191,"/isaiah/45.htm","| ","title=|",AD1190,"| target=|_top|&gt;",AD1192,"&lt;/a&gt;")</f>
        <v>&lt;/li&gt;&lt;li&gt;&lt;a href=|http://gsb.biblecommenter.com/isaiah/45.htm| title=|Geneva Study Bible| target=|_top|&gt;GSB&lt;/a&gt;</v>
      </c>
      <c r="AE724" s="2" t="str">
        <f t="shared" si="2894"/>
        <v>&lt;/li&gt;&lt;li&gt;&lt;a href=|http://jfb.biblecommenter.com/isaiah/45.htm| title=|Jamieson-Fausset-Brown Bible Commentary| target=|_top|&gt;JFB&lt;/a&gt;</v>
      </c>
      <c r="AF724" s="2" t="str">
        <f t="shared" si="2894"/>
        <v>&lt;/li&gt;&lt;li&gt;&lt;a href=|http://kjt.biblecommenter.com/isaiah/45.htm| title=|King James Translators' Notes| target=|_top|&gt;KJT&lt;/a&gt;</v>
      </c>
      <c r="AG724" s="2" t="str">
        <f t="shared" si="2894"/>
        <v>&lt;/li&gt;&lt;li&gt;&lt;a href=|http://mhc.biblecommenter.com/isaiah/45.htm| title=|Matthew Henry's Concise Commentary| target=|_top|&gt;MHC&lt;/a&gt;</v>
      </c>
      <c r="AH724" s="2" t="str">
        <f t="shared" si="2894"/>
        <v>&lt;/li&gt;&lt;li&gt;&lt;a href=|http://sco.biblecommenter.com/isaiah/45.htm| title=|Scofield Reference Notes| target=|_top|&gt;SCO&lt;/a&gt;</v>
      </c>
      <c r="AI724" s="2" t="str">
        <f t="shared" si="2894"/>
        <v>&lt;/li&gt;&lt;li&gt;&lt;a href=|http://wes.biblecommenter.com/isaiah/45.htm| title=|Wesley's Notes on the Bible| target=|_top|&gt;WES&lt;/a&gt;</v>
      </c>
      <c r="AJ724" t="str">
        <f t="shared" si="2894"/>
        <v>&lt;/li&gt;&lt;li&gt;&lt;a href=|http://worldebible.com/isaiah/45.htm| title=|World English Bible| target=|_top|&gt;WEB&lt;/a&gt;</v>
      </c>
      <c r="AK724" t="str">
        <f t="shared" si="2894"/>
        <v>&lt;/li&gt;&lt;li&gt;&lt;a href=|http://yltbible.com/isaiah/45.htm| title=|Young's Literal Translation| target=|_top|&gt;YLT&lt;/a&gt;</v>
      </c>
      <c r="AL724" t="str">
        <f>CONCATENATE("&lt;a href=|http://",AL1191,"/isaiah/45.htm","| ","title=|",AL1190,"| target=|_top|&gt;",AL1192,"&lt;/a&gt;")</f>
        <v>&lt;a href=|http://kjv.us/isaiah/45.htm| title=|American King James Version| target=|_top|&gt;AKJ&lt;/a&gt;</v>
      </c>
      <c r="AM724" t="str">
        <f t="shared" ref="AM724:AN724" si="2895">CONCATENATE("&lt;/li&gt;&lt;li&gt;&lt;a href=|http://",AM1191,"/isaiah/45.htm","| ","title=|",AM1190,"| target=|_top|&gt;",AM1192,"&lt;/a&gt;")</f>
        <v>&lt;/li&gt;&lt;li&gt;&lt;a href=|http://basicenglishbible.com/isaiah/45.htm| title=|Bible in Basic English| target=|_top|&gt;BBE&lt;/a&gt;</v>
      </c>
      <c r="AN724" t="str">
        <f t="shared" si="2895"/>
        <v>&lt;/li&gt;&lt;li&gt;&lt;a href=|http://darbybible.com/isaiah/45.htm| title=|Darby Bible Translation| target=|_top|&gt;DBY&lt;/a&gt;</v>
      </c>
      <c r="AO72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2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2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24" t="str">
        <f>CONCATENATE("&lt;/li&gt;&lt;li&gt;&lt;a href=|http://",AR1191,"/isaiah/45.htm","| ","title=|",AR1190,"| target=|_top|&gt;",AR1192,"&lt;/a&gt;")</f>
        <v>&lt;/li&gt;&lt;li&gt;&lt;a href=|http://websterbible.com/isaiah/45.htm| title=|Webster's Bible Translation| target=|_top|&gt;WBS&lt;/a&gt;</v>
      </c>
      <c r="AS72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24" t="str">
        <f>CONCATENATE("&lt;/li&gt;&lt;li&gt;&lt;a href=|http://",AT1191,"/isaiah/45-1.htm","| ","title=|",AT1190,"| target=|_top|&gt;",AT1192,"&lt;/a&gt;")</f>
        <v>&lt;/li&gt;&lt;li&gt;&lt;a href=|http://biblebrowser.com/isaiah/45-1.htm| title=|Split View| target=|_top|&gt;Split&lt;/a&gt;</v>
      </c>
      <c r="AU724" s="2" t="s">
        <v>1276</v>
      </c>
      <c r="AV724" t="s">
        <v>64</v>
      </c>
    </row>
    <row r="725" spans="1:48">
      <c r="A725" t="s">
        <v>622</v>
      </c>
      <c r="B725" t="s">
        <v>1229</v>
      </c>
      <c r="C725" t="s">
        <v>624</v>
      </c>
      <c r="D725" t="s">
        <v>1268</v>
      </c>
      <c r="E725" t="s">
        <v>1277</v>
      </c>
      <c r="F725" t="s">
        <v>1304</v>
      </c>
      <c r="G725" t="s">
        <v>1266</v>
      </c>
      <c r="H725" t="s">
        <v>1305</v>
      </c>
      <c r="I725" t="s">
        <v>1303</v>
      </c>
      <c r="J725" t="s">
        <v>1267</v>
      </c>
      <c r="K725" t="s">
        <v>1275</v>
      </c>
      <c r="L725" s="2" t="s">
        <v>1274</v>
      </c>
      <c r="M725" t="str">
        <f t="shared" ref="M725:AB725" si="2896">CONCATENATE("&lt;/li&gt;&lt;li&gt;&lt;a href=|http://",M1191,"/isaiah/46.htm","| ","title=|",M1190,"| target=|_top|&gt;",M1192,"&lt;/a&gt;")</f>
        <v>&lt;/li&gt;&lt;li&gt;&lt;a href=|http://niv.scripturetext.com/isaiah/46.htm| title=|New International Version| target=|_top|&gt;NIV&lt;/a&gt;</v>
      </c>
      <c r="N725" t="str">
        <f t="shared" si="2896"/>
        <v>&lt;/li&gt;&lt;li&gt;&lt;a href=|http://nlt.scripturetext.com/isaiah/46.htm| title=|New Living Translation| target=|_top|&gt;NLT&lt;/a&gt;</v>
      </c>
      <c r="O725" t="str">
        <f t="shared" si="2896"/>
        <v>&lt;/li&gt;&lt;li&gt;&lt;a href=|http://nasb.scripturetext.com/isaiah/46.htm| title=|New American Standard Bible| target=|_top|&gt;NAS&lt;/a&gt;</v>
      </c>
      <c r="P725" t="str">
        <f t="shared" si="2896"/>
        <v>&lt;/li&gt;&lt;li&gt;&lt;a href=|http://gwt.scripturetext.com/isaiah/46.htm| title=|God's Word Translation| target=|_top|&gt;GWT&lt;/a&gt;</v>
      </c>
      <c r="Q725" t="str">
        <f t="shared" si="2896"/>
        <v>&lt;/li&gt;&lt;li&gt;&lt;a href=|http://kingjbible.com/isaiah/46.htm| title=|King James Bible| target=|_top|&gt;KJV&lt;/a&gt;</v>
      </c>
      <c r="R725" t="str">
        <f t="shared" si="2896"/>
        <v>&lt;/li&gt;&lt;li&gt;&lt;a href=|http://asvbible.com/isaiah/46.htm| title=|American Standard Version| target=|_top|&gt;ASV&lt;/a&gt;</v>
      </c>
      <c r="S725" t="str">
        <f t="shared" si="2896"/>
        <v>&lt;/li&gt;&lt;li&gt;&lt;a href=|http://drb.scripturetext.com/isaiah/46.htm| title=|Douay-Rheims Bible| target=|_top|&gt;DRB&lt;/a&gt;</v>
      </c>
      <c r="T725" t="str">
        <f t="shared" si="2896"/>
        <v>&lt;/li&gt;&lt;li&gt;&lt;a href=|http://erv.scripturetext.com/isaiah/46.htm| title=|English Revised Version| target=|_top|&gt;ERV&lt;/a&gt;</v>
      </c>
      <c r="V725" t="str">
        <f>CONCATENATE("&lt;/li&gt;&lt;li&gt;&lt;a href=|http://",V1191,"/isaiah/46.htm","| ","title=|",V1190,"| target=|_top|&gt;",V1192,"&lt;/a&gt;")</f>
        <v>&lt;/li&gt;&lt;li&gt;&lt;a href=|http://study.interlinearbible.org/isaiah/46.htm| title=|Hebrew Study Bible| target=|_top|&gt;Heb Study&lt;/a&gt;</v>
      </c>
      <c r="W725" t="str">
        <f t="shared" si="2896"/>
        <v>&lt;/li&gt;&lt;li&gt;&lt;a href=|http://apostolic.interlinearbible.org/isaiah/46.htm| title=|Apostolic Bible Polyglot Interlinear| target=|_top|&gt;Polyglot&lt;/a&gt;</v>
      </c>
      <c r="X725" t="str">
        <f t="shared" si="2896"/>
        <v>&lt;/li&gt;&lt;li&gt;&lt;a href=|http://interlinearbible.org/isaiah/46.htm| title=|Interlinear Bible| target=|_top|&gt;Interlin&lt;/a&gt;</v>
      </c>
      <c r="Y725" t="str">
        <f t="shared" ref="Y725" si="2897">CONCATENATE("&lt;/li&gt;&lt;li&gt;&lt;a href=|http://",Y1191,"/isaiah/46.htm","| ","title=|",Y1190,"| target=|_top|&gt;",Y1192,"&lt;/a&gt;")</f>
        <v>&lt;/li&gt;&lt;li&gt;&lt;a href=|http://bibleoutline.org/isaiah/46.htm| title=|Outline with People and Places List| target=|_top|&gt;Outline&lt;/a&gt;</v>
      </c>
      <c r="Z725" t="str">
        <f t="shared" si="2896"/>
        <v>&lt;/li&gt;&lt;li&gt;&lt;a href=|http://kjvs.scripturetext.com/isaiah/46.htm| title=|King James Bible with Strong's Numbers| target=|_top|&gt;Strong's&lt;/a&gt;</v>
      </c>
      <c r="AA725" t="str">
        <f t="shared" si="2896"/>
        <v>&lt;/li&gt;&lt;li&gt;&lt;a href=|http://childrensbibleonline.com/isaiah/46.htm| title=|The Children's Bible| target=|_top|&gt;Children's&lt;/a&gt;</v>
      </c>
      <c r="AB725" s="2" t="str">
        <f t="shared" si="2896"/>
        <v>&lt;/li&gt;&lt;li&gt;&lt;a href=|http://tsk.scripturetext.com/isaiah/46.htm| title=|Treasury of Scripture Knowledge| target=|_top|&gt;TSK&lt;/a&gt;</v>
      </c>
      <c r="AC725" t="str">
        <f>CONCATENATE("&lt;a href=|http://",AC1191,"/isaiah/46.htm","| ","title=|",AC1190,"| target=|_top|&gt;",AC1192,"&lt;/a&gt;")</f>
        <v>&lt;a href=|http://parallelbible.com/isaiah/46.htm| title=|Parallel Chapters| target=|_top|&gt;PAR&lt;/a&gt;</v>
      </c>
      <c r="AD725" s="2" t="str">
        <f t="shared" ref="AD725:AK725" si="2898">CONCATENATE("&lt;/li&gt;&lt;li&gt;&lt;a href=|http://",AD1191,"/isaiah/46.htm","| ","title=|",AD1190,"| target=|_top|&gt;",AD1192,"&lt;/a&gt;")</f>
        <v>&lt;/li&gt;&lt;li&gt;&lt;a href=|http://gsb.biblecommenter.com/isaiah/46.htm| title=|Geneva Study Bible| target=|_top|&gt;GSB&lt;/a&gt;</v>
      </c>
      <c r="AE725" s="2" t="str">
        <f t="shared" si="2898"/>
        <v>&lt;/li&gt;&lt;li&gt;&lt;a href=|http://jfb.biblecommenter.com/isaiah/46.htm| title=|Jamieson-Fausset-Brown Bible Commentary| target=|_top|&gt;JFB&lt;/a&gt;</v>
      </c>
      <c r="AF725" s="2" t="str">
        <f t="shared" si="2898"/>
        <v>&lt;/li&gt;&lt;li&gt;&lt;a href=|http://kjt.biblecommenter.com/isaiah/46.htm| title=|King James Translators' Notes| target=|_top|&gt;KJT&lt;/a&gt;</v>
      </c>
      <c r="AG725" s="2" t="str">
        <f t="shared" si="2898"/>
        <v>&lt;/li&gt;&lt;li&gt;&lt;a href=|http://mhc.biblecommenter.com/isaiah/46.htm| title=|Matthew Henry's Concise Commentary| target=|_top|&gt;MHC&lt;/a&gt;</v>
      </c>
      <c r="AH725" s="2" t="str">
        <f t="shared" si="2898"/>
        <v>&lt;/li&gt;&lt;li&gt;&lt;a href=|http://sco.biblecommenter.com/isaiah/46.htm| title=|Scofield Reference Notes| target=|_top|&gt;SCO&lt;/a&gt;</v>
      </c>
      <c r="AI725" s="2" t="str">
        <f t="shared" si="2898"/>
        <v>&lt;/li&gt;&lt;li&gt;&lt;a href=|http://wes.biblecommenter.com/isaiah/46.htm| title=|Wesley's Notes on the Bible| target=|_top|&gt;WES&lt;/a&gt;</v>
      </c>
      <c r="AJ725" t="str">
        <f t="shared" si="2898"/>
        <v>&lt;/li&gt;&lt;li&gt;&lt;a href=|http://worldebible.com/isaiah/46.htm| title=|World English Bible| target=|_top|&gt;WEB&lt;/a&gt;</v>
      </c>
      <c r="AK725" t="str">
        <f t="shared" si="2898"/>
        <v>&lt;/li&gt;&lt;li&gt;&lt;a href=|http://yltbible.com/isaiah/46.htm| title=|Young's Literal Translation| target=|_top|&gt;YLT&lt;/a&gt;</v>
      </c>
      <c r="AL725" t="str">
        <f>CONCATENATE("&lt;a href=|http://",AL1191,"/isaiah/46.htm","| ","title=|",AL1190,"| target=|_top|&gt;",AL1192,"&lt;/a&gt;")</f>
        <v>&lt;a href=|http://kjv.us/isaiah/46.htm| title=|American King James Version| target=|_top|&gt;AKJ&lt;/a&gt;</v>
      </c>
      <c r="AM725" t="str">
        <f t="shared" ref="AM725:AN725" si="2899">CONCATENATE("&lt;/li&gt;&lt;li&gt;&lt;a href=|http://",AM1191,"/isaiah/46.htm","| ","title=|",AM1190,"| target=|_top|&gt;",AM1192,"&lt;/a&gt;")</f>
        <v>&lt;/li&gt;&lt;li&gt;&lt;a href=|http://basicenglishbible.com/isaiah/46.htm| title=|Bible in Basic English| target=|_top|&gt;BBE&lt;/a&gt;</v>
      </c>
      <c r="AN725" t="str">
        <f t="shared" si="2899"/>
        <v>&lt;/li&gt;&lt;li&gt;&lt;a href=|http://darbybible.com/isaiah/46.htm| title=|Darby Bible Translation| target=|_top|&gt;DBY&lt;/a&gt;</v>
      </c>
      <c r="AO72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2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2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25" t="str">
        <f>CONCATENATE("&lt;/li&gt;&lt;li&gt;&lt;a href=|http://",AR1191,"/isaiah/46.htm","| ","title=|",AR1190,"| target=|_top|&gt;",AR1192,"&lt;/a&gt;")</f>
        <v>&lt;/li&gt;&lt;li&gt;&lt;a href=|http://websterbible.com/isaiah/46.htm| title=|Webster's Bible Translation| target=|_top|&gt;WBS&lt;/a&gt;</v>
      </c>
      <c r="AS72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25" t="str">
        <f>CONCATENATE("&lt;/li&gt;&lt;li&gt;&lt;a href=|http://",AT1191,"/isaiah/46-1.htm","| ","title=|",AT1190,"| target=|_top|&gt;",AT1192,"&lt;/a&gt;")</f>
        <v>&lt;/li&gt;&lt;li&gt;&lt;a href=|http://biblebrowser.com/isaiah/46-1.htm| title=|Split View| target=|_top|&gt;Split&lt;/a&gt;</v>
      </c>
      <c r="AU725" s="2" t="s">
        <v>1276</v>
      </c>
      <c r="AV725" t="s">
        <v>64</v>
      </c>
    </row>
    <row r="726" spans="1:48">
      <c r="A726" t="s">
        <v>622</v>
      </c>
      <c r="B726" t="s">
        <v>1230</v>
      </c>
      <c r="C726" t="s">
        <v>624</v>
      </c>
      <c r="D726" t="s">
        <v>1268</v>
      </c>
      <c r="E726" t="s">
        <v>1277</v>
      </c>
      <c r="F726" t="s">
        <v>1304</v>
      </c>
      <c r="G726" t="s">
        <v>1266</v>
      </c>
      <c r="H726" t="s">
        <v>1305</v>
      </c>
      <c r="I726" t="s">
        <v>1303</v>
      </c>
      <c r="J726" t="s">
        <v>1267</v>
      </c>
      <c r="K726" t="s">
        <v>1275</v>
      </c>
      <c r="L726" s="2" t="s">
        <v>1274</v>
      </c>
      <c r="M726" t="str">
        <f t="shared" ref="M726:AB726" si="2900">CONCATENATE("&lt;/li&gt;&lt;li&gt;&lt;a href=|http://",M1191,"/isaiah/47.htm","| ","title=|",M1190,"| target=|_top|&gt;",M1192,"&lt;/a&gt;")</f>
        <v>&lt;/li&gt;&lt;li&gt;&lt;a href=|http://niv.scripturetext.com/isaiah/47.htm| title=|New International Version| target=|_top|&gt;NIV&lt;/a&gt;</v>
      </c>
      <c r="N726" t="str">
        <f t="shared" si="2900"/>
        <v>&lt;/li&gt;&lt;li&gt;&lt;a href=|http://nlt.scripturetext.com/isaiah/47.htm| title=|New Living Translation| target=|_top|&gt;NLT&lt;/a&gt;</v>
      </c>
      <c r="O726" t="str">
        <f t="shared" si="2900"/>
        <v>&lt;/li&gt;&lt;li&gt;&lt;a href=|http://nasb.scripturetext.com/isaiah/47.htm| title=|New American Standard Bible| target=|_top|&gt;NAS&lt;/a&gt;</v>
      </c>
      <c r="P726" t="str">
        <f t="shared" si="2900"/>
        <v>&lt;/li&gt;&lt;li&gt;&lt;a href=|http://gwt.scripturetext.com/isaiah/47.htm| title=|God's Word Translation| target=|_top|&gt;GWT&lt;/a&gt;</v>
      </c>
      <c r="Q726" t="str">
        <f t="shared" si="2900"/>
        <v>&lt;/li&gt;&lt;li&gt;&lt;a href=|http://kingjbible.com/isaiah/47.htm| title=|King James Bible| target=|_top|&gt;KJV&lt;/a&gt;</v>
      </c>
      <c r="R726" t="str">
        <f t="shared" si="2900"/>
        <v>&lt;/li&gt;&lt;li&gt;&lt;a href=|http://asvbible.com/isaiah/47.htm| title=|American Standard Version| target=|_top|&gt;ASV&lt;/a&gt;</v>
      </c>
      <c r="S726" t="str">
        <f t="shared" si="2900"/>
        <v>&lt;/li&gt;&lt;li&gt;&lt;a href=|http://drb.scripturetext.com/isaiah/47.htm| title=|Douay-Rheims Bible| target=|_top|&gt;DRB&lt;/a&gt;</v>
      </c>
      <c r="T726" t="str">
        <f t="shared" si="2900"/>
        <v>&lt;/li&gt;&lt;li&gt;&lt;a href=|http://erv.scripturetext.com/isaiah/47.htm| title=|English Revised Version| target=|_top|&gt;ERV&lt;/a&gt;</v>
      </c>
      <c r="V726" t="str">
        <f>CONCATENATE("&lt;/li&gt;&lt;li&gt;&lt;a href=|http://",V1191,"/isaiah/47.htm","| ","title=|",V1190,"| target=|_top|&gt;",V1192,"&lt;/a&gt;")</f>
        <v>&lt;/li&gt;&lt;li&gt;&lt;a href=|http://study.interlinearbible.org/isaiah/47.htm| title=|Hebrew Study Bible| target=|_top|&gt;Heb Study&lt;/a&gt;</v>
      </c>
      <c r="W726" t="str">
        <f t="shared" si="2900"/>
        <v>&lt;/li&gt;&lt;li&gt;&lt;a href=|http://apostolic.interlinearbible.org/isaiah/47.htm| title=|Apostolic Bible Polyglot Interlinear| target=|_top|&gt;Polyglot&lt;/a&gt;</v>
      </c>
      <c r="X726" t="str">
        <f t="shared" si="2900"/>
        <v>&lt;/li&gt;&lt;li&gt;&lt;a href=|http://interlinearbible.org/isaiah/47.htm| title=|Interlinear Bible| target=|_top|&gt;Interlin&lt;/a&gt;</v>
      </c>
      <c r="Y726" t="str">
        <f t="shared" ref="Y726" si="2901">CONCATENATE("&lt;/li&gt;&lt;li&gt;&lt;a href=|http://",Y1191,"/isaiah/47.htm","| ","title=|",Y1190,"| target=|_top|&gt;",Y1192,"&lt;/a&gt;")</f>
        <v>&lt;/li&gt;&lt;li&gt;&lt;a href=|http://bibleoutline.org/isaiah/47.htm| title=|Outline with People and Places List| target=|_top|&gt;Outline&lt;/a&gt;</v>
      </c>
      <c r="Z726" t="str">
        <f t="shared" si="2900"/>
        <v>&lt;/li&gt;&lt;li&gt;&lt;a href=|http://kjvs.scripturetext.com/isaiah/47.htm| title=|King James Bible with Strong's Numbers| target=|_top|&gt;Strong's&lt;/a&gt;</v>
      </c>
      <c r="AA726" t="str">
        <f t="shared" si="2900"/>
        <v>&lt;/li&gt;&lt;li&gt;&lt;a href=|http://childrensbibleonline.com/isaiah/47.htm| title=|The Children's Bible| target=|_top|&gt;Children's&lt;/a&gt;</v>
      </c>
      <c r="AB726" s="2" t="str">
        <f t="shared" si="2900"/>
        <v>&lt;/li&gt;&lt;li&gt;&lt;a href=|http://tsk.scripturetext.com/isaiah/47.htm| title=|Treasury of Scripture Knowledge| target=|_top|&gt;TSK&lt;/a&gt;</v>
      </c>
      <c r="AC726" t="str">
        <f>CONCATENATE("&lt;a href=|http://",AC1191,"/isaiah/47.htm","| ","title=|",AC1190,"| target=|_top|&gt;",AC1192,"&lt;/a&gt;")</f>
        <v>&lt;a href=|http://parallelbible.com/isaiah/47.htm| title=|Parallel Chapters| target=|_top|&gt;PAR&lt;/a&gt;</v>
      </c>
      <c r="AD726" s="2" t="str">
        <f t="shared" ref="AD726:AK726" si="2902">CONCATENATE("&lt;/li&gt;&lt;li&gt;&lt;a href=|http://",AD1191,"/isaiah/47.htm","| ","title=|",AD1190,"| target=|_top|&gt;",AD1192,"&lt;/a&gt;")</f>
        <v>&lt;/li&gt;&lt;li&gt;&lt;a href=|http://gsb.biblecommenter.com/isaiah/47.htm| title=|Geneva Study Bible| target=|_top|&gt;GSB&lt;/a&gt;</v>
      </c>
      <c r="AE726" s="2" t="str">
        <f t="shared" si="2902"/>
        <v>&lt;/li&gt;&lt;li&gt;&lt;a href=|http://jfb.biblecommenter.com/isaiah/47.htm| title=|Jamieson-Fausset-Brown Bible Commentary| target=|_top|&gt;JFB&lt;/a&gt;</v>
      </c>
      <c r="AF726" s="2" t="str">
        <f t="shared" si="2902"/>
        <v>&lt;/li&gt;&lt;li&gt;&lt;a href=|http://kjt.biblecommenter.com/isaiah/47.htm| title=|King James Translators' Notes| target=|_top|&gt;KJT&lt;/a&gt;</v>
      </c>
      <c r="AG726" s="2" t="str">
        <f t="shared" si="2902"/>
        <v>&lt;/li&gt;&lt;li&gt;&lt;a href=|http://mhc.biblecommenter.com/isaiah/47.htm| title=|Matthew Henry's Concise Commentary| target=|_top|&gt;MHC&lt;/a&gt;</v>
      </c>
      <c r="AH726" s="2" t="str">
        <f t="shared" si="2902"/>
        <v>&lt;/li&gt;&lt;li&gt;&lt;a href=|http://sco.biblecommenter.com/isaiah/47.htm| title=|Scofield Reference Notes| target=|_top|&gt;SCO&lt;/a&gt;</v>
      </c>
      <c r="AI726" s="2" t="str">
        <f t="shared" si="2902"/>
        <v>&lt;/li&gt;&lt;li&gt;&lt;a href=|http://wes.biblecommenter.com/isaiah/47.htm| title=|Wesley's Notes on the Bible| target=|_top|&gt;WES&lt;/a&gt;</v>
      </c>
      <c r="AJ726" t="str">
        <f t="shared" si="2902"/>
        <v>&lt;/li&gt;&lt;li&gt;&lt;a href=|http://worldebible.com/isaiah/47.htm| title=|World English Bible| target=|_top|&gt;WEB&lt;/a&gt;</v>
      </c>
      <c r="AK726" t="str">
        <f t="shared" si="2902"/>
        <v>&lt;/li&gt;&lt;li&gt;&lt;a href=|http://yltbible.com/isaiah/47.htm| title=|Young's Literal Translation| target=|_top|&gt;YLT&lt;/a&gt;</v>
      </c>
      <c r="AL726" t="str">
        <f>CONCATENATE("&lt;a href=|http://",AL1191,"/isaiah/47.htm","| ","title=|",AL1190,"| target=|_top|&gt;",AL1192,"&lt;/a&gt;")</f>
        <v>&lt;a href=|http://kjv.us/isaiah/47.htm| title=|American King James Version| target=|_top|&gt;AKJ&lt;/a&gt;</v>
      </c>
      <c r="AM726" t="str">
        <f t="shared" ref="AM726:AN726" si="2903">CONCATENATE("&lt;/li&gt;&lt;li&gt;&lt;a href=|http://",AM1191,"/isaiah/47.htm","| ","title=|",AM1190,"| target=|_top|&gt;",AM1192,"&lt;/a&gt;")</f>
        <v>&lt;/li&gt;&lt;li&gt;&lt;a href=|http://basicenglishbible.com/isaiah/47.htm| title=|Bible in Basic English| target=|_top|&gt;BBE&lt;/a&gt;</v>
      </c>
      <c r="AN726" t="str">
        <f t="shared" si="2903"/>
        <v>&lt;/li&gt;&lt;li&gt;&lt;a href=|http://darbybible.com/isaiah/47.htm| title=|Darby Bible Translation| target=|_top|&gt;DBY&lt;/a&gt;</v>
      </c>
      <c r="AO72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2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2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26" t="str">
        <f>CONCATENATE("&lt;/li&gt;&lt;li&gt;&lt;a href=|http://",AR1191,"/isaiah/47.htm","| ","title=|",AR1190,"| target=|_top|&gt;",AR1192,"&lt;/a&gt;")</f>
        <v>&lt;/li&gt;&lt;li&gt;&lt;a href=|http://websterbible.com/isaiah/47.htm| title=|Webster's Bible Translation| target=|_top|&gt;WBS&lt;/a&gt;</v>
      </c>
      <c r="AS72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26" t="str">
        <f>CONCATENATE("&lt;/li&gt;&lt;li&gt;&lt;a href=|http://",AT1191,"/isaiah/47-1.htm","| ","title=|",AT1190,"| target=|_top|&gt;",AT1192,"&lt;/a&gt;")</f>
        <v>&lt;/li&gt;&lt;li&gt;&lt;a href=|http://biblebrowser.com/isaiah/47-1.htm| title=|Split View| target=|_top|&gt;Split&lt;/a&gt;</v>
      </c>
      <c r="AU726" s="2" t="s">
        <v>1276</v>
      </c>
      <c r="AV726" t="s">
        <v>64</v>
      </c>
    </row>
    <row r="727" spans="1:48">
      <c r="A727" t="s">
        <v>622</v>
      </c>
      <c r="B727" t="s">
        <v>1231</v>
      </c>
      <c r="C727" t="s">
        <v>624</v>
      </c>
      <c r="D727" t="s">
        <v>1268</v>
      </c>
      <c r="E727" t="s">
        <v>1277</v>
      </c>
      <c r="F727" t="s">
        <v>1304</v>
      </c>
      <c r="G727" t="s">
        <v>1266</v>
      </c>
      <c r="H727" t="s">
        <v>1305</v>
      </c>
      <c r="I727" t="s">
        <v>1303</v>
      </c>
      <c r="J727" t="s">
        <v>1267</v>
      </c>
      <c r="K727" t="s">
        <v>1275</v>
      </c>
      <c r="L727" s="2" t="s">
        <v>1274</v>
      </c>
      <c r="M727" t="str">
        <f t="shared" ref="M727:AB727" si="2904">CONCATENATE("&lt;/li&gt;&lt;li&gt;&lt;a href=|http://",M1191,"/isaiah/48.htm","| ","title=|",M1190,"| target=|_top|&gt;",M1192,"&lt;/a&gt;")</f>
        <v>&lt;/li&gt;&lt;li&gt;&lt;a href=|http://niv.scripturetext.com/isaiah/48.htm| title=|New International Version| target=|_top|&gt;NIV&lt;/a&gt;</v>
      </c>
      <c r="N727" t="str">
        <f t="shared" si="2904"/>
        <v>&lt;/li&gt;&lt;li&gt;&lt;a href=|http://nlt.scripturetext.com/isaiah/48.htm| title=|New Living Translation| target=|_top|&gt;NLT&lt;/a&gt;</v>
      </c>
      <c r="O727" t="str">
        <f t="shared" si="2904"/>
        <v>&lt;/li&gt;&lt;li&gt;&lt;a href=|http://nasb.scripturetext.com/isaiah/48.htm| title=|New American Standard Bible| target=|_top|&gt;NAS&lt;/a&gt;</v>
      </c>
      <c r="P727" t="str">
        <f t="shared" si="2904"/>
        <v>&lt;/li&gt;&lt;li&gt;&lt;a href=|http://gwt.scripturetext.com/isaiah/48.htm| title=|God's Word Translation| target=|_top|&gt;GWT&lt;/a&gt;</v>
      </c>
      <c r="Q727" t="str">
        <f t="shared" si="2904"/>
        <v>&lt;/li&gt;&lt;li&gt;&lt;a href=|http://kingjbible.com/isaiah/48.htm| title=|King James Bible| target=|_top|&gt;KJV&lt;/a&gt;</v>
      </c>
      <c r="R727" t="str">
        <f t="shared" si="2904"/>
        <v>&lt;/li&gt;&lt;li&gt;&lt;a href=|http://asvbible.com/isaiah/48.htm| title=|American Standard Version| target=|_top|&gt;ASV&lt;/a&gt;</v>
      </c>
      <c r="S727" t="str">
        <f t="shared" si="2904"/>
        <v>&lt;/li&gt;&lt;li&gt;&lt;a href=|http://drb.scripturetext.com/isaiah/48.htm| title=|Douay-Rheims Bible| target=|_top|&gt;DRB&lt;/a&gt;</v>
      </c>
      <c r="T727" t="str">
        <f t="shared" si="2904"/>
        <v>&lt;/li&gt;&lt;li&gt;&lt;a href=|http://erv.scripturetext.com/isaiah/48.htm| title=|English Revised Version| target=|_top|&gt;ERV&lt;/a&gt;</v>
      </c>
      <c r="V727" t="str">
        <f>CONCATENATE("&lt;/li&gt;&lt;li&gt;&lt;a href=|http://",V1191,"/isaiah/48.htm","| ","title=|",V1190,"| target=|_top|&gt;",V1192,"&lt;/a&gt;")</f>
        <v>&lt;/li&gt;&lt;li&gt;&lt;a href=|http://study.interlinearbible.org/isaiah/48.htm| title=|Hebrew Study Bible| target=|_top|&gt;Heb Study&lt;/a&gt;</v>
      </c>
      <c r="W727" t="str">
        <f t="shared" si="2904"/>
        <v>&lt;/li&gt;&lt;li&gt;&lt;a href=|http://apostolic.interlinearbible.org/isaiah/48.htm| title=|Apostolic Bible Polyglot Interlinear| target=|_top|&gt;Polyglot&lt;/a&gt;</v>
      </c>
      <c r="X727" t="str">
        <f t="shared" si="2904"/>
        <v>&lt;/li&gt;&lt;li&gt;&lt;a href=|http://interlinearbible.org/isaiah/48.htm| title=|Interlinear Bible| target=|_top|&gt;Interlin&lt;/a&gt;</v>
      </c>
      <c r="Y727" t="str">
        <f t="shared" ref="Y727" si="2905">CONCATENATE("&lt;/li&gt;&lt;li&gt;&lt;a href=|http://",Y1191,"/isaiah/48.htm","| ","title=|",Y1190,"| target=|_top|&gt;",Y1192,"&lt;/a&gt;")</f>
        <v>&lt;/li&gt;&lt;li&gt;&lt;a href=|http://bibleoutline.org/isaiah/48.htm| title=|Outline with People and Places List| target=|_top|&gt;Outline&lt;/a&gt;</v>
      </c>
      <c r="Z727" t="str">
        <f t="shared" si="2904"/>
        <v>&lt;/li&gt;&lt;li&gt;&lt;a href=|http://kjvs.scripturetext.com/isaiah/48.htm| title=|King James Bible with Strong's Numbers| target=|_top|&gt;Strong's&lt;/a&gt;</v>
      </c>
      <c r="AA727" t="str">
        <f t="shared" si="2904"/>
        <v>&lt;/li&gt;&lt;li&gt;&lt;a href=|http://childrensbibleonline.com/isaiah/48.htm| title=|The Children's Bible| target=|_top|&gt;Children's&lt;/a&gt;</v>
      </c>
      <c r="AB727" s="2" t="str">
        <f t="shared" si="2904"/>
        <v>&lt;/li&gt;&lt;li&gt;&lt;a href=|http://tsk.scripturetext.com/isaiah/48.htm| title=|Treasury of Scripture Knowledge| target=|_top|&gt;TSK&lt;/a&gt;</v>
      </c>
      <c r="AC727" t="str">
        <f>CONCATENATE("&lt;a href=|http://",AC1191,"/isaiah/48.htm","| ","title=|",AC1190,"| target=|_top|&gt;",AC1192,"&lt;/a&gt;")</f>
        <v>&lt;a href=|http://parallelbible.com/isaiah/48.htm| title=|Parallel Chapters| target=|_top|&gt;PAR&lt;/a&gt;</v>
      </c>
      <c r="AD727" s="2" t="str">
        <f t="shared" ref="AD727:AK727" si="2906">CONCATENATE("&lt;/li&gt;&lt;li&gt;&lt;a href=|http://",AD1191,"/isaiah/48.htm","| ","title=|",AD1190,"| target=|_top|&gt;",AD1192,"&lt;/a&gt;")</f>
        <v>&lt;/li&gt;&lt;li&gt;&lt;a href=|http://gsb.biblecommenter.com/isaiah/48.htm| title=|Geneva Study Bible| target=|_top|&gt;GSB&lt;/a&gt;</v>
      </c>
      <c r="AE727" s="2" t="str">
        <f t="shared" si="2906"/>
        <v>&lt;/li&gt;&lt;li&gt;&lt;a href=|http://jfb.biblecommenter.com/isaiah/48.htm| title=|Jamieson-Fausset-Brown Bible Commentary| target=|_top|&gt;JFB&lt;/a&gt;</v>
      </c>
      <c r="AF727" s="2" t="str">
        <f t="shared" si="2906"/>
        <v>&lt;/li&gt;&lt;li&gt;&lt;a href=|http://kjt.biblecommenter.com/isaiah/48.htm| title=|King James Translators' Notes| target=|_top|&gt;KJT&lt;/a&gt;</v>
      </c>
      <c r="AG727" s="2" t="str">
        <f t="shared" si="2906"/>
        <v>&lt;/li&gt;&lt;li&gt;&lt;a href=|http://mhc.biblecommenter.com/isaiah/48.htm| title=|Matthew Henry's Concise Commentary| target=|_top|&gt;MHC&lt;/a&gt;</v>
      </c>
      <c r="AH727" s="2" t="str">
        <f t="shared" si="2906"/>
        <v>&lt;/li&gt;&lt;li&gt;&lt;a href=|http://sco.biblecommenter.com/isaiah/48.htm| title=|Scofield Reference Notes| target=|_top|&gt;SCO&lt;/a&gt;</v>
      </c>
      <c r="AI727" s="2" t="str">
        <f t="shared" si="2906"/>
        <v>&lt;/li&gt;&lt;li&gt;&lt;a href=|http://wes.biblecommenter.com/isaiah/48.htm| title=|Wesley's Notes on the Bible| target=|_top|&gt;WES&lt;/a&gt;</v>
      </c>
      <c r="AJ727" t="str">
        <f t="shared" si="2906"/>
        <v>&lt;/li&gt;&lt;li&gt;&lt;a href=|http://worldebible.com/isaiah/48.htm| title=|World English Bible| target=|_top|&gt;WEB&lt;/a&gt;</v>
      </c>
      <c r="AK727" t="str">
        <f t="shared" si="2906"/>
        <v>&lt;/li&gt;&lt;li&gt;&lt;a href=|http://yltbible.com/isaiah/48.htm| title=|Young's Literal Translation| target=|_top|&gt;YLT&lt;/a&gt;</v>
      </c>
      <c r="AL727" t="str">
        <f>CONCATENATE("&lt;a href=|http://",AL1191,"/isaiah/48.htm","| ","title=|",AL1190,"| target=|_top|&gt;",AL1192,"&lt;/a&gt;")</f>
        <v>&lt;a href=|http://kjv.us/isaiah/48.htm| title=|American King James Version| target=|_top|&gt;AKJ&lt;/a&gt;</v>
      </c>
      <c r="AM727" t="str">
        <f t="shared" ref="AM727:AN727" si="2907">CONCATENATE("&lt;/li&gt;&lt;li&gt;&lt;a href=|http://",AM1191,"/isaiah/48.htm","| ","title=|",AM1190,"| target=|_top|&gt;",AM1192,"&lt;/a&gt;")</f>
        <v>&lt;/li&gt;&lt;li&gt;&lt;a href=|http://basicenglishbible.com/isaiah/48.htm| title=|Bible in Basic English| target=|_top|&gt;BBE&lt;/a&gt;</v>
      </c>
      <c r="AN727" t="str">
        <f t="shared" si="2907"/>
        <v>&lt;/li&gt;&lt;li&gt;&lt;a href=|http://darbybible.com/isaiah/48.htm| title=|Darby Bible Translation| target=|_top|&gt;DBY&lt;/a&gt;</v>
      </c>
      <c r="AO72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2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2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27" t="str">
        <f>CONCATENATE("&lt;/li&gt;&lt;li&gt;&lt;a href=|http://",AR1191,"/isaiah/48.htm","| ","title=|",AR1190,"| target=|_top|&gt;",AR1192,"&lt;/a&gt;")</f>
        <v>&lt;/li&gt;&lt;li&gt;&lt;a href=|http://websterbible.com/isaiah/48.htm| title=|Webster's Bible Translation| target=|_top|&gt;WBS&lt;/a&gt;</v>
      </c>
      <c r="AS72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27" t="str">
        <f>CONCATENATE("&lt;/li&gt;&lt;li&gt;&lt;a href=|http://",AT1191,"/isaiah/48-1.htm","| ","title=|",AT1190,"| target=|_top|&gt;",AT1192,"&lt;/a&gt;")</f>
        <v>&lt;/li&gt;&lt;li&gt;&lt;a href=|http://biblebrowser.com/isaiah/48-1.htm| title=|Split View| target=|_top|&gt;Split&lt;/a&gt;</v>
      </c>
      <c r="AU727" s="2" t="s">
        <v>1276</v>
      </c>
      <c r="AV727" t="s">
        <v>64</v>
      </c>
    </row>
    <row r="728" spans="1:48">
      <c r="A728" t="s">
        <v>622</v>
      </c>
      <c r="B728" t="s">
        <v>1232</v>
      </c>
      <c r="C728" t="s">
        <v>624</v>
      </c>
      <c r="D728" t="s">
        <v>1268</v>
      </c>
      <c r="E728" t="s">
        <v>1277</v>
      </c>
      <c r="F728" t="s">
        <v>1304</v>
      </c>
      <c r="G728" t="s">
        <v>1266</v>
      </c>
      <c r="H728" t="s">
        <v>1305</v>
      </c>
      <c r="I728" t="s">
        <v>1303</v>
      </c>
      <c r="J728" t="s">
        <v>1267</v>
      </c>
      <c r="K728" t="s">
        <v>1275</v>
      </c>
      <c r="L728" s="2" t="s">
        <v>1274</v>
      </c>
      <c r="M728" t="str">
        <f t="shared" ref="M728:AB728" si="2908">CONCATENATE("&lt;/li&gt;&lt;li&gt;&lt;a href=|http://",M1191,"/isaiah/49.htm","| ","title=|",M1190,"| target=|_top|&gt;",M1192,"&lt;/a&gt;")</f>
        <v>&lt;/li&gt;&lt;li&gt;&lt;a href=|http://niv.scripturetext.com/isaiah/49.htm| title=|New International Version| target=|_top|&gt;NIV&lt;/a&gt;</v>
      </c>
      <c r="N728" t="str">
        <f t="shared" si="2908"/>
        <v>&lt;/li&gt;&lt;li&gt;&lt;a href=|http://nlt.scripturetext.com/isaiah/49.htm| title=|New Living Translation| target=|_top|&gt;NLT&lt;/a&gt;</v>
      </c>
      <c r="O728" t="str">
        <f t="shared" si="2908"/>
        <v>&lt;/li&gt;&lt;li&gt;&lt;a href=|http://nasb.scripturetext.com/isaiah/49.htm| title=|New American Standard Bible| target=|_top|&gt;NAS&lt;/a&gt;</v>
      </c>
      <c r="P728" t="str">
        <f t="shared" si="2908"/>
        <v>&lt;/li&gt;&lt;li&gt;&lt;a href=|http://gwt.scripturetext.com/isaiah/49.htm| title=|God's Word Translation| target=|_top|&gt;GWT&lt;/a&gt;</v>
      </c>
      <c r="Q728" t="str">
        <f t="shared" si="2908"/>
        <v>&lt;/li&gt;&lt;li&gt;&lt;a href=|http://kingjbible.com/isaiah/49.htm| title=|King James Bible| target=|_top|&gt;KJV&lt;/a&gt;</v>
      </c>
      <c r="R728" t="str">
        <f t="shared" si="2908"/>
        <v>&lt;/li&gt;&lt;li&gt;&lt;a href=|http://asvbible.com/isaiah/49.htm| title=|American Standard Version| target=|_top|&gt;ASV&lt;/a&gt;</v>
      </c>
      <c r="S728" t="str">
        <f t="shared" si="2908"/>
        <v>&lt;/li&gt;&lt;li&gt;&lt;a href=|http://drb.scripturetext.com/isaiah/49.htm| title=|Douay-Rheims Bible| target=|_top|&gt;DRB&lt;/a&gt;</v>
      </c>
      <c r="T728" t="str">
        <f t="shared" si="2908"/>
        <v>&lt;/li&gt;&lt;li&gt;&lt;a href=|http://erv.scripturetext.com/isaiah/49.htm| title=|English Revised Version| target=|_top|&gt;ERV&lt;/a&gt;</v>
      </c>
      <c r="V728" t="str">
        <f>CONCATENATE("&lt;/li&gt;&lt;li&gt;&lt;a href=|http://",V1191,"/isaiah/49.htm","| ","title=|",V1190,"| target=|_top|&gt;",V1192,"&lt;/a&gt;")</f>
        <v>&lt;/li&gt;&lt;li&gt;&lt;a href=|http://study.interlinearbible.org/isaiah/49.htm| title=|Hebrew Study Bible| target=|_top|&gt;Heb Study&lt;/a&gt;</v>
      </c>
      <c r="W728" t="str">
        <f t="shared" si="2908"/>
        <v>&lt;/li&gt;&lt;li&gt;&lt;a href=|http://apostolic.interlinearbible.org/isaiah/49.htm| title=|Apostolic Bible Polyglot Interlinear| target=|_top|&gt;Polyglot&lt;/a&gt;</v>
      </c>
      <c r="X728" t="str">
        <f t="shared" si="2908"/>
        <v>&lt;/li&gt;&lt;li&gt;&lt;a href=|http://interlinearbible.org/isaiah/49.htm| title=|Interlinear Bible| target=|_top|&gt;Interlin&lt;/a&gt;</v>
      </c>
      <c r="Y728" t="str">
        <f t="shared" ref="Y728" si="2909">CONCATENATE("&lt;/li&gt;&lt;li&gt;&lt;a href=|http://",Y1191,"/isaiah/49.htm","| ","title=|",Y1190,"| target=|_top|&gt;",Y1192,"&lt;/a&gt;")</f>
        <v>&lt;/li&gt;&lt;li&gt;&lt;a href=|http://bibleoutline.org/isaiah/49.htm| title=|Outline with People and Places List| target=|_top|&gt;Outline&lt;/a&gt;</v>
      </c>
      <c r="Z728" t="str">
        <f t="shared" si="2908"/>
        <v>&lt;/li&gt;&lt;li&gt;&lt;a href=|http://kjvs.scripturetext.com/isaiah/49.htm| title=|King James Bible with Strong's Numbers| target=|_top|&gt;Strong's&lt;/a&gt;</v>
      </c>
      <c r="AA728" t="str">
        <f t="shared" si="2908"/>
        <v>&lt;/li&gt;&lt;li&gt;&lt;a href=|http://childrensbibleonline.com/isaiah/49.htm| title=|The Children's Bible| target=|_top|&gt;Children's&lt;/a&gt;</v>
      </c>
      <c r="AB728" s="2" t="str">
        <f t="shared" si="2908"/>
        <v>&lt;/li&gt;&lt;li&gt;&lt;a href=|http://tsk.scripturetext.com/isaiah/49.htm| title=|Treasury of Scripture Knowledge| target=|_top|&gt;TSK&lt;/a&gt;</v>
      </c>
      <c r="AC728" t="str">
        <f>CONCATENATE("&lt;a href=|http://",AC1191,"/isaiah/49.htm","| ","title=|",AC1190,"| target=|_top|&gt;",AC1192,"&lt;/a&gt;")</f>
        <v>&lt;a href=|http://parallelbible.com/isaiah/49.htm| title=|Parallel Chapters| target=|_top|&gt;PAR&lt;/a&gt;</v>
      </c>
      <c r="AD728" s="2" t="str">
        <f t="shared" ref="AD728:AK728" si="2910">CONCATENATE("&lt;/li&gt;&lt;li&gt;&lt;a href=|http://",AD1191,"/isaiah/49.htm","| ","title=|",AD1190,"| target=|_top|&gt;",AD1192,"&lt;/a&gt;")</f>
        <v>&lt;/li&gt;&lt;li&gt;&lt;a href=|http://gsb.biblecommenter.com/isaiah/49.htm| title=|Geneva Study Bible| target=|_top|&gt;GSB&lt;/a&gt;</v>
      </c>
      <c r="AE728" s="2" t="str">
        <f t="shared" si="2910"/>
        <v>&lt;/li&gt;&lt;li&gt;&lt;a href=|http://jfb.biblecommenter.com/isaiah/49.htm| title=|Jamieson-Fausset-Brown Bible Commentary| target=|_top|&gt;JFB&lt;/a&gt;</v>
      </c>
      <c r="AF728" s="2" t="str">
        <f t="shared" si="2910"/>
        <v>&lt;/li&gt;&lt;li&gt;&lt;a href=|http://kjt.biblecommenter.com/isaiah/49.htm| title=|King James Translators' Notes| target=|_top|&gt;KJT&lt;/a&gt;</v>
      </c>
      <c r="AG728" s="2" t="str">
        <f t="shared" si="2910"/>
        <v>&lt;/li&gt;&lt;li&gt;&lt;a href=|http://mhc.biblecommenter.com/isaiah/49.htm| title=|Matthew Henry's Concise Commentary| target=|_top|&gt;MHC&lt;/a&gt;</v>
      </c>
      <c r="AH728" s="2" t="str">
        <f t="shared" si="2910"/>
        <v>&lt;/li&gt;&lt;li&gt;&lt;a href=|http://sco.biblecommenter.com/isaiah/49.htm| title=|Scofield Reference Notes| target=|_top|&gt;SCO&lt;/a&gt;</v>
      </c>
      <c r="AI728" s="2" t="str">
        <f t="shared" si="2910"/>
        <v>&lt;/li&gt;&lt;li&gt;&lt;a href=|http://wes.biblecommenter.com/isaiah/49.htm| title=|Wesley's Notes on the Bible| target=|_top|&gt;WES&lt;/a&gt;</v>
      </c>
      <c r="AJ728" t="str">
        <f t="shared" si="2910"/>
        <v>&lt;/li&gt;&lt;li&gt;&lt;a href=|http://worldebible.com/isaiah/49.htm| title=|World English Bible| target=|_top|&gt;WEB&lt;/a&gt;</v>
      </c>
      <c r="AK728" t="str">
        <f t="shared" si="2910"/>
        <v>&lt;/li&gt;&lt;li&gt;&lt;a href=|http://yltbible.com/isaiah/49.htm| title=|Young's Literal Translation| target=|_top|&gt;YLT&lt;/a&gt;</v>
      </c>
      <c r="AL728" t="str">
        <f>CONCATENATE("&lt;a href=|http://",AL1191,"/isaiah/49.htm","| ","title=|",AL1190,"| target=|_top|&gt;",AL1192,"&lt;/a&gt;")</f>
        <v>&lt;a href=|http://kjv.us/isaiah/49.htm| title=|American King James Version| target=|_top|&gt;AKJ&lt;/a&gt;</v>
      </c>
      <c r="AM728" t="str">
        <f t="shared" ref="AM728:AN728" si="2911">CONCATENATE("&lt;/li&gt;&lt;li&gt;&lt;a href=|http://",AM1191,"/isaiah/49.htm","| ","title=|",AM1190,"| target=|_top|&gt;",AM1192,"&lt;/a&gt;")</f>
        <v>&lt;/li&gt;&lt;li&gt;&lt;a href=|http://basicenglishbible.com/isaiah/49.htm| title=|Bible in Basic English| target=|_top|&gt;BBE&lt;/a&gt;</v>
      </c>
      <c r="AN728" t="str">
        <f t="shared" si="2911"/>
        <v>&lt;/li&gt;&lt;li&gt;&lt;a href=|http://darbybible.com/isaiah/49.htm| title=|Darby Bible Translation| target=|_top|&gt;DBY&lt;/a&gt;</v>
      </c>
      <c r="AO72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2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2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28" t="str">
        <f>CONCATENATE("&lt;/li&gt;&lt;li&gt;&lt;a href=|http://",AR1191,"/isaiah/49.htm","| ","title=|",AR1190,"| target=|_top|&gt;",AR1192,"&lt;/a&gt;")</f>
        <v>&lt;/li&gt;&lt;li&gt;&lt;a href=|http://websterbible.com/isaiah/49.htm| title=|Webster's Bible Translation| target=|_top|&gt;WBS&lt;/a&gt;</v>
      </c>
      <c r="AS72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28" t="str">
        <f>CONCATENATE("&lt;/li&gt;&lt;li&gt;&lt;a href=|http://",AT1191,"/isaiah/49-1.htm","| ","title=|",AT1190,"| target=|_top|&gt;",AT1192,"&lt;/a&gt;")</f>
        <v>&lt;/li&gt;&lt;li&gt;&lt;a href=|http://biblebrowser.com/isaiah/49-1.htm| title=|Split View| target=|_top|&gt;Split&lt;/a&gt;</v>
      </c>
      <c r="AU728" s="2" t="s">
        <v>1276</v>
      </c>
      <c r="AV728" t="s">
        <v>64</v>
      </c>
    </row>
    <row r="729" spans="1:48">
      <c r="A729" t="s">
        <v>622</v>
      </c>
      <c r="B729" t="s">
        <v>1233</v>
      </c>
      <c r="C729" t="s">
        <v>624</v>
      </c>
      <c r="D729" t="s">
        <v>1268</v>
      </c>
      <c r="E729" t="s">
        <v>1277</v>
      </c>
      <c r="F729" t="s">
        <v>1304</v>
      </c>
      <c r="G729" t="s">
        <v>1266</v>
      </c>
      <c r="H729" t="s">
        <v>1305</v>
      </c>
      <c r="I729" t="s">
        <v>1303</v>
      </c>
      <c r="J729" t="s">
        <v>1267</v>
      </c>
      <c r="K729" t="s">
        <v>1275</v>
      </c>
      <c r="L729" s="2" t="s">
        <v>1274</v>
      </c>
      <c r="M729" t="str">
        <f t="shared" ref="M729:AB729" si="2912">CONCATENATE("&lt;/li&gt;&lt;li&gt;&lt;a href=|http://",M1191,"/isaiah/50.htm","| ","title=|",M1190,"| target=|_top|&gt;",M1192,"&lt;/a&gt;")</f>
        <v>&lt;/li&gt;&lt;li&gt;&lt;a href=|http://niv.scripturetext.com/isaiah/50.htm| title=|New International Version| target=|_top|&gt;NIV&lt;/a&gt;</v>
      </c>
      <c r="N729" t="str">
        <f t="shared" si="2912"/>
        <v>&lt;/li&gt;&lt;li&gt;&lt;a href=|http://nlt.scripturetext.com/isaiah/50.htm| title=|New Living Translation| target=|_top|&gt;NLT&lt;/a&gt;</v>
      </c>
      <c r="O729" t="str">
        <f t="shared" si="2912"/>
        <v>&lt;/li&gt;&lt;li&gt;&lt;a href=|http://nasb.scripturetext.com/isaiah/50.htm| title=|New American Standard Bible| target=|_top|&gt;NAS&lt;/a&gt;</v>
      </c>
      <c r="P729" t="str">
        <f t="shared" si="2912"/>
        <v>&lt;/li&gt;&lt;li&gt;&lt;a href=|http://gwt.scripturetext.com/isaiah/50.htm| title=|God's Word Translation| target=|_top|&gt;GWT&lt;/a&gt;</v>
      </c>
      <c r="Q729" t="str">
        <f t="shared" si="2912"/>
        <v>&lt;/li&gt;&lt;li&gt;&lt;a href=|http://kingjbible.com/isaiah/50.htm| title=|King James Bible| target=|_top|&gt;KJV&lt;/a&gt;</v>
      </c>
      <c r="R729" t="str">
        <f t="shared" si="2912"/>
        <v>&lt;/li&gt;&lt;li&gt;&lt;a href=|http://asvbible.com/isaiah/50.htm| title=|American Standard Version| target=|_top|&gt;ASV&lt;/a&gt;</v>
      </c>
      <c r="S729" t="str">
        <f t="shared" si="2912"/>
        <v>&lt;/li&gt;&lt;li&gt;&lt;a href=|http://drb.scripturetext.com/isaiah/50.htm| title=|Douay-Rheims Bible| target=|_top|&gt;DRB&lt;/a&gt;</v>
      </c>
      <c r="T729" t="str">
        <f t="shared" si="2912"/>
        <v>&lt;/li&gt;&lt;li&gt;&lt;a href=|http://erv.scripturetext.com/isaiah/50.htm| title=|English Revised Version| target=|_top|&gt;ERV&lt;/a&gt;</v>
      </c>
      <c r="V729" t="str">
        <f>CONCATENATE("&lt;/li&gt;&lt;li&gt;&lt;a href=|http://",V1191,"/isaiah/50.htm","| ","title=|",V1190,"| target=|_top|&gt;",V1192,"&lt;/a&gt;")</f>
        <v>&lt;/li&gt;&lt;li&gt;&lt;a href=|http://study.interlinearbible.org/isaiah/50.htm| title=|Hebrew Study Bible| target=|_top|&gt;Heb Study&lt;/a&gt;</v>
      </c>
      <c r="W729" t="str">
        <f t="shared" si="2912"/>
        <v>&lt;/li&gt;&lt;li&gt;&lt;a href=|http://apostolic.interlinearbible.org/isaiah/50.htm| title=|Apostolic Bible Polyglot Interlinear| target=|_top|&gt;Polyglot&lt;/a&gt;</v>
      </c>
      <c r="X729" t="str">
        <f t="shared" si="2912"/>
        <v>&lt;/li&gt;&lt;li&gt;&lt;a href=|http://interlinearbible.org/isaiah/50.htm| title=|Interlinear Bible| target=|_top|&gt;Interlin&lt;/a&gt;</v>
      </c>
      <c r="Y729" t="str">
        <f t="shared" ref="Y729" si="2913">CONCATENATE("&lt;/li&gt;&lt;li&gt;&lt;a href=|http://",Y1191,"/isaiah/50.htm","| ","title=|",Y1190,"| target=|_top|&gt;",Y1192,"&lt;/a&gt;")</f>
        <v>&lt;/li&gt;&lt;li&gt;&lt;a href=|http://bibleoutline.org/isaiah/50.htm| title=|Outline with People and Places List| target=|_top|&gt;Outline&lt;/a&gt;</v>
      </c>
      <c r="Z729" t="str">
        <f t="shared" si="2912"/>
        <v>&lt;/li&gt;&lt;li&gt;&lt;a href=|http://kjvs.scripturetext.com/isaiah/50.htm| title=|King James Bible with Strong's Numbers| target=|_top|&gt;Strong's&lt;/a&gt;</v>
      </c>
      <c r="AA729" t="str">
        <f t="shared" si="2912"/>
        <v>&lt;/li&gt;&lt;li&gt;&lt;a href=|http://childrensbibleonline.com/isaiah/50.htm| title=|The Children's Bible| target=|_top|&gt;Children's&lt;/a&gt;</v>
      </c>
      <c r="AB729" s="2" t="str">
        <f t="shared" si="2912"/>
        <v>&lt;/li&gt;&lt;li&gt;&lt;a href=|http://tsk.scripturetext.com/isaiah/50.htm| title=|Treasury of Scripture Knowledge| target=|_top|&gt;TSK&lt;/a&gt;</v>
      </c>
      <c r="AC729" t="str">
        <f>CONCATENATE("&lt;a href=|http://",AC1191,"/isaiah/50.htm","| ","title=|",AC1190,"| target=|_top|&gt;",AC1192,"&lt;/a&gt;")</f>
        <v>&lt;a href=|http://parallelbible.com/isaiah/50.htm| title=|Parallel Chapters| target=|_top|&gt;PAR&lt;/a&gt;</v>
      </c>
      <c r="AD729" s="2" t="str">
        <f t="shared" ref="AD729:AK729" si="2914">CONCATENATE("&lt;/li&gt;&lt;li&gt;&lt;a href=|http://",AD1191,"/isaiah/50.htm","| ","title=|",AD1190,"| target=|_top|&gt;",AD1192,"&lt;/a&gt;")</f>
        <v>&lt;/li&gt;&lt;li&gt;&lt;a href=|http://gsb.biblecommenter.com/isaiah/50.htm| title=|Geneva Study Bible| target=|_top|&gt;GSB&lt;/a&gt;</v>
      </c>
      <c r="AE729" s="2" t="str">
        <f t="shared" si="2914"/>
        <v>&lt;/li&gt;&lt;li&gt;&lt;a href=|http://jfb.biblecommenter.com/isaiah/50.htm| title=|Jamieson-Fausset-Brown Bible Commentary| target=|_top|&gt;JFB&lt;/a&gt;</v>
      </c>
      <c r="AF729" s="2" t="str">
        <f t="shared" si="2914"/>
        <v>&lt;/li&gt;&lt;li&gt;&lt;a href=|http://kjt.biblecommenter.com/isaiah/50.htm| title=|King James Translators' Notes| target=|_top|&gt;KJT&lt;/a&gt;</v>
      </c>
      <c r="AG729" s="2" t="str">
        <f t="shared" si="2914"/>
        <v>&lt;/li&gt;&lt;li&gt;&lt;a href=|http://mhc.biblecommenter.com/isaiah/50.htm| title=|Matthew Henry's Concise Commentary| target=|_top|&gt;MHC&lt;/a&gt;</v>
      </c>
      <c r="AH729" s="2" t="str">
        <f t="shared" si="2914"/>
        <v>&lt;/li&gt;&lt;li&gt;&lt;a href=|http://sco.biblecommenter.com/isaiah/50.htm| title=|Scofield Reference Notes| target=|_top|&gt;SCO&lt;/a&gt;</v>
      </c>
      <c r="AI729" s="2" t="str">
        <f t="shared" si="2914"/>
        <v>&lt;/li&gt;&lt;li&gt;&lt;a href=|http://wes.biblecommenter.com/isaiah/50.htm| title=|Wesley's Notes on the Bible| target=|_top|&gt;WES&lt;/a&gt;</v>
      </c>
      <c r="AJ729" t="str">
        <f t="shared" si="2914"/>
        <v>&lt;/li&gt;&lt;li&gt;&lt;a href=|http://worldebible.com/isaiah/50.htm| title=|World English Bible| target=|_top|&gt;WEB&lt;/a&gt;</v>
      </c>
      <c r="AK729" t="str">
        <f t="shared" si="2914"/>
        <v>&lt;/li&gt;&lt;li&gt;&lt;a href=|http://yltbible.com/isaiah/50.htm| title=|Young's Literal Translation| target=|_top|&gt;YLT&lt;/a&gt;</v>
      </c>
      <c r="AL729" t="str">
        <f>CONCATENATE("&lt;a href=|http://",AL1191,"/isaiah/50.htm","| ","title=|",AL1190,"| target=|_top|&gt;",AL1192,"&lt;/a&gt;")</f>
        <v>&lt;a href=|http://kjv.us/isaiah/50.htm| title=|American King James Version| target=|_top|&gt;AKJ&lt;/a&gt;</v>
      </c>
      <c r="AM729" t="str">
        <f t="shared" ref="AM729:AN729" si="2915">CONCATENATE("&lt;/li&gt;&lt;li&gt;&lt;a href=|http://",AM1191,"/isaiah/50.htm","| ","title=|",AM1190,"| target=|_top|&gt;",AM1192,"&lt;/a&gt;")</f>
        <v>&lt;/li&gt;&lt;li&gt;&lt;a href=|http://basicenglishbible.com/isaiah/50.htm| title=|Bible in Basic English| target=|_top|&gt;BBE&lt;/a&gt;</v>
      </c>
      <c r="AN729" t="str">
        <f t="shared" si="2915"/>
        <v>&lt;/li&gt;&lt;li&gt;&lt;a href=|http://darbybible.com/isaiah/50.htm| title=|Darby Bible Translation| target=|_top|&gt;DBY&lt;/a&gt;</v>
      </c>
      <c r="AO72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2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2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29" t="str">
        <f>CONCATENATE("&lt;/li&gt;&lt;li&gt;&lt;a href=|http://",AR1191,"/isaiah/50.htm","| ","title=|",AR1190,"| target=|_top|&gt;",AR1192,"&lt;/a&gt;")</f>
        <v>&lt;/li&gt;&lt;li&gt;&lt;a href=|http://websterbible.com/isaiah/50.htm| title=|Webster's Bible Translation| target=|_top|&gt;WBS&lt;/a&gt;</v>
      </c>
      <c r="AS72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29" t="str">
        <f>CONCATENATE("&lt;/li&gt;&lt;li&gt;&lt;a href=|http://",AT1191,"/isaiah/50-1.htm","| ","title=|",AT1190,"| target=|_top|&gt;",AT1192,"&lt;/a&gt;")</f>
        <v>&lt;/li&gt;&lt;li&gt;&lt;a href=|http://biblebrowser.com/isaiah/50-1.htm| title=|Split View| target=|_top|&gt;Split&lt;/a&gt;</v>
      </c>
      <c r="AU729" s="2" t="s">
        <v>1276</v>
      </c>
      <c r="AV729" t="s">
        <v>64</v>
      </c>
    </row>
    <row r="730" spans="1:48">
      <c r="A730" t="s">
        <v>622</v>
      </c>
      <c r="B730" t="s">
        <v>1234</v>
      </c>
      <c r="C730" t="s">
        <v>624</v>
      </c>
      <c r="D730" t="s">
        <v>1268</v>
      </c>
      <c r="E730" t="s">
        <v>1277</v>
      </c>
      <c r="F730" t="s">
        <v>1304</v>
      </c>
      <c r="G730" t="s">
        <v>1266</v>
      </c>
      <c r="H730" t="s">
        <v>1305</v>
      </c>
      <c r="I730" t="s">
        <v>1303</v>
      </c>
      <c r="J730" t="s">
        <v>1267</v>
      </c>
      <c r="K730" t="s">
        <v>1275</v>
      </c>
      <c r="L730" s="2" t="s">
        <v>1274</v>
      </c>
      <c r="M730" t="str">
        <f t="shared" ref="M730:AB730" si="2916">CONCATENATE("&lt;/li&gt;&lt;li&gt;&lt;a href=|http://",M1191,"/isaiah/51.htm","| ","title=|",M1190,"| target=|_top|&gt;",M1192,"&lt;/a&gt;")</f>
        <v>&lt;/li&gt;&lt;li&gt;&lt;a href=|http://niv.scripturetext.com/isaiah/51.htm| title=|New International Version| target=|_top|&gt;NIV&lt;/a&gt;</v>
      </c>
      <c r="N730" t="str">
        <f t="shared" si="2916"/>
        <v>&lt;/li&gt;&lt;li&gt;&lt;a href=|http://nlt.scripturetext.com/isaiah/51.htm| title=|New Living Translation| target=|_top|&gt;NLT&lt;/a&gt;</v>
      </c>
      <c r="O730" t="str">
        <f t="shared" si="2916"/>
        <v>&lt;/li&gt;&lt;li&gt;&lt;a href=|http://nasb.scripturetext.com/isaiah/51.htm| title=|New American Standard Bible| target=|_top|&gt;NAS&lt;/a&gt;</v>
      </c>
      <c r="P730" t="str">
        <f t="shared" si="2916"/>
        <v>&lt;/li&gt;&lt;li&gt;&lt;a href=|http://gwt.scripturetext.com/isaiah/51.htm| title=|God's Word Translation| target=|_top|&gt;GWT&lt;/a&gt;</v>
      </c>
      <c r="Q730" t="str">
        <f t="shared" si="2916"/>
        <v>&lt;/li&gt;&lt;li&gt;&lt;a href=|http://kingjbible.com/isaiah/51.htm| title=|King James Bible| target=|_top|&gt;KJV&lt;/a&gt;</v>
      </c>
      <c r="R730" t="str">
        <f t="shared" si="2916"/>
        <v>&lt;/li&gt;&lt;li&gt;&lt;a href=|http://asvbible.com/isaiah/51.htm| title=|American Standard Version| target=|_top|&gt;ASV&lt;/a&gt;</v>
      </c>
      <c r="S730" t="str">
        <f t="shared" si="2916"/>
        <v>&lt;/li&gt;&lt;li&gt;&lt;a href=|http://drb.scripturetext.com/isaiah/51.htm| title=|Douay-Rheims Bible| target=|_top|&gt;DRB&lt;/a&gt;</v>
      </c>
      <c r="T730" t="str">
        <f t="shared" si="2916"/>
        <v>&lt;/li&gt;&lt;li&gt;&lt;a href=|http://erv.scripturetext.com/isaiah/51.htm| title=|English Revised Version| target=|_top|&gt;ERV&lt;/a&gt;</v>
      </c>
      <c r="V730" t="str">
        <f>CONCATENATE("&lt;/li&gt;&lt;li&gt;&lt;a href=|http://",V1191,"/isaiah/51.htm","| ","title=|",V1190,"| target=|_top|&gt;",V1192,"&lt;/a&gt;")</f>
        <v>&lt;/li&gt;&lt;li&gt;&lt;a href=|http://study.interlinearbible.org/isaiah/51.htm| title=|Hebrew Study Bible| target=|_top|&gt;Heb Study&lt;/a&gt;</v>
      </c>
      <c r="W730" t="str">
        <f t="shared" si="2916"/>
        <v>&lt;/li&gt;&lt;li&gt;&lt;a href=|http://apostolic.interlinearbible.org/isaiah/51.htm| title=|Apostolic Bible Polyglot Interlinear| target=|_top|&gt;Polyglot&lt;/a&gt;</v>
      </c>
      <c r="X730" t="str">
        <f t="shared" si="2916"/>
        <v>&lt;/li&gt;&lt;li&gt;&lt;a href=|http://interlinearbible.org/isaiah/51.htm| title=|Interlinear Bible| target=|_top|&gt;Interlin&lt;/a&gt;</v>
      </c>
      <c r="Y730" t="str">
        <f t="shared" ref="Y730" si="2917">CONCATENATE("&lt;/li&gt;&lt;li&gt;&lt;a href=|http://",Y1191,"/isaiah/51.htm","| ","title=|",Y1190,"| target=|_top|&gt;",Y1192,"&lt;/a&gt;")</f>
        <v>&lt;/li&gt;&lt;li&gt;&lt;a href=|http://bibleoutline.org/isaiah/51.htm| title=|Outline with People and Places List| target=|_top|&gt;Outline&lt;/a&gt;</v>
      </c>
      <c r="Z730" t="str">
        <f t="shared" si="2916"/>
        <v>&lt;/li&gt;&lt;li&gt;&lt;a href=|http://kjvs.scripturetext.com/isaiah/51.htm| title=|King James Bible with Strong's Numbers| target=|_top|&gt;Strong's&lt;/a&gt;</v>
      </c>
      <c r="AA730" t="str">
        <f t="shared" si="2916"/>
        <v>&lt;/li&gt;&lt;li&gt;&lt;a href=|http://childrensbibleonline.com/isaiah/51.htm| title=|The Children's Bible| target=|_top|&gt;Children's&lt;/a&gt;</v>
      </c>
      <c r="AB730" s="2" t="str">
        <f t="shared" si="2916"/>
        <v>&lt;/li&gt;&lt;li&gt;&lt;a href=|http://tsk.scripturetext.com/isaiah/51.htm| title=|Treasury of Scripture Knowledge| target=|_top|&gt;TSK&lt;/a&gt;</v>
      </c>
      <c r="AC730" t="str">
        <f>CONCATENATE("&lt;a href=|http://",AC1191,"/isaiah/51.htm","| ","title=|",AC1190,"| target=|_top|&gt;",AC1192,"&lt;/a&gt;")</f>
        <v>&lt;a href=|http://parallelbible.com/isaiah/51.htm| title=|Parallel Chapters| target=|_top|&gt;PAR&lt;/a&gt;</v>
      </c>
      <c r="AD730" s="2" t="str">
        <f t="shared" ref="AD730:AK730" si="2918">CONCATENATE("&lt;/li&gt;&lt;li&gt;&lt;a href=|http://",AD1191,"/isaiah/51.htm","| ","title=|",AD1190,"| target=|_top|&gt;",AD1192,"&lt;/a&gt;")</f>
        <v>&lt;/li&gt;&lt;li&gt;&lt;a href=|http://gsb.biblecommenter.com/isaiah/51.htm| title=|Geneva Study Bible| target=|_top|&gt;GSB&lt;/a&gt;</v>
      </c>
      <c r="AE730" s="2" t="str">
        <f t="shared" si="2918"/>
        <v>&lt;/li&gt;&lt;li&gt;&lt;a href=|http://jfb.biblecommenter.com/isaiah/51.htm| title=|Jamieson-Fausset-Brown Bible Commentary| target=|_top|&gt;JFB&lt;/a&gt;</v>
      </c>
      <c r="AF730" s="2" t="str">
        <f t="shared" si="2918"/>
        <v>&lt;/li&gt;&lt;li&gt;&lt;a href=|http://kjt.biblecommenter.com/isaiah/51.htm| title=|King James Translators' Notes| target=|_top|&gt;KJT&lt;/a&gt;</v>
      </c>
      <c r="AG730" s="2" t="str">
        <f t="shared" si="2918"/>
        <v>&lt;/li&gt;&lt;li&gt;&lt;a href=|http://mhc.biblecommenter.com/isaiah/51.htm| title=|Matthew Henry's Concise Commentary| target=|_top|&gt;MHC&lt;/a&gt;</v>
      </c>
      <c r="AH730" s="2" t="str">
        <f t="shared" si="2918"/>
        <v>&lt;/li&gt;&lt;li&gt;&lt;a href=|http://sco.biblecommenter.com/isaiah/51.htm| title=|Scofield Reference Notes| target=|_top|&gt;SCO&lt;/a&gt;</v>
      </c>
      <c r="AI730" s="2" t="str">
        <f t="shared" si="2918"/>
        <v>&lt;/li&gt;&lt;li&gt;&lt;a href=|http://wes.biblecommenter.com/isaiah/51.htm| title=|Wesley's Notes on the Bible| target=|_top|&gt;WES&lt;/a&gt;</v>
      </c>
      <c r="AJ730" t="str">
        <f t="shared" si="2918"/>
        <v>&lt;/li&gt;&lt;li&gt;&lt;a href=|http://worldebible.com/isaiah/51.htm| title=|World English Bible| target=|_top|&gt;WEB&lt;/a&gt;</v>
      </c>
      <c r="AK730" t="str">
        <f t="shared" si="2918"/>
        <v>&lt;/li&gt;&lt;li&gt;&lt;a href=|http://yltbible.com/isaiah/51.htm| title=|Young's Literal Translation| target=|_top|&gt;YLT&lt;/a&gt;</v>
      </c>
      <c r="AL730" t="str">
        <f>CONCATENATE("&lt;a href=|http://",AL1191,"/isaiah/51.htm","| ","title=|",AL1190,"| target=|_top|&gt;",AL1192,"&lt;/a&gt;")</f>
        <v>&lt;a href=|http://kjv.us/isaiah/51.htm| title=|American King James Version| target=|_top|&gt;AKJ&lt;/a&gt;</v>
      </c>
      <c r="AM730" t="str">
        <f t="shared" ref="AM730:AN730" si="2919">CONCATENATE("&lt;/li&gt;&lt;li&gt;&lt;a href=|http://",AM1191,"/isaiah/51.htm","| ","title=|",AM1190,"| target=|_top|&gt;",AM1192,"&lt;/a&gt;")</f>
        <v>&lt;/li&gt;&lt;li&gt;&lt;a href=|http://basicenglishbible.com/isaiah/51.htm| title=|Bible in Basic English| target=|_top|&gt;BBE&lt;/a&gt;</v>
      </c>
      <c r="AN730" t="str">
        <f t="shared" si="2919"/>
        <v>&lt;/li&gt;&lt;li&gt;&lt;a href=|http://darbybible.com/isaiah/51.htm| title=|Darby Bible Translation| target=|_top|&gt;DBY&lt;/a&gt;</v>
      </c>
      <c r="AO73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3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3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30" t="str">
        <f>CONCATENATE("&lt;/li&gt;&lt;li&gt;&lt;a href=|http://",AR1191,"/isaiah/51.htm","| ","title=|",AR1190,"| target=|_top|&gt;",AR1192,"&lt;/a&gt;")</f>
        <v>&lt;/li&gt;&lt;li&gt;&lt;a href=|http://websterbible.com/isaiah/51.htm| title=|Webster's Bible Translation| target=|_top|&gt;WBS&lt;/a&gt;</v>
      </c>
      <c r="AS73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30" t="str">
        <f>CONCATENATE("&lt;/li&gt;&lt;li&gt;&lt;a href=|http://",AT1191,"/isaiah/51-1.htm","| ","title=|",AT1190,"| target=|_top|&gt;",AT1192,"&lt;/a&gt;")</f>
        <v>&lt;/li&gt;&lt;li&gt;&lt;a href=|http://biblebrowser.com/isaiah/51-1.htm| title=|Split View| target=|_top|&gt;Split&lt;/a&gt;</v>
      </c>
      <c r="AU730" s="2" t="s">
        <v>1276</v>
      </c>
      <c r="AV730" t="s">
        <v>64</v>
      </c>
    </row>
    <row r="731" spans="1:48">
      <c r="A731" t="s">
        <v>622</v>
      </c>
      <c r="B731" t="s">
        <v>1235</v>
      </c>
      <c r="C731" t="s">
        <v>624</v>
      </c>
      <c r="D731" t="s">
        <v>1268</v>
      </c>
      <c r="E731" t="s">
        <v>1277</v>
      </c>
      <c r="F731" t="s">
        <v>1304</v>
      </c>
      <c r="G731" t="s">
        <v>1266</v>
      </c>
      <c r="H731" t="s">
        <v>1305</v>
      </c>
      <c r="I731" t="s">
        <v>1303</v>
      </c>
      <c r="J731" t="s">
        <v>1267</v>
      </c>
      <c r="K731" t="s">
        <v>1275</v>
      </c>
      <c r="L731" s="2" t="s">
        <v>1274</v>
      </c>
      <c r="M731" t="str">
        <f t="shared" ref="M731:AB731" si="2920">CONCATENATE("&lt;/li&gt;&lt;li&gt;&lt;a href=|http://",M1191,"/isaiah/52.htm","| ","title=|",M1190,"| target=|_top|&gt;",M1192,"&lt;/a&gt;")</f>
        <v>&lt;/li&gt;&lt;li&gt;&lt;a href=|http://niv.scripturetext.com/isaiah/52.htm| title=|New International Version| target=|_top|&gt;NIV&lt;/a&gt;</v>
      </c>
      <c r="N731" t="str">
        <f t="shared" si="2920"/>
        <v>&lt;/li&gt;&lt;li&gt;&lt;a href=|http://nlt.scripturetext.com/isaiah/52.htm| title=|New Living Translation| target=|_top|&gt;NLT&lt;/a&gt;</v>
      </c>
      <c r="O731" t="str">
        <f t="shared" si="2920"/>
        <v>&lt;/li&gt;&lt;li&gt;&lt;a href=|http://nasb.scripturetext.com/isaiah/52.htm| title=|New American Standard Bible| target=|_top|&gt;NAS&lt;/a&gt;</v>
      </c>
      <c r="P731" t="str">
        <f t="shared" si="2920"/>
        <v>&lt;/li&gt;&lt;li&gt;&lt;a href=|http://gwt.scripturetext.com/isaiah/52.htm| title=|God's Word Translation| target=|_top|&gt;GWT&lt;/a&gt;</v>
      </c>
      <c r="Q731" t="str">
        <f t="shared" si="2920"/>
        <v>&lt;/li&gt;&lt;li&gt;&lt;a href=|http://kingjbible.com/isaiah/52.htm| title=|King James Bible| target=|_top|&gt;KJV&lt;/a&gt;</v>
      </c>
      <c r="R731" t="str">
        <f t="shared" si="2920"/>
        <v>&lt;/li&gt;&lt;li&gt;&lt;a href=|http://asvbible.com/isaiah/52.htm| title=|American Standard Version| target=|_top|&gt;ASV&lt;/a&gt;</v>
      </c>
      <c r="S731" t="str">
        <f t="shared" si="2920"/>
        <v>&lt;/li&gt;&lt;li&gt;&lt;a href=|http://drb.scripturetext.com/isaiah/52.htm| title=|Douay-Rheims Bible| target=|_top|&gt;DRB&lt;/a&gt;</v>
      </c>
      <c r="T731" t="str">
        <f t="shared" si="2920"/>
        <v>&lt;/li&gt;&lt;li&gt;&lt;a href=|http://erv.scripturetext.com/isaiah/52.htm| title=|English Revised Version| target=|_top|&gt;ERV&lt;/a&gt;</v>
      </c>
      <c r="V731" t="str">
        <f>CONCATENATE("&lt;/li&gt;&lt;li&gt;&lt;a href=|http://",V1191,"/isaiah/52.htm","| ","title=|",V1190,"| target=|_top|&gt;",V1192,"&lt;/a&gt;")</f>
        <v>&lt;/li&gt;&lt;li&gt;&lt;a href=|http://study.interlinearbible.org/isaiah/52.htm| title=|Hebrew Study Bible| target=|_top|&gt;Heb Study&lt;/a&gt;</v>
      </c>
      <c r="W731" t="str">
        <f t="shared" si="2920"/>
        <v>&lt;/li&gt;&lt;li&gt;&lt;a href=|http://apostolic.interlinearbible.org/isaiah/52.htm| title=|Apostolic Bible Polyglot Interlinear| target=|_top|&gt;Polyglot&lt;/a&gt;</v>
      </c>
      <c r="X731" t="str">
        <f t="shared" si="2920"/>
        <v>&lt;/li&gt;&lt;li&gt;&lt;a href=|http://interlinearbible.org/isaiah/52.htm| title=|Interlinear Bible| target=|_top|&gt;Interlin&lt;/a&gt;</v>
      </c>
      <c r="Y731" t="str">
        <f t="shared" ref="Y731" si="2921">CONCATENATE("&lt;/li&gt;&lt;li&gt;&lt;a href=|http://",Y1191,"/isaiah/52.htm","| ","title=|",Y1190,"| target=|_top|&gt;",Y1192,"&lt;/a&gt;")</f>
        <v>&lt;/li&gt;&lt;li&gt;&lt;a href=|http://bibleoutline.org/isaiah/52.htm| title=|Outline with People and Places List| target=|_top|&gt;Outline&lt;/a&gt;</v>
      </c>
      <c r="Z731" t="str">
        <f t="shared" si="2920"/>
        <v>&lt;/li&gt;&lt;li&gt;&lt;a href=|http://kjvs.scripturetext.com/isaiah/52.htm| title=|King James Bible with Strong's Numbers| target=|_top|&gt;Strong's&lt;/a&gt;</v>
      </c>
      <c r="AA731" t="str">
        <f t="shared" si="2920"/>
        <v>&lt;/li&gt;&lt;li&gt;&lt;a href=|http://childrensbibleonline.com/isaiah/52.htm| title=|The Children's Bible| target=|_top|&gt;Children's&lt;/a&gt;</v>
      </c>
      <c r="AB731" s="2" t="str">
        <f t="shared" si="2920"/>
        <v>&lt;/li&gt;&lt;li&gt;&lt;a href=|http://tsk.scripturetext.com/isaiah/52.htm| title=|Treasury of Scripture Knowledge| target=|_top|&gt;TSK&lt;/a&gt;</v>
      </c>
      <c r="AC731" t="str">
        <f>CONCATENATE("&lt;a href=|http://",AC1191,"/isaiah/52.htm","| ","title=|",AC1190,"| target=|_top|&gt;",AC1192,"&lt;/a&gt;")</f>
        <v>&lt;a href=|http://parallelbible.com/isaiah/52.htm| title=|Parallel Chapters| target=|_top|&gt;PAR&lt;/a&gt;</v>
      </c>
      <c r="AD731" s="2" t="str">
        <f t="shared" ref="AD731:AK731" si="2922">CONCATENATE("&lt;/li&gt;&lt;li&gt;&lt;a href=|http://",AD1191,"/isaiah/52.htm","| ","title=|",AD1190,"| target=|_top|&gt;",AD1192,"&lt;/a&gt;")</f>
        <v>&lt;/li&gt;&lt;li&gt;&lt;a href=|http://gsb.biblecommenter.com/isaiah/52.htm| title=|Geneva Study Bible| target=|_top|&gt;GSB&lt;/a&gt;</v>
      </c>
      <c r="AE731" s="2" t="str">
        <f t="shared" si="2922"/>
        <v>&lt;/li&gt;&lt;li&gt;&lt;a href=|http://jfb.biblecommenter.com/isaiah/52.htm| title=|Jamieson-Fausset-Brown Bible Commentary| target=|_top|&gt;JFB&lt;/a&gt;</v>
      </c>
      <c r="AF731" s="2" t="str">
        <f t="shared" si="2922"/>
        <v>&lt;/li&gt;&lt;li&gt;&lt;a href=|http://kjt.biblecommenter.com/isaiah/52.htm| title=|King James Translators' Notes| target=|_top|&gt;KJT&lt;/a&gt;</v>
      </c>
      <c r="AG731" s="2" t="str">
        <f t="shared" si="2922"/>
        <v>&lt;/li&gt;&lt;li&gt;&lt;a href=|http://mhc.biblecommenter.com/isaiah/52.htm| title=|Matthew Henry's Concise Commentary| target=|_top|&gt;MHC&lt;/a&gt;</v>
      </c>
      <c r="AH731" s="2" t="str">
        <f t="shared" si="2922"/>
        <v>&lt;/li&gt;&lt;li&gt;&lt;a href=|http://sco.biblecommenter.com/isaiah/52.htm| title=|Scofield Reference Notes| target=|_top|&gt;SCO&lt;/a&gt;</v>
      </c>
      <c r="AI731" s="2" t="str">
        <f t="shared" si="2922"/>
        <v>&lt;/li&gt;&lt;li&gt;&lt;a href=|http://wes.biblecommenter.com/isaiah/52.htm| title=|Wesley's Notes on the Bible| target=|_top|&gt;WES&lt;/a&gt;</v>
      </c>
      <c r="AJ731" t="str">
        <f t="shared" si="2922"/>
        <v>&lt;/li&gt;&lt;li&gt;&lt;a href=|http://worldebible.com/isaiah/52.htm| title=|World English Bible| target=|_top|&gt;WEB&lt;/a&gt;</v>
      </c>
      <c r="AK731" t="str">
        <f t="shared" si="2922"/>
        <v>&lt;/li&gt;&lt;li&gt;&lt;a href=|http://yltbible.com/isaiah/52.htm| title=|Young's Literal Translation| target=|_top|&gt;YLT&lt;/a&gt;</v>
      </c>
      <c r="AL731" t="str">
        <f>CONCATENATE("&lt;a href=|http://",AL1191,"/isaiah/52.htm","| ","title=|",AL1190,"| target=|_top|&gt;",AL1192,"&lt;/a&gt;")</f>
        <v>&lt;a href=|http://kjv.us/isaiah/52.htm| title=|American King James Version| target=|_top|&gt;AKJ&lt;/a&gt;</v>
      </c>
      <c r="AM731" t="str">
        <f t="shared" ref="AM731:AN731" si="2923">CONCATENATE("&lt;/li&gt;&lt;li&gt;&lt;a href=|http://",AM1191,"/isaiah/52.htm","| ","title=|",AM1190,"| target=|_top|&gt;",AM1192,"&lt;/a&gt;")</f>
        <v>&lt;/li&gt;&lt;li&gt;&lt;a href=|http://basicenglishbible.com/isaiah/52.htm| title=|Bible in Basic English| target=|_top|&gt;BBE&lt;/a&gt;</v>
      </c>
      <c r="AN731" t="str">
        <f t="shared" si="2923"/>
        <v>&lt;/li&gt;&lt;li&gt;&lt;a href=|http://darbybible.com/isaiah/52.htm| title=|Darby Bible Translation| target=|_top|&gt;DBY&lt;/a&gt;</v>
      </c>
      <c r="AO73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3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3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31" t="str">
        <f>CONCATENATE("&lt;/li&gt;&lt;li&gt;&lt;a href=|http://",AR1191,"/isaiah/52.htm","| ","title=|",AR1190,"| target=|_top|&gt;",AR1192,"&lt;/a&gt;")</f>
        <v>&lt;/li&gt;&lt;li&gt;&lt;a href=|http://websterbible.com/isaiah/52.htm| title=|Webster's Bible Translation| target=|_top|&gt;WBS&lt;/a&gt;</v>
      </c>
      <c r="AS73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31" t="str">
        <f>CONCATENATE("&lt;/li&gt;&lt;li&gt;&lt;a href=|http://",AT1191,"/isaiah/52-1.htm","| ","title=|",AT1190,"| target=|_top|&gt;",AT1192,"&lt;/a&gt;")</f>
        <v>&lt;/li&gt;&lt;li&gt;&lt;a href=|http://biblebrowser.com/isaiah/52-1.htm| title=|Split View| target=|_top|&gt;Split&lt;/a&gt;</v>
      </c>
      <c r="AU731" s="2" t="s">
        <v>1276</v>
      </c>
      <c r="AV731" t="s">
        <v>64</v>
      </c>
    </row>
    <row r="732" spans="1:48">
      <c r="A732" t="s">
        <v>622</v>
      </c>
      <c r="B732" t="s">
        <v>1236</v>
      </c>
      <c r="C732" t="s">
        <v>624</v>
      </c>
      <c r="D732" t="s">
        <v>1268</v>
      </c>
      <c r="E732" t="s">
        <v>1277</v>
      </c>
      <c r="F732" t="s">
        <v>1304</v>
      </c>
      <c r="G732" t="s">
        <v>1266</v>
      </c>
      <c r="H732" t="s">
        <v>1305</v>
      </c>
      <c r="I732" t="s">
        <v>1303</v>
      </c>
      <c r="J732" t="s">
        <v>1267</v>
      </c>
      <c r="K732" t="s">
        <v>1275</v>
      </c>
      <c r="L732" s="2" t="s">
        <v>1274</v>
      </c>
      <c r="M732" t="str">
        <f t="shared" ref="M732:AB732" si="2924">CONCATENATE("&lt;/li&gt;&lt;li&gt;&lt;a href=|http://",M1191,"/isaiah/53.htm","| ","title=|",M1190,"| target=|_top|&gt;",M1192,"&lt;/a&gt;")</f>
        <v>&lt;/li&gt;&lt;li&gt;&lt;a href=|http://niv.scripturetext.com/isaiah/53.htm| title=|New International Version| target=|_top|&gt;NIV&lt;/a&gt;</v>
      </c>
      <c r="N732" t="str">
        <f t="shared" si="2924"/>
        <v>&lt;/li&gt;&lt;li&gt;&lt;a href=|http://nlt.scripturetext.com/isaiah/53.htm| title=|New Living Translation| target=|_top|&gt;NLT&lt;/a&gt;</v>
      </c>
      <c r="O732" t="str">
        <f t="shared" si="2924"/>
        <v>&lt;/li&gt;&lt;li&gt;&lt;a href=|http://nasb.scripturetext.com/isaiah/53.htm| title=|New American Standard Bible| target=|_top|&gt;NAS&lt;/a&gt;</v>
      </c>
      <c r="P732" t="str">
        <f t="shared" si="2924"/>
        <v>&lt;/li&gt;&lt;li&gt;&lt;a href=|http://gwt.scripturetext.com/isaiah/53.htm| title=|God's Word Translation| target=|_top|&gt;GWT&lt;/a&gt;</v>
      </c>
      <c r="Q732" t="str">
        <f t="shared" si="2924"/>
        <v>&lt;/li&gt;&lt;li&gt;&lt;a href=|http://kingjbible.com/isaiah/53.htm| title=|King James Bible| target=|_top|&gt;KJV&lt;/a&gt;</v>
      </c>
      <c r="R732" t="str">
        <f t="shared" si="2924"/>
        <v>&lt;/li&gt;&lt;li&gt;&lt;a href=|http://asvbible.com/isaiah/53.htm| title=|American Standard Version| target=|_top|&gt;ASV&lt;/a&gt;</v>
      </c>
      <c r="S732" t="str">
        <f t="shared" si="2924"/>
        <v>&lt;/li&gt;&lt;li&gt;&lt;a href=|http://drb.scripturetext.com/isaiah/53.htm| title=|Douay-Rheims Bible| target=|_top|&gt;DRB&lt;/a&gt;</v>
      </c>
      <c r="T732" t="str">
        <f t="shared" si="2924"/>
        <v>&lt;/li&gt;&lt;li&gt;&lt;a href=|http://erv.scripturetext.com/isaiah/53.htm| title=|English Revised Version| target=|_top|&gt;ERV&lt;/a&gt;</v>
      </c>
      <c r="V732" t="str">
        <f>CONCATENATE("&lt;/li&gt;&lt;li&gt;&lt;a href=|http://",V1191,"/isaiah/53.htm","| ","title=|",V1190,"| target=|_top|&gt;",V1192,"&lt;/a&gt;")</f>
        <v>&lt;/li&gt;&lt;li&gt;&lt;a href=|http://study.interlinearbible.org/isaiah/53.htm| title=|Hebrew Study Bible| target=|_top|&gt;Heb Study&lt;/a&gt;</v>
      </c>
      <c r="W732" t="str">
        <f t="shared" si="2924"/>
        <v>&lt;/li&gt;&lt;li&gt;&lt;a href=|http://apostolic.interlinearbible.org/isaiah/53.htm| title=|Apostolic Bible Polyglot Interlinear| target=|_top|&gt;Polyglot&lt;/a&gt;</v>
      </c>
      <c r="X732" t="str">
        <f t="shared" si="2924"/>
        <v>&lt;/li&gt;&lt;li&gt;&lt;a href=|http://interlinearbible.org/isaiah/53.htm| title=|Interlinear Bible| target=|_top|&gt;Interlin&lt;/a&gt;</v>
      </c>
      <c r="Y732" t="str">
        <f t="shared" ref="Y732" si="2925">CONCATENATE("&lt;/li&gt;&lt;li&gt;&lt;a href=|http://",Y1191,"/isaiah/53.htm","| ","title=|",Y1190,"| target=|_top|&gt;",Y1192,"&lt;/a&gt;")</f>
        <v>&lt;/li&gt;&lt;li&gt;&lt;a href=|http://bibleoutline.org/isaiah/53.htm| title=|Outline with People and Places List| target=|_top|&gt;Outline&lt;/a&gt;</v>
      </c>
      <c r="Z732" t="str">
        <f t="shared" si="2924"/>
        <v>&lt;/li&gt;&lt;li&gt;&lt;a href=|http://kjvs.scripturetext.com/isaiah/53.htm| title=|King James Bible with Strong's Numbers| target=|_top|&gt;Strong's&lt;/a&gt;</v>
      </c>
      <c r="AA732" t="str">
        <f t="shared" si="2924"/>
        <v>&lt;/li&gt;&lt;li&gt;&lt;a href=|http://childrensbibleonline.com/isaiah/53.htm| title=|The Children's Bible| target=|_top|&gt;Children's&lt;/a&gt;</v>
      </c>
      <c r="AB732" s="2" t="str">
        <f t="shared" si="2924"/>
        <v>&lt;/li&gt;&lt;li&gt;&lt;a href=|http://tsk.scripturetext.com/isaiah/53.htm| title=|Treasury of Scripture Knowledge| target=|_top|&gt;TSK&lt;/a&gt;</v>
      </c>
      <c r="AC732" t="str">
        <f>CONCATENATE("&lt;a href=|http://",AC1191,"/isaiah/53.htm","| ","title=|",AC1190,"| target=|_top|&gt;",AC1192,"&lt;/a&gt;")</f>
        <v>&lt;a href=|http://parallelbible.com/isaiah/53.htm| title=|Parallel Chapters| target=|_top|&gt;PAR&lt;/a&gt;</v>
      </c>
      <c r="AD732" s="2" t="str">
        <f t="shared" ref="AD732:AK732" si="2926">CONCATENATE("&lt;/li&gt;&lt;li&gt;&lt;a href=|http://",AD1191,"/isaiah/53.htm","| ","title=|",AD1190,"| target=|_top|&gt;",AD1192,"&lt;/a&gt;")</f>
        <v>&lt;/li&gt;&lt;li&gt;&lt;a href=|http://gsb.biblecommenter.com/isaiah/53.htm| title=|Geneva Study Bible| target=|_top|&gt;GSB&lt;/a&gt;</v>
      </c>
      <c r="AE732" s="2" t="str">
        <f t="shared" si="2926"/>
        <v>&lt;/li&gt;&lt;li&gt;&lt;a href=|http://jfb.biblecommenter.com/isaiah/53.htm| title=|Jamieson-Fausset-Brown Bible Commentary| target=|_top|&gt;JFB&lt;/a&gt;</v>
      </c>
      <c r="AF732" s="2" t="str">
        <f t="shared" si="2926"/>
        <v>&lt;/li&gt;&lt;li&gt;&lt;a href=|http://kjt.biblecommenter.com/isaiah/53.htm| title=|King James Translators' Notes| target=|_top|&gt;KJT&lt;/a&gt;</v>
      </c>
      <c r="AG732" s="2" t="str">
        <f t="shared" si="2926"/>
        <v>&lt;/li&gt;&lt;li&gt;&lt;a href=|http://mhc.biblecommenter.com/isaiah/53.htm| title=|Matthew Henry's Concise Commentary| target=|_top|&gt;MHC&lt;/a&gt;</v>
      </c>
      <c r="AH732" s="2" t="str">
        <f t="shared" si="2926"/>
        <v>&lt;/li&gt;&lt;li&gt;&lt;a href=|http://sco.biblecommenter.com/isaiah/53.htm| title=|Scofield Reference Notes| target=|_top|&gt;SCO&lt;/a&gt;</v>
      </c>
      <c r="AI732" s="2" t="str">
        <f t="shared" si="2926"/>
        <v>&lt;/li&gt;&lt;li&gt;&lt;a href=|http://wes.biblecommenter.com/isaiah/53.htm| title=|Wesley's Notes on the Bible| target=|_top|&gt;WES&lt;/a&gt;</v>
      </c>
      <c r="AJ732" t="str">
        <f t="shared" si="2926"/>
        <v>&lt;/li&gt;&lt;li&gt;&lt;a href=|http://worldebible.com/isaiah/53.htm| title=|World English Bible| target=|_top|&gt;WEB&lt;/a&gt;</v>
      </c>
      <c r="AK732" t="str">
        <f t="shared" si="2926"/>
        <v>&lt;/li&gt;&lt;li&gt;&lt;a href=|http://yltbible.com/isaiah/53.htm| title=|Young's Literal Translation| target=|_top|&gt;YLT&lt;/a&gt;</v>
      </c>
      <c r="AL732" t="str">
        <f>CONCATENATE("&lt;a href=|http://",AL1191,"/isaiah/53.htm","| ","title=|",AL1190,"| target=|_top|&gt;",AL1192,"&lt;/a&gt;")</f>
        <v>&lt;a href=|http://kjv.us/isaiah/53.htm| title=|American King James Version| target=|_top|&gt;AKJ&lt;/a&gt;</v>
      </c>
      <c r="AM732" t="str">
        <f t="shared" ref="AM732:AN732" si="2927">CONCATENATE("&lt;/li&gt;&lt;li&gt;&lt;a href=|http://",AM1191,"/isaiah/53.htm","| ","title=|",AM1190,"| target=|_top|&gt;",AM1192,"&lt;/a&gt;")</f>
        <v>&lt;/li&gt;&lt;li&gt;&lt;a href=|http://basicenglishbible.com/isaiah/53.htm| title=|Bible in Basic English| target=|_top|&gt;BBE&lt;/a&gt;</v>
      </c>
      <c r="AN732" t="str">
        <f t="shared" si="2927"/>
        <v>&lt;/li&gt;&lt;li&gt;&lt;a href=|http://darbybible.com/isaiah/53.htm| title=|Darby Bible Translation| target=|_top|&gt;DBY&lt;/a&gt;</v>
      </c>
      <c r="AO73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3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3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32" t="str">
        <f>CONCATENATE("&lt;/li&gt;&lt;li&gt;&lt;a href=|http://",AR1191,"/isaiah/53.htm","| ","title=|",AR1190,"| target=|_top|&gt;",AR1192,"&lt;/a&gt;")</f>
        <v>&lt;/li&gt;&lt;li&gt;&lt;a href=|http://websterbible.com/isaiah/53.htm| title=|Webster's Bible Translation| target=|_top|&gt;WBS&lt;/a&gt;</v>
      </c>
      <c r="AS73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32" t="str">
        <f>CONCATENATE("&lt;/li&gt;&lt;li&gt;&lt;a href=|http://",AT1191,"/isaiah/53-1.htm","| ","title=|",AT1190,"| target=|_top|&gt;",AT1192,"&lt;/a&gt;")</f>
        <v>&lt;/li&gt;&lt;li&gt;&lt;a href=|http://biblebrowser.com/isaiah/53-1.htm| title=|Split View| target=|_top|&gt;Split&lt;/a&gt;</v>
      </c>
      <c r="AU732" s="2" t="s">
        <v>1276</v>
      </c>
      <c r="AV732" t="s">
        <v>64</v>
      </c>
    </row>
    <row r="733" spans="1:48">
      <c r="A733" t="s">
        <v>622</v>
      </c>
      <c r="B733" t="s">
        <v>1237</v>
      </c>
      <c r="C733" t="s">
        <v>624</v>
      </c>
      <c r="D733" t="s">
        <v>1268</v>
      </c>
      <c r="E733" t="s">
        <v>1277</v>
      </c>
      <c r="F733" t="s">
        <v>1304</v>
      </c>
      <c r="G733" t="s">
        <v>1266</v>
      </c>
      <c r="H733" t="s">
        <v>1305</v>
      </c>
      <c r="I733" t="s">
        <v>1303</v>
      </c>
      <c r="J733" t="s">
        <v>1267</v>
      </c>
      <c r="K733" t="s">
        <v>1275</v>
      </c>
      <c r="L733" s="2" t="s">
        <v>1274</v>
      </c>
      <c r="M733" t="str">
        <f t="shared" ref="M733:AB733" si="2928">CONCATENATE("&lt;/li&gt;&lt;li&gt;&lt;a href=|http://",M1191,"/isaiah/54.htm","| ","title=|",M1190,"| target=|_top|&gt;",M1192,"&lt;/a&gt;")</f>
        <v>&lt;/li&gt;&lt;li&gt;&lt;a href=|http://niv.scripturetext.com/isaiah/54.htm| title=|New International Version| target=|_top|&gt;NIV&lt;/a&gt;</v>
      </c>
      <c r="N733" t="str">
        <f t="shared" si="2928"/>
        <v>&lt;/li&gt;&lt;li&gt;&lt;a href=|http://nlt.scripturetext.com/isaiah/54.htm| title=|New Living Translation| target=|_top|&gt;NLT&lt;/a&gt;</v>
      </c>
      <c r="O733" t="str">
        <f t="shared" si="2928"/>
        <v>&lt;/li&gt;&lt;li&gt;&lt;a href=|http://nasb.scripturetext.com/isaiah/54.htm| title=|New American Standard Bible| target=|_top|&gt;NAS&lt;/a&gt;</v>
      </c>
      <c r="P733" t="str">
        <f t="shared" si="2928"/>
        <v>&lt;/li&gt;&lt;li&gt;&lt;a href=|http://gwt.scripturetext.com/isaiah/54.htm| title=|God's Word Translation| target=|_top|&gt;GWT&lt;/a&gt;</v>
      </c>
      <c r="Q733" t="str">
        <f t="shared" si="2928"/>
        <v>&lt;/li&gt;&lt;li&gt;&lt;a href=|http://kingjbible.com/isaiah/54.htm| title=|King James Bible| target=|_top|&gt;KJV&lt;/a&gt;</v>
      </c>
      <c r="R733" t="str">
        <f t="shared" si="2928"/>
        <v>&lt;/li&gt;&lt;li&gt;&lt;a href=|http://asvbible.com/isaiah/54.htm| title=|American Standard Version| target=|_top|&gt;ASV&lt;/a&gt;</v>
      </c>
      <c r="S733" t="str">
        <f t="shared" si="2928"/>
        <v>&lt;/li&gt;&lt;li&gt;&lt;a href=|http://drb.scripturetext.com/isaiah/54.htm| title=|Douay-Rheims Bible| target=|_top|&gt;DRB&lt;/a&gt;</v>
      </c>
      <c r="T733" t="str">
        <f t="shared" si="2928"/>
        <v>&lt;/li&gt;&lt;li&gt;&lt;a href=|http://erv.scripturetext.com/isaiah/54.htm| title=|English Revised Version| target=|_top|&gt;ERV&lt;/a&gt;</v>
      </c>
      <c r="V733" t="str">
        <f>CONCATENATE("&lt;/li&gt;&lt;li&gt;&lt;a href=|http://",V1191,"/isaiah/54.htm","| ","title=|",V1190,"| target=|_top|&gt;",V1192,"&lt;/a&gt;")</f>
        <v>&lt;/li&gt;&lt;li&gt;&lt;a href=|http://study.interlinearbible.org/isaiah/54.htm| title=|Hebrew Study Bible| target=|_top|&gt;Heb Study&lt;/a&gt;</v>
      </c>
      <c r="W733" t="str">
        <f t="shared" si="2928"/>
        <v>&lt;/li&gt;&lt;li&gt;&lt;a href=|http://apostolic.interlinearbible.org/isaiah/54.htm| title=|Apostolic Bible Polyglot Interlinear| target=|_top|&gt;Polyglot&lt;/a&gt;</v>
      </c>
      <c r="X733" t="str">
        <f t="shared" si="2928"/>
        <v>&lt;/li&gt;&lt;li&gt;&lt;a href=|http://interlinearbible.org/isaiah/54.htm| title=|Interlinear Bible| target=|_top|&gt;Interlin&lt;/a&gt;</v>
      </c>
      <c r="Y733" t="str">
        <f t="shared" ref="Y733" si="2929">CONCATENATE("&lt;/li&gt;&lt;li&gt;&lt;a href=|http://",Y1191,"/isaiah/54.htm","| ","title=|",Y1190,"| target=|_top|&gt;",Y1192,"&lt;/a&gt;")</f>
        <v>&lt;/li&gt;&lt;li&gt;&lt;a href=|http://bibleoutline.org/isaiah/54.htm| title=|Outline with People and Places List| target=|_top|&gt;Outline&lt;/a&gt;</v>
      </c>
      <c r="Z733" t="str">
        <f t="shared" si="2928"/>
        <v>&lt;/li&gt;&lt;li&gt;&lt;a href=|http://kjvs.scripturetext.com/isaiah/54.htm| title=|King James Bible with Strong's Numbers| target=|_top|&gt;Strong's&lt;/a&gt;</v>
      </c>
      <c r="AA733" t="str">
        <f t="shared" si="2928"/>
        <v>&lt;/li&gt;&lt;li&gt;&lt;a href=|http://childrensbibleonline.com/isaiah/54.htm| title=|The Children's Bible| target=|_top|&gt;Children's&lt;/a&gt;</v>
      </c>
      <c r="AB733" s="2" t="str">
        <f t="shared" si="2928"/>
        <v>&lt;/li&gt;&lt;li&gt;&lt;a href=|http://tsk.scripturetext.com/isaiah/54.htm| title=|Treasury of Scripture Knowledge| target=|_top|&gt;TSK&lt;/a&gt;</v>
      </c>
      <c r="AC733" t="str">
        <f>CONCATENATE("&lt;a href=|http://",AC1191,"/isaiah/54.htm","| ","title=|",AC1190,"| target=|_top|&gt;",AC1192,"&lt;/a&gt;")</f>
        <v>&lt;a href=|http://parallelbible.com/isaiah/54.htm| title=|Parallel Chapters| target=|_top|&gt;PAR&lt;/a&gt;</v>
      </c>
      <c r="AD733" s="2" t="str">
        <f t="shared" ref="AD733:AK733" si="2930">CONCATENATE("&lt;/li&gt;&lt;li&gt;&lt;a href=|http://",AD1191,"/isaiah/54.htm","| ","title=|",AD1190,"| target=|_top|&gt;",AD1192,"&lt;/a&gt;")</f>
        <v>&lt;/li&gt;&lt;li&gt;&lt;a href=|http://gsb.biblecommenter.com/isaiah/54.htm| title=|Geneva Study Bible| target=|_top|&gt;GSB&lt;/a&gt;</v>
      </c>
      <c r="AE733" s="2" t="str">
        <f t="shared" si="2930"/>
        <v>&lt;/li&gt;&lt;li&gt;&lt;a href=|http://jfb.biblecommenter.com/isaiah/54.htm| title=|Jamieson-Fausset-Brown Bible Commentary| target=|_top|&gt;JFB&lt;/a&gt;</v>
      </c>
      <c r="AF733" s="2" t="str">
        <f t="shared" si="2930"/>
        <v>&lt;/li&gt;&lt;li&gt;&lt;a href=|http://kjt.biblecommenter.com/isaiah/54.htm| title=|King James Translators' Notes| target=|_top|&gt;KJT&lt;/a&gt;</v>
      </c>
      <c r="AG733" s="2" t="str">
        <f t="shared" si="2930"/>
        <v>&lt;/li&gt;&lt;li&gt;&lt;a href=|http://mhc.biblecommenter.com/isaiah/54.htm| title=|Matthew Henry's Concise Commentary| target=|_top|&gt;MHC&lt;/a&gt;</v>
      </c>
      <c r="AH733" s="2" t="str">
        <f t="shared" si="2930"/>
        <v>&lt;/li&gt;&lt;li&gt;&lt;a href=|http://sco.biblecommenter.com/isaiah/54.htm| title=|Scofield Reference Notes| target=|_top|&gt;SCO&lt;/a&gt;</v>
      </c>
      <c r="AI733" s="2" t="str">
        <f t="shared" si="2930"/>
        <v>&lt;/li&gt;&lt;li&gt;&lt;a href=|http://wes.biblecommenter.com/isaiah/54.htm| title=|Wesley's Notes on the Bible| target=|_top|&gt;WES&lt;/a&gt;</v>
      </c>
      <c r="AJ733" t="str">
        <f t="shared" si="2930"/>
        <v>&lt;/li&gt;&lt;li&gt;&lt;a href=|http://worldebible.com/isaiah/54.htm| title=|World English Bible| target=|_top|&gt;WEB&lt;/a&gt;</v>
      </c>
      <c r="AK733" t="str">
        <f t="shared" si="2930"/>
        <v>&lt;/li&gt;&lt;li&gt;&lt;a href=|http://yltbible.com/isaiah/54.htm| title=|Young's Literal Translation| target=|_top|&gt;YLT&lt;/a&gt;</v>
      </c>
      <c r="AL733" t="str">
        <f>CONCATENATE("&lt;a href=|http://",AL1191,"/isaiah/54.htm","| ","title=|",AL1190,"| target=|_top|&gt;",AL1192,"&lt;/a&gt;")</f>
        <v>&lt;a href=|http://kjv.us/isaiah/54.htm| title=|American King James Version| target=|_top|&gt;AKJ&lt;/a&gt;</v>
      </c>
      <c r="AM733" t="str">
        <f t="shared" ref="AM733:AN733" si="2931">CONCATENATE("&lt;/li&gt;&lt;li&gt;&lt;a href=|http://",AM1191,"/isaiah/54.htm","| ","title=|",AM1190,"| target=|_top|&gt;",AM1192,"&lt;/a&gt;")</f>
        <v>&lt;/li&gt;&lt;li&gt;&lt;a href=|http://basicenglishbible.com/isaiah/54.htm| title=|Bible in Basic English| target=|_top|&gt;BBE&lt;/a&gt;</v>
      </c>
      <c r="AN733" t="str">
        <f t="shared" si="2931"/>
        <v>&lt;/li&gt;&lt;li&gt;&lt;a href=|http://darbybible.com/isaiah/54.htm| title=|Darby Bible Translation| target=|_top|&gt;DBY&lt;/a&gt;</v>
      </c>
      <c r="AO73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3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3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33" t="str">
        <f>CONCATENATE("&lt;/li&gt;&lt;li&gt;&lt;a href=|http://",AR1191,"/isaiah/54.htm","| ","title=|",AR1190,"| target=|_top|&gt;",AR1192,"&lt;/a&gt;")</f>
        <v>&lt;/li&gt;&lt;li&gt;&lt;a href=|http://websterbible.com/isaiah/54.htm| title=|Webster's Bible Translation| target=|_top|&gt;WBS&lt;/a&gt;</v>
      </c>
      <c r="AS73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33" t="str">
        <f>CONCATENATE("&lt;/li&gt;&lt;li&gt;&lt;a href=|http://",AT1191,"/isaiah/54-1.htm","| ","title=|",AT1190,"| target=|_top|&gt;",AT1192,"&lt;/a&gt;")</f>
        <v>&lt;/li&gt;&lt;li&gt;&lt;a href=|http://biblebrowser.com/isaiah/54-1.htm| title=|Split View| target=|_top|&gt;Split&lt;/a&gt;</v>
      </c>
      <c r="AU733" s="2" t="s">
        <v>1276</v>
      </c>
      <c r="AV733" t="s">
        <v>64</v>
      </c>
    </row>
    <row r="734" spans="1:48">
      <c r="A734" t="s">
        <v>622</v>
      </c>
      <c r="B734" t="s">
        <v>1238</v>
      </c>
      <c r="C734" t="s">
        <v>624</v>
      </c>
      <c r="D734" t="s">
        <v>1268</v>
      </c>
      <c r="E734" t="s">
        <v>1277</v>
      </c>
      <c r="F734" t="s">
        <v>1304</v>
      </c>
      <c r="G734" t="s">
        <v>1266</v>
      </c>
      <c r="H734" t="s">
        <v>1305</v>
      </c>
      <c r="I734" t="s">
        <v>1303</v>
      </c>
      <c r="J734" t="s">
        <v>1267</v>
      </c>
      <c r="K734" t="s">
        <v>1275</v>
      </c>
      <c r="L734" s="2" t="s">
        <v>1274</v>
      </c>
      <c r="M734" t="str">
        <f t="shared" ref="M734:AB734" si="2932">CONCATENATE("&lt;/li&gt;&lt;li&gt;&lt;a href=|http://",M1191,"/isaiah/55.htm","| ","title=|",M1190,"| target=|_top|&gt;",M1192,"&lt;/a&gt;")</f>
        <v>&lt;/li&gt;&lt;li&gt;&lt;a href=|http://niv.scripturetext.com/isaiah/55.htm| title=|New International Version| target=|_top|&gt;NIV&lt;/a&gt;</v>
      </c>
      <c r="N734" t="str">
        <f t="shared" si="2932"/>
        <v>&lt;/li&gt;&lt;li&gt;&lt;a href=|http://nlt.scripturetext.com/isaiah/55.htm| title=|New Living Translation| target=|_top|&gt;NLT&lt;/a&gt;</v>
      </c>
      <c r="O734" t="str">
        <f t="shared" si="2932"/>
        <v>&lt;/li&gt;&lt;li&gt;&lt;a href=|http://nasb.scripturetext.com/isaiah/55.htm| title=|New American Standard Bible| target=|_top|&gt;NAS&lt;/a&gt;</v>
      </c>
      <c r="P734" t="str">
        <f t="shared" si="2932"/>
        <v>&lt;/li&gt;&lt;li&gt;&lt;a href=|http://gwt.scripturetext.com/isaiah/55.htm| title=|God's Word Translation| target=|_top|&gt;GWT&lt;/a&gt;</v>
      </c>
      <c r="Q734" t="str">
        <f t="shared" si="2932"/>
        <v>&lt;/li&gt;&lt;li&gt;&lt;a href=|http://kingjbible.com/isaiah/55.htm| title=|King James Bible| target=|_top|&gt;KJV&lt;/a&gt;</v>
      </c>
      <c r="R734" t="str">
        <f t="shared" si="2932"/>
        <v>&lt;/li&gt;&lt;li&gt;&lt;a href=|http://asvbible.com/isaiah/55.htm| title=|American Standard Version| target=|_top|&gt;ASV&lt;/a&gt;</v>
      </c>
      <c r="S734" t="str">
        <f t="shared" si="2932"/>
        <v>&lt;/li&gt;&lt;li&gt;&lt;a href=|http://drb.scripturetext.com/isaiah/55.htm| title=|Douay-Rheims Bible| target=|_top|&gt;DRB&lt;/a&gt;</v>
      </c>
      <c r="T734" t="str">
        <f t="shared" si="2932"/>
        <v>&lt;/li&gt;&lt;li&gt;&lt;a href=|http://erv.scripturetext.com/isaiah/55.htm| title=|English Revised Version| target=|_top|&gt;ERV&lt;/a&gt;</v>
      </c>
      <c r="V734" t="str">
        <f>CONCATENATE("&lt;/li&gt;&lt;li&gt;&lt;a href=|http://",V1191,"/isaiah/55.htm","| ","title=|",V1190,"| target=|_top|&gt;",V1192,"&lt;/a&gt;")</f>
        <v>&lt;/li&gt;&lt;li&gt;&lt;a href=|http://study.interlinearbible.org/isaiah/55.htm| title=|Hebrew Study Bible| target=|_top|&gt;Heb Study&lt;/a&gt;</v>
      </c>
      <c r="W734" t="str">
        <f t="shared" si="2932"/>
        <v>&lt;/li&gt;&lt;li&gt;&lt;a href=|http://apostolic.interlinearbible.org/isaiah/55.htm| title=|Apostolic Bible Polyglot Interlinear| target=|_top|&gt;Polyglot&lt;/a&gt;</v>
      </c>
      <c r="X734" t="str">
        <f t="shared" si="2932"/>
        <v>&lt;/li&gt;&lt;li&gt;&lt;a href=|http://interlinearbible.org/isaiah/55.htm| title=|Interlinear Bible| target=|_top|&gt;Interlin&lt;/a&gt;</v>
      </c>
      <c r="Y734" t="str">
        <f t="shared" ref="Y734" si="2933">CONCATENATE("&lt;/li&gt;&lt;li&gt;&lt;a href=|http://",Y1191,"/isaiah/55.htm","| ","title=|",Y1190,"| target=|_top|&gt;",Y1192,"&lt;/a&gt;")</f>
        <v>&lt;/li&gt;&lt;li&gt;&lt;a href=|http://bibleoutline.org/isaiah/55.htm| title=|Outline with People and Places List| target=|_top|&gt;Outline&lt;/a&gt;</v>
      </c>
      <c r="Z734" t="str">
        <f t="shared" si="2932"/>
        <v>&lt;/li&gt;&lt;li&gt;&lt;a href=|http://kjvs.scripturetext.com/isaiah/55.htm| title=|King James Bible with Strong's Numbers| target=|_top|&gt;Strong's&lt;/a&gt;</v>
      </c>
      <c r="AA734" t="str">
        <f t="shared" si="2932"/>
        <v>&lt;/li&gt;&lt;li&gt;&lt;a href=|http://childrensbibleonline.com/isaiah/55.htm| title=|The Children's Bible| target=|_top|&gt;Children's&lt;/a&gt;</v>
      </c>
      <c r="AB734" s="2" t="str">
        <f t="shared" si="2932"/>
        <v>&lt;/li&gt;&lt;li&gt;&lt;a href=|http://tsk.scripturetext.com/isaiah/55.htm| title=|Treasury of Scripture Knowledge| target=|_top|&gt;TSK&lt;/a&gt;</v>
      </c>
      <c r="AC734" t="str">
        <f>CONCATENATE("&lt;a href=|http://",AC1191,"/isaiah/55.htm","| ","title=|",AC1190,"| target=|_top|&gt;",AC1192,"&lt;/a&gt;")</f>
        <v>&lt;a href=|http://parallelbible.com/isaiah/55.htm| title=|Parallel Chapters| target=|_top|&gt;PAR&lt;/a&gt;</v>
      </c>
      <c r="AD734" s="2" t="str">
        <f t="shared" ref="AD734:AK734" si="2934">CONCATENATE("&lt;/li&gt;&lt;li&gt;&lt;a href=|http://",AD1191,"/isaiah/55.htm","| ","title=|",AD1190,"| target=|_top|&gt;",AD1192,"&lt;/a&gt;")</f>
        <v>&lt;/li&gt;&lt;li&gt;&lt;a href=|http://gsb.biblecommenter.com/isaiah/55.htm| title=|Geneva Study Bible| target=|_top|&gt;GSB&lt;/a&gt;</v>
      </c>
      <c r="AE734" s="2" t="str">
        <f t="shared" si="2934"/>
        <v>&lt;/li&gt;&lt;li&gt;&lt;a href=|http://jfb.biblecommenter.com/isaiah/55.htm| title=|Jamieson-Fausset-Brown Bible Commentary| target=|_top|&gt;JFB&lt;/a&gt;</v>
      </c>
      <c r="AF734" s="2" t="str">
        <f t="shared" si="2934"/>
        <v>&lt;/li&gt;&lt;li&gt;&lt;a href=|http://kjt.biblecommenter.com/isaiah/55.htm| title=|King James Translators' Notes| target=|_top|&gt;KJT&lt;/a&gt;</v>
      </c>
      <c r="AG734" s="2" t="str">
        <f t="shared" si="2934"/>
        <v>&lt;/li&gt;&lt;li&gt;&lt;a href=|http://mhc.biblecommenter.com/isaiah/55.htm| title=|Matthew Henry's Concise Commentary| target=|_top|&gt;MHC&lt;/a&gt;</v>
      </c>
      <c r="AH734" s="2" t="str">
        <f t="shared" si="2934"/>
        <v>&lt;/li&gt;&lt;li&gt;&lt;a href=|http://sco.biblecommenter.com/isaiah/55.htm| title=|Scofield Reference Notes| target=|_top|&gt;SCO&lt;/a&gt;</v>
      </c>
      <c r="AI734" s="2" t="str">
        <f t="shared" si="2934"/>
        <v>&lt;/li&gt;&lt;li&gt;&lt;a href=|http://wes.biblecommenter.com/isaiah/55.htm| title=|Wesley's Notes on the Bible| target=|_top|&gt;WES&lt;/a&gt;</v>
      </c>
      <c r="AJ734" t="str">
        <f t="shared" si="2934"/>
        <v>&lt;/li&gt;&lt;li&gt;&lt;a href=|http://worldebible.com/isaiah/55.htm| title=|World English Bible| target=|_top|&gt;WEB&lt;/a&gt;</v>
      </c>
      <c r="AK734" t="str">
        <f t="shared" si="2934"/>
        <v>&lt;/li&gt;&lt;li&gt;&lt;a href=|http://yltbible.com/isaiah/55.htm| title=|Young's Literal Translation| target=|_top|&gt;YLT&lt;/a&gt;</v>
      </c>
      <c r="AL734" t="str">
        <f>CONCATENATE("&lt;a href=|http://",AL1191,"/isaiah/55.htm","| ","title=|",AL1190,"| target=|_top|&gt;",AL1192,"&lt;/a&gt;")</f>
        <v>&lt;a href=|http://kjv.us/isaiah/55.htm| title=|American King James Version| target=|_top|&gt;AKJ&lt;/a&gt;</v>
      </c>
      <c r="AM734" t="str">
        <f t="shared" ref="AM734:AN734" si="2935">CONCATENATE("&lt;/li&gt;&lt;li&gt;&lt;a href=|http://",AM1191,"/isaiah/55.htm","| ","title=|",AM1190,"| target=|_top|&gt;",AM1192,"&lt;/a&gt;")</f>
        <v>&lt;/li&gt;&lt;li&gt;&lt;a href=|http://basicenglishbible.com/isaiah/55.htm| title=|Bible in Basic English| target=|_top|&gt;BBE&lt;/a&gt;</v>
      </c>
      <c r="AN734" t="str">
        <f t="shared" si="2935"/>
        <v>&lt;/li&gt;&lt;li&gt;&lt;a href=|http://darbybible.com/isaiah/55.htm| title=|Darby Bible Translation| target=|_top|&gt;DBY&lt;/a&gt;</v>
      </c>
      <c r="AO73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3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3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34" t="str">
        <f>CONCATENATE("&lt;/li&gt;&lt;li&gt;&lt;a href=|http://",AR1191,"/isaiah/55.htm","| ","title=|",AR1190,"| target=|_top|&gt;",AR1192,"&lt;/a&gt;")</f>
        <v>&lt;/li&gt;&lt;li&gt;&lt;a href=|http://websterbible.com/isaiah/55.htm| title=|Webster's Bible Translation| target=|_top|&gt;WBS&lt;/a&gt;</v>
      </c>
      <c r="AS73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34" t="str">
        <f>CONCATENATE("&lt;/li&gt;&lt;li&gt;&lt;a href=|http://",AT1191,"/isaiah/55-1.htm","| ","title=|",AT1190,"| target=|_top|&gt;",AT1192,"&lt;/a&gt;")</f>
        <v>&lt;/li&gt;&lt;li&gt;&lt;a href=|http://biblebrowser.com/isaiah/55-1.htm| title=|Split View| target=|_top|&gt;Split&lt;/a&gt;</v>
      </c>
      <c r="AU734" s="2" t="s">
        <v>1276</v>
      </c>
      <c r="AV734" t="s">
        <v>64</v>
      </c>
    </row>
    <row r="735" spans="1:48">
      <c r="A735" t="s">
        <v>622</v>
      </c>
      <c r="B735" t="s">
        <v>1239</v>
      </c>
      <c r="C735" t="s">
        <v>624</v>
      </c>
      <c r="D735" t="s">
        <v>1268</v>
      </c>
      <c r="E735" t="s">
        <v>1277</v>
      </c>
      <c r="F735" t="s">
        <v>1304</v>
      </c>
      <c r="G735" t="s">
        <v>1266</v>
      </c>
      <c r="H735" t="s">
        <v>1305</v>
      </c>
      <c r="I735" t="s">
        <v>1303</v>
      </c>
      <c r="J735" t="s">
        <v>1267</v>
      </c>
      <c r="K735" t="s">
        <v>1275</v>
      </c>
      <c r="L735" s="2" t="s">
        <v>1274</v>
      </c>
      <c r="M735" t="str">
        <f t="shared" ref="M735:AB735" si="2936">CONCATENATE("&lt;/li&gt;&lt;li&gt;&lt;a href=|http://",M1191,"/isaiah/56.htm","| ","title=|",M1190,"| target=|_top|&gt;",M1192,"&lt;/a&gt;")</f>
        <v>&lt;/li&gt;&lt;li&gt;&lt;a href=|http://niv.scripturetext.com/isaiah/56.htm| title=|New International Version| target=|_top|&gt;NIV&lt;/a&gt;</v>
      </c>
      <c r="N735" t="str">
        <f t="shared" si="2936"/>
        <v>&lt;/li&gt;&lt;li&gt;&lt;a href=|http://nlt.scripturetext.com/isaiah/56.htm| title=|New Living Translation| target=|_top|&gt;NLT&lt;/a&gt;</v>
      </c>
      <c r="O735" t="str">
        <f t="shared" si="2936"/>
        <v>&lt;/li&gt;&lt;li&gt;&lt;a href=|http://nasb.scripturetext.com/isaiah/56.htm| title=|New American Standard Bible| target=|_top|&gt;NAS&lt;/a&gt;</v>
      </c>
      <c r="P735" t="str">
        <f t="shared" si="2936"/>
        <v>&lt;/li&gt;&lt;li&gt;&lt;a href=|http://gwt.scripturetext.com/isaiah/56.htm| title=|God's Word Translation| target=|_top|&gt;GWT&lt;/a&gt;</v>
      </c>
      <c r="Q735" t="str">
        <f t="shared" si="2936"/>
        <v>&lt;/li&gt;&lt;li&gt;&lt;a href=|http://kingjbible.com/isaiah/56.htm| title=|King James Bible| target=|_top|&gt;KJV&lt;/a&gt;</v>
      </c>
      <c r="R735" t="str">
        <f t="shared" si="2936"/>
        <v>&lt;/li&gt;&lt;li&gt;&lt;a href=|http://asvbible.com/isaiah/56.htm| title=|American Standard Version| target=|_top|&gt;ASV&lt;/a&gt;</v>
      </c>
      <c r="S735" t="str">
        <f t="shared" si="2936"/>
        <v>&lt;/li&gt;&lt;li&gt;&lt;a href=|http://drb.scripturetext.com/isaiah/56.htm| title=|Douay-Rheims Bible| target=|_top|&gt;DRB&lt;/a&gt;</v>
      </c>
      <c r="T735" t="str">
        <f t="shared" si="2936"/>
        <v>&lt;/li&gt;&lt;li&gt;&lt;a href=|http://erv.scripturetext.com/isaiah/56.htm| title=|English Revised Version| target=|_top|&gt;ERV&lt;/a&gt;</v>
      </c>
      <c r="V735" t="str">
        <f>CONCATENATE("&lt;/li&gt;&lt;li&gt;&lt;a href=|http://",V1191,"/isaiah/56.htm","| ","title=|",V1190,"| target=|_top|&gt;",V1192,"&lt;/a&gt;")</f>
        <v>&lt;/li&gt;&lt;li&gt;&lt;a href=|http://study.interlinearbible.org/isaiah/56.htm| title=|Hebrew Study Bible| target=|_top|&gt;Heb Study&lt;/a&gt;</v>
      </c>
      <c r="W735" t="str">
        <f t="shared" si="2936"/>
        <v>&lt;/li&gt;&lt;li&gt;&lt;a href=|http://apostolic.interlinearbible.org/isaiah/56.htm| title=|Apostolic Bible Polyglot Interlinear| target=|_top|&gt;Polyglot&lt;/a&gt;</v>
      </c>
      <c r="X735" t="str">
        <f t="shared" si="2936"/>
        <v>&lt;/li&gt;&lt;li&gt;&lt;a href=|http://interlinearbible.org/isaiah/56.htm| title=|Interlinear Bible| target=|_top|&gt;Interlin&lt;/a&gt;</v>
      </c>
      <c r="Y735" t="str">
        <f t="shared" ref="Y735" si="2937">CONCATENATE("&lt;/li&gt;&lt;li&gt;&lt;a href=|http://",Y1191,"/isaiah/56.htm","| ","title=|",Y1190,"| target=|_top|&gt;",Y1192,"&lt;/a&gt;")</f>
        <v>&lt;/li&gt;&lt;li&gt;&lt;a href=|http://bibleoutline.org/isaiah/56.htm| title=|Outline with People and Places List| target=|_top|&gt;Outline&lt;/a&gt;</v>
      </c>
      <c r="Z735" t="str">
        <f t="shared" si="2936"/>
        <v>&lt;/li&gt;&lt;li&gt;&lt;a href=|http://kjvs.scripturetext.com/isaiah/56.htm| title=|King James Bible with Strong's Numbers| target=|_top|&gt;Strong's&lt;/a&gt;</v>
      </c>
      <c r="AA735" t="str">
        <f t="shared" si="2936"/>
        <v>&lt;/li&gt;&lt;li&gt;&lt;a href=|http://childrensbibleonline.com/isaiah/56.htm| title=|The Children's Bible| target=|_top|&gt;Children's&lt;/a&gt;</v>
      </c>
      <c r="AB735" s="2" t="str">
        <f t="shared" si="2936"/>
        <v>&lt;/li&gt;&lt;li&gt;&lt;a href=|http://tsk.scripturetext.com/isaiah/56.htm| title=|Treasury of Scripture Knowledge| target=|_top|&gt;TSK&lt;/a&gt;</v>
      </c>
      <c r="AC735" t="str">
        <f>CONCATENATE("&lt;a href=|http://",AC1191,"/isaiah/56.htm","| ","title=|",AC1190,"| target=|_top|&gt;",AC1192,"&lt;/a&gt;")</f>
        <v>&lt;a href=|http://parallelbible.com/isaiah/56.htm| title=|Parallel Chapters| target=|_top|&gt;PAR&lt;/a&gt;</v>
      </c>
      <c r="AD735" s="2" t="str">
        <f t="shared" ref="AD735:AK735" si="2938">CONCATENATE("&lt;/li&gt;&lt;li&gt;&lt;a href=|http://",AD1191,"/isaiah/56.htm","| ","title=|",AD1190,"| target=|_top|&gt;",AD1192,"&lt;/a&gt;")</f>
        <v>&lt;/li&gt;&lt;li&gt;&lt;a href=|http://gsb.biblecommenter.com/isaiah/56.htm| title=|Geneva Study Bible| target=|_top|&gt;GSB&lt;/a&gt;</v>
      </c>
      <c r="AE735" s="2" t="str">
        <f t="shared" si="2938"/>
        <v>&lt;/li&gt;&lt;li&gt;&lt;a href=|http://jfb.biblecommenter.com/isaiah/56.htm| title=|Jamieson-Fausset-Brown Bible Commentary| target=|_top|&gt;JFB&lt;/a&gt;</v>
      </c>
      <c r="AF735" s="2" t="str">
        <f t="shared" si="2938"/>
        <v>&lt;/li&gt;&lt;li&gt;&lt;a href=|http://kjt.biblecommenter.com/isaiah/56.htm| title=|King James Translators' Notes| target=|_top|&gt;KJT&lt;/a&gt;</v>
      </c>
      <c r="AG735" s="2" t="str">
        <f t="shared" si="2938"/>
        <v>&lt;/li&gt;&lt;li&gt;&lt;a href=|http://mhc.biblecommenter.com/isaiah/56.htm| title=|Matthew Henry's Concise Commentary| target=|_top|&gt;MHC&lt;/a&gt;</v>
      </c>
      <c r="AH735" s="2" t="str">
        <f t="shared" si="2938"/>
        <v>&lt;/li&gt;&lt;li&gt;&lt;a href=|http://sco.biblecommenter.com/isaiah/56.htm| title=|Scofield Reference Notes| target=|_top|&gt;SCO&lt;/a&gt;</v>
      </c>
      <c r="AI735" s="2" t="str">
        <f t="shared" si="2938"/>
        <v>&lt;/li&gt;&lt;li&gt;&lt;a href=|http://wes.biblecommenter.com/isaiah/56.htm| title=|Wesley's Notes on the Bible| target=|_top|&gt;WES&lt;/a&gt;</v>
      </c>
      <c r="AJ735" t="str">
        <f t="shared" si="2938"/>
        <v>&lt;/li&gt;&lt;li&gt;&lt;a href=|http://worldebible.com/isaiah/56.htm| title=|World English Bible| target=|_top|&gt;WEB&lt;/a&gt;</v>
      </c>
      <c r="AK735" t="str">
        <f t="shared" si="2938"/>
        <v>&lt;/li&gt;&lt;li&gt;&lt;a href=|http://yltbible.com/isaiah/56.htm| title=|Young's Literal Translation| target=|_top|&gt;YLT&lt;/a&gt;</v>
      </c>
      <c r="AL735" t="str">
        <f>CONCATENATE("&lt;a href=|http://",AL1191,"/isaiah/56.htm","| ","title=|",AL1190,"| target=|_top|&gt;",AL1192,"&lt;/a&gt;")</f>
        <v>&lt;a href=|http://kjv.us/isaiah/56.htm| title=|American King James Version| target=|_top|&gt;AKJ&lt;/a&gt;</v>
      </c>
      <c r="AM735" t="str">
        <f t="shared" ref="AM735:AN735" si="2939">CONCATENATE("&lt;/li&gt;&lt;li&gt;&lt;a href=|http://",AM1191,"/isaiah/56.htm","| ","title=|",AM1190,"| target=|_top|&gt;",AM1192,"&lt;/a&gt;")</f>
        <v>&lt;/li&gt;&lt;li&gt;&lt;a href=|http://basicenglishbible.com/isaiah/56.htm| title=|Bible in Basic English| target=|_top|&gt;BBE&lt;/a&gt;</v>
      </c>
      <c r="AN735" t="str">
        <f t="shared" si="2939"/>
        <v>&lt;/li&gt;&lt;li&gt;&lt;a href=|http://darbybible.com/isaiah/56.htm| title=|Darby Bible Translation| target=|_top|&gt;DBY&lt;/a&gt;</v>
      </c>
      <c r="AO73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3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3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35" t="str">
        <f>CONCATENATE("&lt;/li&gt;&lt;li&gt;&lt;a href=|http://",AR1191,"/isaiah/56.htm","| ","title=|",AR1190,"| target=|_top|&gt;",AR1192,"&lt;/a&gt;")</f>
        <v>&lt;/li&gt;&lt;li&gt;&lt;a href=|http://websterbible.com/isaiah/56.htm| title=|Webster's Bible Translation| target=|_top|&gt;WBS&lt;/a&gt;</v>
      </c>
      <c r="AS73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35" t="str">
        <f>CONCATENATE("&lt;/li&gt;&lt;li&gt;&lt;a href=|http://",AT1191,"/isaiah/56-1.htm","| ","title=|",AT1190,"| target=|_top|&gt;",AT1192,"&lt;/a&gt;")</f>
        <v>&lt;/li&gt;&lt;li&gt;&lt;a href=|http://biblebrowser.com/isaiah/56-1.htm| title=|Split View| target=|_top|&gt;Split&lt;/a&gt;</v>
      </c>
      <c r="AU735" s="2" t="s">
        <v>1276</v>
      </c>
      <c r="AV735" t="s">
        <v>64</v>
      </c>
    </row>
    <row r="736" spans="1:48">
      <c r="A736" t="s">
        <v>622</v>
      </c>
      <c r="B736" t="s">
        <v>1240</v>
      </c>
      <c r="C736" t="s">
        <v>624</v>
      </c>
      <c r="D736" t="s">
        <v>1268</v>
      </c>
      <c r="E736" t="s">
        <v>1277</v>
      </c>
      <c r="F736" t="s">
        <v>1304</v>
      </c>
      <c r="G736" t="s">
        <v>1266</v>
      </c>
      <c r="H736" t="s">
        <v>1305</v>
      </c>
      <c r="I736" t="s">
        <v>1303</v>
      </c>
      <c r="J736" t="s">
        <v>1267</v>
      </c>
      <c r="K736" t="s">
        <v>1275</v>
      </c>
      <c r="L736" s="2" t="s">
        <v>1274</v>
      </c>
      <c r="M736" t="str">
        <f t="shared" ref="M736:AB736" si="2940">CONCATENATE("&lt;/li&gt;&lt;li&gt;&lt;a href=|http://",M1191,"/isaiah/57.htm","| ","title=|",M1190,"| target=|_top|&gt;",M1192,"&lt;/a&gt;")</f>
        <v>&lt;/li&gt;&lt;li&gt;&lt;a href=|http://niv.scripturetext.com/isaiah/57.htm| title=|New International Version| target=|_top|&gt;NIV&lt;/a&gt;</v>
      </c>
      <c r="N736" t="str">
        <f t="shared" si="2940"/>
        <v>&lt;/li&gt;&lt;li&gt;&lt;a href=|http://nlt.scripturetext.com/isaiah/57.htm| title=|New Living Translation| target=|_top|&gt;NLT&lt;/a&gt;</v>
      </c>
      <c r="O736" t="str">
        <f t="shared" si="2940"/>
        <v>&lt;/li&gt;&lt;li&gt;&lt;a href=|http://nasb.scripturetext.com/isaiah/57.htm| title=|New American Standard Bible| target=|_top|&gt;NAS&lt;/a&gt;</v>
      </c>
      <c r="P736" t="str">
        <f t="shared" si="2940"/>
        <v>&lt;/li&gt;&lt;li&gt;&lt;a href=|http://gwt.scripturetext.com/isaiah/57.htm| title=|God's Word Translation| target=|_top|&gt;GWT&lt;/a&gt;</v>
      </c>
      <c r="Q736" t="str">
        <f t="shared" si="2940"/>
        <v>&lt;/li&gt;&lt;li&gt;&lt;a href=|http://kingjbible.com/isaiah/57.htm| title=|King James Bible| target=|_top|&gt;KJV&lt;/a&gt;</v>
      </c>
      <c r="R736" t="str">
        <f t="shared" si="2940"/>
        <v>&lt;/li&gt;&lt;li&gt;&lt;a href=|http://asvbible.com/isaiah/57.htm| title=|American Standard Version| target=|_top|&gt;ASV&lt;/a&gt;</v>
      </c>
      <c r="S736" t="str">
        <f t="shared" si="2940"/>
        <v>&lt;/li&gt;&lt;li&gt;&lt;a href=|http://drb.scripturetext.com/isaiah/57.htm| title=|Douay-Rheims Bible| target=|_top|&gt;DRB&lt;/a&gt;</v>
      </c>
      <c r="T736" t="str">
        <f t="shared" si="2940"/>
        <v>&lt;/li&gt;&lt;li&gt;&lt;a href=|http://erv.scripturetext.com/isaiah/57.htm| title=|English Revised Version| target=|_top|&gt;ERV&lt;/a&gt;</v>
      </c>
      <c r="V736" t="str">
        <f>CONCATENATE("&lt;/li&gt;&lt;li&gt;&lt;a href=|http://",V1191,"/isaiah/57.htm","| ","title=|",V1190,"| target=|_top|&gt;",V1192,"&lt;/a&gt;")</f>
        <v>&lt;/li&gt;&lt;li&gt;&lt;a href=|http://study.interlinearbible.org/isaiah/57.htm| title=|Hebrew Study Bible| target=|_top|&gt;Heb Study&lt;/a&gt;</v>
      </c>
      <c r="W736" t="str">
        <f t="shared" si="2940"/>
        <v>&lt;/li&gt;&lt;li&gt;&lt;a href=|http://apostolic.interlinearbible.org/isaiah/57.htm| title=|Apostolic Bible Polyglot Interlinear| target=|_top|&gt;Polyglot&lt;/a&gt;</v>
      </c>
      <c r="X736" t="str">
        <f t="shared" si="2940"/>
        <v>&lt;/li&gt;&lt;li&gt;&lt;a href=|http://interlinearbible.org/isaiah/57.htm| title=|Interlinear Bible| target=|_top|&gt;Interlin&lt;/a&gt;</v>
      </c>
      <c r="Y736" t="str">
        <f t="shared" ref="Y736" si="2941">CONCATENATE("&lt;/li&gt;&lt;li&gt;&lt;a href=|http://",Y1191,"/isaiah/57.htm","| ","title=|",Y1190,"| target=|_top|&gt;",Y1192,"&lt;/a&gt;")</f>
        <v>&lt;/li&gt;&lt;li&gt;&lt;a href=|http://bibleoutline.org/isaiah/57.htm| title=|Outline with People and Places List| target=|_top|&gt;Outline&lt;/a&gt;</v>
      </c>
      <c r="Z736" t="str">
        <f t="shared" si="2940"/>
        <v>&lt;/li&gt;&lt;li&gt;&lt;a href=|http://kjvs.scripturetext.com/isaiah/57.htm| title=|King James Bible with Strong's Numbers| target=|_top|&gt;Strong's&lt;/a&gt;</v>
      </c>
      <c r="AA736" t="str">
        <f t="shared" si="2940"/>
        <v>&lt;/li&gt;&lt;li&gt;&lt;a href=|http://childrensbibleonline.com/isaiah/57.htm| title=|The Children's Bible| target=|_top|&gt;Children's&lt;/a&gt;</v>
      </c>
      <c r="AB736" s="2" t="str">
        <f t="shared" si="2940"/>
        <v>&lt;/li&gt;&lt;li&gt;&lt;a href=|http://tsk.scripturetext.com/isaiah/57.htm| title=|Treasury of Scripture Knowledge| target=|_top|&gt;TSK&lt;/a&gt;</v>
      </c>
      <c r="AC736" t="str">
        <f>CONCATENATE("&lt;a href=|http://",AC1191,"/isaiah/57.htm","| ","title=|",AC1190,"| target=|_top|&gt;",AC1192,"&lt;/a&gt;")</f>
        <v>&lt;a href=|http://parallelbible.com/isaiah/57.htm| title=|Parallel Chapters| target=|_top|&gt;PAR&lt;/a&gt;</v>
      </c>
      <c r="AD736" s="2" t="str">
        <f t="shared" ref="AD736:AK736" si="2942">CONCATENATE("&lt;/li&gt;&lt;li&gt;&lt;a href=|http://",AD1191,"/isaiah/57.htm","| ","title=|",AD1190,"| target=|_top|&gt;",AD1192,"&lt;/a&gt;")</f>
        <v>&lt;/li&gt;&lt;li&gt;&lt;a href=|http://gsb.biblecommenter.com/isaiah/57.htm| title=|Geneva Study Bible| target=|_top|&gt;GSB&lt;/a&gt;</v>
      </c>
      <c r="AE736" s="2" t="str">
        <f t="shared" si="2942"/>
        <v>&lt;/li&gt;&lt;li&gt;&lt;a href=|http://jfb.biblecommenter.com/isaiah/57.htm| title=|Jamieson-Fausset-Brown Bible Commentary| target=|_top|&gt;JFB&lt;/a&gt;</v>
      </c>
      <c r="AF736" s="2" t="str">
        <f t="shared" si="2942"/>
        <v>&lt;/li&gt;&lt;li&gt;&lt;a href=|http://kjt.biblecommenter.com/isaiah/57.htm| title=|King James Translators' Notes| target=|_top|&gt;KJT&lt;/a&gt;</v>
      </c>
      <c r="AG736" s="2" t="str">
        <f t="shared" si="2942"/>
        <v>&lt;/li&gt;&lt;li&gt;&lt;a href=|http://mhc.biblecommenter.com/isaiah/57.htm| title=|Matthew Henry's Concise Commentary| target=|_top|&gt;MHC&lt;/a&gt;</v>
      </c>
      <c r="AH736" s="2" t="str">
        <f t="shared" si="2942"/>
        <v>&lt;/li&gt;&lt;li&gt;&lt;a href=|http://sco.biblecommenter.com/isaiah/57.htm| title=|Scofield Reference Notes| target=|_top|&gt;SCO&lt;/a&gt;</v>
      </c>
      <c r="AI736" s="2" t="str">
        <f t="shared" si="2942"/>
        <v>&lt;/li&gt;&lt;li&gt;&lt;a href=|http://wes.biblecommenter.com/isaiah/57.htm| title=|Wesley's Notes on the Bible| target=|_top|&gt;WES&lt;/a&gt;</v>
      </c>
      <c r="AJ736" t="str">
        <f t="shared" si="2942"/>
        <v>&lt;/li&gt;&lt;li&gt;&lt;a href=|http://worldebible.com/isaiah/57.htm| title=|World English Bible| target=|_top|&gt;WEB&lt;/a&gt;</v>
      </c>
      <c r="AK736" t="str">
        <f t="shared" si="2942"/>
        <v>&lt;/li&gt;&lt;li&gt;&lt;a href=|http://yltbible.com/isaiah/57.htm| title=|Young's Literal Translation| target=|_top|&gt;YLT&lt;/a&gt;</v>
      </c>
      <c r="AL736" t="str">
        <f>CONCATENATE("&lt;a href=|http://",AL1191,"/isaiah/57.htm","| ","title=|",AL1190,"| target=|_top|&gt;",AL1192,"&lt;/a&gt;")</f>
        <v>&lt;a href=|http://kjv.us/isaiah/57.htm| title=|American King James Version| target=|_top|&gt;AKJ&lt;/a&gt;</v>
      </c>
      <c r="AM736" t="str">
        <f t="shared" ref="AM736:AN736" si="2943">CONCATENATE("&lt;/li&gt;&lt;li&gt;&lt;a href=|http://",AM1191,"/isaiah/57.htm","| ","title=|",AM1190,"| target=|_top|&gt;",AM1192,"&lt;/a&gt;")</f>
        <v>&lt;/li&gt;&lt;li&gt;&lt;a href=|http://basicenglishbible.com/isaiah/57.htm| title=|Bible in Basic English| target=|_top|&gt;BBE&lt;/a&gt;</v>
      </c>
      <c r="AN736" t="str">
        <f t="shared" si="2943"/>
        <v>&lt;/li&gt;&lt;li&gt;&lt;a href=|http://darbybible.com/isaiah/57.htm| title=|Darby Bible Translation| target=|_top|&gt;DBY&lt;/a&gt;</v>
      </c>
      <c r="AO73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3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3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36" t="str">
        <f>CONCATENATE("&lt;/li&gt;&lt;li&gt;&lt;a href=|http://",AR1191,"/isaiah/57.htm","| ","title=|",AR1190,"| target=|_top|&gt;",AR1192,"&lt;/a&gt;")</f>
        <v>&lt;/li&gt;&lt;li&gt;&lt;a href=|http://websterbible.com/isaiah/57.htm| title=|Webster's Bible Translation| target=|_top|&gt;WBS&lt;/a&gt;</v>
      </c>
      <c r="AS73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36" t="str">
        <f>CONCATENATE("&lt;/li&gt;&lt;li&gt;&lt;a href=|http://",AT1191,"/isaiah/57-1.htm","| ","title=|",AT1190,"| target=|_top|&gt;",AT1192,"&lt;/a&gt;")</f>
        <v>&lt;/li&gt;&lt;li&gt;&lt;a href=|http://biblebrowser.com/isaiah/57-1.htm| title=|Split View| target=|_top|&gt;Split&lt;/a&gt;</v>
      </c>
      <c r="AU736" s="2" t="s">
        <v>1276</v>
      </c>
      <c r="AV736" t="s">
        <v>64</v>
      </c>
    </row>
    <row r="737" spans="1:48">
      <c r="A737" t="s">
        <v>622</v>
      </c>
      <c r="B737" t="s">
        <v>1241</v>
      </c>
      <c r="C737" t="s">
        <v>624</v>
      </c>
      <c r="D737" t="s">
        <v>1268</v>
      </c>
      <c r="E737" t="s">
        <v>1277</v>
      </c>
      <c r="F737" t="s">
        <v>1304</v>
      </c>
      <c r="G737" t="s">
        <v>1266</v>
      </c>
      <c r="H737" t="s">
        <v>1305</v>
      </c>
      <c r="I737" t="s">
        <v>1303</v>
      </c>
      <c r="J737" t="s">
        <v>1267</v>
      </c>
      <c r="K737" t="s">
        <v>1275</v>
      </c>
      <c r="L737" s="2" t="s">
        <v>1274</v>
      </c>
      <c r="M737" t="str">
        <f t="shared" ref="M737:AB737" si="2944">CONCATENATE("&lt;/li&gt;&lt;li&gt;&lt;a href=|http://",M1191,"/isaiah/58.htm","| ","title=|",M1190,"| target=|_top|&gt;",M1192,"&lt;/a&gt;")</f>
        <v>&lt;/li&gt;&lt;li&gt;&lt;a href=|http://niv.scripturetext.com/isaiah/58.htm| title=|New International Version| target=|_top|&gt;NIV&lt;/a&gt;</v>
      </c>
      <c r="N737" t="str">
        <f t="shared" si="2944"/>
        <v>&lt;/li&gt;&lt;li&gt;&lt;a href=|http://nlt.scripturetext.com/isaiah/58.htm| title=|New Living Translation| target=|_top|&gt;NLT&lt;/a&gt;</v>
      </c>
      <c r="O737" t="str">
        <f t="shared" si="2944"/>
        <v>&lt;/li&gt;&lt;li&gt;&lt;a href=|http://nasb.scripturetext.com/isaiah/58.htm| title=|New American Standard Bible| target=|_top|&gt;NAS&lt;/a&gt;</v>
      </c>
      <c r="P737" t="str">
        <f t="shared" si="2944"/>
        <v>&lt;/li&gt;&lt;li&gt;&lt;a href=|http://gwt.scripturetext.com/isaiah/58.htm| title=|God's Word Translation| target=|_top|&gt;GWT&lt;/a&gt;</v>
      </c>
      <c r="Q737" t="str">
        <f t="shared" si="2944"/>
        <v>&lt;/li&gt;&lt;li&gt;&lt;a href=|http://kingjbible.com/isaiah/58.htm| title=|King James Bible| target=|_top|&gt;KJV&lt;/a&gt;</v>
      </c>
      <c r="R737" t="str">
        <f t="shared" si="2944"/>
        <v>&lt;/li&gt;&lt;li&gt;&lt;a href=|http://asvbible.com/isaiah/58.htm| title=|American Standard Version| target=|_top|&gt;ASV&lt;/a&gt;</v>
      </c>
      <c r="S737" t="str">
        <f t="shared" si="2944"/>
        <v>&lt;/li&gt;&lt;li&gt;&lt;a href=|http://drb.scripturetext.com/isaiah/58.htm| title=|Douay-Rheims Bible| target=|_top|&gt;DRB&lt;/a&gt;</v>
      </c>
      <c r="T737" t="str">
        <f t="shared" si="2944"/>
        <v>&lt;/li&gt;&lt;li&gt;&lt;a href=|http://erv.scripturetext.com/isaiah/58.htm| title=|English Revised Version| target=|_top|&gt;ERV&lt;/a&gt;</v>
      </c>
      <c r="V737" t="str">
        <f>CONCATENATE("&lt;/li&gt;&lt;li&gt;&lt;a href=|http://",V1191,"/isaiah/58.htm","| ","title=|",V1190,"| target=|_top|&gt;",V1192,"&lt;/a&gt;")</f>
        <v>&lt;/li&gt;&lt;li&gt;&lt;a href=|http://study.interlinearbible.org/isaiah/58.htm| title=|Hebrew Study Bible| target=|_top|&gt;Heb Study&lt;/a&gt;</v>
      </c>
      <c r="W737" t="str">
        <f t="shared" si="2944"/>
        <v>&lt;/li&gt;&lt;li&gt;&lt;a href=|http://apostolic.interlinearbible.org/isaiah/58.htm| title=|Apostolic Bible Polyglot Interlinear| target=|_top|&gt;Polyglot&lt;/a&gt;</v>
      </c>
      <c r="X737" t="str">
        <f t="shared" si="2944"/>
        <v>&lt;/li&gt;&lt;li&gt;&lt;a href=|http://interlinearbible.org/isaiah/58.htm| title=|Interlinear Bible| target=|_top|&gt;Interlin&lt;/a&gt;</v>
      </c>
      <c r="Y737" t="str">
        <f t="shared" ref="Y737" si="2945">CONCATENATE("&lt;/li&gt;&lt;li&gt;&lt;a href=|http://",Y1191,"/isaiah/58.htm","| ","title=|",Y1190,"| target=|_top|&gt;",Y1192,"&lt;/a&gt;")</f>
        <v>&lt;/li&gt;&lt;li&gt;&lt;a href=|http://bibleoutline.org/isaiah/58.htm| title=|Outline with People and Places List| target=|_top|&gt;Outline&lt;/a&gt;</v>
      </c>
      <c r="Z737" t="str">
        <f t="shared" si="2944"/>
        <v>&lt;/li&gt;&lt;li&gt;&lt;a href=|http://kjvs.scripturetext.com/isaiah/58.htm| title=|King James Bible with Strong's Numbers| target=|_top|&gt;Strong's&lt;/a&gt;</v>
      </c>
      <c r="AA737" t="str">
        <f t="shared" si="2944"/>
        <v>&lt;/li&gt;&lt;li&gt;&lt;a href=|http://childrensbibleonline.com/isaiah/58.htm| title=|The Children's Bible| target=|_top|&gt;Children's&lt;/a&gt;</v>
      </c>
      <c r="AB737" s="2" t="str">
        <f t="shared" si="2944"/>
        <v>&lt;/li&gt;&lt;li&gt;&lt;a href=|http://tsk.scripturetext.com/isaiah/58.htm| title=|Treasury of Scripture Knowledge| target=|_top|&gt;TSK&lt;/a&gt;</v>
      </c>
      <c r="AC737" t="str">
        <f>CONCATENATE("&lt;a href=|http://",AC1191,"/isaiah/58.htm","| ","title=|",AC1190,"| target=|_top|&gt;",AC1192,"&lt;/a&gt;")</f>
        <v>&lt;a href=|http://parallelbible.com/isaiah/58.htm| title=|Parallel Chapters| target=|_top|&gt;PAR&lt;/a&gt;</v>
      </c>
      <c r="AD737" s="2" t="str">
        <f t="shared" ref="AD737:AK737" si="2946">CONCATENATE("&lt;/li&gt;&lt;li&gt;&lt;a href=|http://",AD1191,"/isaiah/58.htm","| ","title=|",AD1190,"| target=|_top|&gt;",AD1192,"&lt;/a&gt;")</f>
        <v>&lt;/li&gt;&lt;li&gt;&lt;a href=|http://gsb.biblecommenter.com/isaiah/58.htm| title=|Geneva Study Bible| target=|_top|&gt;GSB&lt;/a&gt;</v>
      </c>
      <c r="AE737" s="2" t="str">
        <f t="shared" si="2946"/>
        <v>&lt;/li&gt;&lt;li&gt;&lt;a href=|http://jfb.biblecommenter.com/isaiah/58.htm| title=|Jamieson-Fausset-Brown Bible Commentary| target=|_top|&gt;JFB&lt;/a&gt;</v>
      </c>
      <c r="AF737" s="2" t="str">
        <f t="shared" si="2946"/>
        <v>&lt;/li&gt;&lt;li&gt;&lt;a href=|http://kjt.biblecommenter.com/isaiah/58.htm| title=|King James Translators' Notes| target=|_top|&gt;KJT&lt;/a&gt;</v>
      </c>
      <c r="AG737" s="2" t="str">
        <f t="shared" si="2946"/>
        <v>&lt;/li&gt;&lt;li&gt;&lt;a href=|http://mhc.biblecommenter.com/isaiah/58.htm| title=|Matthew Henry's Concise Commentary| target=|_top|&gt;MHC&lt;/a&gt;</v>
      </c>
      <c r="AH737" s="2" t="str">
        <f t="shared" si="2946"/>
        <v>&lt;/li&gt;&lt;li&gt;&lt;a href=|http://sco.biblecommenter.com/isaiah/58.htm| title=|Scofield Reference Notes| target=|_top|&gt;SCO&lt;/a&gt;</v>
      </c>
      <c r="AI737" s="2" t="str">
        <f t="shared" si="2946"/>
        <v>&lt;/li&gt;&lt;li&gt;&lt;a href=|http://wes.biblecommenter.com/isaiah/58.htm| title=|Wesley's Notes on the Bible| target=|_top|&gt;WES&lt;/a&gt;</v>
      </c>
      <c r="AJ737" t="str">
        <f t="shared" si="2946"/>
        <v>&lt;/li&gt;&lt;li&gt;&lt;a href=|http://worldebible.com/isaiah/58.htm| title=|World English Bible| target=|_top|&gt;WEB&lt;/a&gt;</v>
      </c>
      <c r="AK737" t="str">
        <f t="shared" si="2946"/>
        <v>&lt;/li&gt;&lt;li&gt;&lt;a href=|http://yltbible.com/isaiah/58.htm| title=|Young's Literal Translation| target=|_top|&gt;YLT&lt;/a&gt;</v>
      </c>
      <c r="AL737" t="str">
        <f>CONCATENATE("&lt;a href=|http://",AL1191,"/isaiah/58.htm","| ","title=|",AL1190,"| target=|_top|&gt;",AL1192,"&lt;/a&gt;")</f>
        <v>&lt;a href=|http://kjv.us/isaiah/58.htm| title=|American King James Version| target=|_top|&gt;AKJ&lt;/a&gt;</v>
      </c>
      <c r="AM737" t="str">
        <f t="shared" ref="AM737:AN737" si="2947">CONCATENATE("&lt;/li&gt;&lt;li&gt;&lt;a href=|http://",AM1191,"/isaiah/58.htm","| ","title=|",AM1190,"| target=|_top|&gt;",AM1192,"&lt;/a&gt;")</f>
        <v>&lt;/li&gt;&lt;li&gt;&lt;a href=|http://basicenglishbible.com/isaiah/58.htm| title=|Bible in Basic English| target=|_top|&gt;BBE&lt;/a&gt;</v>
      </c>
      <c r="AN737" t="str">
        <f t="shared" si="2947"/>
        <v>&lt;/li&gt;&lt;li&gt;&lt;a href=|http://darbybible.com/isaiah/58.htm| title=|Darby Bible Translation| target=|_top|&gt;DBY&lt;/a&gt;</v>
      </c>
      <c r="AO73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3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3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37" t="str">
        <f>CONCATENATE("&lt;/li&gt;&lt;li&gt;&lt;a href=|http://",AR1191,"/isaiah/58.htm","| ","title=|",AR1190,"| target=|_top|&gt;",AR1192,"&lt;/a&gt;")</f>
        <v>&lt;/li&gt;&lt;li&gt;&lt;a href=|http://websterbible.com/isaiah/58.htm| title=|Webster's Bible Translation| target=|_top|&gt;WBS&lt;/a&gt;</v>
      </c>
      <c r="AS73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37" t="str">
        <f>CONCATENATE("&lt;/li&gt;&lt;li&gt;&lt;a href=|http://",AT1191,"/isaiah/58-1.htm","| ","title=|",AT1190,"| target=|_top|&gt;",AT1192,"&lt;/a&gt;")</f>
        <v>&lt;/li&gt;&lt;li&gt;&lt;a href=|http://biblebrowser.com/isaiah/58-1.htm| title=|Split View| target=|_top|&gt;Split&lt;/a&gt;</v>
      </c>
      <c r="AU737" s="2" t="s">
        <v>1276</v>
      </c>
      <c r="AV737" t="s">
        <v>64</v>
      </c>
    </row>
    <row r="738" spans="1:48">
      <c r="A738" t="s">
        <v>622</v>
      </c>
      <c r="B738" t="s">
        <v>1242</v>
      </c>
      <c r="C738" t="s">
        <v>624</v>
      </c>
      <c r="D738" t="s">
        <v>1268</v>
      </c>
      <c r="E738" t="s">
        <v>1277</v>
      </c>
      <c r="F738" t="s">
        <v>1304</v>
      </c>
      <c r="G738" t="s">
        <v>1266</v>
      </c>
      <c r="H738" t="s">
        <v>1305</v>
      </c>
      <c r="I738" t="s">
        <v>1303</v>
      </c>
      <c r="J738" t="s">
        <v>1267</v>
      </c>
      <c r="K738" t="s">
        <v>1275</v>
      </c>
      <c r="L738" s="2" t="s">
        <v>1274</v>
      </c>
      <c r="M738" t="str">
        <f t="shared" ref="M738:AB738" si="2948">CONCATENATE("&lt;/li&gt;&lt;li&gt;&lt;a href=|http://",M1191,"/isaiah/59.htm","| ","title=|",M1190,"| target=|_top|&gt;",M1192,"&lt;/a&gt;")</f>
        <v>&lt;/li&gt;&lt;li&gt;&lt;a href=|http://niv.scripturetext.com/isaiah/59.htm| title=|New International Version| target=|_top|&gt;NIV&lt;/a&gt;</v>
      </c>
      <c r="N738" t="str">
        <f t="shared" si="2948"/>
        <v>&lt;/li&gt;&lt;li&gt;&lt;a href=|http://nlt.scripturetext.com/isaiah/59.htm| title=|New Living Translation| target=|_top|&gt;NLT&lt;/a&gt;</v>
      </c>
      <c r="O738" t="str">
        <f t="shared" si="2948"/>
        <v>&lt;/li&gt;&lt;li&gt;&lt;a href=|http://nasb.scripturetext.com/isaiah/59.htm| title=|New American Standard Bible| target=|_top|&gt;NAS&lt;/a&gt;</v>
      </c>
      <c r="P738" t="str">
        <f t="shared" si="2948"/>
        <v>&lt;/li&gt;&lt;li&gt;&lt;a href=|http://gwt.scripturetext.com/isaiah/59.htm| title=|God's Word Translation| target=|_top|&gt;GWT&lt;/a&gt;</v>
      </c>
      <c r="Q738" t="str">
        <f t="shared" si="2948"/>
        <v>&lt;/li&gt;&lt;li&gt;&lt;a href=|http://kingjbible.com/isaiah/59.htm| title=|King James Bible| target=|_top|&gt;KJV&lt;/a&gt;</v>
      </c>
      <c r="R738" t="str">
        <f t="shared" si="2948"/>
        <v>&lt;/li&gt;&lt;li&gt;&lt;a href=|http://asvbible.com/isaiah/59.htm| title=|American Standard Version| target=|_top|&gt;ASV&lt;/a&gt;</v>
      </c>
      <c r="S738" t="str">
        <f t="shared" si="2948"/>
        <v>&lt;/li&gt;&lt;li&gt;&lt;a href=|http://drb.scripturetext.com/isaiah/59.htm| title=|Douay-Rheims Bible| target=|_top|&gt;DRB&lt;/a&gt;</v>
      </c>
      <c r="T738" t="str">
        <f t="shared" si="2948"/>
        <v>&lt;/li&gt;&lt;li&gt;&lt;a href=|http://erv.scripturetext.com/isaiah/59.htm| title=|English Revised Version| target=|_top|&gt;ERV&lt;/a&gt;</v>
      </c>
      <c r="V738" t="str">
        <f>CONCATENATE("&lt;/li&gt;&lt;li&gt;&lt;a href=|http://",V1191,"/isaiah/59.htm","| ","title=|",V1190,"| target=|_top|&gt;",V1192,"&lt;/a&gt;")</f>
        <v>&lt;/li&gt;&lt;li&gt;&lt;a href=|http://study.interlinearbible.org/isaiah/59.htm| title=|Hebrew Study Bible| target=|_top|&gt;Heb Study&lt;/a&gt;</v>
      </c>
      <c r="W738" t="str">
        <f t="shared" si="2948"/>
        <v>&lt;/li&gt;&lt;li&gt;&lt;a href=|http://apostolic.interlinearbible.org/isaiah/59.htm| title=|Apostolic Bible Polyglot Interlinear| target=|_top|&gt;Polyglot&lt;/a&gt;</v>
      </c>
      <c r="X738" t="str">
        <f t="shared" si="2948"/>
        <v>&lt;/li&gt;&lt;li&gt;&lt;a href=|http://interlinearbible.org/isaiah/59.htm| title=|Interlinear Bible| target=|_top|&gt;Interlin&lt;/a&gt;</v>
      </c>
      <c r="Y738" t="str">
        <f t="shared" ref="Y738" si="2949">CONCATENATE("&lt;/li&gt;&lt;li&gt;&lt;a href=|http://",Y1191,"/isaiah/59.htm","| ","title=|",Y1190,"| target=|_top|&gt;",Y1192,"&lt;/a&gt;")</f>
        <v>&lt;/li&gt;&lt;li&gt;&lt;a href=|http://bibleoutline.org/isaiah/59.htm| title=|Outline with People and Places List| target=|_top|&gt;Outline&lt;/a&gt;</v>
      </c>
      <c r="Z738" t="str">
        <f t="shared" si="2948"/>
        <v>&lt;/li&gt;&lt;li&gt;&lt;a href=|http://kjvs.scripturetext.com/isaiah/59.htm| title=|King James Bible with Strong's Numbers| target=|_top|&gt;Strong's&lt;/a&gt;</v>
      </c>
      <c r="AA738" t="str">
        <f t="shared" si="2948"/>
        <v>&lt;/li&gt;&lt;li&gt;&lt;a href=|http://childrensbibleonline.com/isaiah/59.htm| title=|The Children's Bible| target=|_top|&gt;Children's&lt;/a&gt;</v>
      </c>
      <c r="AB738" s="2" t="str">
        <f t="shared" si="2948"/>
        <v>&lt;/li&gt;&lt;li&gt;&lt;a href=|http://tsk.scripturetext.com/isaiah/59.htm| title=|Treasury of Scripture Knowledge| target=|_top|&gt;TSK&lt;/a&gt;</v>
      </c>
      <c r="AC738" t="str">
        <f>CONCATENATE("&lt;a href=|http://",AC1191,"/isaiah/59.htm","| ","title=|",AC1190,"| target=|_top|&gt;",AC1192,"&lt;/a&gt;")</f>
        <v>&lt;a href=|http://parallelbible.com/isaiah/59.htm| title=|Parallel Chapters| target=|_top|&gt;PAR&lt;/a&gt;</v>
      </c>
      <c r="AD738" s="2" t="str">
        <f t="shared" ref="AD738:AK738" si="2950">CONCATENATE("&lt;/li&gt;&lt;li&gt;&lt;a href=|http://",AD1191,"/isaiah/59.htm","| ","title=|",AD1190,"| target=|_top|&gt;",AD1192,"&lt;/a&gt;")</f>
        <v>&lt;/li&gt;&lt;li&gt;&lt;a href=|http://gsb.biblecommenter.com/isaiah/59.htm| title=|Geneva Study Bible| target=|_top|&gt;GSB&lt;/a&gt;</v>
      </c>
      <c r="AE738" s="2" t="str">
        <f t="shared" si="2950"/>
        <v>&lt;/li&gt;&lt;li&gt;&lt;a href=|http://jfb.biblecommenter.com/isaiah/59.htm| title=|Jamieson-Fausset-Brown Bible Commentary| target=|_top|&gt;JFB&lt;/a&gt;</v>
      </c>
      <c r="AF738" s="2" t="str">
        <f t="shared" si="2950"/>
        <v>&lt;/li&gt;&lt;li&gt;&lt;a href=|http://kjt.biblecommenter.com/isaiah/59.htm| title=|King James Translators' Notes| target=|_top|&gt;KJT&lt;/a&gt;</v>
      </c>
      <c r="AG738" s="2" t="str">
        <f t="shared" si="2950"/>
        <v>&lt;/li&gt;&lt;li&gt;&lt;a href=|http://mhc.biblecommenter.com/isaiah/59.htm| title=|Matthew Henry's Concise Commentary| target=|_top|&gt;MHC&lt;/a&gt;</v>
      </c>
      <c r="AH738" s="2" t="str">
        <f t="shared" si="2950"/>
        <v>&lt;/li&gt;&lt;li&gt;&lt;a href=|http://sco.biblecommenter.com/isaiah/59.htm| title=|Scofield Reference Notes| target=|_top|&gt;SCO&lt;/a&gt;</v>
      </c>
      <c r="AI738" s="2" t="str">
        <f t="shared" si="2950"/>
        <v>&lt;/li&gt;&lt;li&gt;&lt;a href=|http://wes.biblecommenter.com/isaiah/59.htm| title=|Wesley's Notes on the Bible| target=|_top|&gt;WES&lt;/a&gt;</v>
      </c>
      <c r="AJ738" t="str">
        <f t="shared" si="2950"/>
        <v>&lt;/li&gt;&lt;li&gt;&lt;a href=|http://worldebible.com/isaiah/59.htm| title=|World English Bible| target=|_top|&gt;WEB&lt;/a&gt;</v>
      </c>
      <c r="AK738" t="str">
        <f t="shared" si="2950"/>
        <v>&lt;/li&gt;&lt;li&gt;&lt;a href=|http://yltbible.com/isaiah/59.htm| title=|Young's Literal Translation| target=|_top|&gt;YLT&lt;/a&gt;</v>
      </c>
      <c r="AL738" t="str">
        <f>CONCATENATE("&lt;a href=|http://",AL1191,"/isaiah/59.htm","| ","title=|",AL1190,"| target=|_top|&gt;",AL1192,"&lt;/a&gt;")</f>
        <v>&lt;a href=|http://kjv.us/isaiah/59.htm| title=|American King James Version| target=|_top|&gt;AKJ&lt;/a&gt;</v>
      </c>
      <c r="AM738" t="str">
        <f t="shared" ref="AM738:AN738" si="2951">CONCATENATE("&lt;/li&gt;&lt;li&gt;&lt;a href=|http://",AM1191,"/isaiah/59.htm","| ","title=|",AM1190,"| target=|_top|&gt;",AM1192,"&lt;/a&gt;")</f>
        <v>&lt;/li&gt;&lt;li&gt;&lt;a href=|http://basicenglishbible.com/isaiah/59.htm| title=|Bible in Basic English| target=|_top|&gt;BBE&lt;/a&gt;</v>
      </c>
      <c r="AN738" t="str">
        <f t="shared" si="2951"/>
        <v>&lt;/li&gt;&lt;li&gt;&lt;a href=|http://darbybible.com/isaiah/59.htm| title=|Darby Bible Translation| target=|_top|&gt;DBY&lt;/a&gt;</v>
      </c>
      <c r="AO73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3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3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38" t="str">
        <f>CONCATENATE("&lt;/li&gt;&lt;li&gt;&lt;a href=|http://",AR1191,"/isaiah/59.htm","| ","title=|",AR1190,"| target=|_top|&gt;",AR1192,"&lt;/a&gt;")</f>
        <v>&lt;/li&gt;&lt;li&gt;&lt;a href=|http://websterbible.com/isaiah/59.htm| title=|Webster's Bible Translation| target=|_top|&gt;WBS&lt;/a&gt;</v>
      </c>
      <c r="AS73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38" t="str">
        <f>CONCATENATE("&lt;/li&gt;&lt;li&gt;&lt;a href=|http://",AT1191,"/isaiah/59-1.htm","| ","title=|",AT1190,"| target=|_top|&gt;",AT1192,"&lt;/a&gt;")</f>
        <v>&lt;/li&gt;&lt;li&gt;&lt;a href=|http://biblebrowser.com/isaiah/59-1.htm| title=|Split View| target=|_top|&gt;Split&lt;/a&gt;</v>
      </c>
      <c r="AU738" s="2" t="s">
        <v>1276</v>
      </c>
      <c r="AV738" t="s">
        <v>64</v>
      </c>
    </row>
    <row r="739" spans="1:48">
      <c r="A739" t="s">
        <v>622</v>
      </c>
      <c r="B739" t="s">
        <v>1243</v>
      </c>
      <c r="C739" t="s">
        <v>624</v>
      </c>
      <c r="D739" t="s">
        <v>1268</v>
      </c>
      <c r="E739" t="s">
        <v>1277</v>
      </c>
      <c r="F739" t="s">
        <v>1304</v>
      </c>
      <c r="G739" t="s">
        <v>1266</v>
      </c>
      <c r="H739" t="s">
        <v>1305</v>
      </c>
      <c r="I739" t="s">
        <v>1303</v>
      </c>
      <c r="J739" t="s">
        <v>1267</v>
      </c>
      <c r="K739" t="s">
        <v>1275</v>
      </c>
      <c r="L739" s="2" t="s">
        <v>1274</v>
      </c>
      <c r="M739" t="str">
        <f t="shared" ref="M739:AB739" si="2952">CONCATENATE("&lt;/li&gt;&lt;li&gt;&lt;a href=|http://",M1191,"/isaiah/60.htm","| ","title=|",M1190,"| target=|_top|&gt;",M1192,"&lt;/a&gt;")</f>
        <v>&lt;/li&gt;&lt;li&gt;&lt;a href=|http://niv.scripturetext.com/isaiah/60.htm| title=|New International Version| target=|_top|&gt;NIV&lt;/a&gt;</v>
      </c>
      <c r="N739" t="str">
        <f t="shared" si="2952"/>
        <v>&lt;/li&gt;&lt;li&gt;&lt;a href=|http://nlt.scripturetext.com/isaiah/60.htm| title=|New Living Translation| target=|_top|&gt;NLT&lt;/a&gt;</v>
      </c>
      <c r="O739" t="str">
        <f t="shared" si="2952"/>
        <v>&lt;/li&gt;&lt;li&gt;&lt;a href=|http://nasb.scripturetext.com/isaiah/60.htm| title=|New American Standard Bible| target=|_top|&gt;NAS&lt;/a&gt;</v>
      </c>
      <c r="P739" t="str">
        <f t="shared" si="2952"/>
        <v>&lt;/li&gt;&lt;li&gt;&lt;a href=|http://gwt.scripturetext.com/isaiah/60.htm| title=|God's Word Translation| target=|_top|&gt;GWT&lt;/a&gt;</v>
      </c>
      <c r="Q739" t="str">
        <f t="shared" si="2952"/>
        <v>&lt;/li&gt;&lt;li&gt;&lt;a href=|http://kingjbible.com/isaiah/60.htm| title=|King James Bible| target=|_top|&gt;KJV&lt;/a&gt;</v>
      </c>
      <c r="R739" t="str">
        <f t="shared" si="2952"/>
        <v>&lt;/li&gt;&lt;li&gt;&lt;a href=|http://asvbible.com/isaiah/60.htm| title=|American Standard Version| target=|_top|&gt;ASV&lt;/a&gt;</v>
      </c>
      <c r="S739" t="str">
        <f t="shared" si="2952"/>
        <v>&lt;/li&gt;&lt;li&gt;&lt;a href=|http://drb.scripturetext.com/isaiah/60.htm| title=|Douay-Rheims Bible| target=|_top|&gt;DRB&lt;/a&gt;</v>
      </c>
      <c r="T739" t="str">
        <f t="shared" si="2952"/>
        <v>&lt;/li&gt;&lt;li&gt;&lt;a href=|http://erv.scripturetext.com/isaiah/60.htm| title=|English Revised Version| target=|_top|&gt;ERV&lt;/a&gt;</v>
      </c>
      <c r="V739" t="str">
        <f>CONCATENATE("&lt;/li&gt;&lt;li&gt;&lt;a href=|http://",V1191,"/isaiah/60.htm","| ","title=|",V1190,"| target=|_top|&gt;",V1192,"&lt;/a&gt;")</f>
        <v>&lt;/li&gt;&lt;li&gt;&lt;a href=|http://study.interlinearbible.org/isaiah/60.htm| title=|Hebrew Study Bible| target=|_top|&gt;Heb Study&lt;/a&gt;</v>
      </c>
      <c r="W739" t="str">
        <f t="shared" si="2952"/>
        <v>&lt;/li&gt;&lt;li&gt;&lt;a href=|http://apostolic.interlinearbible.org/isaiah/60.htm| title=|Apostolic Bible Polyglot Interlinear| target=|_top|&gt;Polyglot&lt;/a&gt;</v>
      </c>
      <c r="X739" t="str">
        <f t="shared" si="2952"/>
        <v>&lt;/li&gt;&lt;li&gt;&lt;a href=|http://interlinearbible.org/isaiah/60.htm| title=|Interlinear Bible| target=|_top|&gt;Interlin&lt;/a&gt;</v>
      </c>
      <c r="Y739" t="str">
        <f t="shared" ref="Y739" si="2953">CONCATENATE("&lt;/li&gt;&lt;li&gt;&lt;a href=|http://",Y1191,"/isaiah/60.htm","| ","title=|",Y1190,"| target=|_top|&gt;",Y1192,"&lt;/a&gt;")</f>
        <v>&lt;/li&gt;&lt;li&gt;&lt;a href=|http://bibleoutline.org/isaiah/60.htm| title=|Outline with People and Places List| target=|_top|&gt;Outline&lt;/a&gt;</v>
      </c>
      <c r="Z739" t="str">
        <f t="shared" si="2952"/>
        <v>&lt;/li&gt;&lt;li&gt;&lt;a href=|http://kjvs.scripturetext.com/isaiah/60.htm| title=|King James Bible with Strong's Numbers| target=|_top|&gt;Strong's&lt;/a&gt;</v>
      </c>
      <c r="AA739" t="str">
        <f t="shared" si="2952"/>
        <v>&lt;/li&gt;&lt;li&gt;&lt;a href=|http://childrensbibleonline.com/isaiah/60.htm| title=|The Children's Bible| target=|_top|&gt;Children's&lt;/a&gt;</v>
      </c>
      <c r="AB739" s="2" t="str">
        <f t="shared" si="2952"/>
        <v>&lt;/li&gt;&lt;li&gt;&lt;a href=|http://tsk.scripturetext.com/isaiah/60.htm| title=|Treasury of Scripture Knowledge| target=|_top|&gt;TSK&lt;/a&gt;</v>
      </c>
      <c r="AC739" t="str">
        <f>CONCATENATE("&lt;a href=|http://",AC1191,"/isaiah/60.htm","| ","title=|",AC1190,"| target=|_top|&gt;",AC1192,"&lt;/a&gt;")</f>
        <v>&lt;a href=|http://parallelbible.com/isaiah/60.htm| title=|Parallel Chapters| target=|_top|&gt;PAR&lt;/a&gt;</v>
      </c>
      <c r="AD739" s="2" t="str">
        <f t="shared" ref="AD739:AK739" si="2954">CONCATENATE("&lt;/li&gt;&lt;li&gt;&lt;a href=|http://",AD1191,"/isaiah/60.htm","| ","title=|",AD1190,"| target=|_top|&gt;",AD1192,"&lt;/a&gt;")</f>
        <v>&lt;/li&gt;&lt;li&gt;&lt;a href=|http://gsb.biblecommenter.com/isaiah/60.htm| title=|Geneva Study Bible| target=|_top|&gt;GSB&lt;/a&gt;</v>
      </c>
      <c r="AE739" s="2" t="str">
        <f t="shared" si="2954"/>
        <v>&lt;/li&gt;&lt;li&gt;&lt;a href=|http://jfb.biblecommenter.com/isaiah/60.htm| title=|Jamieson-Fausset-Brown Bible Commentary| target=|_top|&gt;JFB&lt;/a&gt;</v>
      </c>
      <c r="AF739" s="2" t="str">
        <f t="shared" si="2954"/>
        <v>&lt;/li&gt;&lt;li&gt;&lt;a href=|http://kjt.biblecommenter.com/isaiah/60.htm| title=|King James Translators' Notes| target=|_top|&gt;KJT&lt;/a&gt;</v>
      </c>
      <c r="AG739" s="2" t="str">
        <f t="shared" si="2954"/>
        <v>&lt;/li&gt;&lt;li&gt;&lt;a href=|http://mhc.biblecommenter.com/isaiah/60.htm| title=|Matthew Henry's Concise Commentary| target=|_top|&gt;MHC&lt;/a&gt;</v>
      </c>
      <c r="AH739" s="2" t="str">
        <f t="shared" si="2954"/>
        <v>&lt;/li&gt;&lt;li&gt;&lt;a href=|http://sco.biblecommenter.com/isaiah/60.htm| title=|Scofield Reference Notes| target=|_top|&gt;SCO&lt;/a&gt;</v>
      </c>
      <c r="AI739" s="2" t="str">
        <f t="shared" si="2954"/>
        <v>&lt;/li&gt;&lt;li&gt;&lt;a href=|http://wes.biblecommenter.com/isaiah/60.htm| title=|Wesley's Notes on the Bible| target=|_top|&gt;WES&lt;/a&gt;</v>
      </c>
      <c r="AJ739" t="str">
        <f t="shared" si="2954"/>
        <v>&lt;/li&gt;&lt;li&gt;&lt;a href=|http://worldebible.com/isaiah/60.htm| title=|World English Bible| target=|_top|&gt;WEB&lt;/a&gt;</v>
      </c>
      <c r="AK739" t="str">
        <f t="shared" si="2954"/>
        <v>&lt;/li&gt;&lt;li&gt;&lt;a href=|http://yltbible.com/isaiah/60.htm| title=|Young's Literal Translation| target=|_top|&gt;YLT&lt;/a&gt;</v>
      </c>
      <c r="AL739" t="str">
        <f>CONCATENATE("&lt;a href=|http://",AL1191,"/isaiah/60.htm","| ","title=|",AL1190,"| target=|_top|&gt;",AL1192,"&lt;/a&gt;")</f>
        <v>&lt;a href=|http://kjv.us/isaiah/60.htm| title=|American King James Version| target=|_top|&gt;AKJ&lt;/a&gt;</v>
      </c>
      <c r="AM739" t="str">
        <f t="shared" ref="AM739:AN739" si="2955">CONCATENATE("&lt;/li&gt;&lt;li&gt;&lt;a href=|http://",AM1191,"/isaiah/60.htm","| ","title=|",AM1190,"| target=|_top|&gt;",AM1192,"&lt;/a&gt;")</f>
        <v>&lt;/li&gt;&lt;li&gt;&lt;a href=|http://basicenglishbible.com/isaiah/60.htm| title=|Bible in Basic English| target=|_top|&gt;BBE&lt;/a&gt;</v>
      </c>
      <c r="AN739" t="str">
        <f t="shared" si="2955"/>
        <v>&lt;/li&gt;&lt;li&gt;&lt;a href=|http://darbybible.com/isaiah/60.htm| title=|Darby Bible Translation| target=|_top|&gt;DBY&lt;/a&gt;</v>
      </c>
      <c r="AO73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3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3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39" t="str">
        <f>CONCATENATE("&lt;/li&gt;&lt;li&gt;&lt;a href=|http://",AR1191,"/isaiah/60.htm","| ","title=|",AR1190,"| target=|_top|&gt;",AR1192,"&lt;/a&gt;")</f>
        <v>&lt;/li&gt;&lt;li&gt;&lt;a href=|http://websterbible.com/isaiah/60.htm| title=|Webster's Bible Translation| target=|_top|&gt;WBS&lt;/a&gt;</v>
      </c>
      <c r="AS73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39" t="str">
        <f>CONCATENATE("&lt;/li&gt;&lt;li&gt;&lt;a href=|http://",AT1191,"/isaiah/60-1.htm","| ","title=|",AT1190,"| target=|_top|&gt;",AT1192,"&lt;/a&gt;")</f>
        <v>&lt;/li&gt;&lt;li&gt;&lt;a href=|http://biblebrowser.com/isaiah/60-1.htm| title=|Split View| target=|_top|&gt;Split&lt;/a&gt;</v>
      </c>
      <c r="AU739" s="2" t="s">
        <v>1276</v>
      </c>
      <c r="AV739" t="s">
        <v>64</v>
      </c>
    </row>
    <row r="740" spans="1:48">
      <c r="A740" t="s">
        <v>622</v>
      </c>
      <c r="B740" t="s">
        <v>1244</v>
      </c>
      <c r="C740" t="s">
        <v>624</v>
      </c>
      <c r="D740" t="s">
        <v>1268</v>
      </c>
      <c r="E740" t="s">
        <v>1277</v>
      </c>
      <c r="F740" t="s">
        <v>1304</v>
      </c>
      <c r="G740" t="s">
        <v>1266</v>
      </c>
      <c r="H740" t="s">
        <v>1305</v>
      </c>
      <c r="I740" t="s">
        <v>1303</v>
      </c>
      <c r="J740" t="s">
        <v>1267</v>
      </c>
      <c r="K740" t="s">
        <v>1275</v>
      </c>
      <c r="L740" s="2" t="s">
        <v>1274</v>
      </c>
      <c r="M740" t="str">
        <f t="shared" ref="M740:AB740" si="2956">CONCATENATE("&lt;/li&gt;&lt;li&gt;&lt;a href=|http://",M1191,"/isaiah/61.htm","| ","title=|",M1190,"| target=|_top|&gt;",M1192,"&lt;/a&gt;")</f>
        <v>&lt;/li&gt;&lt;li&gt;&lt;a href=|http://niv.scripturetext.com/isaiah/61.htm| title=|New International Version| target=|_top|&gt;NIV&lt;/a&gt;</v>
      </c>
      <c r="N740" t="str">
        <f t="shared" si="2956"/>
        <v>&lt;/li&gt;&lt;li&gt;&lt;a href=|http://nlt.scripturetext.com/isaiah/61.htm| title=|New Living Translation| target=|_top|&gt;NLT&lt;/a&gt;</v>
      </c>
      <c r="O740" t="str">
        <f t="shared" si="2956"/>
        <v>&lt;/li&gt;&lt;li&gt;&lt;a href=|http://nasb.scripturetext.com/isaiah/61.htm| title=|New American Standard Bible| target=|_top|&gt;NAS&lt;/a&gt;</v>
      </c>
      <c r="P740" t="str">
        <f t="shared" si="2956"/>
        <v>&lt;/li&gt;&lt;li&gt;&lt;a href=|http://gwt.scripturetext.com/isaiah/61.htm| title=|God's Word Translation| target=|_top|&gt;GWT&lt;/a&gt;</v>
      </c>
      <c r="Q740" t="str">
        <f t="shared" si="2956"/>
        <v>&lt;/li&gt;&lt;li&gt;&lt;a href=|http://kingjbible.com/isaiah/61.htm| title=|King James Bible| target=|_top|&gt;KJV&lt;/a&gt;</v>
      </c>
      <c r="R740" t="str">
        <f t="shared" si="2956"/>
        <v>&lt;/li&gt;&lt;li&gt;&lt;a href=|http://asvbible.com/isaiah/61.htm| title=|American Standard Version| target=|_top|&gt;ASV&lt;/a&gt;</v>
      </c>
      <c r="S740" t="str">
        <f t="shared" si="2956"/>
        <v>&lt;/li&gt;&lt;li&gt;&lt;a href=|http://drb.scripturetext.com/isaiah/61.htm| title=|Douay-Rheims Bible| target=|_top|&gt;DRB&lt;/a&gt;</v>
      </c>
      <c r="T740" t="str">
        <f t="shared" si="2956"/>
        <v>&lt;/li&gt;&lt;li&gt;&lt;a href=|http://erv.scripturetext.com/isaiah/61.htm| title=|English Revised Version| target=|_top|&gt;ERV&lt;/a&gt;</v>
      </c>
      <c r="V740" t="str">
        <f>CONCATENATE("&lt;/li&gt;&lt;li&gt;&lt;a href=|http://",V1191,"/isaiah/61.htm","| ","title=|",V1190,"| target=|_top|&gt;",V1192,"&lt;/a&gt;")</f>
        <v>&lt;/li&gt;&lt;li&gt;&lt;a href=|http://study.interlinearbible.org/isaiah/61.htm| title=|Hebrew Study Bible| target=|_top|&gt;Heb Study&lt;/a&gt;</v>
      </c>
      <c r="W740" t="str">
        <f t="shared" si="2956"/>
        <v>&lt;/li&gt;&lt;li&gt;&lt;a href=|http://apostolic.interlinearbible.org/isaiah/61.htm| title=|Apostolic Bible Polyglot Interlinear| target=|_top|&gt;Polyglot&lt;/a&gt;</v>
      </c>
      <c r="X740" t="str">
        <f t="shared" si="2956"/>
        <v>&lt;/li&gt;&lt;li&gt;&lt;a href=|http://interlinearbible.org/isaiah/61.htm| title=|Interlinear Bible| target=|_top|&gt;Interlin&lt;/a&gt;</v>
      </c>
      <c r="Y740" t="str">
        <f t="shared" ref="Y740" si="2957">CONCATENATE("&lt;/li&gt;&lt;li&gt;&lt;a href=|http://",Y1191,"/isaiah/61.htm","| ","title=|",Y1190,"| target=|_top|&gt;",Y1192,"&lt;/a&gt;")</f>
        <v>&lt;/li&gt;&lt;li&gt;&lt;a href=|http://bibleoutline.org/isaiah/61.htm| title=|Outline with People and Places List| target=|_top|&gt;Outline&lt;/a&gt;</v>
      </c>
      <c r="Z740" t="str">
        <f t="shared" si="2956"/>
        <v>&lt;/li&gt;&lt;li&gt;&lt;a href=|http://kjvs.scripturetext.com/isaiah/61.htm| title=|King James Bible with Strong's Numbers| target=|_top|&gt;Strong's&lt;/a&gt;</v>
      </c>
      <c r="AA740" t="str">
        <f t="shared" si="2956"/>
        <v>&lt;/li&gt;&lt;li&gt;&lt;a href=|http://childrensbibleonline.com/isaiah/61.htm| title=|The Children's Bible| target=|_top|&gt;Children's&lt;/a&gt;</v>
      </c>
      <c r="AB740" s="2" t="str">
        <f t="shared" si="2956"/>
        <v>&lt;/li&gt;&lt;li&gt;&lt;a href=|http://tsk.scripturetext.com/isaiah/61.htm| title=|Treasury of Scripture Knowledge| target=|_top|&gt;TSK&lt;/a&gt;</v>
      </c>
      <c r="AC740" t="str">
        <f>CONCATENATE("&lt;a href=|http://",AC1191,"/isaiah/61.htm","| ","title=|",AC1190,"| target=|_top|&gt;",AC1192,"&lt;/a&gt;")</f>
        <v>&lt;a href=|http://parallelbible.com/isaiah/61.htm| title=|Parallel Chapters| target=|_top|&gt;PAR&lt;/a&gt;</v>
      </c>
      <c r="AD740" s="2" t="str">
        <f t="shared" ref="AD740:AK740" si="2958">CONCATENATE("&lt;/li&gt;&lt;li&gt;&lt;a href=|http://",AD1191,"/isaiah/61.htm","| ","title=|",AD1190,"| target=|_top|&gt;",AD1192,"&lt;/a&gt;")</f>
        <v>&lt;/li&gt;&lt;li&gt;&lt;a href=|http://gsb.biblecommenter.com/isaiah/61.htm| title=|Geneva Study Bible| target=|_top|&gt;GSB&lt;/a&gt;</v>
      </c>
      <c r="AE740" s="2" t="str">
        <f t="shared" si="2958"/>
        <v>&lt;/li&gt;&lt;li&gt;&lt;a href=|http://jfb.biblecommenter.com/isaiah/61.htm| title=|Jamieson-Fausset-Brown Bible Commentary| target=|_top|&gt;JFB&lt;/a&gt;</v>
      </c>
      <c r="AF740" s="2" t="str">
        <f t="shared" si="2958"/>
        <v>&lt;/li&gt;&lt;li&gt;&lt;a href=|http://kjt.biblecommenter.com/isaiah/61.htm| title=|King James Translators' Notes| target=|_top|&gt;KJT&lt;/a&gt;</v>
      </c>
      <c r="AG740" s="2" t="str">
        <f t="shared" si="2958"/>
        <v>&lt;/li&gt;&lt;li&gt;&lt;a href=|http://mhc.biblecommenter.com/isaiah/61.htm| title=|Matthew Henry's Concise Commentary| target=|_top|&gt;MHC&lt;/a&gt;</v>
      </c>
      <c r="AH740" s="2" t="str">
        <f t="shared" si="2958"/>
        <v>&lt;/li&gt;&lt;li&gt;&lt;a href=|http://sco.biblecommenter.com/isaiah/61.htm| title=|Scofield Reference Notes| target=|_top|&gt;SCO&lt;/a&gt;</v>
      </c>
      <c r="AI740" s="2" t="str">
        <f t="shared" si="2958"/>
        <v>&lt;/li&gt;&lt;li&gt;&lt;a href=|http://wes.biblecommenter.com/isaiah/61.htm| title=|Wesley's Notes on the Bible| target=|_top|&gt;WES&lt;/a&gt;</v>
      </c>
      <c r="AJ740" t="str">
        <f t="shared" si="2958"/>
        <v>&lt;/li&gt;&lt;li&gt;&lt;a href=|http://worldebible.com/isaiah/61.htm| title=|World English Bible| target=|_top|&gt;WEB&lt;/a&gt;</v>
      </c>
      <c r="AK740" t="str">
        <f t="shared" si="2958"/>
        <v>&lt;/li&gt;&lt;li&gt;&lt;a href=|http://yltbible.com/isaiah/61.htm| title=|Young's Literal Translation| target=|_top|&gt;YLT&lt;/a&gt;</v>
      </c>
      <c r="AL740" t="str">
        <f>CONCATENATE("&lt;a href=|http://",AL1191,"/isaiah/61.htm","| ","title=|",AL1190,"| target=|_top|&gt;",AL1192,"&lt;/a&gt;")</f>
        <v>&lt;a href=|http://kjv.us/isaiah/61.htm| title=|American King James Version| target=|_top|&gt;AKJ&lt;/a&gt;</v>
      </c>
      <c r="AM740" t="str">
        <f t="shared" ref="AM740:AN740" si="2959">CONCATENATE("&lt;/li&gt;&lt;li&gt;&lt;a href=|http://",AM1191,"/isaiah/61.htm","| ","title=|",AM1190,"| target=|_top|&gt;",AM1192,"&lt;/a&gt;")</f>
        <v>&lt;/li&gt;&lt;li&gt;&lt;a href=|http://basicenglishbible.com/isaiah/61.htm| title=|Bible in Basic English| target=|_top|&gt;BBE&lt;/a&gt;</v>
      </c>
      <c r="AN740" t="str">
        <f t="shared" si="2959"/>
        <v>&lt;/li&gt;&lt;li&gt;&lt;a href=|http://darbybible.com/isaiah/61.htm| title=|Darby Bible Translation| target=|_top|&gt;DBY&lt;/a&gt;</v>
      </c>
      <c r="AO74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4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4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40" t="str">
        <f>CONCATENATE("&lt;/li&gt;&lt;li&gt;&lt;a href=|http://",AR1191,"/isaiah/61.htm","| ","title=|",AR1190,"| target=|_top|&gt;",AR1192,"&lt;/a&gt;")</f>
        <v>&lt;/li&gt;&lt;li&gt;&lt;a href=|http://websterbible.com/isaiah/61.htm| title=|Webster's Bible Translation| target=|_top|&gt;WBS&lt;/a&gt;</v>
      </c>
      <c r="AS74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40" t="str">
        <f>CONCATENATE("&lt;/li&gt;&lt;li&gt;&lt;a href=|http://",AT1191,"/isaiah/61-1.htm","| ","title=|",AT1190,"| target=|_top|&gt;",AT1192,"&lt;/a&gt;")</f>
        <v>&lt;/li&gt;&lt;li&gt;&lt;a href=|http://biblebrowser.com/isaiah/61-1.htm| title=|Split View| target=|_top|&gt;Split&lt;/a&gt;</v>
      </c>
      <c r="AU740" s="2" t="s">
        <v>1276</v>
      </c>
      <c r="AV740" t="s">
        <v>64</v>
      </c>
    </row>
    <row r="741" spans="1:48">
      <c r="A741" t="s">
        <v>622</v>
      </c>
      <c r="B741" t="s">
        <v>1245</v>
      </c>
      <c r="C741" t="s">
        <v>624</v>
      </c>
      <c r="D741" t="s">
        <v>1268</v>
      </c>
      <c r="E741" t="s">
        <v>1277</v>
      </c>
      <c r="F741" t="s">
        <v>1304</v>
      </c>
      <c r="G741" t="s">
        <v>1266</v>
      </c>
      <c r="H741" t="s">
        <v>1305</v>
      </c>
      <c r="I741" t="s">
        <v>1303</v>
      </c>
      <c r="J741" t="s">
        <v>1267</v>
      </c>
      <c r="K741" t="s">
        <v>1275</v>
      </c>
      <c r="L741" s="2" t="s">
        <v>1274</v>
      </c>
      <c r="M741" t="str">
        <f t="shared" ref="M741:AB741" si="2960">CONCATENATE("&lt;/li&gt;&lt;li&gt;&lt;a href=|http://",M1191,"/isaiah/62.htm","| ","title=|",M1190,"| target=|_top|&gt;",M1192,"&lt;/a&gt;")</f>
        <v>&lt;/li&gt;&lt;li&gt;&lt;a href=|http://niv.scripturetext.com/isaiah/62.htm| title=|New International Version| target=|_top|&gt;NIV&lt;/a&gt;</v>
      </c>
      <c r="N741" t="str">
        <f t="shared" si="2960"/>
        <v>&lt;/li&gt;&lt;li&gt;&lt;a href=|http://nlt.scripturetext.com/isaiah/62.htm| title=|New Living Translation| target=|_top|&gt;NLT&lt;/a&gt;</v>
      </c>
      <c r="O741" t="str">
        <f t="shared" si="2960"/>
        <v>&lt;/li&gt;&lt;li&gt;&lt;a href=|http://nasb.scripturetext.com/isaiah/62.htm| title=|New American Standard Bible| target=|_top|&gt;NAS&lt;/a&gt;</v>
      </c>
      <c r="P741" t="str">
        <f t="shared" si="2960"/>
        <v>&lt;/li&gt;&lt;li&gt;&lt;a href=|http://gwt.scripturetext.com/isaiah/62.htm| title=|God's Word Translation| target=|_top|&gt;GWT&lt;/a&gt;</v>
      </c>
      <c r="Q741" t="str">
        <f t="shared" si="2960"/>
        <v>&lt;/li&gt;&lt;li&gt;&lt;a href=|http://kingjbible.com/isaiah/62.htm| title=|King James Bible| target=|_top|&gt;KJV&lt;/a&gt;</v>
      </c>
      <c r="R741" t="str">
        <f t="shared" si="2960"/>
        <v>&lt;/li&gt;&lt;li&gt;&lt;a href=|http://asvbible.com/isaiah/62.htm| title=|American Standard Version| target=|_top|&gt;ASV&lt;/a&gt;</v>
      </c>
      <c r="S741" t="str">
        <f t="shared" si="2960"/>
        <v>&lt;/li&gt;&lt;li&gt;&lt;a href=|http://drb.scripturetext.com/isaiah/62.htm| title=|Douay-Rheims Bible| target=|_top|&gt;DRB&lt;/a&gt;</v>
      </c>
      <c r="T741" t="str">
        <f t="shared" si="2960"/>
        <v>&lt;/li&gt;&lt;li&gt;&lt;a href=|http://erv.scripturetext.com/isaiah/62.htm| title=|English Revised Version| target=|_top|&gt;ERV&lt;/a&gt;</v>
      </c>
      <c r="V741" t="str">
        <f>CONCATENATE("&lt;/li&gt;&lt;li&gt;&lt;a href=|http://",V1191,"/isaiah/62.htm","| ","title=|",V1190,"| target=|_top|&gt;",V1192,"&lt;/a&gt;")</f>
        <v>&lt;/li&gt;&lt;li&gt;&lt;a href=|http://study.interlinearbible.org/isaiah/62.htm| title=|Hebrew Study Bible| target=|_top|&gt;Heb Study&lt;/a&gt;</v>
      </c>
      <c r="W741" t="str">
        <f t="shared" si="2960"/>
        <v>&lt;/li&gt;&lt;li&gt;&lt;a href=|http://apostolic.interlinearbible.org/isaiah/62.htm| title=|Apostolic Bible Polyglot Interlinear| target=|_top|&gt;Polyglot&lt;/a&gt;</v>
      </c>
      <c r="X741" t="str">
        <f t="shared" si="2960"/>
        <v>&lt;/li&gt;&lt;li&gt;&lt;a href=|http://interlinearbible.org/isaiah/62.htm| title=|Interlinear Bible| target=|_top|&gt;Interlin&lt;/a&gt;</v>
      </c>
      <c r="Y741" t="str">
        <f t="shared" ref="Y741" si="2961">CONCATENATE("&lt;/li&gt;&lt;li&gt;&lt;a href=|http://",Y1191,"/isaiah/62.htm","| ","title=|",Y1190,"| target=|_top|&gt;",Y1192,"&lt;/a&gt;")</f>
        <v>&lt;/li&gt;&lt;li&gt;&lt;a href=|http://bibleoutline.org/isaiah/62.htm| title=|Outline with People and Places List| target=|_top|&gt;Outline&lt;/a&gt;</v>
      </c>
      <c r="Z741" t="str">
        <f t="shared" si="2960"/>
        <v>&lt;/li&gt;&lt;li&gt;&lt;a href=|http://kjvs.scripturetext.com/isaiah/62.htm| title=|King James Bible with Strong's Numbers| target=|_top|&gt;Strong's&lt;/a&gt;</v>
      </c>
      <c r="AA741" t="str">
        <f t="shared" si="2960"/>
        <v>&lt;/li&gt;&lt;li&gt;&lt;a href=|http://childrensbibleonline.com/isaiah/62.htm| title=|The Children's Bible| target=|_top|&gt;Children's&lt;/a&gt;</v>
      </c>
      <c r="AB741" s="2" t="str">
        <f t="shared" si="2960"/>
        <v>&lt;/li&gt;&lt;li&gt;&lt;a href=|http://tsk.scripturetext.com/isaiah/62.htm| title=|Treasury of Scripture Knowledge| target=|_top|&gt;TSK&lt;/a&gt;</v>
      </c>
      <c r="AC741" t="str">
        <f>CONCATENATE("&lt;a href=|http://",AC1191,"/isaiah/62.htm","| ","title=|",AC1190,"| target=|_top|&gt;",AC1192,"&lt;/a&gt;")</f>
        <v>&lt;a href=|http://parallelbible.com/isaiah/62.htm| title=|Parallel Chapters| target=|_top|&gt;PAR&lt;/a&gt;</v>
      </c>
      <c r="AD741" s="2" t="str">
        <f t="shared" ref="AD741:AK741" si="2962">CONCATENATE("&lt;/li&gt;&lt;li&gt;&lt;a href=|http://",AD1191,"/isaiah/62.htm","| ","title=|",AD1190,"| target=|_top|&gt;",AD1192,"&lt;/a&gt;")</f>
        <v>&lt;/li&gt;&lt;li&gt;&lt;a href=|http://gsb.biblecommenter.com/isaiah/62.htm| title=|Geneva Study Bible| target=|_top|&gt;GSB&lt;/a&gt;</v>
      </c>
      <c r="AE741" s="2" t="str">
        <f t="shared" si="2962"/>
        <v>&lt;/li&gt;&lt;li&gt;&lt;a href=|http://jfb.biblecommenter.com/isaiah/62.htm| title=|Jamieson-Fausset-Brown Bible Commentary| target=|_top|&gt;JFB&lt;/a&gt;</v>
      </c>
      <c r="AF741" s="2" t="str">
        <f t="shared" si="2962"/>
        <v>&lt;/li&gt;&lt;li&gt;&lt;a href=|http://kjt.biblecommenter.com/isaiah/62.htm| title=|King James Translators' Notes| target=|_top|&gt;KJT&lt;/a&gt;</v>
      </c>
      <c r="AG741" s="2" t="str">
        <f t="shared" si="2962"/>
        <v>&lt;/li&gt;&lt;li&gt;&lt;a href=|http://mhc.biblecommenter.com/isaiah/62.htm| title=|Matthew Henry's Concise Commentary| target=|_top|&gt;MHC&lt;/a&gt;</v>
      </c>
      <c r="AH741" s="2" t="str">
        <f t="shared" si="2962"/>
        <v>&lt;/li&gt;&lt;li&gt;&lt;a href=|http://sco.biblecommenter.com/isaiah/62.htm| title=|Scofield Reference Notes| target=|_top|&gt;SCO&lt;/a&gt;</v>
      </c>
      <c r="AI741" s="2" t="str">
        <f t="shared" si="2962"/>
        <v>&lt;/li&gt;&lt;li&gt;&lt;a href=|http://wes.biblecommenter.com/isaiah/62.htm| title=|Wesley's Notes on the Bible| target=|_top|&gt;WES&lt;/a&gt;</v>
      </c>
      <c r="AJ741" t="str">
        <f t="shared" si="2962"/>
        <v>&lt;/li&gt;&lt;li&gt;&lt;a href=|http://worldebible.com/isaiah/62.htm| title=|World English Bible| target=|_top|&gt;WEB&lt;/a&gt;</v>
      </c>
      <c r="AK741" t="str">
        <f t="shared" si="2962"/>
        <v>&lt;/li&gt;&lt;li&gt;&lt;a href=|http://yltbible.com/isaiah/62.htm| title=|Young's Literal Translation| target=|_top|&gt;YLT&lt;/a&gt;</v>
      </c>
      <c r="AL741" t="str">
        <f>CONCATENATE("&lt;a href=|http://",AL1191,"/isaiah/62.htm","| ","title=|",AL1190,"| target=|_top|&gt;",AL1192,"&lt;/a&gt;")</f>
        <v>&lt;a href=|http://kjv.us/isaiah/62.htm| title=|American King James Version| target=|_top|&gt;AKJ&lt;/a&gt;</v>
      </c>
      <c r="AM741" t="str">
        <f t="shared" ref="AM741:AN741" si="2963">CONCATENATE("&lt;/li&gt;&lt;li&gt;&lt;a href=|http://",AM1191,"/isaiah/62.htm","| ","title=|",AM1190,"| target=|_top|&gt;",AM1192,"&lt;/a&gt;")</f>
        <v>&lt;/li&gt;&lt;li&gt;&lt;a href=|http://basicenglishbible.com/isaiah/62.htm| title=|Bible in Basic English| target=|_top|&gt;BBE&lt;/a&gt;</v>
      </c>
      <c r="AN741" t="str">
        <f t="shared" si="2963"/>
        <v>&lt;/li&gt;&lt;li&gt;&lt;a href=|http://darbybible.com/isaiah/62.htm| title=|Darby Bible Translation| target=|_top|&gt;DBY&lt;/a&gt;</v>
      </c>
      <c r="AO74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4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4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41" t="str">
        <f>CONCATENATE("&lt;/li&gt;&lt;li&gt;&lt;a href=|http://",AR1191,"/isaiah/62.htm","| ","title=|",AR1190,"| target=|_top|&gt;",AR1192,"&lt;/a&gt;")</f>
        <v>&lt;/li&gt;&lt;li&gt;&lt;a href=|http://websterbible.com/isaiah/62.htm| title=|Webster's Bible Translation| target=|_top|&gt;WBS&lt;/a&gt;</v>
      </c>
      <c r="AS74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41" t="str">
        <f>CONCATENATE("&lt;/li&gt;&lt;li&gt;&lt;a href=|http://",AT1191,"/isaiah/62-1.htm","| ","title=|",AT1190,"| target=|_top|&gt;",AT1192,"&lt;/a&gt;")</f>
        <v>&lt;/li&gt;&lt;li&gt;&lt;a href=|http://biblebrowser.com/isaiah/62-1.htm| title=|Split View| target=|_top|&gt;Split&lt;/a&gt;</v>
      </c>
      <c r="AU741" s="2" t="s">
        <v>1276</v>
      </c>
      <c r="AV741" t="s">
        <v>64</v>
      </c>
    </row>
    <row r="742" spans="1:48">
      <c r="A742" t="s">
        <v>622</v>
      </c>
      <c r="B742" t="s">
        <v>1246</v>
      </c>
      <c r="C742" t="s">
        <v>624</v>
      </c>
      <c r="D742" t="s">
        <v>1268</v>
      </c>
      <c r="E742" t="s">
        <v>1277</v>
      </c>
      <c r="F742" t="s">
        <v>1304</v>
      </c>
      <c r="G742" t="s">
        <v>1266</v>
      </c>
      <c r="H742" t="s">
        <v>1305</v>
      </c>
      <c r="I742" t="s">
        <v>1303</v>
      </c>
      <c r="J742" t="s">
        <v>1267</v>
      </c>
      <c r="K742" t="s">
        <v>1275</v>
      </c>
      <c r="L742" s="2" t="s">
        <v>1274</v>
      </c>
      <c r="M742" t="str">
        <f t="shared" ref="M742:AB742" si="2964">CONCATENATE("&lt;/li&gt;&lt;li&gt;&lt;a href=|http://",M1191,"/isaiah/63.htm","| ","title=|",M1190,"| target=|_top|&gt;",M1192,"&lt;/a&gt;")</f>
        <v>&lt;/li&gt;&lt;li&gt;&lt;a href=|http://niv.scripturetext.com/isaiah/63.htm| title=|New International Version| target=|_top|&gt;NIV&lt;/a&gt;</v>
      </c>
      <c r="N742" t="str">
        <f t="shared" si="2964"/>
        <v>&lt;/li&gt;&lt;li&gt;&lt;a href=|http://nlt.scripturetext.com/isaiah/63.htm| title=|New Living Translation| target=|_top|&gt;NLT&lt;/a&gt;</v>
      </c>
      <c r="O742" t="str">
        <f t="shared" si="2964"/>
        <v>&lt;/li&gt;&lt;li&gt;&lt;a href=|http://nasb.scripturetext.com/isaiah/63.htm| title=|New American Standard Bible| target=|_top|&gt;NAS&lt;/a&gt;</v>
      </c>
      <c r="P742" t="str">
        <f t="shared" si="2964"/>
        <v>&lt;/li&gt;&lt;li&gt;&lt;a href=|http://gwt.scripturetext.com/isaiah/63.htm| title=|God's Word Translation| target=|_top|&gt;GWT&lt;/a&gt;</v>
      </c>
      <c r="Q742" t="str">
        <f t="shared" si="2964"/>
        <v>&lt;/li&gt;&lt;li&gt;&lt;a href=|http://kingjbible.com/isaiah/63.htm| title=|King James Bible| target=|_top|&gt;KJV&lt;/a&gt;</v>
      </c>
      <c r="R742" t="str">
        <f t="shared" si="2964"/>
        <v>&lt;/li&gt;&lt;li&gt;&lt;a href=|http://asvbible.com/isaiah/63.htm| title=|American Standard Version| target=|_top|&gt;ASV&lt;/a&gt;</v>
      </c>
      <c r="S742" t="str">
        <f t="shared" si="2964"/>
        <v>&lt;/li&gt;&lt;li&gt;&lt;a href=|http://drb.scripturetext.com/isaiah/63.htm| title=|Douay-Rheims Bible| target=|_top|&gt;DRB&lt;/a&gt;</v>
      </c>
      <c r="T742" t="str">
        <f t="shared" si="2964"/>
        <v>&lt;/li&gt;&lt;li&gt;&lt;a href=|http://erv.scripturetext.com/isaiah/63.htm| title=|English Revised Version| target=|_top|&gt;ERV&lt;/a&gt;</v>
      </c>
      <c r="V742" t="str">
        <f>CONCATENATE("&lt;/li&gt;&lt;li&gt;&lt;a href=|http://",V1191,"/isaiah/63.htm","| ","title=|",V1190,"| target=|_top|&gt;",V1192,"&lt;/a&gt;")</f>
        <v>&lt;/li&gt;&lt;li&gt;&lt;a href=|http://study.interlinearbible.org/isaiah/63.htm| title=|Hebrew Study Bible| target=|_top|&gt;Heb Study&lt;/a&gt;</v>
      </c>
      <c r="W742" t="str">
        <f t="shared" si="2964"/>
        <v>&lt;/li&gt;&lt;li&gt;&lt;a href=|http://apostolic.interlinearbible.org/isaiah/63.htm| title=|Apostolic Bible Polyglot Interlinear| target=|_top|&gt;Polyglot&lt;/a&gt;</v>
      </c>
      <c r="X742" t="str">
        <f t="shared" si="2964"/>
        <v>&lt;/li&gt;&lt;li&gt;&lt;a href=|http://interlinearbible.org/isaiah/63.htm| title=|Interlinear Bible| target=|_top|&gt;Interlin&lt;/a&gt;</v>
      </c>
      <c r="Y742" t="str">
        <f t="shared" ref="Y742" si="2965">CONCATENATE("&lt;/li&gt;&lt;li&gt;&lt;a href=|http://",Y1191,"/isaiah/63.htm","| ","title=|",Y1190,"| target=|_top|&gt;",Y1192,"&lt;/a&gt;")</f>
        <v>&lt;/li&gt;&lt;li&gt;&lt;a href=|http://bibleoutline.org/isaiah/63.htm| title=|Outline with People and Places List| target=|_top|&gt;Outline&lt;/a&gt;</v>
      </c>
      <c r="Z742" t="str">
        <f t="shared" si="2964"/>
        <v>&lt;/li&gt;&lt;li&gt;&lt;a href=|http://kjvs.scripturetext.com/isaiah/63.htm| title=|King James Bible with Strong's Numbers| target=|_top|&gt;Strong's&lt;/a&gt;</v>
      </c>
      <c r="AA742" t="str">
        <f t="shared" si="2964"/>
        <v>&lt;/li&gt;&lt;li&gt;&lt;a href=|http://childrensbibleonline.com/isaiah/63.htm| title=|The Children's Bible| target=|_top|&gt;Children's&lt;/a&gt;</v>
      </c>
      <c r="AB742" s="2" t="str">
        <f t="shared" si="2964"/>
        <v>&lt;/li&gt;&lt;li&gt;&lt;a href=|http://tsk.scripturetext.com/isaiah/63.htm| title=|Treasury of Scripture Knowledge| target=|_top|&gt;TSK&lt;/a&gt;</v>
      </c>
      <c r="AC742" t="str">
        <f>CONCATENATE("&lt;a href=|http://",AC1191,"/isaiah/63.htm","| ","title=|",AC1190,"| target=|_top|&gt;",AC1192,"&lt;/a&gt;")</f>
        <v>&lt;a href=|http://parallelbible.com/isaiah/63.htm| title=|Parallel Chapters| target=|_top|&gt;PAR&lt;/a&gt;</v>
      </c>
      <c r="AD742" s="2" t="str">
        <f t="shared" ref="AD742:AK742" si="2966">CONCATENATE("&lt;/li&gt;&lt;li&gt;&lt;a href=|http://",AD1191,"/isaiah/63.htm","| ","title=|",AD1190,"| target=|_top|&gt;",AD1192,"&lt;/a&gt;")</f>
        <v>&lt;/li&gt;&lt;li&gt;&lt;a href=|http://gsb.biblecommenter.com/isaiah/63.htm| title=|Geneva Study Bible| target=|_top|&gt;GSB&lt;/a&gt;</v>
      </c>
      <c r="AE742" s="2" t="str">
        <f t="shared" si="2966"/>
        <v>&lt;/li&gt;&lt;li&gt;&lt;a href=|http://jfb.biblecommenter.com/isaiah/63.htm| title=|Jamieson-Fausset-Brown Bible Commentary| target=|_top|&gt;JFB&lt;/a&gt;</v>
      </c>
      <c r="AF742" s="2" t="str">
        <f t="shared" si="2966"/>
        <v>&lt;/li&gt;&lt;li&gt;&lt;a href=|http://kjt.biblecommenter.com/isaiah/63.htm| title=|King James Translators' Notes| target=|_top|&gt;KJT&lt;/a&gt;</v>
      </c>
      <c r="AG742" s="2" t="str">
        <f t="shared" si="2966"/>
        <v>&lt;/li&gt;&lt;li&gt;&lt;a href=|http://mhc.biblecommenter.com/isaiah/63.htm| title=|Matthew Henry's Concise Commentary| target=|_top|&gt;MHC&lt;/a&gt;</v>
      </c>
      <c r="AH742" s="2" t="str">
        <f t="shared" si="2966"/>
        <v>&lt;/li&gt;&lt;li&gt;&lt;a href=|http://sco.biblecommenter.com/isaiah/63.htm| title=|Scofield Reference Notes| target=|_top|&gt;SCO&lt;/a&gt;</v>
      </c>
      <c r="AI742" s="2" t="str">
        <f t="shared" si="2966"/>
        <v>&lt;/li&gt;&lt;li&gt;&lt;a href=|http://wes.biblecommenter.com/isaiah/63.htm| title=|Wesley's Notes on the Bible| target=|_top|&gt;WES&lt;/a&gt;</v>
      </c>
      <c r="AJ742" t="str">
        <f t="shared" si="2966"/>
        <v>&lt;/li&gt;&lt;li&gt;&lt;a href=|http://worldebible.com/isaiah/63.htm| title=|World English Bible| target=|_top|&gt;WEB&lt;/a&gt;</v>
      </c>
      <c r="AK742" t="str">
        <f t="shared" si="2966"/>
        <v>&lt;/li&gt;&lt;li&gt;&lt;a href=|http://yltbible.com/isaiah/63.htm| title=|Young's Literal Translation| target=|_top|&gt;YLT&lt;/a&gt;</v>
      </c>
      <c r="AL742" t="str">
        <f>CONCATENATE("&lt;a href=|http://",AL1191,"/isaiah/63.htm","| ","title=|",AL1190,"| target=|_top|&gt;",AL1192,"&lt;/a&gt;")</f>
        <v>&lt;a href=|http://kjv.us/isaiah/63.htm| title=|American King James Version| target=|_top|&gt;AKJ&lt;/a&gt;</v>
      </c>
      <c r="AM742" t="str">
        <f t="shared" ref="AM742:AN742" si="2967">CONCATENATE("&lt;/li&gt;&lt;li&gt;&lt;a href=|http://",AM1191,"/isaiah/63.htm","| ","title=|",AM1190,"| target=|_top|&gt;",AM1192,"&lt;/a&gt;")</f>
        <v>&lt;/li&gt;&lt;li&gt;&lt;a href=|http://basicenglishbible.com/isaiah/63.htm| title=|Bible in Basic English| target=|_top|&gt;BBE&lt;/a&gt;</v>
      </c>
      <c r="AN742" t="str">
        <f t="shared" si="2967"/>
        <v>&lt;/li&gt;&lt;li&gt;&lt;a href=|http://darbybible.com/isaiah/63.htm| title=|Darby Bible Translation| target=|_top|&gt;DBY&lt;/a&gt;</v>
      </c>
      <c r="AO74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4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4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42" t="str">
        <f>CONCATENATE("&lt;/li&gt;&lt;li&gt;&lt;a href=|http://",AR1191,"/isaiah/63.htm","| ","title=|",AR1190,"| target=|_top|&gt;",AR1192,"&lt;/a&gt;")</f>
        <v>&lt;/li&gt;&lt;li&gt;&lt;a href=|http://websterbible.com/isaiah/63.htm| title=|Webster's Bible Translation| target=|_top|&gt;WBS&lt;/a&gt;</v>
      </c>
      <c r="AS74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42" t="str">
        <f>CONCATENATE("&lt;/li&gt;&lt;li&gt;&lt;a href=|http://",AT1191,"/isaiah/63-1.htm","| ","title=|",AT1190,"| target=|_top|&gt;",AT1192,"&lt;/a&gt;")</f>
        <v>&lt;/li&gt;&lt;li&gt;&lt;a href=|http://biblebrowser.com/isaiah/63-1.htm| title=|Split View| target=|_top|&gt;Split&lt;/a&gt;</v>
      </c>
      <c r="AU742" s="2" t="s">
        <v>1276</v>
      </c>
      <c r="AV742" t="s">
        <v>64</v>
      </c>
    </row>
    <row r="743" spans="1:48">
      <c r="A743" t="s">
        <v>622</v>
      </c>
      <c r="B743" t="s">
        <v>1247</v>
      </c>
      <c r="C743" t="s">
        <v>624</v>
      </c>
      <c r="D743" t="s">
        <v>1268</v>
      </c>
      <c r="E743" t="s">
        <v>1277</v>
      </c>
      <c r="F743" t="s">
        <v>1304</v>
      </c>
      <c r="G743" t="s">
        <v>1266</v>
      </c>
      <c r="H743" t="s">
        <v>1305</v>
      </c>
      <c r="I743" t="s">
        <v>1303</v>
      </c>
      <c r="J743" t="s">
        <v>1267</v>
      </c>
      <c r="K743" t="s">
        <v>1275</v>
      </c>
      <c r="L743" s="2" t="s">
        <v>1274</v>
      </c>
      <c r="M743" t="str">
        <f t="shared" ref="M743:AB743" si="2968">CONCATENATE("&lt;/li&gt;&lt;li&gt;&lt;a href=|http://",M1191,"/isaiah/64.htm","| ","title=|",M1190,"| target=|_top|&gt;",M1192,"&lt;/a&gt;")</f>
        <v>&lt;/li&gt;&lt;li&gt;&lt;a href=|http://niv.scripturetext.com/isaiah/64.htm| title=|New International Version| target=|_top|&gt;NIV&lt;/a&gt;</v>
      </c>
      <c r="N743" t="str">
        <f t="shared" si="2968"/>
        <v>&lt;/li&gt;&lt;li&gt;&lt;a href=|http://nlt.scripturetext.com/isaiah/64.htm| title=|New Living Translation| target=|_top|&gt;NLT&lt;/a&gt;</v>
      </c>
      <c r="O743" t="str">
        <f t="shared" si="2968"/>
        <v>&lt;/li&gt;&lt;li&gt;&lt;a href=|http://nasb.scripturetext.com/isaiah/64.htm| title=|New American Standard Bible| target=|_top|&gt;NAS&lt;/a&gt;</v>
      </c>
      <c r="P743" t="str">
        <f t="shared" si="2968"/>
        <v>&lt;/li&gt;&lt;li&gt;&lt;a href=|http://gwt.scripturetext.com/isaiah/64.htm| title=|God's Word Translation| target=|_top|&gt;GWT&lt;/a&gt;</v>
      </c>
      <c r="Q743" t="str">
        <f t="shared" si="2968"/>
        <v>&lt;/li&gt;&lt;li&gt;&lt;a href=|http://kingjbible.com/isaiah/64.htm| title=|King James Bible| target=|_top|&gt;KJV&lt;/a&gt;</v>
      </c>
      <c r="R743" t="str">
        <f t="shared" si="2968"/>
        <v>&lt;/li&gt;&lt;li&gt;&lt;a href=|http://asvbible.com/isaiah/64.htm| title=|American Standard Version| target=|_top|&gt;ASV&lt;/a&gt;</v>
      </c>
      <c r="S743" t="str">
        <f t="shared" si="2968"/>
        <v>&lt;/li&gt;&lt;li&gt;&lt;a href=|http://drb.scripturetext.com/isaiah/64.htm| title=|Douay-Rheims Bible| target=|_top|&gt;DRB&lt;/a&gt;</v>
      </c>
      <c r="T743" t="str">
        <f t="shared" si="2968"/>
        <v>&lt;/li&gt;&lt;li&gt;&lt;a href=|http://erv.scripturetext.com/isaiah/64.htm| title=|English Revised Version| target=|_top|&gt;ERV&lt;/a&gt;</v>
      </c>
      <c r="V743" t="str">
        <f>CONCATENATE("&lt;/li&gt;&lt;li&gt;&lt;a href=|http://",V1191,"/isaiah/64.htm","| ","title=|",V1190,"| target=|_top|&gt;",V1192,"&lt;/a&gt;")</f>
        <v>&lt;/li&gt;&lt;li&gt;&lt;a href=|http://study.interlinearbible.org/isaiah/64.htm| title=|Hebrew Study Bible| target=|_top|&gt;Heb Study&lt;/a&gt;</v>
      </c>
      <c r="W743" t="str">
        <f t="shared" si="2968"/>
        <v>&lt;/li&gt;&lt;li&gt;&lt;a href=|http://apostolic.interlinearbible.org/isaiah/64.htm| title=|Apostolic Bible Polyglot Interlinear| target=|_top|&gt;Polyglot&lt;/a&gt;</v>
      </c>
      <c r="X743" t="str">
        <f t="shared" si="2968"/>
        <v>&lt;/li&gt;&lt;li&gt;&lt;a href=|http://interlinearbible.org/isaiah/64.htm| title=|Interlinear Bible| target=|_top|&gt;Interlin&lt;/a&gt;</v>
      </c>
      <c r="Y743" t="str">
        <f t="shared" ref="Y743" si="2969">CONCATENATE("&lt;/li&gt;&lt;li&gt;&lt;a href=|http://",Y1191,"/isaiah/64.htm","| ","title=|",Y1190,"| target=|_top|&gt;",Y1192,"&lt;/a&gt;")</f>
        <v>&lt;/li&gt;&lt;li&gt;&lt;a href=|http://bibleoutline.org/isaiah/64.htm| title=|Outline with People and Places List| target=|_top|&gt;Outline&lt;/a&gt;</v>
      </c>
      <c r="Z743" t="str">
        <f t="shared" si="2968"/>
        <v>&lt;/li&gt;&lt;li&gt;&lt;a href=|http://kjvs.scripturetext.com/isaiah/64.htm| title=|King James Bible with Strong's Numbers| target=|_top|&gt;Strong's&lt;/a&gt;</v>
      </c>
      <c r="AA743" t="str">
        <f t="shared" si="2968"/>
        <v>&lt;/li&gt;&lt;li&gt;&lt;a href=|http://childrensbibleonline.com/isaiah/64.htm| title=|The Children's Bible| target=|_top|&gt;Children's&lt;/a&gt;</v>
      </c>
      <c r="AB743" s="2" t="str">
        <f t="shared" si="2968"/>
        <v>&lt;/li&gt;&lt;li&gt;&lt;a href=|http://tsk.scripturetext.com/isaiah/64.htm| title=|Treasury of Scripture Knowledge| target=|_top|&gt;TSK&lt;/a&gt;</v>
      </c>
      <c r="AC743" t="str">
        <f>CONCATENATE("&lt;a href=|http://",AC1191,"/isaiah/64.htm","| ","title=|",AC1190,"| target=|_top|&gt;",AC1192,"&lt;/a&gt;")</f>
        <v>&lt;a href=|http://parallelbible.com/isaiah/64.htm| title=|Parallel Chapters| target=|_top|&gt;PAR&lt;/a&gt;</v>
      </c>
      <c r="AD743" s="2" t="str">
        <f t="shared" ref="AD743:AK743" si="2970">CONCATENATE("&lt;/li&gt;&lt;li&gt;&lt;a href=|http://",AD1191,"/isaiah/64.htm","| ","title=|",AD1190,"| target=|_top|&gt;",AD1192,"&lt;/a&gt;")</f>
        <v>&lt;/li&gt;&lt;li&gt;&lt;a href=|http://gsb.biblecommenter.com/isaiah/64.htm| title=|Geneva Study Bible| target=|_top|&gt;GSB&lt;/a&gt;</v>
      </c>
      <c r="AE743" s="2" t="str">
        <f t="shared" si="2970"/>
        <v>&lt;/li&gt;&lt;li&gt;&lt;a href=|http://jfb.biblecommenter.com/isaiah/64.htm| title=|Jamieson-Fausset-Brown Bible Commentary| target=|_top|&gt;JFB&lt;/a&gt;</v>
      </c>
      <c r="AF743" s="2" t="str">
        <f t="shared" si="2970"/>
        <v>&lt;/li&gt;&lt;li&gt;&lt;a href=|http://kjt.biblecommenter.com/isaiah/64.htm| title=|King James Translators' Notes| target=|_top|&gt;KJT&lt;/a&gt;</v>
      </c>
      <c r="AG743" s="2" t="str">
        <f t="shared" si="2970"/>
        <v>&lt;/li&gt;&lt;li&gt;&lt;a href=|http://mhc.biblecommenter.com/isaiah/64.htm| title=|Matthew Henry's Concise Commentary| target=|_top|&gt;MHC&lt;/a&gt;</v>
      </c>
      <c r="AH743" s="2" t="str">
        <f t="shared" si="2970"/>
        <v>&lt;/li&gt;&lt;li&gt;&lt;a href=|http://sco.biblecommenter.com/isaiah/64.htm| title=|Scofield Reference Notes| target=|_top|&gt;SCO&lt;/a&gt;</v>
      </c>
      <c r="AI743" s="2" t="str">
        <f t="shared" si="2970"/>
        <v>&lt;/li&gt;&lt;li&gt;&lt;a href=|http://wes.biblecommenter.com/isaiah/64.htm| title=|Wesley's Notes on the Bible| target=|_top|&gt;WES&lt;/a&gt;</v>
      </c>
      <c r="AJ743" t="str">
        <f t="shared" si="2970"/>
        <v>&lt;/li&gt;&lt;li&gt;&lt;a href=|http://worldebible.com/isaiah/64.htm| title=|World English Bible| target=|_top|&gt;WEB&lt;/a&gt;</v>
      </c>
      <c r="AK743" t="str">
        <f t="shared" si="2970"/>
        <v>&lt;/li&gt;&lt;li&gt;&lt;a href=|http://yltbible.com/isaiah/64.htm| title=|Young's Literal Translation| target=|_top|&gt;YLT&lt;/a&gt;</v>
      </c>
      <c r="AL743" t="str">
        <f>CONCATENATE("&lt;a href=|http://",AL1191,"/isaiah/64.htm","| ","title=|",AL1190,"| target=|_top|&gt;",AL1192,"&lt;/a&gt;")</f>
        <v>&lt;a href=|http://kjv.us/isaiah/64.htm| title=|American King James Version| target=|_top|&gt;AKJ&lt;/a&gt;</v>
      </c>
      <c r="AM743" t="str">
        <f t="shared" ref="AM743:AN743" si="2971">CONCATENATE("&lt;/li&gt;&lt;li&gt;&lt;a href=|http://",AM1191,"/isaiah/64.htm","| ","title=|",AM1190,"| target=|_top|&gt;",AM1192,"&lt;/a&gt;")</f>
        <v>&lt;/li&gt;&lt;li&gt;&lt;a href=|http://basicenglishbible.com/isaiah/64.htm| title=|Bible in Basic English| target=|_top|&gt;BBE&lt;/a&gt;</v>
      </c>
      <c r="AN743" t="str">
        <f t="shared" si="2971"/>
        <v>&lt;/li&gt;&lt;li&gt;&lt;a href=|http://darbybible.com/isaiah/64.htm| title=|Darby Bible Translation| target=|_top|&gt;DBY&lt;/a&gt;</v>
      </c>
      <c r="AO74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4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4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43" t="str">
        <f>CONCATENATE("&lt;/li&gt;&lt;li&gt;&lt;a href=|http://",AR1191,"/isaiah/64.htm","| ","title=|",AR1190,"| target=|_top|&gt;",AR1192,"&lt;/a&gt;")</f>
        <v>&lt;/li&gt;&lt;li&gt;&lt;a href=|http://websterbible.com/isaiah/64.htm| title=|Webster's Bible Translation| target=|_top|&gt;WBS&lt;/a&gt;</v>
      </c>
      <c r="AS74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43" t="str">
        <f>CONCATENATE("&lt;/li&gt;&lt;li&gt;&lt;a href=|http://",AT1191,"/isaiah/64-1.htm","| ","title=|",AT1190,"| target=|_top|&gt;",AT1192,"&lt;/a&gt;")</f>
        <v>&lt;/li&gt;&lt;li&gt;&lt;a href=|http://biblebrowser.com/isaiah/64-1.htm| title=|Split View| target=|_top|&gt;Split&lt;/a&gt;</v>
      </c>
      <c r="AU743" s="2" t="s">
        <v>1276</v>
      </c>
      <c r="AV743" t="s">
        <v>64</v>
      </c>
    </row>
    <row r="744" spans="1:48">
      <c r="A744" t="s">
        <v>622</v>
      </c>
      <c r="B744" t="s">
        <v>1248</v>
      </c>
      <c r="C744" t="s">
        <v>624</v>
      </c>
      <c r="D744" t="s">
        <v>1268</v>
      </c>
      <c r="E744" t="s">
        <v>1277</v>
      </c>
      <c r="F744" t="s">
        <v>1304</v>
      </c>
      <c r="G744" t="s">
        <v>1266</v>
      </c>
      <c r="H744" t="s">
        <v>1305</v>
      </c>
      <c r="I744" t="s">
        <v>1303</v>
      </c>
      <c r="J744" t="s">
        <v>1267</v>
      </c>
      <c r="K744" t="s">
        <v>1275</v>
      </c>
      <c r="L744" s="2" t="s">
        <v>1274</v>
      </c>
      <c r="M744" t="str">
        <f t="shared" ref="M744:AB744" si="2972">CONCATENATE("&lt;/li&gt;&lt;li&gt;&lt;a href=|http://",M1191,"/isaiah/65.htm","| ","title=|",M1190,"| target=|_top|&gt;",M1192,"&lt;/a&gt;")</f>
        <v>&lt;/li&gt;&lt;li&gt;&lt;a href=|http://niv.scripturetext.com/isaiah/65.htm| title=|New International Version| target=|_top|&gt;NIV&lt;/a&gt;</v>
      </c>
      <c r="N744" t="str">
        <f t="shared" si="2972"/>
        <v>&lt;/li&gt;&lt;li&gt;&lt;a href=|http://nlt.scripturetext.com/isaiah/65.htm| title=|New Living Translation| target=|_top|&gt;NLT&lt;/a&gt;</v>
      </c>
      <c r="O744" t="str">
        <f t="shared" si="2972"/>
        <v>&lt;/li&gt;&lt;li&gt;&lt;a href=|http://nasb.scripturetext.com/isaiah/65.htm| title=|New American Standard Bible| target=|_top|&gt;NAS&lt;/a&gt;</v>
      </c>
      <c r="P744" t="str">
        <f t="shared" si="2972"/>
        <v>&lt;/li&gt;&lt;li&gt;&lt;a href=|http://gwt.scripturetext.com/isaiah/65.htm| title=|God's Word Translation| target=|_top|&gt;GWT&lt;/a&gt;</v>
      </c>
      <c r="Q744" t="str">
        <f t="shared" si="2972"/>
        <v>&lt;/li&gt;&lt;li&gt;&lt;a href=|http://kingjbible.com/isaiah/65.htm| title=|King James Bible| target=|_top|&gt;KJV&lt;/a&gt;</v>
      </c>
      <c r="R744" t="str">
        <f t="shared" si="2972"/>
        <v>&lt;/li&gt;&lt;li&gt;&lt;a href=|http://asvbible.com/isaiah/65.htm| title=|American Standard Version| target=|_top|&gt;ASV&lt;/a&gt;</v>
      </c>
      <c r="S744" t="str">
        <f t="shared" si="2972"/>
        <v>&lt;/li&gt;&lt;li&gt;&lt;a href=|http://drb.scripturetext.com/isaiah/65.htm| title=|Douay-Rheims Bible| target=|_top|&gt;DRB&lt;/a&gt;</v>
      </c>
      <c r="T744" t="str">
        <f t="shared" si="2972"/>
        <v>&lt;/li&gt;&lt;li&gt;&lt;a href=|http://erv.scripturetext.com/isaiah/65.htm| title=|English Revised Version| target=|_top|&gt;ERV&lt;/a&gt;</v>
      </c>
      <c r="V744" t="str">
        <f>CONCATENATE("&lt;/li&gt;&lt;li&gt;&lt;a href=|http://",V1191,"/isaiah/65.htm","| ","title=|",V1190,"| target=|_top|&gt;",V1192,"&lt;/a&gt;")</f>
        <v>&lt;/li&gt;&lt;li&gt;&lt;a href=|http://study.interlinearbible.org/isaiah/65.htm| title=|Hebrew Study Bible| target=|_top|&gt;Heb Study&lt;/a&gt;</v>
      </c>
      <c r="W744" t="str">
        <f t="shared" si="2972"/>
        <v>&lt;/li&gt;&lt;li&gt;&lt;a href=|http://apostolic.interlinearbible.org/isaiah/65.htm| title=|Apostolic Bible Polyglot Interlinear| target=|_top|&gt;Polyglot&lt;/a&gt;</v>
      </c>
      <c r="X744" t="str">
        <f t="shared" si="2972"/>
        <v>&lt;/li&gt;&lt;li&gt;&lt;a href=|http://interlinearbible.org/isaiah/65.htm| title=|Interlinear Bible| target=|_top|&gt;Interlin&lt;/a&gt;</v>
      </c>
      <c r="Y744" t="str">
        <f t="shared" ref="Y744" si="2973">CONCATENATE("&lt;/li&gt;&lt;li&gt;&lt;a href=|http://",Y1191,"/isaiah/65.htm","| ","title=|",Y1190,"| target=|_top|&gt;",Y1192,"&lt;/a&gt;")</f>
        <v>&lt;/li&gt;&lt;li&gt;&lt;a href=|http://bibleoutline.org/isaiah/65.htm| title=|Outline with People and Places List| target=|_top|&gt;Outline&lt;/a&gt;</v>
      </c>
      <c r="Z744" t="str">
        <f t="shared" si="2972"/>
        <v>&lt;/li&gt;&lt;li&gt;&lt;a href=|http://kjvs.scripturetext.com/isaiah/65.htm| title=|King James Bible with Strong's Numbers| target=|_top|&gt;Strong's&lt;/a&gt;</v>
      </c>
      <c r="AA744" t="str">
        <f t="shared" si="2972"/>
        <v>&lt;/li&gt;&lt;li&gt;&lt;a href=|http://childrensbibleonline.com/isaiah/65.htm| title=|The Children's Bible| target=|_top|&gt;Children's&lt;/a&gt;</v>
      </c>
      <c r="AB744" s="2" t="str">
        <f t="shared" si="2972"/>
        <v>&lt;/li&gt;&lt;li&gt;&lt;a href=|http://tsk.scripturetext.com/isaiah/65.htm| title=|Treasury of Scripture Knowledge| target=|_top|&gt;TSK&lt;/a&gt;</v>
      </c>
      <c r="AC744" t="str">
        <f>CONCATENATE("&lt;a href=|http://",AC1191,"/isaiah/65.htm","| ","title=|",AC1190,"| target=|_top|&gt;",AC1192,"&lt;/a&gt;")</f>
        <v>&lt;a href=|http://parallelbible.com/isaiah/65.htm| title=|Parallel Chapters| target=|_top|&gt;PAR&lt;/a&gt;</v>
      </c>
      <c r="AD744" s="2" t="str">
        <f t="shared" ref="AD744:AK744" si="2974">CONCATENATE("&lt;/li&gt;&lt;li&gt;&lt;a href=|http://",AD1191,"/isaiah/65.htm","| ","title=|",AD1190,"| target=|_top|&gt;",AD1192,"&lt;/a&gt;")</f>
        <v>&lt;/li&gt;&lt;li&gt;&lt;a href=|http://gsb.biblecommenter.com/isaiah/65.htm| title=|Geneva Study Bible| target=|_top|&gt;GSB&lt;/a&gt;</v>
      </c>
      <c r="AE744" s="2" t="str">
        <f t="shared" si="2974"/>
        <v>&lt;/li&gt;&lt;li&gt;&lt;a href=|http://jfb.biblecommenter.com/isaiah/65.htm| title=|Jamieson-Fausset-Brown Bible Commentary| target=|_top|&gt;JFB&lt;/a&gt;</v>
      </c>
      <c r="AF744" s="2" t="str">
        <f t="shared" si="2974"/>
        <v>&lt;/li&gt;&lt;li&gt;&lt;a href=|http://kjt.biblecommenter.com/isaiah/65.htm| title=|King James Translators' Notes| target=|_top|&gt;KJT&lt;/a&gt;</v>
      </c>
      <c r="AG744" s="2" t="str">
        <f t="shared" si="2974"/>
        <v>&lt;/li&gt;&lt;li&gt;&lt;a href=|http://mhc.biblecommenter.com/isaiah/65.htm| title=|Matthew Henry's Concise Commentary| target=|_top|&gt;MHC&lt;/a&gt;</v>
      </c>
      <c r="AH744" s="2" t="str">
        <f t="shared" si="2974"/>
        <v>&lt;/li&gt;&lt;li&gt;&lt;a href=|http://sco.biblecommenter.com/isaiah/65.htm| title=|Scofield Reference Notes| target=|_top|&gt;SCO&lt;/a&gt;</v>
      </c>
      <c r="AI744" s="2" t="str">
        <f t="shared" si="2974"/>
        <v>&lt;/li&gt;&lt;li&gt;&lt;a href=|http://wes.biblecommenter.com/isaiah/65.htm| title=|Wesley's Notes on the Bible| target=|_top|&gt;WES&lt;/a&gt;</v>
      </c>
      <c r="AJ744" t="str">
        <f t="shared" si="2974"/>
        <v>&lt;/li&gt;&lt;li&gt;&lt;a href=|http://worldebible.com/isaiah/65.htm| title=|World English Bible| target=|_top|&gt;WEB&lt;/a&gt;</v>
      </c>
      <c r="AK744" t="str">
        <f t="shared" si="2974"/>
        <v>&lt;/li&gt;&lt;li&gt;&lt;a href=|http://yltbible.com/isaiah/65.htm| title=|Young's Literal Translation| target=|_top|&gt;YLT&lt;/a&gt;</v>
      </c>
      <c r="AL744" t="str">
        <f>CONCATENATE("&lt;a href=|http://",AL1191,"/isaiah/65.htm","| ","title=|",AL1190,"| target=|_top|&gt;",AL1192,"&lt;/a&gt;")</f>
        <v>&lt;a href=|http://kjv.us/isaiah/65.htm| title=|American King James Version| target=|_top|&gt;AKJ&lt;/a&gt;</v>
      </c>
      <c r="AM744" t="str">
        <f t="shared" ref="AM744:AN744" si="2975">CONCATENATE("&lt;/li&gt;&lt;li&gt;&lt;a href=|http://",AM1191,"/isaiah/65.htm","| ","title=|",AM1190,"| target=|_top|&gt;",AM1192,"&lt;/a&gt;")</f>
        <v>&lt;/li&gt;&lt;li&gt;&lt;a href=|http://basicenglishbible.com/isaiah/65.htm| title=|Bible in Basic English| target=|_top|&gt;BBE&lt;/a&gt;</v>
      </c>
      <c r="AN744" t="str">
        <f t="shared" si="2975"/>
        <v>&lt;/li&gt;&lt;li&gt;&lt;a href=|http://darbybible.com/isaiah/65.htm| title=|Darby Bible Translation| target=|_top|&gt;DBY&lt;/a&gt;</v>
      </c>
      <c r="AO74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4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4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44" t="str">
        <f>CONCATENATE("&lt;/li&gt;&lt;li&gt;&lt;a href=|http://",AR1191,"/isaiah/65.htm","| ","title=|",AR1190,"| target=|_top|&gt;",AR1192,"&lt;/a&gt;")</f>
        <v>&lt;/li&gt;&lt;li&gt;&lt;a href=|http://websterbible.com/isaiah/65.htm| title=|Webster's Bible Translation| target=|_top|&gt;WBS&lt;/a&gt;</v>
      </c>
      <c r="AS74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44" t="str">
        <f>CONCATENATE("&lt;/li&gt;&lt;li&gt;&lt;a href=|http://",AT1191,"/isaiah/65-1.htm","| ","title=|",AT1190,"| target=|_top|&gt;",AT1192,"&lt;/a&gt;")</f>
        <v>&lt;/li&gt;&lt;li&gt;&lt;a href=|http://biblebrowser.com/isaiah/65-1.htm| title=|Split View| target=|_top|&gt;Split&lt;/a&gt;</v>
      </c>
      <c r="AU744" s="2" t="s">
        <v>1276</v>
      </c>
      <c r="AV744" t="s">
        <v>64</v>
      </c>
    </row>
    <row r="745" spans="1:48">
      <c r="A745" t="s">
        <v>622</v>
      </c>
      <c r="B745" t="s">
        <v>1249</v>
      </c>
      <c r="C745" t="s">
        <v>624</v>
      </c>
      <c r="D745" t="s">
        <v>1268</v>
      </c>
      <c r="E745" t="s">
        <v>1277</v>
      </c>
      <c r="F745" t="s">
        <v>1304</v>
      </c>
      <c r="G745" t="s">
        <v>1266</v>
      </c>
      <c r="H745" t="s">
        <v>1305</v>
      </c>
      <c r="I745" t="s">
        <v>1303</v>
      </c>
      <c r="J745" t="s">
        <v>1267</v>
      </c>
      <c r="K745" t="s">
        <v>1275</v>
      </c>
      <c r="L745" s="2" t="s">
        <v>1274</v>
      </c>
      <c r="M745" t="str">
        <f t="shared" ref="M745:AB745" si="2976">CONCATENATE("&lt;/li&gt;&lt;li&gt;&lt;a href=|http://",M1191,"/isaiah/66.htm","| ","title=|",M1190,"| target=|_top|&gt;",M1192,"&lt;/a&gt;")</f>
        <v>&lt;/li&gt;&lt;li&gt;&lt;a href=|http://niv.scripturetext.com/isaiah/66.htm| title=|New International Version| target=|_top|&gt;NIV&lt;/a&gt;</v>
      </c>
      <c r="N745" t="str">
        <f t="shared" si="2976"/>
        <v>&lt;/li&gt;&lt;li&gt;&lt;a href=|http://nlt.scripturetext.com/isaiah/66.htm| title=|New Living Translation| target=|_top|&gt;NLT&lt;/a&gt;</v>
      </c>
      <c r="O745" t="str">
        <f t="shared" si="2976"/>
        <v>&lt;/li&gt;&lt;li&gt;&lt;a href=|http://nasb.scripturetext.com/isaiah/66.htm| title=|New American Standard Bible| target=|_top|&gt;NAS&lt;/a&gt;</v>
      </c>
      <c r="P745" t="str">
        <f t="shared" si="2976"/>
        <v>&lt;/li&gt;&lt;li&gt;&lt;a href=|http://gwt.scripturetext.com/isaiah/66.htm| title=|God's Word Translation| target=|_top|&gt;GWT&lt;/a&gt;</v>
      </c>
      <c r="Q745" t="str">
        <f t="shared" si="2976"/>
        <v>&lt;/li&gt;&lt;li&gt;&lt;a href=|http://kingjbible.com/isaiah/66.htm| title=|King James Bible| target=|_top|&gt;KJV&lt;/a&gt;</v>
      </c>
      <c r="R745" t="str">
        <f t="shared" si="2976"/>
        <v>&lt;/li&gt;&lt;li&gt;&lt;a href=|http://asvbible.com/isaiah/66.htm| title=|American Standard Version| target=|_top|&gt;ASV&lt;/a&gt;</v>
      </c>
      <c r="S745" t="str">
        <f t="shared" si="2976"/>
        <v>&lt;/li&gt;&lt;li&gt;&lt;a href=|http://drb.scripturetext.com/isaiah/66.htm| title=|Douay-Rheims Bible| target=|_top|&gt;DRB&lt;/a&gt;</v>
      </c>
      <c r="T745" t="str">
        <f t="shared" si="2976"/>
        <v>&lt;/li&gt;&lt;li&gt;&lt;a href=|http://erv.scripturetext.com/isaiah/66.htm| title=|English Revised Version| target=|_top|&gt;ERV&lt;/a&gt;</v>
      </c>
      <c r="V745" t="str">
        <f>CONCATENATE("&lt;/li&gt;&lt;li&gt;&lt;a href=|http://",V1191,"/isaiah/66.htm","| ","title=|",V1190,"| target=|_top|&gt;",V1192,"&lt;/a&gt;")</f>
        <v>&lt;/li&gt;&lt;li&gt;&lt;a href=|http://study.interlinearbible.org/isaiah/66.htm| title=|Hebrew Study Bible| target=|_top|&gt;Heb Study&lt;/a&gt;</v>
      </c>
      <c r="W745" t="str">
        <f t="shared" si="2976"/>
        <v>&lt;/li&gt;&lt;li&gt;&lt;a href=|http://apostolic.interlinearbible.org/isaiah/66.htm| title=|Apostolic Bible Polyglot Interlinear| target=|_top|&gt;Polyglot&lt;/a&gt;</v>
      </c>
      <c r="X745" t="str">
        <f t="shared" si="2976"/>
        <v>&lt;/li&gt;&lt;li&gt;&lt;a href=|http://interlinearbible.org/isaiah/66.htm| title=|Interlinear Bible| target=|_top|&gt;Interlin&lt;/a&gt;</v>
      </c>
      <c r="Y745" t="str">
        <f t="shared" ref="Y745" si="2977">CONCATENATE("&lt;/li&gt;&lt;li&gt;&lt;a href=|http://",Y1191,"/isaiah/66.htm","| ","title=|",Y1190,"| target=|_top|&gt;",Y1192,"&lt;/a&gt;")</f>
        <v>&lt;/li&gt;&lt;li&gt;&lt;a href=|http://bibleoutline.org/isaiah/66.htm| title=|Outline with People and Places List| target=|_top|&gt;Outline&lt;/a&gt;</v>
      </c>
      <c r="Z745" t="str">
        <f t="shared" si="2976"/>
        <v>&lt;/li&gt;&lt;li&gt;&lt;a href=|http://kjvs.scripturetext.com/isaiah/66.htm| title=|King James Bible with Strong's Numbers| target=|_top|&gt;Strong's&lt;/a&gt;</v>
      </c>
      <c r="AA745" t="str">
        <f t="shared" si="2976"/>
        <v>&lt;/li&gt;&lt;li&gt;&lt;a href=|http://childrensbibleonline.com/isaiah/66.htm| title=|The Children's Bible| target=|_top|&gt;Children's&lt;/a&gt;</v>
      </c>
      <c r="AB745" s="2" t="str">
        <f t="shared" si="2976"/>
        <v>&lt;/li&gt;&lt;li&gt;&lt;a href=|http://tsk.scripturetext.com/isaiah/66.htm| title=|Treasury of Scripture Knowledge| target=|_top|&gt;TSK&lt;/a&gt;</v>
      </c>
      <c r="AC745" t="str">
        <f>CONCATENATE("&lt;a href=|http://",AC1191,"/isaiah/66.htm","| ","title=|",AC1190,"| target=|_top|&gt;",AC1192,"&lt;/a&gt;")</f>
        <v>&lt;a href=|http://parallelbible.com/isaiah/66.htm| title=|Parallel Chapters| target=|_top|&gt;PAR&lt;/a&gt;</v>
      </c>
      <c r="AD745" s="2" t="str">
        <f t="shared" ref="AD745:AK745" si="2978">CONCATENATE("&lt;/li&gt;&lt;li&gt;&lt;a href=|http://",AD1191,"/isaiah/66.htm","| ","title=|",AD1190,"| target=|_top|&gt;",AD1192,"&lt;/a&gt;")</f>
        <v>&lt;/li&gt;&lt;li&gt;&lt;a href=|http://gsb.biblecommenter.com/isaiah/66.htm| title=|Geneva Study Bible| target=|_top|&gt;GSB&lt;/a&gt;</v>
      </c>
      <c r="AE745" s="2" t="str">
        <f t="shared" si="2978"/>
        <v>&lt;/li&gt;&lt;li&gt;&lt;a href=|http://jfb.biblecommenter.com/isaiah/66.htm| title=|Jamieson-Fausset-Brown Bible Commentary| target=|_top|&gt;JFB&lt;/a&gt;</v>
      </c>
      <c r="AF745" s="2" t="str">
        <f t="shared" si="2978"/>
        <v>&lt;/li&gt;&lt;li&gt;&lt;a href=|http://kjt.biblecommenter.com/isaiah/66.htm| title=|King James Translators' Notes| target=|_top|&gt;KJT&lt;/a&gt;</v>
      </c>
      <c r="AG745" s="2" t="str">
        <f t="shared" si="2978"/>
        <v>&lt;/li&gt;&lt;li&gt;&lt;a href=|http://mhc.biblecommenter.com/isaiah/66.htm| title=|Matthew Henry's Concise Commentary| target=|_top|&gt;MHC&lt;/a&gt;</v>
      </c>
      <c r="AH745" s="2" t="str">
        <f t="shared" si="2978"/>
        <v>&lt;/li&gt;&lt;li&gt;&lt;a href=|http://sco.biblecommenter.com/isaiah/66.htm| title=|Scofield Reference Notes| target=|_top|&gt;SCO&lt;/a&gt;</v>
      </c>
      <c r="AI745" s="2" t="str">
        <f t="shared" si="2978"/>
        <v>&lt;/li&gt;&lt;li&gt;&lt;a href=|http://wes.biblecommenter.com/isaiah/66.htm| title=|Wesley's Notes on the Bible| target=|_top|&gt;WES&lt;/a&gt;</v>
      </c>
      <c r="AJ745" t="str">
        <f t="shared" si="2978"/>
        <v>&lt;/li&gt;&lt;li&gt;&lt;a href=|http://worldebible.com/isaiah/66.htm| title=|World English Bible| target=|_top|&gt;WEB&lt;/a&gt;</v>
      </c>
      <c r="AK745" t="str">
        <f t="shared" si="2978"/>
        <v>&lt;/li&gt;&lt;li&gt;&lt;a href=|http://yltbible.com/isaiah/66.htm| title=|Young's Literal Translation| target=|_top|&gt;YLT&lt;/a&gt;</v>
      </c>
      <c r="AL745" t="str">
        <f>CONCATENATE("&lt;a href=|http://",AL1191,"/isaiah/66.htm","| ","title=|",AL1190,"| target=|_top|&gt;",AL1192,"&lt;/a&gt;")</f>
        <v>&lt;a href=|http://kjv.us/isaiah/66.htm| title=|American King James Version| target=|_top|&gt;AKJ&lt;/a&gt;</v>
      </c>
      <c r="AM745" t="str">
        <f t="shared" ref="AM745:AN745" si="2979">CONCATENATE("&lt;/li&gt;&lt;li&gt;&lt;a href=|http://",AM1191,"/isaiah/66.htm","| ","title=|",AM1190,"| target=|_top|&gt;",AM1192,"&lt;/a&gt;")</f>
        <v>&lt;/li&gt;&lt;li&gt;&lt;a href=|http://basicenglishbible.com/isaiah/66.htm| title=|Bible in Basic English| target=|_top|&gt;BBE&lt;/a&gt;</v>
      </c>
      <c r="AN745" t="str">
        <f t="shared" si="2979"/>
        <v>&lt;/li&gt;&lt;li&gt;&lt;a href=|http://darbybible.com/isaiah/66.htm| title=|Darby Bible Translation| target=|_top|&gt;DBY&lt;/a&gt;</v>
      </c>
      <c r="AO74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4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4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45" t="str">
        <f>CONCATENATE("&lt;/li&gt;&lt;li&gt;&lt;a href=|http://",AR1191,"/isaiah/66.htm","| ","title=|",AR1190,"| target=|_top|&gt;",AR1192,"&lt;/a&gt;")</f>
        <v>&lt;/li&gt;&lt;li&gt;&lt;a href=|http://websterbible.com/isaiah/66.htm| title=|Webster's Bible Translation| target=|_top|&gt;WBS&lt;/a&gt;</v>
      </c>
      <c r="AS74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45" t="str">
        <f>CONCATENATE("&lt;/li&gt;&lt;li&gt;&lt;a href=|http://",AT1191,"/isaiah/66-1.htm","| ","title=|",AT1190,"| target=|_top|&gt;",AT1192,"&lt;/a&gt;")</f>
        <v>&lt;/li&gt;&lt;li&gt;&lt;a href=|http://biblebrowser.com/isaiah/66-1.htm| title=|Split View| target=|_top|&gt;Split&lt;/a&gt;</v>
      </c>
      <c r="AU745" s="2" t="s">
        <v>1276</v>
      </c>
      <c r="AV745" t="s">
        <v>64</v>
      </c>
    </row>
    <row r="746" spans="1:48">
      <c r="A746" t="s">
        <v>622</v>
      </c>
      <c r="B746" t="s">
        <v>1250</v>
      </c>
      <c r="C746" t="s">
        <v>624</v>
      </c>
      <c r="D746" t="s">
        <v>1268</v>
      </c>
      <c r="E746" t="s">
        <v>1277</v>
      </c>
      <c r="F746" t="s">
        <v>1304</v>
      </c>
      <c r="G746" t="s">
        <v>1266</v>
      </c>
      <c r="H746" t="s">
        <v>1305</v>
      </c>
      <c r="I746" t="s">
        <v>1303</v>
      </c>
      <c r="J746" t="s">
        <v>1267</v>
      </c>
      <c r="K746" t="s">
        <v>1275</v>
      </c>
      <c r="L746" s="2" t="s">
        <v>1274</v>
      </c>
      <c r="M746" t="str">
        <f t="shared" ref="M746:AB746" si="2980">CONCATENATE("&lt;/li&gt;&lt;li&gt;&lt;a href=|http://",M1191,"/jeremiah/1.htm","| ","title=|",M1190,"| target=|_top|&gt;",M1192,"&lt;/a&gt;")</f>
        <v>&lt;/li&gt;&lt;li&gt;&lt;a href=|http://niv.scripturetext.com/jeremiah/1.htm| title=|New International Version| target=|_top|&gt;NIV&lt;/a&gt;</v>
      </c>
      <c r="N746" t="str">
        <f t="shared" si="2980"/>
        <v>&lt;/li&gt;&lt;li&gt;&lt;a href=|http://nlt.scripturetext.com/jeremiah/1.htm| title=|New Living Translation| target=|_top|&gt;NLT&lt;/a&gt;</v>
      </c>
      <c r="O746" t="str">
        <f t="shared" si="2980"/>
        <v>&lt;/li&gt;&lt;li&gt;&lt;a href=|http://nasb.scripturetext.com/jeremiah/1.htm| title=|New American Standard Bible| target=|_top|&gt;NAS&lt;/a&gt;</v>
      </c>
      <c r="P746" t="str">
        <f t="shared" si="2980"/>
        <v>&lt;/li&gt;&lt;li&gt;&lt;a href=|http://gwt.scripturetext.com/jeremiah/1.htm| title=|God's Word Translation| target=|_top|&gt;GWT&lt;/a&gt;</v>
      </c>
      <c r="Q746" t="str">
        <f t="shared" si="2980"/>
        <v>&lt;/li&gt;&lt;li&gt;&lt;a href=|http://kingjbible.com/jeremiah/1.htm| title=|King James Bible| target=|_top|&gt;KJV&lt;/a&gt;</v>
      </c>
      <c r="R746" t="str">
        <f t="shared" si="2980"/>
        <v>&lt;/li&gt;&lt;li&gt;&lt;a href=|http://asvbible.com/jeremiah/1.htm| title=|American Standard Version| target=|_top|&gt;ASV&lt;/a&gt;</v>
      </c>
      <c r="S746" t="str">
        <f t="shared" si="2980"/>
        <v>&lt;/li&gt;&lt;li&gt;&lt;a href=|http://drb.scripturetext.com/jeremiah/1.htm| title=|Douay-Rheims Bible| target=|_top|&gt;DRB&lt;/a&gt;</v>
      </c>
      <c r="T746" t="str">
        <f t="shared" si="2980"/>
        <v>&lt;/li&gt;&lt;li&gt;&lt;a href=|http://erv.scripturetext.com/jeremiah/1.htm| title=|English Revised Version| target=|_top|&gt;ERV&lt;/a&gt;</v>
      </c>
      <c r="V746" t="str">
        <f>CONCATENATE("&lt;/li&gt;&lt;li&gt;&lt;a href=|http://",V1191,"/jeremiah/1.htm","| ","title=|",V1190,"| target=|_top|&gt;",V1192,"&lt;/a&gt;")</f>
        <v>&lt;/li&gt;&lt;li&gt;&lt;a href=|http://study.interlinearbible.org/jeremiah/1.htm| title=|Hebrew Study Bible| target=|_top|&gt;Heb Study&lt;/a&gt;</v>
      </c>
      <c r="W746" t="str">
        <f t="shared" si="2980"/>
        <v>&lt;/li&gt;&lt;li&gt;&lt;a href=|http://apostolic.interlinearbible.org/jeremiah/1.htm| title=|Apostolic Bible Polyglot Interlinear| target=|_top|&gt;Polyglot&lt;/a&gt;</v>
      </c>
      <c r="X746" t="str">
        <f t="shared" si="2980"/>
        <v>&lt;/li&gt;&lt;li&gt;&lt;a href=|http://interlinearbible.org/jeremiah/1.htm| title=|Interlinear Bible| target=|_top|&gt;Interlin&lt;/a&gt;</v>
      </c>
      <c r="Y746" t="str">
        <f t="shared" ref="Y746" si="2981">CONCATENATE("&lt;/li&gt;&lt;li&gt;&lt;a href=|http://",Y1191,"/jeremiah/1.htm","| ","title=|",Y1190,"| target=|_top|&gt;",Y1192,"&lt;/a&gt;")</f>
        <v>&lt;/li&gt;&lt;li&gt;&lt;a href=|http://bibleoutline.org/jeremiah/1.htm| title=|Outline with People and Places List| target=|_top|&gt;Outline&lt;/a&gt;</v>
      </c>
      <c r="Z746" t="str">
        <f t="shared" si="2980"/>
        <v>&lt;/li&gt;&lt;li&gt;&lt;a href=|http://kjvs.scripturetext.com/jeremiah/1.htm| title=|King James Bible with Strong's Numbers| target=|_top|&gt;Strong's&lt;/a&gt;</v>
      </c>
      <c r="AA746" t="str">
        <f t="shared" si="2980"/>
        <v>&lt;/li&gt;&lt;li&gt;&lt;a href=|http://childrensbibleonline.com/jeremiah/1.htm| title=|The Children's Bible| target=|_top|&gt;Children's&lt;/a&gt;</v>
      </c>
      <c r="AB746" s="2" t="str">
        <f t="shared" si="2980"/>
        <v>&lt;/li&gt;&lt;li&gt;&lt;a href=|http://tsk.scripturetext.com/jeremiah/1.htm| title=|Treasury of Scripture Knowledge| target=|_top|&gt;TSK&lt;/a&gt;</v>
      </c>
      <c r="AC746" t="str">
        <f>CONCATENATE("&lt;a href=|http://",AC1191,"/jeremiah/1.htm","| ","title=|",AC1190,"| target=|_top|&gt;",AC1192,"&lt;/a&gt;")</f>
        <v>&lt;a href=|http://parallelbible.com/jeremiah/1.htm| title=|Parallel Chapters| target=|_top|&gt;PAR&lt;/a&gt;</v>
      </c>
      <c r="AD746" s="2" t="str">
        <f t="shared" ref="AD746:AK746" si="2982">CONCATENATE("&lt;/li&gt;&lt;li&gt;&lt;a href=|http://",AD1191,"/jeremiah/1.htm","| ","title=|",AD1190,"| target=|_top|&gt;",AD1192,"&lt;/a&gt;")</f>
        <v>&lt;/li&gt;&lt;li&gt;&lt;a href=|http://gsb.biblecommenter.com/jeremiah/1.htm| title=|Geneva Study Bible| target=|_top|&gt;GSB&lt;/a&gt;</v>
      </c>
      <c r="AE746" s="2" t="str">
        <f t="shared" si="2982"/>
        <v>&lt;/li&gt;&lt;li&gt;&lt;a href=|http://jfb.biblecommenter.com/jeremiah/1.htm| title=|Jamieson-Fausset-Brown Bible Commentary| target=|_top|&gt;JFB&lt;/a&gt;</v>
      </c>
      <c r="AF746" s="2" t="str">
        <f t="shared" si="2982"/>
        <v>&lt;/li&gt;&lt;li&gt;&lt;a href=|http://kjt.biblecommenter.com/jeremiah/1.htm| title=|King James Translators' Notes| target=|_top|&gt;KJT&lt;/a&gt;</v>
      </c>
      <c r="AG746" s="2" t="str">
        <f t="shared" si="2982"/>
        <v>&lt;/li&gt;&lt;li&gt;&lt;a href=|http://mhc.biblecommenter.com/jeremiah/1.htm| title=|Matthew Henry's Concise Commentary| target=|_top|&gt;MHC&lt;/a&gt;</v>
      </c>
      <c r="AH746" s="2" t="str">
        <f t="shared" si="2982"/>
        <v>&lt;/li&gt;&lt;li&gt;&lt;a href=|http://sco.biblecommenter.com/jeremiah/1.htm| title=|Scofield Reference Notes| target=|_top|&gt;SCO&lt;/a&gt;</v>
      </c>
      <c r="AI746" s="2" t="str">
        <f t="shared" si="2982"/>
        <v>&lt;/li&gt;&lt;li&gt;&lt;a href=|http://wes.biblecommenter.com/jeremiah/1.htm| title=|Wesley's Notes on the Bible| target=|_top|&gt;WES&lt;/a&gt;</v>
      </c>
      <c r="AJ746" t="str">
        <f t="shared" si="2982"/>
        <v>&lt;/li&gt;&lt;li&gt;&lt;a href=|http://worldebible.com/jeremiah/1.htm| title=|World English Bible| target=|_top|&gt;WEB&lt;/a&gt;</v>
      </c>
      <c r="AK746" t="str">
        <f t="shared" si="2982"/>
        <v>&lt;/li&gt;&lt;li&gt;&lt;a href=|http://yltbible.com/jeremiah/1.htm| title=|Young's Literal Translation| target=|_top|&gt;YLT&lt;/a&gt;</v>
      </c>
      <c r="AL746" t="str">
        <f>CONCATENATE("&lt;a href=|http://",AL1191,"/jeremiah/1.htm","| ","title=|",AL1190,"| target=|_top|&gt;",AL1192,"&lt;/a&gt;")</f>
        <v>&lt;a href=|http://kjv.us/jeremiah/1.htm| title=|American King James Version| target=|_top|&gt;AKJ&lt;/a&gt;</v>
      </c>
      <c r="AM746" t="str">
        <f t="shared" ref="AM746:AN746" si="2983">CONCATENATE("&lt;/li&gt;&lt;li&gt;&lt;a href=|http://",AM1191,"/jeremiah/1.htm","| ","title=|",AM1190,"| target=|_top|&gt;",AM1192,"&lt;/a&gt;")</f>
        <v>&lt;/li&gt;&lt;li&gt;&lt;a href=|http://basicenglishbible.com/jeremiah/1.htm| title=|Bible in Basic English| target=|_top|&gt;BBE&lt;/a&gt;</v>
      </c>
      <c r="AN746" t="str">
        <f t="shared" si="2983"/>
        <v>&lt;/li&gt;&lt;li&gt;&lt;a href=|http://darbybible.com/jeremiah/1.htm| title=|Darby Bible Translation| target=|_top|&gt;DBY&lt;/a&gt;</v>
      </c>
      <c r="AO74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4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4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46" t="str">
        <f>CONCATENATE("&lt;/li&gt;&lt;li&gt;&lt;a href=|http://",AR1191,"/jeremiah/1.htm","| ","title=|",AR1190,"| target=|_top|&gt;",AR1192,"&lt;/a&gt;")</f>
        <v>&lt;/li&gt;&lt;li&gt;&lt;a href=|http://websterbible.com/jeremiah/1.htm| title=|Webster's Bible Translation| target=|_top|&gt;WBS&lt;/a&gt;</v>
      </c>
      <c r="AS74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46" t="str">
        <f>CONCATENATE("&lt;/li&gt;&lt;li&gt;&lt;a href=|http://",AT1191,"/jeremiah/1-1.htm","| ","title=|",AT1190,"| target=|_top|&gt;",AT1192,"&lt;/a&gt;")</f>
        <v>&lt;/li&gt;&lt;li&gt;&lt;a href=|http://biblebrowser.com/jeremiah/1-1.htm| title=|Split View| target=|_top|&gt;Split&lt;/a&gt;</v>
      </c>
      <c r="AU746" s="2" t="s">
        <v>1276</v>
      </c>
      <c r="AV746" t="s">
        <v>64</v>
      </c>
    </row>
    <row r="747" spans="1:48">
      <c r="A747" t="s">
        <v>622</v>
      </c>
      <c r="B747" t="s">
        <v>1251</v>
      </c>
      <c r="C747" t="s">
        <v>624</v>
      </c>
      <c r="D747" t="s">
        <v>1268</v>
      </c>
      <c r="E747" t="s">
        <v>1277</v>
      </c>
      <c r="F747" t="s">
        <v>1304</v>
      </c>
      <c r="G747" t="s">
        <v>1266</v>
      </c>
      <c r="H747" t="s">
        <v>1305</v>
      </c>
      <c r="I747" t="s">
        <v>1303</v>
      </c>
      <c r="J747" t="s">
        <v>1267</v>
      </c>
      <c r="K747" t="s">
        <v>1275</v>
      </c>
      <c r="L747" s="2" t="s">
        <v>1274</v>
      </c>
      <c r="M747" t="str">
        <f t="shared" ref="M747:AB747" si="2984">CONCATENATE("&lt;/li&gt;&lt;li&gt;&lt;a href=|http://",M1191,"/jeremiah/2.htm","| ","title=|",M1190,"| target=|_top|&gt;",M1192,"&lt;/a&gt;")</f>
        <v>&lt;/li&gt;&lt;li&gt;&lt;a href=|http://niv.scripturetext.com/jeremiah/2.htm| title=|New International Version| target=|_top|&gt;NIV&lt;/a&gt;</v>
      </c>
      <c r="N747" t="str">
        <f t="shared" si="2984"/>
        <v>&lt;/li&gt;&lt;li&gt;&lt;a href=|http://nlt.scripturetext.com/jeremiah/2.htm| title=|New Living Translation| target=|_top|&gt;NLT&lt;/a&gt;</v>
      </c>
      <c r="O747" t="str">
        <f t="shared" si="2984"/>
        <v>&lt;/li&gt;&lt;li&gt;&lt;a href=|http://nasb.scripturetext.com/jeremiah/2.htm| title=|New American Standard Bible| target=|_top|&gt;NAS&lt;/a&gt;</v>
      </c>
      <c r="P747" t="str">
        <f t="shared" si="2984"/>
        <v>&lt;/li&gt;&lt;li&gt;&lt;a href=|http://gwt.scripturetext.com/jeremiah/2.htm| title=|God's Word Translation| target=|_top|&gt;GWT&lt;/a&gt;</v>
      </c>
      <c r="Q747" t="str">
        <f t="shared" si="2984"/>
        <v>&lt;/li&gt;&lt;li&gt;&lt;a href=|http://kingjbible.com/jeremiah/2.htm| title=|King James Bible| target=|_top|&gt;KJV&lt;/a&gt;</v>
      </c>
      <c r="R747" t="str">
        <f t="shared" si="2984"/>
        <v>&lt;/li&gt;&lt;li&gt;&lt;a href=|http://asvbible.com/jeremiah/2.htm| title=|American Standard Version| target=|_top|&gt;ASV&lt;/a&gt;</v>
      </c>
      <c r="S747" t="str">
        <f t="shared" si="2984"/>
        <v>&lt;/li&gt;&lt;li&gt;&lt;a href=|http://drb.scripturetext.com/jeremiah/2.htm| title=|Douay-Rheims Bible| target=|_top|&gt;DRB&lt;/a&gt;</v>
      </c>
      <c r="T747" t="str">
        <f t="shared" si="2984"/>
        <v>&lt;/li&gt;&lt;li&gt;&lt;a href=|http://erv.scripturetext.com/jeremiah/2.htm| title=|English Revised Version| target=|_top|&gt;ERV&lt;/a&gt;</v>
      </c>
      <c r="V747" t="str">
        <f>CONCATENATE("&lt;/li&gt;&lt;li&gt;&lt;a href=|http://",V1191,"/jeremiah/2.htm","| ","title=|",V1190,"| target=|_top|&gt;",V1192,"&lt;/a&gt;")</f>
        <v>&lt;/li&gt;&lt;li&gt;&lt;a href=|http://study.interlinearbible.org/jeremiah/2.htm| title=|Hebrew Study Bible| target=|_top|&gt;Heb Study&lt;/a&gt;</v>
      </c>
      <c r="W747" t="str">
        <f t="shared" si="2984"/>
        <v>&lt;/li&gt;&lt;li&gt;&lt;a href=|http://apostolic.interlinearbible.org/jeremiah/2.htm| title=|Apostolic Bible Polyglot Interlinear| target=|_top|&gt;Polyglot&lt;/a&gt;</v>
      </c>
      <c r="X747" t="str">
        <f t="shared" si="2984"/>
        <v>&lt;/li&gt;&lt;li&gt;&lt;a href=|http://interlinearbible.org/jeremiah/2.htm| title=|Interlinear Bible| target=|_top|&gt;Interlin&lt;/a&gt;</v>
      </c>
      <c r="Y747" t="str">
        <f t="shared" ref="Y747" si="2985">CONCATENATE("&lt;/li&gt;&lt;li&gt;&lt;a href=|http://",Y1191,"/jeremiah/2.htm","| ","title=|",Y1190,"| target=|_top|&gt;",Y1192,"&lt;/a&gt;")</f>
        <v>&lt;/li&gt;&lt;li&gt;&lt;a href=|http://bibleoutline.org/jeremiah/2.htm| title=|Outline with People and Places List| target=|_top|&gt;Outline&lt;/a&gt;</v>
      </c>
      <c r="Z747" t="str">
        <f t="shared" si="2984"/>
        <v>&lt;/li&gt;&lt;li&gt;&lt;a href=|http://kjvs.scripturetext.com/jeremiah/2.htm| title=|King James Bible with Strong's Numbers| target=|_top|&gt;Strong's&lt;/a&gt;</v>
      </c>
      <c r="AA747" t="str">
        <f t="shared" si="2984"/>
        <v>&lt;/li&gt;&lt;li&gt;&lt;a href=|http://childrensbibleonline.com/jeremiah/2.htm| title=|The Children's Bible| target=|_top|&gt;Children's&lt;/a&gt;</v>
      </c>
      <c r="AB747" s="2" t="str">
        <f t="shared" si="2984"/>
        <v>&lt;/li&gt;&lt;li&gt;&lt;a href=|http://tsk.scripturetext.com/jeremiah/2.htm| title=|Treasury of Scripture Knowledge| target=|_top|&gt;TSK&lt;/a&gt;</v>
      </c>
      <c r="AC747" t="str">
        <f>CONCATENATE("&lt;a href=|http://",AC1191,"/jeremiah/2.htm","| ","title=|",AC1190,"| target=|_top|&gt;",AC1192,"&lt;/a&gt;")</f>
        <v>&lt;a href=|http://parallelbible.com/jeremiah/2.htm| title=|Parallel Chapters| target=|_top|&gt;PAR&lt;/a&gt;</v>
      </c>
      <c r="AD747" s="2" t="str">
        <f t="shared" ref="AD747:AK747" si="2986">CONCATENATE("&lt;/li&gt;&lt;li&gt;&lt;a href=|http://",AD1191,"/jeremiah/2.htm","| ","title=|",AD1190,"| target=|_top|&gt;",AD1192,"&lt;/a&gt;")</f>
        <v>&lt;/li&gt;&lt;li&gt;&lt;a href=|http://gsb.biblecommenter.com/jeremiah/2.htm| title=|Geneva Study Bible| target=|_top|&gt;GSB&lt;/a&gt;</v>
      </c>
      <c r="AE747" s="2" t="str">
        <f t="shared" si="2986"/>
        <v>&lt;/li&gt;&lt;li&gt;&lt;a href=|http://jfb.biblecommenter.com/jeremiah/2.htm| title=|Jamieson-Fausset-Brown Bible Commentary| target=|_top|&gt;JFB&lt;/a&gt;</v>
      </c>
      <c r="AF747" s="2" t="str">
        <f t="shared" si="2986"/>
        <v>&lt;/li&gt;&lt;li&gt;&lt;a href=|http://kjt.biblecommenter.com/jeremiah/2.htm| title=|King James Translators' Notes| target=|_top|&gt;KJT&lt;/a&gt;</v>
      </c>
      <c r="AG747" s="2" t="str">
        <f t="shared" si="2986"/>
        <v>&lt;/li&gt;&lt;li&gt;&lt;a href=|http://mhc.biblecommenter.com/jeremiah/2.htm| title=|Matthew Henry's Concise Commentary| target=|_top|&gt;MHC&lt;/a&gt;</v>
      </c>
      <c r="AH747" s="2" t="str">
        <f t="shared" si="2986"/>
        <v>&lt;/li&gt;&lt;li&gt;&lt;a href=|http://sco.biblecommenter.com/jeremiah/2.htm| title=|Scofield Reference Notes| target=|_top|&gt;SCO&lt;/a&gt;</v>
      </c>
      <c r="AI747" s="2" t="str">
        <f t="shared" si="2986"/>
        <v>&lt;/li&gt;&lt;li&gt;&lt;a href=|http://wes.biblecommenter.com/jeremiah/2.htm| title=|Wesley's Notes on the Bible| target=|_top|&gt;WES&lt;/a&gt;</v>
      </c>
      <c r="AJ747" t="str">
        <f t="shared" si="2986"/>
        <v>&lt;/li&gt;&lt;li&gt;&lt;a href=|http://worldebible.com/jeremiah/2.htm| title=|World English Bible| target=|_top|&gt;WEB&lt;/a&gt;</v>
      </c>
      <c r="AK747" t="str">
        <f t="shared" si="2986"/>
        <v>&lt;/li&gt;&lt;li&gt;&lt;a href=|http://yltbible.com/jeremiah/2.htm| title=|Young's Literal Translation| target=|_top|&gt;YLT&lt;/a&gt;</v>
      </c>
      <c r="AL747" t="str">
        <f>CONCATENATE("&lt;a href=|http://",AL1191,"/jeremiah/2.htm","| ","title=|",AL1190,"| target=|_top|&gt;",AL1192,"&lt;/a&gt;")</f>
        <v>&lt;a href=|http://kjv.us/jeremiah/2.htm| title=|American King James Version| target=|_top|&gt;AKJ&lt;/a&gt;</v>
      </c>
      <c r="AM747" t="str">
        <f t="shared" ref="AM747:AN747" si="2987">CONCATENATE("&lt;/li&gt;&lt;li&gt;&lt;a href=|http://",AM1191,"/jeremiah/2.htm","| ","title=|",AM1190,"| target=|_top|&gt;",AM1192,"&lt;/a&gt;")</f>
        <v>&lt;/li&gt;&lt;li&gt;&lt;a href=|http://basicenglishbible.com/jeremiah/2.htm| title=|Bible in Basic English| target=|_top|&gt;BBE&lt;/a&gt;</v>
      </c>
      <c r="AN747" t="str">
        <f t="shared" si="2987"/>
        <v>&lt;/li&gt;&lt;li&gt;&lt;a href=|http://darbybible.com/jeremiah/2.htm| title=|Darby Bible Translation| target=|_top|&gt;DBY&lt;/a&gt;</v>
      </c>
      <c r="AO74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4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4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47" t="str">
        <f>CONCATENATE("&lt;/li&gt;&lt;li&gt;&lt;a href=|http://",AR1191,"/jeremiah/2.htm","| ","title=|",AR1190,"| target=|_top|&gt;",AR1192,"&lt;/a&gt;")</f>
        <v>&lt;/li&gt;&lt;li&gt;&lt;a href=|http://websterbible.com/jeremiah/2.htm| title=|Webster's Bible Translation| target=|_top|&gt;WBS&lt;/a&gt;</v>
      </c>
      <c r="AS74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47" t="str">
        <f>CONCATENATE("&lt;/li&gt;&lt;li&gt;&lt;a href=|http://",AT1191,"/jeremiah/2-1.htm","| ","title=|",AT1190,"| target=|_top|&gt;",AT1192,"&lt;/a&gt;")</f>
        <v>&lt;/li&gt;&lt;li&gt;&lt;a href=|http://biblebrowser.com/jeremiah/2-1.htm| title=|Split View| target=|_top|&gt;Split&lt;/a&gt;</v>
      </c>
      <c r="AU747" s="2" t="s">
        <v>1276</v>
      </c>
      <c r="AV747" t="s">
        <v>64</v>
      </c>
    </row>
    <row r="748" spans="1:48">
      <c r="A748" t="s">
        <v>622</v>
      </c>
      <c r="B748" t="s">
        <v>1252</v>
      </c>
      <c r="C748" t="s">
        <v>624</v>
      </c>
      <c r="D748" t="s">
        <v>1268</v>
      </c>
      <c r="E748" t="s">
        <v>1277</v>
      </c>
      <c r="F748" t="s">
        <v>1304</v>
      </c>
      <c r="G748" t="s">
        <v>1266</v>
      </c>
      <c r="H748" t="s">
        <v>1305</v>
      </c>
      <c r="I748" t="s">
        <v>1303</v>
      </c>
      <c r="J748" t="s">
        <v>1267</v>
      </c>
      <c r="K748" t="s">
        <v>1275</v>
      </c>
      <c r="L748" s="2" t="s">
        <v>1274</v>
      </c>
      <c r="M748" t="str">
        <f t="shared" ref="M748:AB748" si="2988">CONCATENATE("&lt;/li&gt;&lt;li&gt;&lt;a href=|http://",M1191,"/jeremiah/3.htm","| ","title=|",M1190,"| target=|_top|&gt;",M1192,"&lt;/a&gt;")</f>
        <v>&lt;/li&gt;&lt;li&gt;&lt;a href=|http://niv.scripturetext.com/jeremiah/3.htm| title=|New International Version| target=|_top|&gt;NIV&lt;/a&gt;</v>
      </c>
      <c r="N748" t="str">
        <f t="shared" si="2988"/>
        <v>&lt;/li&gt;&lt;li&gt;&lt;a href=|http://nlt.scripturetext.com/jeremiah/3.htm| title=|New Living Translation| target=|_top|&gt;NLT&lt;/a&gt;</v>
      </c>
      <c r="O748" t="str">
        <f t="shared" si="2988"/>
        <v>&lt;/li&gt;&lt;li&gt;&lt;a href=|http://nasb.scripturetext.com/jeremiah/3.htm| title=|New American Standard Bible| target=|_top|&gt;NAS&lt;/a&gt;</v>
      </c>
      <c r="P748" t="str">
        <f t="shared" si="2988"/>
        <v>&lt;/li&gt;&lt;li&gt;&lt;a href=|http://gwt.scripturetext.com/jeremiah/3.htm| title=|God's Word Translation| target=|_top|&gt;GWT&lt;/a&gt;</v>
      </c>
      <c r="Q748" t="str">
        <f t="shared" si="2988"/>
        <v>&lt;/li&gt;&lt;li&gt;&lt;a href=|http://kingjbible.com/jeremiah/3.htm| title=|King James Bible| target=|_top|&gt;KJV&lt;/a&gt;</v>
      </c>
      <c r="R748" t="str">
        <f t="shared" si="2988"/>
        <v>&lt;/li&gt;&lt;li&gt;&lt;a href=|http://asvbible.com/jeremiah/3.htm| title=|American Standard Version| target=|_top|&gt;ASV&lt;/a&gt;</v>
      </c>
      <c r="S748" t="str">
        <f t="shared" si="2988"/>
        <v>&lt;/li&gt;&lt;li&gt;&lt;a href=|http://drb.scripturetext.com/jeremiah/3.htm| title=|Douay-Rheims Bible| target=|_top|&gt;DRB&lt;/a&gt;</v>
      </c>
      <c r="T748" t="str">
        <f t="shared" si="2988"/>
        <v>&lt;/li&gt;&lt;li&gt;&lt;a href=|http://erv.scripturetext.com/jeremiah/3.htm| title=|English Revised Version| target=|_top|&gt;ERV&lt;/a&gt;</v>
      </c>
      <c r="V748" t="str">
        <f>CONCATENATE("&lt;/li&gt;&lt;li&gt;&lt;a href=|http://",V1191,"/jeremiah/3.htm","| ","title=|",V1190,"| target=|_top|&gt;",V1192,"&lt;/a&gt;")</f>
        <v>&lt;/li&gt;&lt;li&gt;&lt;a href=|http://study.interlinearbible.org/jeremiah/3.htm| title=|Hebrew Study Bible| target=|_top|&gt;Heb Study&lt;/a&gt;</v>
      </c>
      <c r="W748" t="str">
        <f t="shared" si="2988"/>
        <v>&lt;/li&gt;&lt;li&gt;&lt;a href=|http://apostolic.interlinearbible.org/jeremiah/3.htm| title=|Apostolic Bible Polyglot Interlinear| target=|_top|&gt;Polyglot&lt;/a&gt;</v>
      </c>
      <c r="X748" t="str">
        <f t="shared" si="2988"/>
        <v>&lt;/li&gt;&lt;li&gt;&lt;a href=|http://interlinearbible.org/jeremiah/3.htm| title=|Interlinear Bible| target=|_top|&gt;Interlin&lt;/a&gt;</v>
      </c>
      <c r="Y748" t="str">
        <f t="shared" ref="Y748" si="2989">CONCATENATE("&lt;/li&gt;&lt;li&gt;&lt;a href=|http://",Y1191,"/jeremiah/3.htm","| ","title=|",Y1190,"| target=|_top|&gt;",Y1192,"&lt;/a&gt;")</f>
        <v>&lt;/li&gt;&lt;li&gt;&lt;a href=|http://bibleoutline.org/jeremiah/3.htm| title=|Outline with People and Places List| target=|_top|&gt;Outline&lt;/a&gt;</v>
      </c>
      <c r="Z748" t="str">
        <f t="shared" si="2988"/>
        <v>&lt;/li&gt;&lt;li&gt;&lt;a href=|http://kjvs.scripturetext.com/jeremiah/3.htm| title=|King James Bible with Strong's Numbers| target=|_top|&gt;Strong's&lt;/a&gt;</v>
      </c>
      <c r="AA748" t="str">
        <f t="shared" si="2988"/>
        <v>&lt;/li&gt;&lt;li&gt;&lt;a href=|http://childrensbibleonline.com/jeremiah/3.htm| title=|The Children's Bible| target=|_top|&gt;Children's&lt;/a&gt;</v>
      </c>
      <c r="AB748" s="2" t="str">
        <f t="shared" si="2988"/>
        <v>&lt;/li&gt;&lt;li&gt;&lt;a href=|http://tsk.scripturetext.com/jeremiah/3.htm| title=|Treasury of Scripture Knowledge| target=|_top|&gt;TSK&lt;/a&gt;</v>
      </c>
      <c r="AC748" t="str">
        <f>CONCATENATE("&lt;a href=|http://",AC1191,"/jeremiah/3.htm","| ","title=|",AC1190,"| target=|_top|&gt;",AC1192,"&lt;/a&gt;")</f>
        <v>&lt;a href=|http://parallelbible.com/jeremiah/3.htm| title=|Parallel Chapters| target=|_top|&gt;PAR&lt;/a&gt;</v>
      </c>
      <c r="AD748" s="2" t="str">
        <f t="shared" ref="AD748:AK748" si="2990">CONCATENATE("&lt;/li&gt;&lt;li&gt;&lt;a href=|http://",AD1191,"/jeremiah/3.htm","| ","title=|",AD1190,"| target=|_top|&gt;",AD1192,"&lt;/a&gt;")</f>
        <v>&lt;/li&gt;&lt;li&gt;&lt;a href=|http://gsb.biblecommenter.com/jeremiah/3.htm| title=|Geneva Study Bible| target=|_top|&gt;GSB&lt;/a&gt;</v>
      </c>
      <c r="AE748" s="2" t="str">
        <f t="shared" si="2990"/>
        <v>&lt;/li&gt;&lt;li&gt;&lt;a href=|http://jfb.biblecommenter.com/jeremiah/3.htm| title=|Jamieson-Fausset-Brown Bible Commentary| target=|_top|&gt;JFB&lt;/a&gt;</v>
      </c>
      <c r="AF748" s="2" t="str">
        <f t="shared" si="2990"/>
        <v>&lt;/li&gt;&lt;li&gt;&lt;a href=|http://kjt.biblecommenter.com/jeremiah/3.htm| title=|King James Translators' Notes| target=|_top|&gt;KJT&lt;/a&gt;</v>
      </c>
      <c r="AG748" s="2" t="str">
        <f t="shared" si="2990"/>
        <v>&lt;/li&gt;&lt;li&gt;&lt;a href=|http://mhc.biblecommenter.com/jeremiah/3.htm| title=|Matthew Henry's Concise Commentary| target=|_top|&gt;MHC&lt;/a&gt;</v>
      </c>
      <c r="AH748" s="2" t="str">
        <f t="shared" si="2990"/>
        <v>&lt;/li&gt;&lt;li&gt;&lt;a href=|http://sco.biblecommenter.com/jeremiah/3.htm| title=|Scofield Reference Notes| target=|_top|&gt;SCO&lt;/a&gt;</v>
      </c>
      <c r="AI748" s="2" t="str">
        <f t="shared" si="2990"/>
        <v>&lt;/li&gt;&lt;li&gt;&lt;a href=|http://wes.biblecommenter.com/jeremiah/3.htm| title=|Wesley's Notes on the Bible| target=|_top|&gt;WES&lt;/a&gt;</v>
      </c>
      <c r="AJ748" t="str">
        <f t="shared" si="2990"/>
        <v>&lt;/li&gt;&lt;li&gt;&lt;a href=|http://worldebible.com/jeremiah/3.htm| title=|World English Bible| target=|_top|&gt;WEB&lt;/a&gt;</v>
      </c>
      <c r="AK748" t="str">
        <f t="shared" si="2990"/>
        <v>&lt;/li&gt;&lt;li&gt;&lt;a href=|http://yltbible.com/jeremiah/3.htm| title=|Young's Literal Translation| target=|_top|&gt;YLT&lt;/a&gt;</v>
      </c>
      <c r="AL748" t="str">
        <f>CONCATENATE("&lt;a href=|http://",AL1191,"/jeremiah/3.htm","| ","title=|",AL1190,"| target=|_top|&gt;",AL1192,"&lt;/a&gt;")</f>
        <v>&lt;a href=|http://kjv.us/jeremiah/3.htm| title=|American King James Version| target=|_top|&gt;AKJ&lt;/a&gt;</v>
      </c>
      <c r="AM748" t="str">
        <f t="shared" ref="AM748:AN748" si="2991">CONCATENATE("&lt;/li&gt;&lt;li&gt;&lt;a href=|http://",AM1191,"/jeremiah/3.htm","| ","title=|",AM1190,"| target=|_top|&gt;",AM1192,"&lt;/a&gt;")</f>
        <v>&lt;/li&gt;&lt;li&gt;&lt;a href=|http://basicenglishbible.com/jeremiah/3.htm| title=|Bible in Basic English| target=|_top|&gt;BBE&lt;/a&gt;</v>
      </c>
      <c r="AN748" t="str">
        <f t="shared" si="2991"/>
        <v>&lt;/li&gt;&lt;li&gt;&lt;a href=|http://darbybible.com/jeremiah/3.htm| title=|Darby Bible Translation| target=|_top|&gt;DBY&lt;/a&gt;</v>
      </c>
      <c r="AO74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4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4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48" t="str">
        <f>CONCATENATE("&lt;/li&gt;&lt;li&gt;&lt;a href=|http://",AR1191,"/jeremiah/3.htm","| ","title=|",AR1190,"| target=|_top|&gt;",AR1192,"&lt;/a&gt;")</f>
        <v>&lt;/li&gt;&lt;li&gt;&lt;a href=|http://websterbible.com/jeremiah/3.htm| title=|Webster's Bible Translation| target=|_top|&gt;WBS&lt;/a&gt;</v>
      </c>
      <c r="AS74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48" t="str">
        <f>CONCATENATE("&lt;/li&gt;&lt;li&gt;&lt;a href=|http://",AT1191,"/jeremiah/3-1.htm","| ","title=|",AT1190,"| target=|_top|&gt;",AT1192,"&lt;/a&gt;")</f>
        <v>&lt;/li&gt;&lt;li&gt;&lt;a href=|http://biblebrowser.com/jeremiah/3-1.htm| title=|Split View| target=|_top|&gt;Split&lt;/a&gt;</v>
      </c>
      <c r="AU748" s="2" t="s">
        <v>1276</v>
      </c>
      <c r="AV748" t="s">
        <v>64</v>
      </c>
    </row>
    <row r="749" spans="1:48">
      <c r="A749" t="s">
        <v>622</v>
      </c>
      <c r="B749" t="s">
        <v>1253</v>
      </c>
      <c r="C749" t="s">
        <v>624</v>
      </c>
      <c r="D749" t="s">
        <v>1268</v>
      </c>
      <c r="E749" t="s">
        <v>1277</v>
      </c>
      <c r="F749" t="s">
        <v>1304</v>
      </c>
      <c r="G749" t="s">
        <v>1266</v>
      </c>
      <c r="H749" t="s">
        <v>1305</v>
      </c>
      <c r="I749" t="s">
        <v>1303</v>
      </c>
      <c r="J749" t="s">
        <v>1267</v>
      </c>
      <c r="K749" t="s">
        <v>1275</v>
      </c>
      <c r="L749" s="2" t="s">
        <v>1274</v>
      </c>
      <c r="M749" t="str">
        <f t="shared" ref="M749:AB749" si="2992">CONCATENATE("&lt;/li&gt;&lt;li&gt;&lt;a href=|http://",M1191,"/jeremiah/4.htm","| ","title=|",M1190,"| target=|_top|&gt;",M1192,"&lt;/a&gt;")</f>
        <v>&lt;/li&gt;&lt;li&gt;&lt;a href=|http://niv.scripturetext.com/jeremiah/4.htm| title=|New International Version| target=|_top|&gt;NIV&lt;/a&gt;</v>
      </c>
      <c r="N749" t="str">
        <f t="shared" si="2992"/>
        <v>&lt;/li&gt;&lt;li&gt;&lt;a href=|http://nlt.scripturetext.com/jeremiah/4.htm| title=|New Living Translation| target=|_top|&gt;NLT&lt;/a&gt;</v>
      </c>
      <c r="O749" t="str">
        <f t="shared" si="2992"/>
        <v>&lt;/li&gt;&lt;li&gt;&lt;a href=|http://nasb.scripturetext.com/jeremiah/4.htm| title=|New American Standard Bible| target=|_top|&gt;NAS&lt;/a&gt;</v>
      </c>
      <c r="P749" t="str">
        <f t="shared" si="2992"/>
        <v>&lt;/li&gt;&lt;li&gt;&lt;a href=|http://gwt.scripturetext.com/jeremiah/4.htm| title=|God's Word Translation| target=|_top|&gt;GWT&lt;/a&gt;</v>
      </c>
      <c r="Q749" t="str">
        <f t="shared" si="2992"/>
        <v>&lt;/li&gt;&lt;li&gt;&lt;a href=|http://kingjbible.com/jeremiah/4.htm| title=|King James Bible| target=|_top|&gt;KJV&lt;/a&gt;</v>
      </c>
      <c r="R749" t="str">
        <f t="shared" si="2992"/>
        <v>&lt;/li&gt;&lt;li&gt;&lt;a href=|http://asvbible.com/jeremiah/4.htm| title=|American Standard Version| target=|_top|&gt;ASV&lt;/a&gt;</v>
      </c>
      <c r="S749" t="str">
        <f t="shared" si="2992"/>
        <v>&lt;/li&gt;&lt;li&gt;&lt;a href=|http://drb.scripturetext.com/jeremiah/4.htm| title=|Douay-Rheims Bible| target=|_top|&gt;DRB&lt;/a&gt;</v>
      </c>
      <c r="T749" t="str">
        <f t="shared" si="2992"/>
        <v>&lt;/li&gt;&lt;li&gt;&lt;a href=|http://erv.scripturetext.com/jeremiah/4.htm| title=|English Revised Version| target=|_top|&gt;ERV&lt;/a&gt;</v>
      </c>
      <c r="V749" t="str">
        <f>CONCATENATE("&lt;/li&gt;&lt;li&gt;&lt;a href=|http://",V1191,"/jeremiah/4.htm","| ","title=|",V1190,"| target=|_top|&gt;",V1192,"&lt;/a&gt;")</f>
        <v>&lt;/li&gt;&lt;li&gt;&lt;a href=|http://study.interlinearbible.org/jeremiah/4.htm| title=|Hebrew Study Bible| target=|_top|&gt;Heb Study&lt;/a&gt;</v>
      </c>
      <c r="W749" t="str">
        <f t="shared" si="2992"/>
        <v>&lt;/li&gt;&lt;li&gt;&lt;a href=|http://apostolic.interlinearbible.org/jeremiah/4.htm| title=|Apostolic Bible Polyglot Interlinear| target=|_top|&gt;Polyglot&lt;/a&gt;</v>
      </c>
      <c r="X749" t="str">
        <f t="shared" si="2992"/>
        <v>&lt;/li&gt;&lt;li&gt;&lt;a href=|http://interlinearbible.org/jeremiah/4.htm| title=|Interlinear Bible| target=|_top|&gt;Interlin&lt;/a&gt;</v>
      </c>
      <c r="Y749" t="str">
        <f t="shared" ref="Y749" si="2993">CONCATENATE("&lt;/li&gt;&lt;li&gt;&lt;a href=|http://",Y1191,"/jeremiah/4.htm","| ","title=|",Y1190,"| target=|_top|&gt;",Y1192,"&lt;/a&gt;")</f>
        <v>&lt;/li&gt;&lt;li&gt;&lt;a href=|http://bibleoutline.org/jeremiah/4.htm| title=|Outline with People and Places List| target=|_top|&gt;Outline&lt;/a&gt;</v>
      </c>
      <c r="Z749" t="str">
        <f t="shared" si="2992"/>
        <v>&lt;/li&gt;&lt;li&gt;&lt;a href=|http://kjvs.scripturetext.com/jeremiah/4.htm| title=|King James Bible with Strong's Numbers| target=|_top|&gt;Strong's&lt;/a&gt;</v>
      </c>
      <c r="AA749" t="str">
        <f t="shared" si="2992"/>
        <v>&lt;/li&gt;&lt;li&gt;&lt;a href=|http://childrensbibleonline.com/jeremiah/4.htm| title=|The Children's Bible| target=|_top|&gt;Children's&lt;/a&gt;</v>
      </c>
      <c r="AB749" s="2" t="str">
        <f t="shared" si="2992"/>
        <v>&lt;/li&gt;&lt;li&gt;&lt;a href=|http://tsk.scripturetext.com/jeremiah/4.htm| title=|Treasury of Scripture Knowledge| target=|_top|&gt;TSK&lt;/a&gt;</v>
      </c>
      <c r="AC749" t="str">
        <f>CONCATENATE("&lt;a href=|http://",AC1191,"/jeremiah/4.htm","| ","title=|",AC1190,"| target=|_top|&gt;",AC1192,"&lt;/a&gt;")</f>
        <v>&lt;a href=|http://parallelbible.com/jeremiah/4.htm| title=|Parallel Chapters| target=|_top|&gt;PAR&lt;/a&gt;</v>
      </c>
      <c r="AD749" s="2" t="str">
        <f t="shared" ref="AD749:AK749" si="2994">CONCATENATE("&lt;/li&gt;&lt;li&gt;&lt;a href=|http://",AD1191,"/jeremiah/4.htm","| ","title=|",AD1190,"| target=|_top|&gt;",AD1192,"&lt;/a&gt;")</f>
        <v>&lt;/li&gt;&lt;li&gt;&lt;a href=|http://gsb.biblecommenter.com/jeremiah/4.htm| title=|Geneva Study Bible| target=|_top|&gt;GSB&lt;/a&gt;</v>
      </c>
      <c r="AE749" s="2" t="str">
        <f t="shared" si="2994"/>
        <v>&lt;/li&gt;&lt;li&gt;&lt;a href=|http://jfb.biblecommenter.com/jeremiah/4.htm| title=|Jamieson-Fausset-Brown Bible Commentary| target=|_top|&gt;JFB&lt;/a&gt;</v>
      </c>
      <c r="AF749" s="2" t="str">
        <f t="shared" si="2994"/>
        <v>&lt;/li&gt;&lt;li&gt;&lt;a href=|http://kjt.biblecommenter.com/jeremiah/4.htm| title=|King James Translators' Notes| target=|_top|&gt;KJT&lt;/a&gt;</v>
      </c>
      <c r="AG749" s="2" t="str">
        <f t="shared" si="2994"/>
        <v>&lt;/li&gt;&lt;li&gt;&lt;a href=|http://mhc.biblecommenter.com/jeremiah/4.htm| title=|Matthew Henry's Concise Commentary| target=|_top|&gt;MHC&lt;/a&gt;</v>
      </c>
      <c r="AH749" s="2" t="str">
        <f t="shared" si="2994"/>
        <v>&lt;/li&gt;&lt;li&gt;&lt;a href=|http://sco.biblecommenter.com/jeremiah/4.htm| title=|Scofield Reference Notes| target=|_top|&gt;SCO&lt;/a&gt;</v>
      </c>
      <c r="AI749" s="2" t="str">
        <f t="shared" si="2994"/>
        <v>&lt;/li&gt;&lt;li&gt;&lt;a href=|http://wes.biblecommenter.com/jeremiah/4.htm| title=|Wesley's Notes on the Bible| target=|_top|&gt;WES&lt;/a&gt;</v>
      </c>
      <c r="AJ749" t="str">
        <f t="shared" si="2994"/>
        <v>&lt;/li&gt;&lt;li&gt;&lt;a href=|http://worldebible.com/jeremiah/4.htm| title=|World English Bible| target=|_top|&gt;WEB&lt;/a&gt;</v>
      </c>
      <c r="AK749" t="str">
        <f t="shared" si="2994"/>
        <v>&lt;/li&gt;&lt;li&gt;&lt;a href=|http://yltbible.com/jeremiah/4.htm| title=|Young's Literal Translation| target=|_top|&gt;YLT&lt;/a&gt;</v>
      </c>
      <c r="AL749" t="str">
        <f>CONCATENATE("&lt;a href=|http://",AL1191,"/jeremiah/4.htm","| ","title=|",AL1190,"| target=|_top|&gt;",AL1192,"&lt;/a&gt;")</f>
        <v>&lt;a href=|http://kjv.us/jeremiah/4.htm| title=|American King James Version| target=|_top|&gt;AKJ&lt;/a&gt;</v>
      </c>
      <c r="AM749" t="str">
        <f t="shared" ref="AM749:AN749" si="2995">CONCATENATE("&lt;/li&gt;&lt;li&gt;&lt;a href=|http://",AM1191,"/jeremiah/4.htm","| ","title=|",AM1190,"| target=|_top|&gt;",AM1192,"&lt;/a&gt;")</f>
        <v>&lt;/li&gt;&lt;li&gt;&lt;a href=|http://basicenglishbible.com/jeremiah/4.htm| title=|Bible in Basic English| target=|_top|&gt;BBE&lt;/a&gt;</v>
      </c>
      <c r="AN749" t="str">
        <f t="shared" si="2995"/>
        <v>&lt;/li&gt;&lt;li&gt;&lt;a href=|http://darbybible.com/jeremiah/4.htm| title=|Darby Bible Translation| target=|_top|&gt;DBY&lt;/a&gt;</v>
      </c>
      <c r="AO74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4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4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49" t="str">
        <f>CONCATENATE("&lt;/li&gt;&lt;li&gt;&lt;a href=|http://",AR1191,"/jeremiah/4.htm","| ","title=|",AR1190,"| target=|_top|&gt;",AR1192,"&lt;/a&gt;")</f>
        <v>&lt;/li&gt;&lt;li&gt;&lt;a href=|http://websterbible.com/jeremiah/4.htm| title=|Webster's Bible Translation| target=|_top|&gt;WBS&lt;/a&gt;</v>
      </c>
      <c r="AS74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49" t="str">
        <f>CONCATENATE("&lt;/li&gt;&lt;li&gt;&lt;a href=|http://",AT1191,"/jeremiah/4-1.htm","| ","title=|",AT1190,"| target=|_top|&gt;",AT1192,"&lt;/a&gt;")</f>
        <v>&lt;/li&gt;&lt;li&gt;&lt;a href=|http://biblebrowser.com/jeremiah/4-1.htm| title=|Split View| target=|_top|&gt;Split&lt;/a&gt;</v>
      </c>
      <c r="AU749" s="2" t="s">
        <v>1276</v>
      </c>
      <c r="AV749" t="s">
        <v>64</v>
      </c>
    </row>
    <row r="750" spans="1:48">
      <c r="A750" t="s">
        <v>622</v>
      </c>
      <c r="B750" t="s">
        <v>1254</v>
      </c>
      <c r="C750" t="s">
        <v>624</v>
      </c>
      <c r="D750" t="s">
        <v>1268</v>
      </c>
      <c r="E750" t="s">
        <v>1277</v>
      </c>
      <c r="F750" t="s">
        <v>1304</v>
      </c>
      <c r="G750" t="s">
        <v>1266</v>
      </c>
      <c r="H750" t="s">
        <v>1305</v>
      </c>
      <c r="I750" t="s">
        <v>1303</v>
      </c>
      <c r="J750" t="s">
        <v>1267</v>
      </c>
      <c r="K750" t="s">
        <v>1275</v>
      </c>
      <c r="L750" s="2" t="s">
        <v>1274</v>
      </c>
      <c r="M750" t="str">
        <f t="shared" ref="M750:AB750" si="2996">CONCATENATE("&lt;/li&gt;&lt;li&gt;&lt;a href=|http://",M1191,"/jeremiah/5.htm","| ","title=|",M1190,"| target=|_top|&gt;",M1192,"&lt;/a&gt;")</f>
        <v>&lt;/li&gt;&lt;li&gt;&lt;a href=|http://niv.scripturetext.com/jeremiah/5.htm| title=|New International Version| target=|_top|&gt;NIV&lt;/a&gt;</v>
      </c>
      <c r="N750" t="str">
        <f t="shared" si="2996"/>
        <v>&lt;/li&gt;&lt;li&gt;&lt;a href=|http://nlt.scripturetext.com/jeremiah/5.htm| title=|New Living Translation| target=|_top|&gt;NLT&lt;/a&gt;</v>
      </c>
      <c r="O750" t="str">
        <f t="shared" si="2996"/>
        <v>&lt;/li&gt;&lt;li&gt;&lt;a href=|http://nasb.scripturetext.com/jeremiah/5.htm| title=|New American Standard Bible| target=|_top|&gt;NAS&lt;/a&gt;</v>
      </c>
      <c r="P750" t="str">
        <f t="shared" si="2996"/>
        <v>&lt;/li&gt;&lt;li&gt;&lt;a href=|http://gwt.scripturetext.com/jeremiah/5.htm| title=|God's Word Translation| target=|_top|&gt;GWT&lt;/a&gt;</v>
      </c>
      <c r="Q750" t="str">
        <f t="shared" si="2996"/>
        <v>&lt;/li&gt;&lt;li&gt;&lt;a href=|http://kingjbible.com/jeremiah/5.htm| title=|King James Bible| target=|_top|&gt;KJV&lt;/a&gt;</v>
      </c>
      <c r="R750" t="str">
        <f t="shared" si="2996"/>
        <v>&lt;/li&gt;&lt;li&gt;&lt;a href=|http://asvbible.com/jeremiah/5.htm| title=|American Standard Version| target=|_top|&gt;ASV&lt;/a&gt;</v>
      </c>
      <c r="S750" t="str">
        <f t="shared" si="2996"/>
        <v>&lt;/li&gt;&lt;li&gt;&lt;a href=|http://drb.scripturetext.com/jeremiah/5.htm| title=|Douay-Rheims Bible| target=|_top|&gt;DRB&lt;/a&gt;</v>
      </c>
      <c r="T750" t="str">
        <f t="shared" si="2996"/>
        <v>&lt;/li&gt;&lt;li&gt;&lt;a href=|http://erv.scripturetext.com/jeremiah/5.htm| title=|English Revised Version| target=|_top|&gt;ERV&lt;/a&gt;</v>
      </c>
      <c r="V750" t="str">
        <f>CONCATENATE("&lt;/li&gt;&lt;li&gt;&lt;a href=|http://",V1191,"/jeremiah/5.htm","| ","title=|",V1190,"| target=|_top|&gt;",V1192,"&lt;/a&gt;")</f>
        <v>&lt;/li&gt;&lt;li&gt;&lt;a href=|http://study.interlinearbible.org/jeremiah/5.htm| title=|Hebrew Study Bible| target=|_top|&gt;Heb Study&lt;/a&gt;</v>
      </c>
      <c r="W750" t="str">
        <f t="shared" si="2996"/>
        <v>&lt;/li&gt;&lt;li&gt;&lt;a href=|http://apostolic.interlinearbible.org/jeremiah/5.htm| title=|Apostolic Bible Polyglot Interlinear| target=|_top|&gt;Polyglot&lt;/a&gt;</v>
      </c>
      <c r="X750" t="str">
        <f t="shared" si="2996"/>
        <v>&lt;/li&gt;&lt;li&gt;&lt;a href=|http://interlinearbible.org/jeremiah/5.htm| title=|Interlinear Bible| target=|_top|&gt;Interlin&lt;/a&gt;</v>
      </c>
      <c r="Y750" t="str">
        <f t="shared" ref="Y750" si="2997">CONCATENATE("&lt;/li&gt;&lt;li&gt;&lt;a href=|http://",Y1191,"/jeremiah/5.htm","| ","title=|",Y1190,"| target=|_top|&gt;",Y1192,"&lt;/a&gt;")</f>
        <v>&lt;/li&gt;&lt;li&gt;&lt;a href=|http://bibleoutline.org/jeremiah/5.htm| title=|Outline with People and Places List| target=|_top|&gt;Outline&lt;/a&gt;</v>
      </c>
      <c r="Z750" t="str">
        <f t="shared" si="2996"/>
        <v>&lt;/li&gt;&lt;li&gt;&lt;a href=|http://kjvs.scripturetext.com/jeremiah/5.htm| title=|King James Bible with Strong's Numbers| target=|_top|&gt;Strong's&lt;/a&gt;</v>
      </c>
      <c r="AA750" t="str">
        <f t="shared" si="2996"/>
        <v>&lt;/li&gt;&lt;li&gt;&lt;a href=|http://childrensbibleonline.com/jeremiah/5.htm| title=|The Children's Bible| target=|_top|&gt;Children's&lt;/a&gt;</v>
      </c>
      <c r="AB750" s="2" t="str">
        <f t="shared" si="2996"/>
        <v>&lt;/li&gt;&lt;li&gt;&lt;a href=|http://tsk.scripturetext.com/jeremiah/5.htm| title=|Treasury of Scripture Knowledge| target=|_top|&gt;TSK&lt;/a&gt;</v>
      </c>
      <c r="AC750" t="str">
        <f>CONCATENATE("&lt;a href=|http://",AC1191,"/jeremiah/5.htm","| ","title=|",AC1190,"| target=|_top|&gt;",AC1192,"&lt;/a&gt;")</f>
        <v>&lt;a href=|http://parallelbible.com/jeremiah/5.htm| title=|Parallel Chapters| target=|_top|&gt;PAR&lt;/a&gt;</v>
      </c>
      <c r="AD750" s="2" t="str">
        <f t="shared" ref="AD750:AK750" si="2998">CONCATENATE("&lt;/li&gt;&lt;li&gt;&lt;a href=|http://",AD1191,"/jeremiah/5.htm","| ","title=|",AD1190,"| target=|_top|&gt;",AD1192,"&lt;/a&gt;")</f>
        <v>&lt;/li&gt;&lt;li&gt;&lt;a href=|http://gsb.biblecommenter.com/jeremiah/5.htm| title=|Geneva Study Bible| target=|_top|&gt;GSB&lt;/a&gt;</v>
      </c>
      <c r="AE750" s="2" t="str">
        <f t="shared" si="2998"/>
        <v>&lt;/li&gt;&lt;li&gt;&lt;a href=|http://jfb.biblecommenter.com/jeremiah/5.htm| title=|Jamieson-Fausset-Brown Bible Commentary| target=|_top|&gt;JFB&lt;/a&gt;</v>
      </c>
      <c r="AF750" s="2" t="str">
        <f t="shared" si="2998"/>
        <v>&lt;/li&gt;&lt;li&gt;&lt;a href=|http://kjt.biblecommenter.com/jeremiah/5.htm| title=|King James Translators' Notes| target=|_top|&gt;KJT&lt;/a&gt;</v>
      </c>
      <c r="AG750" s="2" t="str">
        <f t="shared" si="2998"/>
        <v>&lt;/li&gt;&lt;li&gt;&lt;a href=|http://mhc.biblecommenter.com/jeremiah/5.htm| title=|Matthew Henry's Concise Commentary| target=|_top|&gt;MHC&lt;/a&gt;</v>
      </c>
      <c r="AH750" s="2" t="str">
        <f t="shared" si="2998"/>
        <v>&lt;/li&gt;&lt;li&gt;&lt;a href=|http://sco.biblecommenter.com/jeremiah/5.htm| title=|Scofield Reference Notes| target=|_top|&gt;SCO&lt;/a&gt;</v>
      </c>
      <c r="AI750" s="2" t="str">
        <f t="shared" si="2998"/>
        <v>&lt;/li&gt;&lt;li&gt;&lt;a href=|http://wes.biblecommenter.com/jeremiah/5.htm| title=|Wesley's Notes on the Bible| target=|_top|&gt;WES&lt;/a&gt;</v>
      </c>
      <c r="AJ750" t="str">
        <f t="shared" si="2998"/>
        <v>&lt;/li&gt;&lt;li&gt;&lt;a href=|http://worldebible.com/jeremiah/5.htm| title=|World English Bible| target=|_top|&gt;WEB&lt;/a&gt;</v>
      </c>
      <c r="AK750" t="str">
        <f t="shared" si="2998"/>
        <v>&lt;/li&gt;&lt;li&gt;&lt;a href=|http://yltbible.com/jeremiah/5.htm| title=|Young's Literal Translation| target=|_top|&gt;YLT&lt;/a&gt;</v>
      </c>
      <c r="AL750" t="str">
        <f>CONCATENATE("&lt;a href=|http://",AL1191,"/jeremiah/5.htm","| ","title=|",AL1190,"| target=|_top|&gt;",AL1192,"&lt;/a&gt;")</f>
        <v>&lt;a href=|http://kjv.us/jeremiah/5.htm| title=|American King James Version| target=|_top|&gt;AKJ&lt;/a&gt;</v>
      </c>
      <c r="AM750" t="str">
        <f t="shared" ref="AM750:AN750" si="2999">CONCATENATE("&lt;/li&gt;&lt;li&gt;&lt;a href=|http://",AM1191,"/jeremiah/5.htm","| ","title=|",AM1190,"| target=|_top|&gt;",AM1192,"&lt;/a&gt;")</f>
        <v>&lt;/li&gt;&lt;li&gt;&lt;a href=|http://basicenglishbible.com/jeremiah/5.htm| title=|Bible in Basic English| target=|_top|&gt;BBE&lt;/a&gt;</v>
      </c>
      <c r="AN750" t="str">
        <f t="shared" si="2999"/>
        <v>&lt;/li&gt;&lt;li&gt;&lt;a href=|http://darbybible.com/jeremiah/5.htm| title=|Darby Bible Translation| target=|_top|&gt;DBY&lt;/a&gt;</v>
      </c>
      <c r="AO75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5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5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50" t="str">
        <f>CONCATENATE("&lt;/li&gt;&lt;li&gt;&lt;a href=|http://",AR1191,"/jeremiah/5.htm","| ","title=|",AR1190,"| target=|_top|&gt;",AR1192,"&lt;/a&gt;")</f>
        <v>&lt;/li&gt;&lt;li&gt;&lt;a href=|http://websterbible.com/jeremiah/5.htm| title=|Webster's Bible Translation| target=|_top|&gt;WBS&lt;/a&gt;</v>
      </c>
      <c r="AS75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50" t="str">
        <f>CONCATENATE("&lt;/li&gt;&lt;li&gt;&lt;a href=|http://",AT1191,"/jeremiah/5-1.htm","| ","title=|",AT1190,"| target=|_top|&gt;",AT1192,"&lt;/a&gt;")</f>
        <v>&lt;/li&gt;&lt;li&gt;&lt;a href=|http://biblebrowser.com/jeremiah/5-1.htm| title=|Split View| target=|_top|&gt;Split&lt;/a&gt;</v>
      </c>
      <c r="AU750" s="2" t="s">
        <v>1276</v>
      </c>
      <c r="AV750" t="s">
        <v>64</v>
      </c>
    </row>
    <row r="751" spans="1:48">
      <c r="A751" t="s">
        <v>622</v>
      </c>
      <c r="B751" t="s">
        <v>1255</v>
      </c>
      <c r="C751" t="s">
        <v>624</v>
      </c>
      <c r="D751" t="s">
        <v>1268</v>
      </c>
      <c r="E751" t="s">
        <v>1277</v>
      </c>
      <c r="F751" t="s">
        <v>1304</v>
      </c>
      <c r="G751" t="s">
        <v>1266</v>
      </c>
      <c r="H751" t="s">
        <v>1305</v>
      </c>
      <c r="I751" t="s">
        <v>1303</v>
      </c>
      <c r="J751" t="s">
        <v>1267</v>
      </c>
      <c r="K751" t="s">
        <v>1275</v>
      </c>
      <c r="L751" s="2" t="s">
        <v>1274</v>
      </c>
      <c r="M751" t="str">
        <f t="shared" ref="M751:AB751" si="3000">CONCATENATE("&lt;/li&gt;&lt;li&gt;&lt;a href=|http://",M1191,"/jeremiah/6.htm","| ","title=|",M1190,"| target=|_top|&gt;",M1192,"&lt;/a&gt;")</f>
        <v>&lt;/li&gt;&lt;li&gt;&lt;a href=|http://niv.scripturetext.com/jeremiah/6.htm| title=|New International Version| target=|_top|&gt;NIV&lt;/a&gt;</v>
      </c>
      <c r="N751" t="str">
        <f t="shared" si="3000"/>
        <v>&lt;/li&gt;&lt;li&gt;&lt;a href=|http://nlt.scripturetext.com/jeremiah/6.htm| title=|New Living Translation| target=|_top|&gt;NLT&lt;/a&gt;</v>
      </c>
      <c r="O751" t="str">
        <f t="shared" si="3000"/>
        <v>&lt;/li&gt;&lt;li&gt;&lt;a href=|http://nasb.scripturetext.com/jeremiah/6.htm| title=|New American Standard Bible| target=|_top|&gt;NAS&lt;/a&gt;</v>
      </c>
      <c r="P751" t="str">
        <f t="shared" si="3000"/>
        <v>&lt;/li&gt;&lt;li&gt;&lt;a href=|http://gwt.scripturetext.com/jeremiah/6.htm| title=|God's Word Translation| target=|_top|&gt;GWT&lt;/a&gt;</v>
      </c>
      <c r="Q751" t="str">
        <f t="shared" si="3000"/>
        <v>&lt;/li&gt;&lt;li&gt;&lt;a href=|http://kingjbible.com/jeremiah/6.htm| title=|King James Bible| target=|_top|&gt;KJV&lt;/a&gt;</v>
      </c>
      <c r="R751" t="str">
        <f t="shared" si="3000"/>
        <v>&lt;/li&gt;&lt;li&gt;&lt;a href=|http://asvbible.com/jeremiah/6.htm| title=|American Standard Version| target=|_top|&gt;ASV&lt;/a&gt;</v>
      </c>
      <c r="S751" t="str">
        <f t="shared" si="3000"/>
        <v>&lt;/li&gt;&lt;li&gt;&lt;a href=|http://drb.scripturetext.com/jeremiah/6.htm| title=|Douay-Rheims Bible| target=|_top|&gt;DRB&lt;/a&gt;</v>
      </c>
      <c r="T751" t="str">
        <f t="shared" si="3000"/>
        <v>&lt;/li&gt;&lt;li&gt;&lt;a href=|http://erv.scripturetext.com/jeremiah/6.htm| title=|English Revised Version| target=|_top|&gt;ERV&lt;/a&gt;</v>
      </c>
      <c r="V751" t="str">
        <f>CONCATENATE("&lt;/li&gt;&lt;li&gt;&lt;a href=|http://",V1191,"/jeremiah/6.htm","| ","title=|",V1190,"| target=|_top|&gt;",V1192,"&lt;/a&gt;")</f>
        <v>&lt;/li&gt;&lt;li&gt;&lt;a href=|http://study.interlinearbible.org/jeremiah/6.htm| title=|Hebrew Study Bible| target=|_top|&gt;Heb Study&lt;/a&gt;</v>
      </c>
      <c r="W751" t="str">
        <f t="shared" si="3000"/>
        <v>&lt;/li&gt;&lt;li&gt;&lt;a href=|http://apostolic.interlinearbible.org/jeremiah/6.htm| title=|Apostolic Bible Polyglot Interlinear| target=|_top|&gt;Polyglot&lt;/a&gt;</v>
      </c>
      <c r="X751" t="str">
        <f t="shared" si="3000"/>
        <v>&lt;/li&gt;&lt;li&gt;&lt;a href=|http://interlinearbible.org/jeremiah/6.htm| title=|Interlinear Bible| target=|_top|&gt;Interlin&lt;/a&gt;</v>
      </c>
      <c r="Y751" t="str">
        <f t="shared" ref="Y751" si="3001">CONCATENATE("&lt;/li&gt;&lt;li&gt;&lt;a href=|http://",Y1191,"/jeremiah/6.htm","| ","title=|",Y1190,"| target=|_top|&gt;",Y1192,"&lt;/a&gt;")</f>
        <v>&lt;/li&gt;&lt;li&gt;&lt;a href=|http://bibleoutline.org/jeremiah/6.htm| title=|Outline with People and Places List| target=|_top|&gt;Outline&lt;/a&gt;</v>
      </c>
      <c r="Z751" t="str">
        <f t="shared" si="3000"/>
        <v>&lt;/li&gt;&lt;li&gt;&lt;a href=|http://kjvs.scripturetext.com/jeremiah/6.htm| title=|King James Bible with Strong's Numbers| target=|_top|&gt;Strong's&lt;/a&gt;</v>
      </c>
      <c r="AA751" t="str">
        <f t="shared" si="3000"/>
        <v>&lt;/li&gt;&lt;li&gt;&lt;a href=|http://childrensbibleonline.com/jeremiah/6.htm| title=|The Children's Bible| target=|_top|&gt;Children's&lt;/a&gt;</v>
      </c>
      <c r="AB751" s="2" t="str">
        <f t="shared" si="3000"/>
        <v>&lt;/li&gt;&lt;li&gt;&lt;a href=|http://tsk.scripturetext.com/jeremiah/6.htm| title=|Treasury of Scripture Knowledge| target=|_top|&gt;TSK&lt;/a&gt;</v>
      </c>
      <c r="AC751" t="str">
        <f>CONCATENATE("&lt;a href=|http://",AC1191,"/jeremiah/6.htm","| ","title=|",AC1190,"| target=|_top|&gt;",AC1192,"&lt;/a&gt;")</f>
        <v>&lt;a href=|http://parallelbible.com/jeremiah/6.htm| title=|Parallel Chapters| target=|_top|&gt;PAR&lt;/a&gt;</v>
      </c>
      <c r="AD751" s="2" t="str">
        <f t="shared" ref="AD751:AK751" si="3002">CONCATENATE("&lt;/li&gt;&lt;li&gt;&lt;a href=|http://",AD1191,"/jeremiah/6.htm","| ","title=|",AD1190,"| target=|_top|&gt;",AD1192,"&lt;/a&gt;")</f>
        <v>&lt;/li&gt;&lt;li&gt;&lt;a href=|http://gsb.biblecommenter.com/jeremiah/6.htm| title=|Geneva Study Bible| target=|_top|&gt;GSB&lt;/a&gt;</v>
      </c>
      <c r="AE751" s="2" t="str">
        <f t="shared" si="3002"/>
        <v>&lt;/li&gt;&lt;li&gt;&lt;a href=|http://jfb.biblecommenter.com/jeremiah/6.htm| title=|Jamieson-Fausset-Brown Bible Commentary| target=|_top|&gt;JFB&lt;/a&gt;</v>
      </c>
      <c r="AF751" s="2" t="str">
        <f t="shared" si="3002"/>
        <v>&lt;/li&gt;&lt;li&gt;&lt;a href=|http://kjt.biblecommenter.com/jeremiah/6.htm| title=|King James Translators' Notes| target=|_top|&gt;KJT&lt;/a&gt;</v>
      </c>
      <c r="AG751" s="2" t="str">
        <f t="shared" si="3002"/>
        <v>&lt;/li&gt;&lt;li&gt;&lt;a href=|http://mhc.biblecommenter.com/jeremiah/6.htm| title=|Matthew Henry's Concise Commentary| target=|_top|&gt;MHC&lt;/a&gt;</v>
      </c>
      <c r="AH751" s="2" t="str">
        <f t="shared" si="3002"/>
        <v>&lt;/li&gt;&lt;li&gt;&lt;a href=|http://sco.biblecommenter.com/jeremiah/6.htm| title=|Scofield Reference Notes| target=|_top|&gt;SCO&lt;/a&gt;</v>
      </c>
      <c r="AI751" s="2" t="str">
        <f t="shared" si="3002"/>
        <v>&lt;/li&gt;&lt;li&gt;&lt;a href=|http://wes.biblecommenter.com/jeremiah/6.htm| title=|Wesley's Notes on the Bible| target=|_top|&gt;WES&lt;/a&gt;</v>
      </c>
      <c r="AJ751" t="str">
        <f t="shared" si="3002"/>
        <v>&lt;/li&gt;&lt;li&gt;&lt;a href=|http://worldebible.com/jeremiah/6.htm| title=|World English Bible| target=|_top|&gt;WEB&lt;/a&gt;</v>
      </c>
      <c r="AK751" t="str">
        <f t="shared" si="3002"/>
        <v>&lt;/li&gt;&lt;li&gt;&lt;a href=|http://yltbible.com/jeremiah/6.htm| title=|Young's Literal Translation| target=|_top|&gt;YLT&lt;/a&gt;</v>
      </c>
      <c r="AL751" t="str">
        <f>CONCATENATE("&lt;a href=|http://",AL1191,"/jeremiah/6.htm","| ","title=|",AL1190,"| target=|_top|&gt;",AL1192,"&lt;/a&gt;")</f>
        <v>&lt;a href=|http://kjv.us/jeremiah/6.htm| title=|American King James Version| target=|_top|&gt;AKJ&lt;/a&gt;</v>
      </c>
      <c r="AM751" t="str">
        <f t="shared" ref="AM751:AN751" si="3003">CONCATENATE("&lt;/li&gt;&lt;li&gt;&lt;a href=|http://",AM1191,"/jeremiah/6.htm","| ","title=|",AM1190,"| target=|_top|&gt;",AM1192,"&lt;/a&gt;")</f>
        <v>&lt;/li&gt;&lt;li&gt;&lt;a href=|http://basicenglishbible.com/jeremiah/6.htm| title=|Bible in Basic English| target=|_top|&gt;BBE&lt;/a&gt;</v>
      </c>
      <c r="AN751" t="str">
        <f t="shared" si="3003"/>
        <v>&lt;/li&gt;&lt;li&gt;&lt;a href=|http://darbybible.com/jeremiah/6.htm| title=|Darby Bible Translation| target=|_top|&gt;DBY&lt;/a&gt;</v>
      </c>
      <c r="AO75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5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5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51" t="str">
        <f>CONCATENATE("&lt;/li&gt;&lt;li&gt;&lt;a href=|http://",AR1191,"/jeremiah/6.htm","| ","title=|",AR1190,"| target=|_top|&gt;",AR1192,"&lt;/a&gt;")</f>
        <v>&lt;/li&gt;&lt;li&gt;&lt;a href=|http://websterbible.com/jeremiah/6.htm| title=|Webster's Bible Translation| target=|_top|&gt;WBS&lt;/a&gt;</v>
      </c>
      <c r="AS75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51" t="str">
        <f>CONCATENATE("&lt;/li&gt;&lt;li&gt;&lt;a href=|http://",AT1191,"/jeremiah/6-1.htm","| ","title=|",AT1190,"| target=|_top|&gt;",AT1192,"&lt;/a&gt;")</f>
        <v>&lt;/li&gt;&lt;li&gt;&lt;a href=|http://biblebrowser.com/jeremiah/6-1.htm| title=|Split View| target=|_top|&gt;Split&lt;/a&gt;</v>
      </c>
      <c r="AU751" s="2" t="s">
        <v>1276</v>
      </c>
      <c r="AV751" t="s">
        <v>64</v>
      </c>
    </row>
    <row r="752" spans="1:48">
      <c r="A752" t="s">
        <v>622</v>
      </c>
      <c r="B752" t="s">
        <v>1256</v>
      </c>
      <c r="C752" t="s">
        <v>624</v>
      </c>
      <c r="D752" t="s">
        <v>1268</v>
      </c>
      <c r="E752" t="s">
        <v>1277</v>
      </c>
      <c r="F752" t="s">
        <v>1304</v>
      </c>
      <c r="G752" t="s">
        <v>1266</v>
      </c>
      <c r="H752" t="s">
        <v>1305</v>
      </c>
      <c r="I752" t="s">
        <v>1303</v>
      </c>
      <c r="J752" t="s">
        <v>1267</v>
      </c>
      <c r="K752" t="s">
        <v>1275</v>
      </c>
      <c r="L752" s="2" t="s">
        <v>1274</v>
      </c>
      <c r="M752" t="str">
        <f t="shared" ref="M752:AB752" si="3004">CONCATENATE("&lt;/li&gt;&lt;li&gt;&lt;a href=|http://",M1191,"/jeremiah/7.htm","| ","title=|",M1190,"| target=|_top|&gt;",M1192,"&lt;/a&gt;")</f>
        <v>&lt;/li&gt;&lt;li&gt;&lt;a href=|http://niv.scripturetext.com/jeremiah/7.htm| title=|New International Version| target=|_top|&gt;NIV&lt;/a&gt;</v>
      </c>
      <c r="N752" t="str">
        <f t="shared" si="3004"/>
        <v>&lt;/li&gt;&lt;li&gt;&lt;a href=|http://nlt.scripturetext.com/jeremiah/7.htm| title=|New Living Translation| target=|_top|&gt;NLT&lt;/a&gt;</v>
      </c>
      <c r="O752" t="str">
        <f t="shared" si="3004"/>
        <v>&lt;/li&gt;&lt;li&gt;&lt;a href=|http://nasb.scripturetext.com/jeremiah/7.htm| title=|New American Standard Bible| target=|_top|&gt;NAS&lt;/a&gt;</v>
      </c>
      <c r="P752" t="str">
        <f t="shared" si="3004"/>
        <v>&lt;/li&gt;&lt;li&gt;&lt;a href=|http://gwt.scripturetext.com/jeremiah/7.htm| title=|God's Word Translation| target=|_top|&gt;GWT&lt;/a&gt;</v>
      </c>
      <c r="Q752" t="str">
        <f t="shared" si="3004"/>
        <v>&lt;/li&gt;&lt;li&gt;&lt;a href=|http://kingjbible.com/jeremiah/7.htm| title=|King James Bible| target=|_top|&gt;KJV&lt;/a&gt;</v>
      </c>
      <c r="R752" t="str">
        <f t="shared" si="3004"/>
        <v>&lt;/li&gt;&lt;li&gt;&lt;a href=|http://asvbible.com/jeremiah/7.htm| title=|American Standard Version| target=|_top|&gt;ASV&lt;/a&gt;</v>
      </c>
      <c r="S752" t="str">
        <f t="shared" si="3004"/>
        <v>&lt;/li&gt;&lt;li&gt;&lt;a href=|http://drb.scripturetext.com/jeremiah/7.htm| title=|Douay-Rheims Bible| target=|_top|&gt;DRB&lt;/a&gt;</v>
      </c>
      <c r="T752" t="str">
        <f t="shared" si="3004"/>
        <v>&lt;/li&gt;&lt;li&gt;&lt;a href=|http://erv.scripturetext.com/jeremiah/7.htm| title=|English Revised Version| target=|_top|&gt;ERV&lt;/a&gt;</v>
      </c>
      <c r="V752" t="str">
        <f>CONCATENATE("&lt;/li&gt;&lt;li&gt;&lt;a href=|http://",V1191,"/jeremiah/7.htm","| ","title=|",V1190,"| target=|_top|&gt;",V1192,"&lt;/a&gt;")</f>
        <v>&lt;/li&gt;&lt;li&gt;&lt;a href=|http://study.interlinearbible.org/jeremiah/7.htm| title=|Hebrew Study Bible| target=|_top|&gt;Heb Study&lt;/a&gt;</v>
      </c>
      <c r="W752" t="str">
        <f t="shared" si="3004"/>
        <v>&lt;/li&gt;&lt;li&gt;&lt;a href=|http://apostolic.interlinearbible.org/jeremiah/7.htm| title=|Apostolic Bible Polyglot Interlinear| target=|_top|&gt;Polyglot&lt;/a&gt;</v>
      </c>
      <c r="X752" t="str">
        <f t="shared" si="3004"/>
        <v>&lt;/li&gt;&lt;li&gt;&lt;a href=|http://interlinearbible.org/jeremiah/7.htm| title=|Interlinear Bible| target=|_top|&gt;Interlin&lt;/a&gt;</v>
      </c>
      <c r="Y752" t="str">
        <f t="shared" ref="Y752" si="3005">CONCATENATE("&lt;/li&gt;&lt;li&gt;&lt;a href=|http://",Y1191,"/jeremiah/7.htm","| ","title=|",Y1190,"| target=|_top|&gt;",Y1192,"&lt;/a&gt;")</f>
        <v>&lt;/li&gt;&lt;li&gt;&lt;a href=|http://bibleoutline.org/jeremiah/7.htm| title=|Outline with People and Places List| target=|_top|&gt;Outline&lt;/a&gt;</v>
      </c>
      <c r="Z752" t="str">
        <f t="shared" si="3004"/>
        <v>&lt;/li&gt;&lt;li&gt;&lt;a href=|http://kjvs.scripturetext.com/jeremiah/7.htm| title=|King James Bible with Strong's Numbers| target=|_top|&gt;Strong's&lt;/a&gt;</v>
      </c>
      <c r="AA752" t="str">
        <f t="shared" si="3004"/>
        <v>&lt;/li&gt;&lt;li&gt;&lt;a href=|http://childrensbibleonline.com/jeremiah/7.htm| title=|The Children's Bible| target=|_top|&gt;Children's&lt;/a&gt;</v>
      </c>
      <c r="AB752" s="2" t="str">
        <f t="shared" si="3004"/>
        <v>&lt;/li&gt;&lt;li&gt;&lt;a href=|http://tsk.scripturetext.com/jeremiah/7.htm| title=|Treasury of Scripture Knowledge| target=|_top|&gt;TSK&lt;/a&gt;</v>
      </c>
      <c r="AC752" t="str">
        <f>CONCATENATE("&lt;a href=|http://",AC1191,"/jeremiah/7.htm","| ","title=|",AC1190,"| target=|_top|&gt;",AC1192,"&lt;/a&gt;")</f>
        <v>&lt;a href=|http://parallelbible.com/jeremiah/7.htm| title=|Parallel Chapters| target=|_top|&gt;PAR&lt;/a&gt;</v>
      </c>
      <c r="AD752" s="2" t="str">
        <f t="shared" ref="AD752:AK752" si="3006">CONCATENATE("&lt;/li&gt;&lt;li&gt;&lt;a href=|http://",AD1191,"/jeremiah/7.htm","| ","title=|",AD1190,"| target=|_top|&gt;",AD1192,"&lt;/a&gt;")</f>
        <v>&lt;/li&gt;&lt;li&gt;&lt;a href=|http://gsb.biblecommenter.com/jeremiah/7.htm| title=|Geneva Study Bible| target=|_top|&gt;GSB&lt;/a&gt;</v>
      </c>
      <c r="AE752" s="2" t="str">
        <f t="shared" si="3006"/>
        <v>&lt;/li&gt;&lt;li&gt;&lt;a href=|http://jfb.biblecommenter.com/jeremiah/7.htm| title=|Jamieson-Fausset-Brown Bible Commentary| target=|_top|&gt;JFB&lt;/a&gt;</v>
      </c>
      <c r="AF752" s="2" t="str">
        <f t="shared" si="3006"/>
        <v>&lt;/li&gt;&lt;li&gt;&lt;a href=|http://kjt.biblecommenter.com/jeremiah/7.htm| title=|King James Translators' Notes| target=|_top|&gt;KJT&lt;/a&gt;</v>
      </c>
      <c r="AG752" s="2" t="str">
        <f t="shared" si="3006"/>
        <v>&lt;/li&gt;&lt;li&gt;&lt;a href=|http://mhc.biblecommenter.com/jeremiah/7.htm| title=|Matthew Henry's Concise Commentary| target=|_top|&gt;MHC&lt;/a&gt;</v>
      </c>
      <c r="AH752" s="2" t="str">
        <f t="shared" si="3006"/>
        <v>&lt;/li&gt;&lt;li&gt;&lt;a href=|http://sco.biblecommenter.com/jeremiah/7.htm| title=|Scofield Reference Notes| target=|_top|&gt;SCO&lt;/a&gt;</v>
      </c>
      <c r="AI752" s="2" t="str">
        <f t="shared" si="3006"/>
        <v>&lt;/li&gt;&lt;li&gt;&lt;a href=|http://wes.biblecommenter.com/jeremiah/7.htm| title=|Wesley's Notes on the Bible| target=|_top|&gt;WES&lt;/a&gt;</v>
      </c>
      <c r="AJ752" t="str">
        <f t="shared" si="3006"/>
        <v>&lt;/li&gt;&lt;li&gt;&lt;a href=|http://worldebible.com/jeremiah/7.htm| title=|World English Bible| target=|_top|&gt;WEB&lt;/a&gt;</v>
      </c>
      <c r="AK752" t="str">
        <f t="shared" si="3006"/>
        <v>&lt;/li&gt;&lt;li&gt;&lt;a href=|http://yltbible.com/jeremiah/7.htm| title=|Young's Literal Translation| target=|_top|&gt;YLT&lt;/a&gt;</v>
      </c>
      <c r="AL752" t="str">
        <f>CONCATENATE("&lt;a href=|http://",AL1191,"/jeremiah/7.htm","| ","title=|",AL1190,"| target=|_top|&gt;",AL1192,"&lt;/a&gt;")</f>
        <v>&lt;a href=|http://kjv.us/jeremiah/7.htm| title=|American King James Version| target=|_top|&gt;AKJ&lt;/a&gt;</v>
      </c>
      <c r="AM752" t="str">
        <f t="shared" ref="AM752:AN752" si="3007">CONCATENATE("&lt;/li&gt;&lt;li&gt;&lt;a href=|http://",AM1191,"/jeremiah/7.htm","| ","title=|",AM1190,"| target=|_top|&gt;",AM1192,"&lt;/a&gt;")</f>
        <v>&lt;/li&gt;&lt;li&gt;&lt;a href=|http://basicenglishbible.com/jeremiah/7.htm| title=|Bible in Basic English| target=|_top|&gt;BBE&lt;/a&gt;</v>
      </c>
      <c r="AN752" t="str">
        <f t="shared" si="3007"/>
        <v>&lt;/li&gt;&lt;li&gt;&lt;a href=|http://darbybible.com/jeremiah/7.htm| title=|Darby Bible Translation| target=|_top|&gt;DBY&lt;/a&gt;</v>
      </c>
      <c r="AO75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5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5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52" t="str">
        <f>CONCATENATE("&lt;/li&gt;&lt;li&gt;&lt;a href=|http://",AR1191,"/jeremiah/7.htm","| ","title=|",AR1190,"| target=|_top|&gt;",AR1192,"&lt;/a&gt;")</f>
        <v>&lt;/li&gt;&lt;li&gt;&lt;a href=|http://websterbible.com/jeremiah/7.htm| title=|Webster's Bible Translation| target=|_top|&gt;WBS&lt;/a&gt;</v>
      </c>
      <c r="AS75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52" t="str">
        <f>CONCATENATE("&lt;/li&gt;&lt;li&gt;&lt;a href=|http://",AT1191,"/jeremiah/7-1.htm","| ","title=|",AT1190,"| target=|_top|&gt;",AT1192,"&lt;/a&gt;")</f>
        <v>&lt;/li&gt;&lt;li&gt;&lt;a href=|http://biblebrowser.com/jeremiah/7-1.htm| title=|Split View| target=|_top|&gt;Split&lt;/a&gt;</v>
      </c>
      <c r="AU752" s="2" t="s">
        <v>1276</v>
      </c>
      <c r="AV752" t="s">
        <v>64</v>
      </c>
    </row>
    <row r="753" spans="1:48">
      <c r="A753" t="s">
        <v>622</v>
      </c>
      <c r="B753" t="s">
        <v>794</v>
      </c>
      <c r="C753" t="s">
        <v>624</v>
      </c>
      <c r="D753" t="s">
        <v>1268</v>
      </c>
      <c r="E753" t="s">
        <v>1277</v>
      </c>
      <c r="F753" t="s">
        <v>1304</v>
      </c>
      <c r="G753" t="s">
        <v>1266</v>
      </c>
      <c r="H753" t="s">
        <v>1305</v>
      </c>
      <c r="I753" t="s">
        <v>1303</v>
      </c>
      <c r="J753" t="s">
        <v>1267</v>
      </c>
      <c r="K753" t="s">
        <v>1275</v>
      </c>
      <c r="L753" s="2" t="s">
        <v>1274</v>
      </c>
      <c r="M753" t="str">
        <f t="shared" ref="M753:AB753" si="3008">CONCATENATE("&lt;/li&gt;&lt;li&gt;&lt;a href=|http://",M1191,"/jeremiah/8.htm","| ","title=|",M1190,"| target=|_top|&gt;",M1192,"&lt;/a&gt;")</f>
        <v>&lt;/li&gt;&lt;li&gt;&lt;a href=|http://niv.scripturetext.com/jeremiah/8.htm| title=|New International Version| target=|_top|&gt;NIV&lt;/a&gt;</v>
      </c>
      <c r="N753" t="str">
        <f t="shared" si="3008"/>
        <v>&lt;/li&gt;&lt;li&gt;&lt;a href=|http://nlt.scripturetext.com/jeremiah/8.htm| title=|New Living Translation| target=|_top|&gt;NLT&lt;/a&gt;</v>
      </c>
      <c r="O753" t="str">
        <f t="shared" si="3008"/>
        <v>&lt;/li&gt;&lt;li&gt;&lt;a href=|http://nasb.scripturetext.com/jeremiah/8.htm| title=|New American Standard Bible| target=|_top|&gt;NAS&lt;/a&gt;</v>
      </c>
      <c r="P753" t="str">
        <f t="shared" si="3008"/>
        <v>&lt;/li&gt;&lt;li&gt;&lt;a href=|http://gwt.scripturetext.com/jeremiah/8.htm| title=|God's Word Translation| target=|_top|&gt;GWT&lt;/a&gt;</v>
      </c>
      <c r="Q753" t="str">
        <f t="shared" si="3008"/>
        <v>&lt;/li&gt;&lt;li&gt;&lt;a href=|http://kingjbible.com/jeremiah/8.htm| title=|King James Bible| target=|_top|&gt;KJV&lt;/a&gt;</v>
      </c>
      <c r="R753" t="str">
        <f t="shared" si="3008"/>
        <v>&lt;/li&gt;&lt;li&gt;&lt;a href=|http://asvbible.com/jeremiah/8.htm| title=|American Standard Version| target=|_top|&gt;ASV&lt;/a&gt;</v>
      </c>
      <c r="S753" t="str">
        <f t="shared" si="3008"/>
        <v>&lt;/li&gt;&lt;li&gt;&lt;a href=|http://drb.scripturetext.com/jeremiah/8.htm| title=|Douay-Rheims Bible| target=|_top|&gt;DRB&lt;/a&gt;</v>
      </c>
      <c r="T753" t="str">
        <f t="shared" si="3008"/>
        <v>&lt;/li&gt;&lt;li&gt;&lt;a href=|http://erv.scripturetext.com/jeremiah/8.htm| title=|English Revised Version| target=|_top|&gt;ERV&lt;/a&gt;</v>
      </c>
      <c r="V753" t="str">
        <f>CONCATENATE("&lt;/li&gt;&lt;li&gt;&lt;a href=|http://",V1191,"/jeremiah/8.htm","| ","title=|",V1190,"| target=|_top|&gt;",V1192,"&lt;/a&gt;")</f>
        <v>&lt;/li&gt;&lt;li&gt;&lt;a href=|http://study.interlinearbible.org/jeremiah/8.htm| title=|Hebrew Study Bible| target=|_top|&gt;Heb Study&lt;/a&gt;</v>
      </c>
      <c r="W753" t="str">
        <f t="shared" si="3008"/>
        <v>&lt;/li&gt;&lt;li&gt;&lt;a href=|http://apostolic.interlinearbible.org/jeremiah/8.htm| title=|Apostolic Bible Polyglot Interlinear| target=|_top|&gt;Polyglot&lt;/a&gt;</v>
      </c>
      <c r="X753" t="str">
        <f t="shared" si="3008"/>
        <v>&lt;/li&gt;&lt;li&gt;&lt;a href=|http://interlinearbible.org/jeremiah/8.htm| title=|Interlinear Bible| target=|_top|&gt;Interlin&lt;/a&gt;</v>
      </c>
      <c r="Y753" t="str">
        <f t="shared" ref="Y753" si="3009">CONCATENATE("&lt;/li&gt;&lt;li&gt;&lt;a href=|http://",Y1191,"/jeremiah/8.htm","| ","title=|",Y1190,"| target=|_top|&gt;",Y1192,"&lt;/a&gt;")</f>
        <v>&lt;/li&gt;&lt;li&gt;&lt;a href=|http://bibleoutline.org/jeremiah/8.htm| title=|Outline with People and Places List| target=|_top|&gt;Outline&lt;/a&gt;</v>
      </c>
      <c r="Z753" t="str">
        <f t="shared" si="3008"/>
        <v>&lt;/li&gt;&lt;li&gt;&lt;a href=|http://kjvs.scripturetext.com/jeremiah/8.htm| title=|King James Bible with Strong's Numbers| target=|_top|&gt;Strong's&lt;/a&gt;</v>
      </c>
      <c r="AA753" t="str">
        <f t="shared" si="3008"/>
        <v>&lt;/li&gt;&lt;li&gt;&lt;a href=|http://childrensbibleonline.com/jeremiah/8.htm| title=|The Children's Bible| target=|_top|&gt;Children's&lt;/a&gt;</v>
      </c>
      <c r="AB753" s="2" t="str">
        <f t="shared" si="3008"/>
        <v>&lt;/li&gt;&lt;li&gt;&lt;a href=|http://tsk.scripturetext.com/jeremiah/8.htm| title=|Treasury of Scripture Knowledge| target=|_top|&gt;TSK&lt;/a&gt;</v>
      </c>
      <c r="AC753" t="str">
        <f>CONCATENATE("&lt;a href=|http://",AC1191,"/jeremiah/8.htm","| ","title=|",AC1190,"| target=|_top|&gt;",AC1192,"&lt;/a&gt;")</f>
        <v>&lt;a href=|http://parallelbible.com/jeremiah/8.htm| title=|Parallel Chapters| target=|_top|&gt;PAR&lt;/a&gt;</v>
      </c>
      <c r="AD753" s="2" t="str">
        <f t="shared" ref="AD753:AK753" si="3010">CONCATENATE("&lt;/li&gt;&lt;li&gt;&lt;a href=|http://",AD1191,"/jeremiah/8.htm","| ","title=|",AD1190,"| target=|_top|&gt;",AD1192,"&lt;/a&gt;")</f>
        <v>&lt;/li&gt;&lt;li&gt;&lt;a href=|http://gsb.biblecommenter.com/jeremiah/8.htm| title=|Geneva Study Bible| target=|_top|&gt;GSB&lt;/a&gt;</v>
      </c>
      <c r="AE753" s="2" t="str">
        <f t="shared" si="3010"/>
        <v>&lt;/li&gt;&lt;li&gt;&lt;a href=|http://jfb.biblecommenter.com/jeremiah/8.htm| title=|Jamieson-Fausset-Brown Bible Commentary| target=|_top|&gt;JFB&lt;/a&gt;</v>
      </c>
      <c r="AF753" s="2" t="str">
        <f t="shared" si="3010"/>
        <v>&lt;/li&gt;&lt;li&gt;&lt;a href=|http://kjt.biblecommenter.com/jeremiah/8.htm| title=|King James Translators' Notes| target=|_top|&gt;KJT&lt;/a&gt;</v>
      </c>
      <c r="AG753" s="2" t="str">
        <f t="shared" si="3010"/>
        <v>&lt;/li&gt;&lt;li&gt;&lt;a href=|http://mhc.biblecommenter.com/jeremiah/8.htm| title=|Matthew Henry's Concise Commentary| target=|_top|&gt;MHC&lt;/a&gt;</v>
      </c>
      <c r="AH753" s="2" t="str">
        <f t="shared" si="3010"/>
        <v>&lt;/li&gt;&lt;li&gt;&lt;a href=|http://sco.biblecommenter.com/jeremiah/8.htm| title=|Scofield Reference Notes| target=|_top|&gt;SCO&lt;/a&gt;</v>
      </c>
      <c r="AI753" s="2" t="str">
        <f t="shared" si="3010"/>
        <v>&lt;/li&gt;&lt;li&gt;&lt;a href=|http://wes.biblecommenter.com/jeremiah/8.htm| title=|Wesley's Notes on the Bible| target=|_top|&gt;WES&lt;/a&gt;</v>
      </c>
      <c r="AJ753" t="str">
        <f t="shared" si="3010"/>
        <v>&lt;/li&gt;&lt;li&gt;&lt;a href=|http://worldebible.com/jeremiah/8.htm| title=|World English Bible| target=|_top|&gt;WEB&lt;/a&gt;</v>
      </c>
      <c r="AK753" t="str">
        <f t="shared" si="3010"/>
        <v>&lt;/li&gt;&lt;li&gt;&lt;a href=|http://yltbible.com/jeremiah/8.htm| title=|Young's Literal Translation| target=|_top|&gt;YLT&lt;/a&gt;</v>
      </c>
      <c r="AL753" t="str">
        <f>CONCATENATE("&lt;a href=|http://",AL1191,"/jeremiah/8.htm","| ","title=|",AL1190,"| target=|_top|&gt;",AL1192,"&lt;/a&gt;")</f>
        <v>&lt;a href=|http://kjv.us/jeremiah/8.htm| title=|American King James Version| target=|_top|&gt;AKJ&lt;/a&gt;</v>
      </c>
      <c r="AM753" t="str">
        <f t="shared" ref="AM753:AN753" si="3011">CONCATENATE("&lt;/li&gt;&lt;li&gt;&lt;a href=|http://",AM1191,"/jeremiah/8.htm","| ","title=|",AM1190,"| target=|_top|&gt;",AM1192,"&lt;/a&gt;")</f>
        <v>&lt;/li&gt;&lt;li&gt;&lt;a href=|http://basicenglishbible.com/jeremiah/8.htm| title=|Bible in Basic English| target=|_top|&gt;BBE&lt;/a&gt;</v>
      </c>
      <c r="AN753" t="str">
        <f t="shared" si="3011"/>
        <v>&lt;/li&gt;&lt;li&gt;&lt;a href=|http://darbybible.com/jeremiah/8.htm| title=|Darby Bible Translation| target=|_top|&gt;DBY&lt;/a&gt;</v>
      </c>
      <c r="AO75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5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5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53" t="str">
        <f>CONCATENATE("&lt;/li&gt;&lt;li&gt;&lt;a href=|http://",AR1191,"/jeremiah/8.htm","| ","title=|",AR1190,"| target=|_top|&gt;",AR1192,"&lt;/a&gt;")</f>
        <v>&lt;/li&gt;&lt;li&gt;&lt;a href=|http://websterbible.com/jeremiah/8.htm| title=|Webster's Bible Translation| target=|_top|&gt;WBS&lt;/a&gt;</v>
      </c>
      <c r="AS75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53" t="str">
        <f>CONCATENATE("&lt;/li&gt;&lt;li&gt;&lt;a href=|http://",AT1191,"/jeremiah/8-1.htm","| ","title=|",AT1190,"| target=|_top|&gt;",AT1192,"&lt;/a&gt;")</f>
        <v>&lt;/li&gt;&lt;li&gt;&lt;a href=|http://biblebrowser.com/jeremiah/8-1.htm| title=|Split View| target=|_top|&gt;Split&lt;/a&gt;</v>
      </c>
      <c r="AU753" s="2" t="s">
        <v>1276</v>
      </c>
      <c r="AV753" t="s">
        <v>64</v>
      </c>
    </row>
    <row r="754" spans="1:48">
      <c r="A754" t="s">
        <v>622</v>
      </c>
      <c r="B754" t="s">
        <v>795</v>
      </c>
      <c r="C754" t="s">
        <v>624</v>
      </c>
      <c r="D754" t="s">
        <v>1268</v>
      </c>
      <c r="E754" t="s">
        <v>1277</v>
      </c>
      <c r="F754" t="s">
        <v>1304</v>
      </c>
      <c r="G754" t="s">
        <v>1266</v>
      </c>
      <c r="H754" t="s">
        <v>1305</v>
      </c>
      <c r="I754" t="s">
        <v>1303</v>
      </c>
      <c r="J754" t="s">
        <v>1267</v>
      </c>
      <c r="K754" t="s">
        <v>1275</v>
      </c>
      <c r="L754" s="2" t="s">
        <v>1274</v>
      </c>
      <c r="M754" t="str">
        <f t="shared" ref="M754:AB754" si="3012">CONCATENATE("&lt;/li&gt;&lt;li&gt;&lt;a href=|http://",M1191,"/jeremiah/9.htm","| ","title=|",M1190,"| target=|_top|&gt;",M1192,"&lt;/a&gt;")</f>
        <v>&lt;/li&gt;&lt;li&gt;&lt;a href=|http://niv.scripturetext.com/jeremiah/9.htm| title=|New International Version| target=|_top|&gt;NIV&lt;/a&gt;</v>
      </c>
      <c r="N754" t="str">
        <f t="shared" si="3012"/>
        <v>&lt;/li&gt;&lt;li&gt;&lt;a href=|http://nlt.scripturetext.com/jeremiah/9.htm| title=|New Living Translation| target=|_top|&gt;NLT&lt;/a&gt;</v>
      </c>
      <c r="O754" t="str">
        <f t="shared" si="3012"/>
        <v>&lt;/li&gt;&lt;li&gt;&lt;a href=|http://nasb.scripturetext.com/jeremiah/9.htm| title=|New American Standard Bible| target=|_top|&gt;NAS&lt;/a&gt;</v>
      </c>
      <c r="P754" t="str">
        <f t="shared" si="3012"/>
        <v>&lt;/li&gt;&lt;li&gt;&lt;a href=|http://gwt.scripturetext.com/jeremiah/9.htm| title=|God's Word Translation| target=|_top|&gt;GWT&lt;/a&gt;</v>
      </c>
      <c r="Q754" t="str">
        <f t="shared" si="3012"/>
        <v>&lt;/li&gt;&lt;li&gt;&lt;a href=|http://kingjbible.com/jeremiah/9.htm| title=|King James Bible| target=|_top|&gt;KJV&lt;/a&gt;</v>
      </c>
      <c r="R754" t="str">
        <f t="shared" si="3012"/>
        <v>&lt;/li&gt;&lt;li&gt;&lt;a href=|http://asvbible.com/jeremiah/9.htm| title=|American Standard Version| target=|_top|&gt;ASV&lt;/a&gt;</v>
      </c>
      <c r="S754" t="str">
        <f t="shared" si="3012"/>
        <v>&lt;/li&gt;&lt;li&gt;&lt;a href=|http://drb.scripturetext.com/jeremiah/9.htm| title=|Douay-Rheims Bible| target=|_top|&gt;DRB&lt;/a&gt;</v>
      </c>
      <c r="T754" t="str">
        <f t="shared" si="3012"/>
        <v>&lt;/li&gt;&lt;li&gt;&lt;a href=|http://erv.scripturetext.com/jeremiah/9.htm| title=|English Revised Version| target=|_top|&gt;ERV&lt;/a&gt;</v>
      </c>
      <c r="V754" t="str">
        <f>CONCATENATE("&lt;/li&gt;&lt;li&gt;&lt;a href=|http://",V1191,"/jeremiah/9.htm","| ","title=|",V1190,"| target=|_top|&gt;",V1192,"&lt;/a&gt;")</f>
        <v>&lt;/li&gt;&lt;li&gt;&lt;a href=|http://study.interlinearbible.org/jeremiah/9.htm| title=|Hebrew Study Bible| target=|_top|&gt;Heb Study&lt;/a&gt;</v>
      </c>
      <c r="W754" t="str">
        <f t="shared" si="3012"/>
        <v>&lt;/li&gt;&lt;li&gt;&lt;a href=|http://apostolic.interlinearbible.org/jeremiah/9.htm| title=|Apostolic Bible Polyglot Interlinear| target=|_top|&gt;Polyglot&lt;/a&gt;</v>
      </c>
      <c r="X754" t="str">
        <f t="shared" si="3012"/>
        <v>&lt;/li&gt;&lt;li&gt;&lt;a href=|http://interlinearbible.org/jeremiah/9.htm| title=|Interlinear Bible| target=|_top|&gt;Interlin&lt;/a&gt;</v>
      </c>
      <c r="Y754" t="str">
        <f t="shared" ref="Y754" si="3013">CONCATENATE("&lt;/li&gt;&lt;li&gt;&lt;a href=|http://",Y1191,"/jeremiah/9.htm","| ","title=|",Y1190,"| target=|_top|&gt;",Y1192,"&lt;/a&gt;")</f>
        <v>&lt;/li&gt;&lt;li&gt;&lt;a href=|http://bibleoutline.org/jeremiah/9.htm| title=|Outline with People and Places List| target=|_top|&gt;Outline&lt;/a&gt;</v>
      </c>
      <c r="Z754" t="str">
        <f t="shared" si="3012"/>
        <v>&lt;/li&gt;&lt;li&gt;&lt;a href=|http://kjvs.scripturetext.com/jeremiah/9.htm| title=|King James Bible with Strong's Numbers| target=|_top|&gt;Strong's&lt;/a&gt;</v>
      </c>
      <c r="AA754" t="str">
        <f t="shared" si="3012"/>
        <v>&lt;/li&gt;&lt;li&gt;&lt;a href=|http://childrensbibleonline.com/jeremiah/9.htm| title=|The Children's Bible| target=|_top|&gt;Children's&lt;/a&gt;</v>
      </c>
      <c r="AB754" s="2" t="str">
        <f t="shared" si="3012"/>
        <v>&lt;/li&gt;&lt;li&gt;&lt;a href=|http://tsk.scripturetext.com/jeremiah/9.htm| title=|Treasury of Scripture Knowledge| target=|_top|&gt;TSK&lt;/a&gt;</v>
      </c>
      <c r="AC754" t="str">
        <f>CONCATENATE("&lt;a href=|http://",AC1191,"/jeremiah/9.htm","| ","title=|",AC1190,"| target=|_top|&gt;",AC1192,"&lt;/a&gt;")</f>
        <v>&lt;a href=|http://parallelbible.com/jeremiah/9.htm| title=|Parallel Chapters| target=|_top|&gt;PAR&lt;/a&gt;</v>
      </c>
      <c r="AD754" s="2" t="str">
        <f t="shared" ref="AD754:AK754" si="3014">CONCATENATE("&lt;/li&gt;&lt;li&gt;&lt;a href=|http://",AD1191,"/jeremiah/9.htm","| ","title=|",AD1190,"| target=|_top|&gt;",AD1192,"&lt;/a&gt;")</f>
        <v>&lt;/li&gt;&lt;li&gt;&lt;a href=|http://gsb.biblecommenter.com/jeremiah/9.htm| title=|Geneva Study Bible| target=|_top|&gt;GSB&lt;/a&gt;</v>
      </c>
      <c r="AE754" s="2" t="str">
        <f t="shared" si="3014"/>
        <v>&lt;/li&gt;&lt;li&gt;&lt;a href=|http://jfb.biblecommenter.com/jeremiah/9.htm| title=|Jamieson-Fausset-Brown Bible Commentary| target=|_top|&gt;JFB&lt;/a&gt;</v>
      </c>
      <c r="AF754" s="2" t="str">
        <f t="shared" si="3014"/>
        <v>&lt;/li&gt;&lt;li&gt;&lt;a href=|http://kjt.biblecommenter.com/jeremiah/9.htm| title=|King James Translators' Notes| target=|_top|&gt;KJT&lt;/a&gt;</v>
      </c>
      <c r="AG754" s="2" t="str">
        <f t="shared" si="3014"/>
        <v>&lt;/li&gt;&lt;li&gt;&lt;a href=|http://mhc.biblecommenter.com/jeremiah/9.htm| title=|Matthew Henry's Concise Commentary| target=|_top|&gt;MHC&lt;/a&gt;</v>
      </c>
      <c r="AH754" s="2" t="str">
        <f t="shared" si="3014"/>
        <v>&lt;/li&gt;&lt;li&gt;&lt;a href=|http://sco.biblecommenter.com/jeremiah/9.htm| title=|Scofield Reference Notes| target=|_top|&gt;SCO&lt;/a&gt;</v>
      </c>
      <c r="AI754" s="2" t="str">
        <f t="shared" si="3014"/>
        <v>&lt;/li&gt;&lt;li&gt;&lt;a href=|http://wes.biblecommenter.com/jeremiah/9.htm| title=|Wesley's Notes on the Bible| target=|_top|&gt;WES&lt;/a&gt;</v>
      </c>
      <c r="AJ754" t="str">
        <f t="shared" si="3014"/>
        <v>&lt;/li&gt;&lt;li&gt;&lt;a href=|http://worldebible.com/jeremiah/9.htm| title=|World English Bible| target=|_top|&gt;WEB&lt;/a&gt;</v>
      </c>
      <c r="AK754" t="str">
        <f t="shared" si="3014"/>
        <v>&lt;/li&gt;&lt;li&gt;&lt;a href=|http://yltbible.com/jeremiah/9.htm| title=|Young's Literal Translation| target=|_top|&gt;YLT&lt;/a&gt;</v>
      </c>
      <c r="AL754" t="str">
        <f>CONCATENATE("&lt;a href=|http://",AL1191,"/jeremiah/9.htm","| ","title=|",AL1190,"| target=|_top|&gt;",AL1192,"&lt;/a&gt;")</f>
        <v>&lt;a href=|http://kjv.us/jeremiah/9.htm| title=|American King James Version| target=|_top|&gt;AKJ&lt;/a&gt;</v>
      </c>
      <c r="AM754" t="str">
        <f t="shared" ref="AM754:AN754" si="3015">CONCATENATE("&lt;/li&gt;&lt;li&gt;&lt;a href=|http://",AM1191,"/jeremiah/9.htm","| ","title=|",AM1190,"| target=|_top|&gt;",AM1192,"&lt;/a&gt;")</f>
        <v>&lt;/li&gt;&lt;li&gt;&lt;a href=|http://basicenglishbible.com/jeremiah/9.htm| title=|Bible in Basic English| target=|_top|&gt;BBE&lt;/a&gt;</v>
      </c>
      <c r="AN754" t="str">
        <f t="shared" si="3015"/>
        <v>&lt;/li&gt;&lt;li&gt;&lt;a href=|http://darbybible.com/jeremiah/9.htm| title=|Darby Bible Translation| target=|_top|&gt;DBY&lt;/a&gt;</v>
      </c>
      <c r="AO75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5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5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54" t="str">
        <f>CONCATENATE("&lt;/li&gt;&lt;li&gt;&lt;a href=|http://",AR1191,"/jeremiah/9.htm","| ","title=|",AR1190,"| target=|_top|&gt;",AR1192,"&lt;/a&gt;")</f>
        <v>&lt;/li&gt;&lt;li&gt;&lt;a href=|http://websterbible.com/jeremiah/9.htm| title=|Webster's Bible Translation| target=|_top|&gt;WBS&lt;/a&gt;</v>
      </c>
      <c r="AS75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54" t="str">
        <f>CONCATENATE("&lt;/li&gt;&lt;li&gt;&lt;a href=|http://",AT1191,"/jeremiah/9-1.htm","| ","title=|",AT1190,"| target=|_top|&gt;",AT1192,"&lt;/a&gt;")</f>
        <v>&lt;/li&gt;&lt;li&gt;&lt;a href=|http://biblebrowser.com/jeremiah/9-1.htm| title=|Split View| target=|_top|&gt;Split&lt;/a&gt;</v>
      </c>
      <c r="AU754" s="2" t="s">
        <v>1276</v>
      </c>
      <c r="AV754" t="s">
        <v>64</v>
      </c>
    </row>
    <row r="755" spans="1:48">
      <c r="A755" t="s">
        <v>622</v>
      </c>
      <c r="B755" t="s">
        <v>796</v>
      </c>
      <c r="C755" t="s">
        <v>624</v>
      </c>
      <c r="D755" t="s">
        <v>1268</v>
      </c>
      <c r="E755" t="s">
        <v>1277</v>
      </c>
      <c r="F755" t="s">
        <v>1304</v>
      </c>
      <c r="G755" t="s">
        <v>1266</v>
      </c>
      <c r="H755" t="s">
        <v>1305</v>
      </c>
      <c r="I755" t="s">
        <v>1303</v>
      </c>
      <c r="J755" t="s">
        <v>1267</v>
      </c>
      <c r="K755" t="s">
        <v>1275</v>
      </c>
      <c r="L755" s="2" t="s">
        <v>1274</v>
      </c>
      <c r="M755" t="str">
        <f t="shared" ref="M755:AB755" si="3016">CONCATENATE("&lt;/li&gt;&lt;li&gt;&lt;a href=|http://",M1191,"/jeremiah/10.htm","| ","title=|",M1190,"| target=|_top|&gt;",M1192,"&lt;/a&gt;")</f>
        <v>&lt;/li&gt;&lt;li&gt;&lt;a href=|http://niv.scripturetext.com/jeremiah/10.htm| title=|New International Version| target=|_top|&gt;NIV&lt;/a&gt;</v>
      </c>
      <c r="N755" t="str">
        <f t="shared" si="3016"/>
        <v>&lt;/li&gt;&lt;li&gt;&lt;a href=|http://nlt.scripturetext.com/jeremiah/10.htm| title=|New Living Translation| target=|_top|&gt;NLT&lt;/a&gt;</v>
      </c>
      <c r="O755" t="str">
        <f t="shared" si="3016"/>
        <v>&lt;/li&gt;&lt;li&gt;&lt;a href=|http://nasb.scripturetext.com/jeremiah/10.htm| title=|New American Standard Bible| target=|_top|&gt;NAS&lt;/a&gt;</v>
      </c>
      <c r="P755" t="str">
        <f t="shared" si="3016"/>
        <v>&lt;/li&gt;&lt;li&gt;&lt;a href=|http://gwt.scripturetext.com/jeremiah/10.htm| title=|God's Word Translation| target=|_top|&gt;GWT&lt;/a&gt;</v>
      </c>
      <c r="Q755" t="str">
        <f t="shared" si="3016"/>
        <v>&lt;/li&gt;&lt;li&gt;&lt;a href=|http://kingjbible.com/jeremiah/10.htm| title=|King James Bible| target=|_top|&gt;KJV&lt;/a&gt;</v>
      </c>
      <c r="R755" t="str">
        <f t="shared" si="3016"/>
        <v>&lt;/li&gt;&lt;li&gt;&lt;a href=|http://asvbible.com/jeremiah/10.htm| title=|American Standard Version| target=|_top|&gt;ASV&lt;/a&gt;</v>
      </c>
      <c r="S755" t="str">
        <f t="shared" si="3016"/>
        <v>&lt;/li&gt;&lt;li&gt;&lt;a href=|http://drb.scripturetext.com/jeremiah/10.htm| title=|Douay-Rheims Bible| target=|_top|&gt;DRB&lt;/a&gt;</v>
      </c>
      <c r="T755" t="str">
        <f t="shared" si="3016"/>
        <v>&lt;/li&gt;&lt;li&gt;&lt;a href=|http://erv.scripturetext.com/jeremiah/10.htm| title=|English Revised Version| target=|_top|&gt;ERV&lt;/a&gt;</v>
      </c>
      <c r="V755" t="str">
        <f>CONCATENATE("&lt;/li&gt;&lt;li&gt;&lt;a href=|http://",V1191,"/jeremiah/10.htm","| ","title=|",V1190,"| target=|_top|&gt;",V1192,"&lt;/a&gt;")</f>
        <v>&lt;/li&gt;&lt;li&gt;&lt;a href=|http://study.interlinearbible.org/jeremiah/10.htm| title=|Hebrew Study Bible| target=|_top|&gt;Heb Study&lt;/a&gt;</v>
      </c>
      <c r="W755" t="str">
        <f t="shared" si="3016"/>
        <v>&lt;/li&gt;&lt;li&gt;&lt;a href=|http://apostolic.interlinearbible.org/jeremiah/10.htm| title=|Apostolic Bible Polyglot Interlinear| target=|_top|&gt;Polyglot&lt;/a&gt;</v>
      </c>
      <c r="X755" t="str">
        <f t="shared" si="3016"/>
        <v>&lt;/li&gt;&lt;li&gt;&lt;a href=|http://interlinearbible.org/jeremiah/10.htm| title=|Interlinear Bible| target=|_top|&gt;Interlin&lt;/a&gt;</v>
      </c>
      <c r="Y755" t="str">
        <f t="shared" ref="Y755" si="3017">CONCATENATE("&lt;/li&gt;&lt;li&gt;&lt;a href=|http://",Y1191,"/jeremiah/10.htm","| ","title=|",Y1190,"| target=|_top|&gt;",Y1192,"&lt;/a&gt;")</f>
        <v>&lt;/li&gt;&lt;li&gt;&lt;a href=|http://bibleoutline.org/jeremiah/10.htm| title=|Outline with People and Places List| target=|_top|&gt;Outline&lt;/a&gt;</v>
      </c>
      <c r="Z755" t="str">
        <f t="shared" si="3016"/>
        <v>&lt;/li&gt;&lt;li&gt;&lt;a href=|http://kjvs.scripturetext.com/jeremiah/10.htm| title=|King James Bible with Strong's Numbers| target=|_top|&gt;Strong's&lt;/a&gt;</v>
      </c>
      <c r="AA755" t="str">
        <f t="shared" si="3016"/>
        <v>&lt;/li&gt;&lt;li&gt;&lt;a href=|http://childrensbibleonline.com/jeremiah/10.htm| title=|The Children's Bible| target=|_top|&gt;Children's&lt;/a&gt;</v>
      </c>
      <c r="AB755" s="2" t="str">
        <f t="shared" si="3016"/>
        <v>&lt;/li&gt;&lt;li&gt;&lt;a href=|http://tsk.scripturetext.com/jeremiah/10.htm| title=|Treasury of Scripture Knowledge| target=|_top|&gt;TSK&lt;/a&gt;</v>
      </c>
      <c r="AC755" t="str">
        <f>CONCATENATE("&lt;a href=|http://",AC1191,"/jeremiah/10.htm","| ","title=|",AC1190,"| target=|_top|&gt;",AC1192,"&lt;/a&gt;")</f>
        <v>&lt;a href=|http://parallelbible.com/jeremiah/10.htm| title=|Parallel Chapters| target=|_top|&gt;PAR&lt;/a&gt;</v>
      </c>
      <c r="AD755" s="2" t="str">
        <f t="shared" ref="AD755:AK755" si="3018">CONCATENATE("&lt;/li&gt;&lt;li&gt;&lt;a href=|http://",AD1191,"/jeremiah/10.htm","| ","title=|",AD1190,"| target=|_top|&gt;",AD1192,"&lt;/a&gt;")</f>
        <v>&lt;/li&gt;&lt;li&gt;&lt;a href=|http://gsb.biblecommenter.com/jeremiah/10.htm| title=|Geneva Study Bible| target=|_top|&gt;GSB&lt;/a&gt;</v>
      </c>
      <c r="AE755" s="2" t="str">
        <f t="shared" si="3018"/>
        <v>&lt;/li&gt;&lt;li&gt;&lt;a href=|http://jfb.biblecommenter.com/jeremiah/10.htm| title=|Jamieson-Fausset-Brown Bible Commentary| target=|_top|&gt;JFB&lt;/a&gt;</v>
      </c>
      <c r="AF755" s="2" t="str">
        <f t="shared" si="3018"/>
        <v>&lt;/li&gt;&lt;li&gt;&lt;a href=|http://kjt.biblecommenter.com/jeremiah/10.htm| title=|King James Translators' Notes| target=|_top|&gt;KJT&lt;/a&gt;</v>
      </c>
      <c r="AG755" s="2" t="str">
        <f t="shared" si="3018"/>
        <v>&lt;/li&gt;&lt;li&gt;&lt;a href=|http://mhc.biblecommenter.com/jeremiah/10.htm| title=|Matthew Henry's Concise Commentary| target=|_top|&gt;MHC&lt;/a&gt;</v>
      </c>
      <c r="AH755" s="2" t="str">
        <f t="shared" si="3018"/>
        <v>&lt;/li&gt;&lt;li&gt;&lt;a href=|http://sco.biblecommenter.com/jeremiah/10.htm| title=|Scofield Reference Notes| target=|_top|&gt;SCO&lt;/a&gt;</v>
      </c>
      <c r="AI755" s="2" t="str">
        <f t="shared" si="3018"/>
        <v>&lt;/li&gt;&lt;li&gt;&lt;a href=|http://wes.biblecommenter.com/jeremiah/10.htm| title=|Wesley's Notes on the Bible| target=|_top|&gt;WES&lt;/a&gt;</v>
      </c>
      <c r="AJ755" t="str">
        <f t="shared" si="3018"/>
        <v>&lt;/li&gt;&lt;li&gt;&lt;a href=|http://worldebible.com/jeremiah/10.htm| title=|World English Bible| target=|_top|&gt;WEB&lt;/a&gt;</v>
      </c>
      <c r="AK755" t="str">
        <f t="shared" si="3018"/>
        <v>&lt;/li&gt;&lt;li&gt;&lt;a href=|http://yltbible.com/jeremiah/10.htm| title=|Young's Literal Translation| target=|_top|&gt;YLT&lt;/a&gt;</v>
      </c>
      <c r="AL755" t="str">
        <f>CONCATENATE("&lt;a href=|http://",AL1191,"/jeremiah/10.htm","| ","title=|",AL1190,"| target=|_top|&gt;",AL1192,"&lt;/a&gt;")</f>
        <v>&lt;a href=|http://kjv.us/jeremiah/10.htm| title=|American King James Version| target=|_top|&gt;AKJ&lt;/a&gt;</v>
      </c>
      <c r="AM755" t="str">
        <f t="shared" ref="AM755:AN755" si="3019">CONCATENATE("&lt;/li&gt;&lt;li&gt;&lt;a href=|http://",AM1191,"/jeremiah/10.htm","| ","title=|",AM1190,"| target=|_top|&gt;",AM1192,"&lt;/a&gt;")</f>
        <v>&lt;/li&gt;&lt;li&gt;&lt;a href=|http://basicenglishbible.com/jeremiah/10.htm| title=|Bible in Basic English| target=|_top|&gt;BBE&lt;/a&gt;</v>
      </c>
      <c r="AN755" t="str">
        <f t="shared" si="3019"/>
        <v>&lt;/li&gt;&lt;li&gt;&lt;a href=|http://darbybible.com/jeremiah/10.htm| title=|Darby Bible Translation| target=|_top|&gt;DBY&lt;/a&gt;</v>
      </c>
      <c r="AO75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5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5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55" t="str">
        <f>CONCATENATE("&lt;/li&gt;&lt;li&gt;&lt;a href=|http://",AR1191,"/jeremiah/10.htm","| ","title=|",AR1190,"| target=|_top|&gt;",AR1192,"&lt;/a&gt;")</f>
        <v>&lt;/li&gt;&lt;li&gt;&lt;a href=|http://websterbible.com/jeremiah/10.htm| title=|Webster's Bible Translation| target=|_top|&gt;WBS&lt;/a&gt;</v>
      </c>
      <c r="AS75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55" t="str">
        <f>CONCATENATE("&lt;/li&gt;&lt;li&gt;&lt;a href=|http://",AT1191,"/jeremiah/10-1.htm","| ","title=|",AT1190,"| target=|_top|&gt;",AT1192,"&lt;/a&gt;")</f>
        <v>&lt;/li&gt;&lt;li&gt;&lt;a href=|http://biblebrowser.com/jeremiah/10-1.htm| title=|Split View| target=|_top|&gt;Split&lt;/a&gt;</v>
      </c>
      <c r="AU755" s="2" t="s">
        <v>1276</v>
      </c>
      <c r="AV755" t="s">
        <v>64</v>
      </c>
    </row>
    <row r="756" spans="1:48">
      <c r="A756" t="s">
        <v>622</v>
      </c>
      <c r="B756" t="s">
        <v>797</v>
      </c>
      <c r="C756" t="s">
        <v>624</v>
      </c>
      <c r="D756" t="s">
        <v>1268</v>
      </c>
      <c r="E756" t="s">
        <v>1277</v>
      </c>
      <c r="F756" t="s">
        <v>1304</v>
      </c>
      <c r="G756" t="s">
        <v>1266</v>
      </c>
      <c r="H756" t="s">
        <v>1305</v>
      </c>
      <c r="I756" t="s">
        <v>1303</v>
      </c>
      <c r="J756" t="s">
        <v>1267</v>
      </c>
      <c r="K756" t="s">
        <v>1275</v>
      </c>
      <c r="L756" s="2" t="s">
        <v>1274</v>
      </c>
      <c r="M756" t="str">
        <f t="shared" ref="M756:AB756" si="3020">CONCATENATE("&lt;/li&gt;&lt;li&gt;&lt;a href=|http://",M1191,"/jeremiah/11.htm","| ","title=|",M1190,"| target=|_top|&gt;",M1192,"&lt;/a&gt;")</f>
        <v>&lt;/li&gt;&lt;li&gt;&lt;a href=|http://niv.scripturetext.com/jeremiah/11.htm| title=|New International Version| target=|_top|&gt;NIV&lt;/a&gt;</v>
      </c>
      <c r="N756" t="str">
        <f t="shared" si="3020"/>
        <v>&lt;/li&gt;&lt;li&gt;&lt;a href=|http://nlt.scripturetext.com/jeremiah/11.htm| title=|New Living Translation| target=|_top|&gt;NLT&lt;/a&gt;</v>
      </c>
      <c r="O756" t="str">
        <f t="shared" si="3020"/>
        <v>&lt;/li&gt;&lt;li&gt;&lt;a href=|http://nasb.scripturetext.com/jeremiah/11.htm| title=|New American Standard Bible| target=|_top|&gt;NAS&lt;/a&gt;</v>
      </c>
      <c r="P756" t="str">
        <f t="shared" si="3020"/>
        <v>&lt;/li&gt;&lt;li&gt;&lt;a href=|http://gwt.scripturetext.com/jeremiah/11.htm| title=|God's Word Translation| target=|_top|&gt;GWT&lt;/a&gt;</v>
      </c>
      <c r="Q756" t="str">
        <f t="shared" si="3020"/>
        <v>&lt;/li&gt;&lt;li&gt;&lt;a href=|http://kingjbible.com/jeremiah/11.htm| title=|King James Bible| target=|_top|&gt;KJV&lt;/a&gt;</v>
      </c>
      <c r="R756" t="str">
        <f t="shared" si="3020"/>
        <v>&lt;/li&gt;&lt;li&gt;&lt;a href=|http://asvbible.com/jeremiah/11.htm| title=|American Standard Version| target=|_top|&gt;ASV&lt;/a&gt;</v>
      </c>
      <c r="S756" t="str">
        <f t="shared" si="3020"/>
        <v>&lt;/li&gt;&lt;li&gt;&lt;a href=|http://drb.scripturetext.com/jeremiah/11.htm| title=|Douay-Rheims Bible| target=|_top|&gt;DRB&lt;/a&gt;</v>
      </c>
      <c r="T756" t="str">
        <f t="shared" si="3020"/>
        <v>&lt;/li&gt;&lt;li&gt;&lt;a href=|http://erv.scripturetext.com/jeremiah/11.htm| title=|English Revised Version| target=|_top|&gt;ERV&lt;/a&gt;</v>
      </c>
      <c r="V756" t="str">
        <f>CONCATENATE("&lt;/li&gt;&lt;li&gt;&lt;a href=|http://",V1191,"/jeremiah/11.htm","| ","title=|",V1190,"| target=|_top|&gt;",V1192,"&lt;/a&gt;")</f>
        <v>&lt;/li&gt;&lt;li&gt;&lt;a href=|http://study.interlinearbible.org/jeremiah/11.htm| title=|Hebrew Study Bible| target=|_top|&gt;Heb Study&lt;/a&gt;</v>
      </c>
      <c r="W756" t="str">
        <f t="shared" si="3020"/>
        <v>&lt;/li&gt;&lt;li&gt;&lt;a href=|http://apostolic.interlinearbible.org/jeremiah/11.htm| title=|Apostolic Bible Polyglot Interlinear| target=|_top|&gt;Polyglot&lt;/a&gt;</v>
      </c>
      <c r="X756" t="str">
        <f t="shared" si="3020"/>
        <v>&lt;/li&gt;&lt;li&gt;&lt;a href=|http://interlinearbible.org/jeremiah/11.htm| title=|Interlinear Bible| target=|_top|&gt;Interlin&lt;/a&gt;</v>
      </c>
      <c r="Y756" t="str">
        <f t="shared" ref="Y756" si="3021">CONCATENATE("&lt;/li&gt;&lt;li&gt;&lt;a href=|http://",Y1191,"/jeremiah/11.htm","| ","title=|",Y1190,"| target=|_top|&gt;",Y1192,"&lt;/a&gt;")</f>
        <v>&lt;/li&gt;&lt;li&gt;&lt;a href=|http://bibleoutline.org/jeremiah/11.htm| title=|Outline with People and Places List| target=|_top|&gt;Outline&lt;/a&gt;</v>
      </c>
      <c r="Z756" t="str">
        <f t="shared" si="3020"/>
        <v>&lt;/li&gt;&lt;li&gt;&lt;a href=|http://kjvs.scripturetext.com/jeremiah/11.htm| title=|King James Bible with Strong's Numbers| target=|_top|&gt;Strong's&lt;/a&gt;</v>
      </c>
      <c r="AA756" t="str">
        <f t="shared" si="3020"/>
        <v>&lt;/li&gt;&lt;li&gt;&lt;a href=|http://childrensbibleonline.com/jeremiah/11.htm| title=|The Children's Bible| target=|_top|&gt;Children's&lt;/a&gt;</v>
      </c>
      <c r="AB756" s="2" t="str">
        <f t="shared" si="3020"/>
        <v>&lt;/li&gt;&lt;li&gt;&lt;a href=|http://tsk.scripturetext.com/jeremiah/11.htm| title=|Treasury of Scripture Knowledge| target=|_top|&gt;TSK&lt;/a&gt;</v>
      </c>
      <c r="AC756" t="str">
        <f>CONCATENATE("&lt;a href=|http://",AC1191,"/jeremiah/11.htm","| ","title=|",AC1190,"| target=|_top|&gt;",AC1192,"&lt;/a&gt;")</f>
        <v>&lt;a href=|http://parallelbible.com/jeremiah/11.htm| title=|Parallel Chapters| target=|_top|&gt;PAR&lt;/a&gt;</v>
      </c>
      <c r="AD756" s="2" t="str">
        <f t="shared" ref="AD756:AK756" si="3022">CONCATENATE("&lt;/li&gt;&lt;li&gt;&lt;a href=|http://",AD1191,"/jeremiah/11.htm","| ","title=|",AD1190,"| target=|_top|&gt;",AD1192,"&lt;/a&gt;")</f>
        <v>&lt;/li&gt;&lt;li&gt;&lt;a href=|http://gsb.biblecommenter.com/jeremiah/11.htm| title=|Geneva Study Bible| target=|_top|&gt;GSB&lt;/a&gt;</v>
      </c>
      <c r="AE756" s="2" t="str">
        <f t="shared" si="3022"/>
        <v>&lt;/li&gt;&lt;li&gt;&lt;a href=|http://jfb.biblecommenter.com/jeremiah/11.htm| title=|Jamieson-Fausset-Brown Bible Commentary| target=|_top|&gt;JFB&lt;/a&gt;</v>
      </c>
      <c r="AF756" s="2" t="str">
        <f t="shared" si="3022"/>
        <v>&lt;/li&gt;&lt;li&gt;&lt;a href=|http://kjt.biblecommenter.com/jeremiah/11.htm| title=|King James Translators' Notes| target=|_top|&gt;KJT&lt;/a&gt;</v>
      </c>
      <c r="AG756" s="2" t="str">
        <f t="shared" si="3022"/>
        <v>&lt;/li&gt;&lt;li&gt;&lt;a href=|http://mhc.biblecommenter.com/jeremiah/11.htm| title=|Matthew Henry's Concise Commentary| target=|_top|&gt;MHC&lt;/a&gt;</v>
      </c>
      <c r="AH756" s="2" t="str">
        <f t="shared" si="3022"/>
        <v>&lt;/li&gt;&lt;li&gt;&lt;a href=|http://sco.biblecommenter.com/jeremiah/11.htm| title=|Scofield Reference Notes| target=|_top|&gt;SCO&lt;/a&gt;</v>
      </c>
      <c r="AI756" s="2" t="str">
        <f t="shared" si="3022"/>
        <v>&lt;/li&gt;&lt;li&gt;&lt;a href=|http://wes.biblecommenter.com/jeremiah/11.htm| title=|Wesley's Notes on the Bible| target=|_top|&gt;WES&lt;/a&gt;</v>
      </c>
      <c r="AJ756" t="str">
        <f t="shared" si="3022"/>
        <v>&lt;/li&gt;&lt;li&gt;&lt;a href=|http://worldebible.com/jeremiah/11.htm| title=|World English Bible| target=|_top|&gt;WEB&lt;/a&gt;</v>
      </c>
      <c r="AK756" t="str">
        <f t="shared" si="3022"/>
        <v>&lt;/li&gt;&lt;li&gt;&lt;a href=|http://yltbible.com/jeremiah/11.htm| title=|Young's Literal Translation| target=|_top|&gt;YLT&lt;/a&gt;</v>
      </c>
      <c r="AL756" t="str">
        <f>CONCATENATE("&lt;a href=|http://",AL1191,"/jeremiah/11.htm","| ","title=|",AL1190,"| target=|_top|&gt;",AL1192,"&lt;/a&gt;")</f>
        <v>&lt;a href=|http://kjv.us/jeremiah/11.htm| title=|American King James Version| target=|_top|&gt;AKJ&lt;/a&gt;</v>
      </c>
      <c r="AM756" t="str">
        <f t="shared" ref="AM756:AN756" si="3023">CONCATENATE("&lt;/li&gt;&lt;li&gt;&lt;a href=|http://",AM1191,"/jeremiah/11.htm","| ","title=|",AM1190,"| target=|_top|&gt;",AM1192,"&lt;/a&gt;")</f>
        <v>&lt;/li&gt;&lt;li&gt;&lt;a href=|http://basicenglishbible.com/jeremiah/11.htm| title=|Bible in Basic English| target=|_top|&gt;BBE&lt;/a&gt;</v>
      </c>
      <c r="AN756" t="str">
        <f t="shared" si="3023"/>
        <v>&lt;/li&gt;&lt;li&gt;&lt;a href=|http://darbybible.com/jeremiah/11.htm| title=|Darby Bible Translation| target=|_top|&gt;DBY&lt;/a&gt;</v>
      </c>
      <c r="AO75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5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5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56" t="str">
        <f>CONCATENATE("&lt;/li&gt;&lt;li&gt;&lt;a href=|http://",AR1191,"/jeremiah/11.htm","| ","title=|",AR1190,"| target=|_top|&gt;",AR1192,"&lt;/a&gt;")</f>
        <v>&lt;/li&gt;&lt;li&gt;&lt;a href=|http://websterbible.com/jeremiah/11.htm| title=|Webster's Bible Translation| target=|_top|&gt;WBS&lt;/a&gt;</v>
      </c>
      <c r="AS75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56" t="str">
        <f>CONCATENATE("&lt;/li&gt;&lt;li&gt;&lt;a href=|http://",AT1191,"/jeremiah/11-1.htm","| ","title=|",AT1190,"| target=|_top|&gt;",AT1192,"&lt;/a&gt;")</f>
        <v>&lt;/li&gt;&lt;li&gt;&lt;a href=|http://biblebrowser.com/jeremiah/11-1.htm| title=|Split View| target=|_top|&gt;Split&lt;/a&gt;</v>
      </c>
      <c r="AU756" s="2" t="s">
        <v>1276</v>
      </c>
      <c r="AV756" t="s">
        <v>64</v>
      </c>
    </row>
    <row r="757" spans="1:48">
      <c r="A757" t="s">
        <v>622</v>
      </c>
      <c r="B757" t="s">
        <v>798</v>
      </c>
      <c r="C757" t="s">
        <v>624</v>
      </c>
      <c r="D757" t="s">
        <v>1268</v>
      </c>
      <c r="E757" t="s">
        <v>1277</v>
      </c>
      <c r="F757" t="s">
        <v>1304</v>
      </c>
      <c r="G757" t="s">
        <v>1266</v>
      </c>
      <c r="H757" t="s">
        <v>1305</v>
      </c>
      <c r="I757" t="s">
        <v>1303</v>
      </c>
      <c r="J757" t="s">
        <v>1267</v>
      </c>
      <c r="K757" t="s">
        <v>1275</v>
      </c>
      <c r="L757" s="2" t="s">
        <v>1274</v>
      </c>
      <c r="M757" t="str">
        <f t="shared" ref="M757:AB757" si="3024">CONCATENATE("&lt;/li&gt;&lt;li&gt;&lt;a href=|http://",M1191,"/jeremiah/12.htm","| ","title=|",M1190,"| target=|_top|&gt;",M1192,"&lt;/a&gt;")</f>
        <v>&lt;/li&gt;&lt;li&gt;&lt;a href=|http://niv.scripturetext.com/jeremiah/12.htm| title=|New International Version| target=|_top|&gt;NIV&lt;/a&gt;</v>
      </c>
      <c r="N757" t="str">
        <f t="shared" si="3024"/>
        <v>&lt;/li&gt;&lt;li&gt;&lt;a href=|http://nlt.scripturetext.com/jeremiah/12.htm| title=|New Living Translation| target=|_top|&gt;NLT&lt;/a&gt;</v>
      </c>
      <c r="O757" t="str">
        <f t="shared" si="3024"/>
        <v>&lt;/li&gt;&lt;li&gt;&lt;a href=|http://nasb.scripturetext.com/jeremiah/12.htm| title=|New American Standard Bible| target=|_top|&gt;NAS&lt;/a&gt;</v>
      </c>
      <c r="P757" t="str">
        <f t="shared" si="3024"/>
        <v>&lt;/li&gt;&lt;li&gt;&lt;a href=|http://gwt.scripturetext.com/jeremiah/12.htm| title=|God's Word Translation| target=|_top|&gt;GWT&lt;/a&gt;</v>
      </c>
      <c r="Q757" t="str">
        <f t="shared" si="3024"/>
        <v>&lt;/li&gt;&lt;li&gt;&lt;a href=|http://kingjbible.com/jeremiah/12.htm| title=|King James Bible| target=|_top|&gt;KJV&lt;/a&gt;</v>
      </c>
      <c r="R757" t="str">
        <f t="shared" si="3024"/>
        <v>&lt;/li&gt;&lt;li&gt;&lt;a href=|http://asvbible.com/jeremiah/12.htm| title=|American Standard Version| target=|_top|&gt;ASV&lt;/a&gt;</v>
      </c>
      <c r="S757" t="str">
        <f t="shared" si="3024"/>
        <v>&lt;/li&gt;&lt;li&gt;&lt;a href=|http://drb.scripturetext.com/jeremiah/12.htm| title=|Douay-Rheims Bible| target=|_top|&gt;DRB&lt;/a&gt;</v>
      </c>
      <c r="T757" t="str">
        <f t="shared" si="3024"/>
        <v>&lt;/li&gt;&lt;li&gt;&lt;a href=|http://erv.scripturetext.com/jeremiah/12.htm| title=|English Revised Version| target=|_top|&gt;ERV&lt;/a&gt;</v>
      </c>
      <c r="V757" t="str">
        <f>CONCATENATE("&lt;/li&gt;&lt;li&gt;&lt;a href=|http://",V1191,"/jeremiah/12.htm","| ","title=|",V1190,"| target=|_top|&gt;",V1192,"&lt;/a&gt;")</f>
        <v>&lt;/li&gt;&lt;li&gt;&lt;a href=|http://study.interlinearbible.org/jeremiah/12.htm| title=|Hebrew Study Bible| target=|_top|&gt;Heb Study&lt;/a&gt;</v>
      </c>
      <c r="W757" t="str">
        <f t="shared" si="3024"/>
        <v>&lt;/li&gt;&lt;li&gt;&lt;a href=|http://apostolic.interlinearbible.org/jeremiah/12.htm| title=|Apostolic Bible Polyglot Interlinear| target=|_top|&gt;Polyglot&lt;/a&gt;</v>
      </c>
      <c r="X757" t="str">
        <f t="shared" si="3024"/>
        <v>&lt;/li&gt;&lt;li&gt;&lt;a href=|http://interlinearbible.org/jeremiah/12.htm| title=|Interlinear Bible| target=|_top|&gt;Interlin&lt;/a&gt;</v>
      </c>
      <c r="Y757" t="str">
        <f t="shared" ref="Y757" si="3025">CONCATENATE("&lt;/li&gt;&lt;li&gt;&lt;a href=|http://",Y1191,"/jeremiah/12.htm","| ","title=|",Y1190,"| target=|_top|&gt;",Y1192,"&lt;/a&gt;")</f>
        <v>&lt;/li&gt;&lt;li&gt;&lt;a href=|http://bibleoutline.org/jeremiah/12.htm| title=|Outline with People and Places List| target=|_top|&gt;Outline&lt;/a&gt;</v>
      </c>
      <c r="Z757" t="str">
        <f t="shared" si="3024"/>
        <v>&lt;/li&gt;&lt;li&gt;&lt;a href=|http://kjvs.scripturetext.com/jeremiah/12.htm| title=|King James Bible with Strong's Numbers| target=|_top|&gt;Strong's&lt;/a&gt;</v>
      </c>
      <c r="AA757" t="str">
        <f t="shared" si="3024"/>
        <v>&lt;/li&gt;&lt;li&gt;&lt;a href=|http://childrensbibleonline.com/jeremiah/12.htm| title=|The Children's Bible| target=|_top|&gt;Children's&lt;/a&gt;</v>
      </c>
      <c r="AB757" s="2" t="str">
        <f t="shared" si="3024"/>
        <v>&lt;/li&gt;&lt;li&gt;&lt;a href=|http://tsk.scripturetext.com/jeremiah/12.htm| title=|Treasury of Scripture Knowledge| target=|_top|&gt;TSK&lt;/a&gt;</v>
      </c>
      <c r="AC757" t="str">
        <f>CONCATENATE("&lt;a href=|http://",AC1191,"/jeremiah/12.htm","| ","title=|",AC1190,"| target=|_top|&gt;",AC1192,"&lt;/a&gt;")</f>
        <v>&lt;a href=|http://parallelbible.com/jeremiah/12.htm| title=|Parallel Chapters| target=|_top|&gt;PAR&lt;/a&gt;</v>
      </c>
      <c r="AD757" s="2" t="str">
        <f t="shared" ref="AD757:AK757" si="3026">CONCATENATE("&lt;/li&gt;&lt;li&gt;&lt;a href=|http://",AD1191,"/jeremiah/12.htm","| ","title=|",AD1190,"| target=|_top|&gt;",AD1192,"&lt;/a&gt;")</f>
        <v>&lt;/li&gt;&lt;li&gt;&lt;a href=|http://gsb.biblecommenter.com/jeremiah/12.htm| title=|Geneva Study Bible| target=|_top|&gt;GSB&lt;/a&gt;</v>
      </c>
      <c r="AE757" s="2" t="str">
        <f t="shared" si="3026"/>
        <v>&lt;/li&gt;&lt;li&gt;&lt;a href=|http://jfb.biblecommenter.com/jeremiah/12.htm| title=|Jamieson-Fausset-Brown Bible Commentary| target=|_top|&gt;JFB&lt;/a&gt;</v>
      </c>
      <c r="AF757" s="2" t="str">
        <f t="shared" si="3026"/>
        <v>&lt;/li&gt;&lt;li&gt;&lt;a href=|http://kjt.biblecommenter.com/jeremiah/12.htm| title=|King James Translators' Notes| target=|_top|&gt;KJT&lt;/a&gt;</v>
      </c>
      <c r="AG757" s="2" t="str">
        <f t="shared" si="3026"/>
        <v>&lt;/li&gt;&lt;li&gt;&lt;a href=|http://mhc.biblecommenter.com/jeremiah/12.htm| title=|Matthew Henry's Concise Commentary| target=|_top|&gt;MHC&lt;/a&gt;</v>
      </c>
      <c r="AH757" s="2" t="str">
        <f t="shared" si="3026"/>
        <v>&lt;/li&gt;&lt;li&gt;&lt;a href=|http://sco.biblecommenter.com/jeremiah/12.htm| title=|Scofield Reference Notes| target=|_top|&gt;SCO&lt;/a&gt;</v>
      </c>
      <c r="AI757" s="2" t="str">
        <f t="shared" si="3026"/>
        <v>&lt;/li&gt;&lt;li&gt;&lt;a href=|http://wes.biblecommenter.com/jeremiah/12.htm| title=|Wesley's Notes on the Bible| target=|_top|&gt;WES&lt;/a&gt;</v>
      </c>
      <c r="AJ757" t="str">
        <f t="shared" si="3026"/>
        <v>&lt;/li&gt;&lt;li&gt;&lt;a href=|http://worldebible.com/jeremiah/12.htm| title=|World English Bible| target=|_top|&gt;WEB&lt;/a&gt;</v>
      </c>
      <c r="AK757" t="str">
        <f t="shared" si="3026"/>
        <v>&lt;/li&gt;&lt;li&gt;&lt;a href=|http://yltbible.com/jeremiah/12.htm| title=|Young's Literal Translation| target=|_top|&gt;YLT&lt;/a&gt;</v>
      </c>
      <c r="AL757" t="str">
        <f>CONCATENATE("&lt;a href=|http://",AL1191,"/jeremiah/12.htm","| ","title=|",AL1190,"| target=|_top|&gt;",AL1192,"&lt;/a&gt;")</f>
        <v>&lt;a href=|http://kjv.us/jeremiah/12.htm| title=|American King James Version| target=|_top|&gt;AKJ&lt;/a&gt;</v>
      </c>
      <c r="AM757" t="str">
        <f t="shared" ref="AM757:AN757" si="3027">CONCATENATE("&lt;/li&gt;&lt;li&gt;&lt;a href=|http://",AM1191,"/jeremiah/12.htm","| ","title=|",AM1190,"| target=|_top|&gt;",AM1192,"&lt;/a&gt;")</f>
        <v>&lt;/li&gt;&lt;li&gt;&lt;a href=|http://basicenglishbible.com/jeremiah/12.htm| title=|Bible in Basic English| target=|_top|&gt;BBE&lt;/a&gt;</v>
      </c>
      <c r="AN757" t="str">
        <f t="shared" si="3027"/>
        <v>&lt;/li&gt;&lt;li&gt;&lt;a href=|http://darbybible.com/jeremiah/12.htm| title=|Darby Bible Translation| target=|_top|&gt;DBY&lt;/a&gt;</v>
      </c>
      <c r="AO75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5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5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57" t="str">
        <f>CONCATENATE("&lt;/li&gt;&lt;li&gt;&lt;a href=|http://",AR1191,"/jeremiah/12.htm","| ","title=|",AR1190,"| target=|_top|&gt;",AR1192,"&lt;/a&gt;")</f>
        <v>&lt;/li&gt;&lt;li&gt;&lt;a href=|http://websterbible.com/jeremiah/12.htm| title=|Webster's Bible Translation| target=|_top|&gt;WBS&lt;/a&gt;</v>
      </c>
      <c r="AS75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57" t="str">
        <f>CONCATENATE("&lt;/li&gt;&lt;li&gt;&lt;a href=|http://",AT1191,"/jeremiah/12-1.htm","| ","title=|",AT1190,"| target=|_top|&gt;",AT1192,"&lt;/a&gt;")</f>
        <v>&lt;/li&gt;&lt;li&gt;&lt;a href=|http://biblebrowser.com/jeremiah/12-1.htm| title=|Split View| target=|_top|&gt;Split&lt;/a&gt;</v>
      </c>
      <c r="AU757" s="2" t="s">
        <v>1276</v>
      </c>
      <c r="AV757" t="s">
        <v>64</v>
      </c>
    </row>
    <row r="758" spans="1:48">
      <c r="A758" t="s">
        <v>622</v>
      </c>
      <c r="B758" t="s">
        <v>799</v>
      </c>
      <c r="C758" t="s">
        <v>624</v>
      </c>
      <c r="D758" t="s">
        <v>1268</v>
      </c>
      <c r="E758" t="s">
        <v>1277</v>
      </c>
      <c r="F758" t="s">
        <v>1304</v>
      </c>
      <c r="G758" t="s">
        <v>1266</v>
      </c>
      <c r="H758" t="s">
        <v>1305</v>
      </c>
      <c r="I758" t="s">
        <v>1303</v>
      </c>
      <c r="J758" t="s">
        <v>1267</v>
      </c>
      <c r="K758" t="s">
        <v>1275</v>
      </c>
      <c r="L758" s="2" t="s">
        <v>1274</v>
      </c>
      <c r="M758" t="str">
        <f t="shared" ref="M758:AB758" si="3028">CONCATENATE("&lt;/li&gt;&lt;li&gt;&lt;a href=|http://",M1191,"/jeremiah/13.htm","| ","title=|",M1190,"| target=|_top|&gt;",M1192,"&lt;/a&gt;")</f>
        <v>&lt;/li&gt;&lt;li&gt;&lt;a href=|http://niv.scripturetext.com/jeremiah/13.htm| title=|New International Version| target=|_top|&gt;NIV&lt;/a&gt;</v>
      </c>
      <c r="N758" t="str">
        <f t="shared" si="3028"/>
        <v>&lt;/li&gt;&lt;li&gt;&lt;a href=|http://nlt.scripturetext.com/jeremiah/13.htm| title=|New Living Translation| target=|_top|&gt;NLT&lt;/a&gt;</v>
      </c>
      <c r="O758" t="str">
        <f t="shared" si="3028"/>
        <v>&lt;/li&gt;&lt;li&gt;&lt;a href=|http://nasb.scripturetext.com/jeremiah/13.htm| title=|New American Standard Bible| target=|_top|&gt;NAS&lt;/a&gt;</v>
      </c>
      <c r="P758" t="str">
        <f t="shared" si="3028"/>
        <v>&lt;/li&gt;&lt;li&gt;&lt;a href=|http://gwt.scripturetext.com/jeremiah/13.htm| title=|God's Word Translation| target=|_top|&gt;GWT&lt;/a&gt;</v>
      </c>
      <c r="Q758" t="str">
        <f t="shared" si="3028"/>
        <v>&lt;/li&gt;&lt;li&gt;&lt;a href=|http://kingjbible.com/jeremiah/13.htm| title=|King James Bible| target=|_top|&gt;KJV&lt;/a&gt;</v>
      </c>
      <c r="R758" t="str">
        <f t="shared" si="3028"/>
        <v>&lt;/li&gt;&lt;li&gt;&lt;a href=|http://asvbible.com/jeremiah/13.htm| title=|American Standard Version| target=|_top|&gt;ASV&lt;/a&gt;</v>
      </c>
      <c r="S758" t="str">
        <f t="shared" si="3028"/>
        <v>&lt;/li&gt;&lt;li&gt;&lt;a href=|http://drb.scripturetext.com/jeremiah/13.htm| title=|Douay-Rheims Bible| target=|_top|&gt;DRB&lt;/a&gt;</v>
      </c>
      <c r="T758" t="str">
        <f t="shared" si="3028"/>
        <v>&lt;/li&gt;&lt;li&gt;&lt;a href=|http://erv.scripturetext.com/jeremiah/13.htm| title=|English Revised Version| target=|_top|&gt;ERV&lt;/a&gt;</v>
      </c>
      <c r="V758" t="str">
        <f>CONCATENATE("&lt;/li&gt;&lt;li&gt;&lt;a href=|http://",V1191,"/jeremiah/13.htm","| ","title=|",V1190,"| target=|_top|&gt;",V1192,"&lt;/a&gt;")</f>
        <v>&lt;/li&gt;&lt;li&gt;&lt;a href=|http://study.interlinearbible.org/jeremiah/13.htm| title=|Hebrew Study Bible| target=|_top|&gt;Heb Study&lt;/a&gt;</v>
      </c>
      <c r="W758" t="str">
        <f t="shared" si="3028"/>
        <v>&lt;/li&gt;&lt;li&gt;&lt;a href=|http://apostolic.interlinearbible.org/jeremiah/13.htm| title=|Apostolic Bible Polyglot Interlinear| target=|_top|&gt;Polyglot&lt;/a&gt;</v>
      </c>
      <c r="X758" t="str">
        <f t="shared" si="3028"/>
        <v>&lt;/li&gt;&lt;li&gt;&lt;a href=|http://interlinearbible.org/jeremiah/13.htm| title=|Interlinear Bible| target=|_top|&gt;Interlin&lt;/a&gt;</v>
      </c>
      <c r="Y758" t="str">
        <f t="shared" ref="Y758" si="3029">CONCATENATE("&lt;/li&gt;&lt;li&gt;&lt;a href=|http://",Y1191,"/jeremiah/13.htm","| ","title=|",Y1190,"| target=|_top|&gt;",Y1192,"&lt;/a&gt;")</f>
        <v>&lt;/li&gt;&lt;li&gt;&lt;a href=|http://bibleoutline.org/jeremiah/13.htm| title=|Outline with People and Places List| target=|_top|&gt;Outline&lt;/a&gt;</v>
      </c>
      <c r="Z758" t="str">
        <f t="shared" si="3028"/>
        <v>&lt;/li&gt;&lt;li&gt;&lt;a href=|http://kjvs.scripturetext.com/jeremiah/13.htm| title=|King James Bible with Strong's Numbers| target=|_top|&gt;Strong's&lt;/a&gt;</v>
      </c>
      <c r="AA758" t="str">
        <f t="shared" si="3028"/>
        <v>&lt;/li&gt;&lt;li&gt;&lt;a href=|http://childrensbibleonline.com/jeremiah/13.htm| title=|The Children's Bible| target=|_top|&gt;Children's&lt;/a&gt;</v>
      </c>
      <c r="AB758" s="2" t="str">
        <f t="shared" si="3028"/>
        <v>&lt;/li&gt;&lt;li&gt;&lt;a href=|http://tsk.scripturetext.com/jeremiah/13.htm| title=|Treasury of Scripture Knowledge| target=|_top|&gt;TSK&lt;/a&gt;</v>
      </c>
      <c r="AC758" t="str">
        <f>CONCATENATE("&lt;a href=|http://",AC1191,"/jeremiah/13.htm","| ","title=|",AC1190,"| target=|_top|&gt;",AC1192,"&lt;/a&gt;")</f>
        <v>&lt;a href=|http://parallelbible.com/jeremiah/13.htm| title=|Parallel Chapters| target=|_top|&gt;PAR&lt;/a&gt;</v>
      </c>
      <c r="AD758" s="2" t="str">
        <f t="shared" ref="AD758:AK758" si="3030">CONCATENATE("&lt;/li&gt;&lt;li&gt;&lt;a href=|http://",AD1191,"/jeremiah/13.htm","| ","title=|",AD1190,"| target=|_top|&gt;",AD1192,"&lt;/a&gt;")</f>
        <v>&lt;/li&gt;&lt;li&gt;&lt;a href=|http://gsb.biblecommenter.com/jeremiah/13.htm| title=|Geneva Study Bible| target=|_top|&gt;GSB&lt;/a&gt;</v>
      </c>
      <c r="AE758" s="2" t="str">
        <f t="shared" si="3030"/>
        <v>&lt;/li&gt;&lt;li&gt;&lt;a href=|http://jfb.biblecommenter.com/jeremiah/13.htm| title=|Jamieson-Fausset-Brown Bible Commentary| target=|_top|&gt;JFB&lt;/a&gt;</v>
      </c>
      <c r="AF758" s="2" t="str">
        <f t="shared" si="3030"/>
        <v>&lt;/li&gt;&lt;li&gt;&lt;a href=|http://kjt.biblecommenter.com/jeremiah/13.htm| title=|King James Translators' Notes| target=|_top|&gt;KJT&lt;/a&gt;</v>
      </c>
      <c r="AG758" s="2" t="str">
        <f t="shared" si="3030"/>
        <v>&lt;/li&gt;&lt;li&gt;&lt;a href=|http://mhc.biblecommenter.com/jeremiah/13.htm| title=|Matthew Henry's Concise Commentary| target=|_top|&gt;MHC&lt;/a&gt;</v>
      </c>
      <c r="AH758" s="2" t="str">
        <f t="shared" si="3030"/>
        <v>&lt;/li&gt;&lt;li&gt;&lt;a href=|http://sco.biblecommenter.com/jeremiah/13.htm| title=|Scofield Reference Notes| target=|_top|&gt;SCO&lt;/a&gt;</v>
      </c>
      <c r="AI758" s="2" t="str">
        <f t="shared" si="3030"/>
        <v>&lt;/li&gt;&lt;li&gt;&lt;a href=|http://wes.biblecommenter.com/jeremiah/13.htm| title=|Wesley's Notes on the Bible| target=|_top|&gt;WES&lt;/a&gt;</v>
      </c>
      <c r="AJ758" t="str">
        <f t="shared" si="3030"/>
        <v>&lt;/li&gt;&lt;li&gt;&lt;a href=|http://worldebible.com/jeremiah/13.htm| title=|World English Bible| target=|_top|&gt;WEB&lt;/a&gt;</v>
      </c>
      <c r="AK758" t="str">
        <f t="shared" si="3030"/>
        <v>&lt;/li&gt;&lt;li&gt;&lt;a href=|http://yltbible.com/jeremiah/13.htm| title=|Young's Literal Translation| target=|_top|&gt;YLT&lt;/a&gt;</v>
      </c>
      <c r="AL758" t="str">
        <f>CONCATENATE("&lt;a href=|http://",AL1191,"/jeremiah/13.htm","| ","title=|",AL1190,"| target=|_top|&gt;",AL1192,"&lt;/a&gt;")</f>
        <v>&lt;a href=|http://kjv.us/jeremiah/13.htm| title=|American King James Version| target=|_top|&gt;AKJ&lt;/a&gt;</v>
      </c>
      <c r="AM758" t="str">
        <f t="shared" ref="AM758:AN758" si="3031">CONCATENATE("&lt;/li&gt;&lt;li&gt;&lt;a href=|http://",AM1191,"/jeremiah/13.htm","| ","title=|",AM1190,"| target=|_top|&gt;",AM1192,"&lt;/a&gt;")</f>
        <v>&lt;/li&gt;&lt;li&gt;&lt;a href=|http://basicenglishbible.com/jeremiah/13.htm| title=|Bible in Basic English| target=|_top|&gt;BBE&lt;/a&gt;</v>
      </c>
      <c r="AN758" t="str">
        <f t="shared" si="3031"/>
        <v>&lt;/li&gt;&lt;li&gt;&lt;a href=|http://darbybible.com/jeremiah/13.htm| title=|Darby Bible Translation| target=|_top|&gt;DBY&lt;/a&gt;</v>
      </c>
      <c r="AO75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5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5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58" t="str">
        <f>CONCATENATE("&lt;/li&gt;&lt;li&gt;&lt;a href=|http://",AR1191,"/jeremiah/13.htm","| ","title=|",AR1190,"| target=|_top|&gt;",AR1192,"&lt;/a&gt;")</f>
        <v>&lt;/li&gt;&lt;li&gt;&lt;a href=|http://websterbible.com/jeremiah/13.htm| title=|Webster's Bible Translation| target=|_top|&gt;WBS&lt;/a&gt;</v>
      </c>
      <c r="AS75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58" t="str">
        <f>CONCATENATE("&lt;/li&gt;&lt;li&gt;&lt;a href=|http://",AT1191,"/jeremiah/13-1.htm","| ","title=|",AT1190,"| target=|_top|&gt;",AT1192,"&lt;/a&gt;")</f>
        <v>&lt;/li&gt;&lt;li&gt;&lt;a href=|http://biblebrowser.com/jeremiah/13-1.htm| title=|Split View| target=|_top|&gt;Split&lt;/a&gt;</v>
      </c>
      <c r="AU758" s="2" t="s">
        <v>1276</v>
      </c>
      <c r="AV758" t="s">
        <v>64</v>
      </c>
    </row>
    <row r="759" spans="1:48">
      <c r="A759" t="s">
        <v>622</v>
      </c>
      <c r="B759" t="s">
        <v>800</v>
      </c>
      <c r="C759" t="s">
        <v>624</v>
      </c>
      <c r="D759" t="s">
        <v>1268</v>
      </c>
      <c r="E759" t="s">
        <v>1277</v>
      </c>
      <c r="F759" t="s">
        <v>1304</v>
      </c>
      <c r="G759" t="s">
        <v>1266</v>
      </c>
      <c r="H759" t="s">
        <v>1305</v>
      </c>
      <c r="I759" t="s">
        <v>1303</v>
      </c>
      <c r="J759" t="s">
        <v>1267</v>
      </c>
      <c r="K759" t="s">
        <v>1275</v>
      </c>
      <c r="L759" s="2" t="s">
        <v>1274</v>
      </c>
      <c r="M759" t="str">
        <f t="shared" ref="M759:AB759" si="3032">CONCATENATE("&lt;/li&gt;&lt;li&gt;&lt;a href=|http://",M1191,"/jeremiah/14.htm","| ","title=|",M1190,"| target=|_top|&gt;",M1192,"&lt;/a&gt;")</f>
        <v>&lt;/li&gt;&lt;li&gt;&lt;a href=|http://niv.scripturetext.com/jeremiah/14.htm| title=|New International Version| target=|_top|&gt;NIV&lt;/a&gt;</v>
      </c>
      <c r="N759" t="str">
        <f t="shared" si="3032"/>
        <v>&lt;/li&gt;&lt;li&gt;&lt;a href=|http://nlt.scripturetext.com/jeremiah/14.htm| title=|New Living Translation| target=|_top|&gt;NLT&lt;/a&gt;</v>
      </c>
      <c r="O759" t="str">
        <f t="shared" si="3032"/>
        <v>&lt;/li&gt;&lt;li&gt;&lt;a href=|http://nasb.scripturetext.com/jeremiah/14.htm| title=|New American Standard Bible| target=|_top|&gt;NAS&lt;/a&gt;</v>
      </c>
      <c r="P759" t="str">
        <f t="shared" si="3032"/>
        <v>&lt;/li&gt;&lt;li&gt;&lt;a href=|http://gwt.scripturetext.com/jeremiah/14.htm| title=|God's Word Translation| target=|_top|&gt;GWT&lt;/a&gt;</v>
      </c>
      <c r="Q759" t="str">
        <f t="shared" si="3032"/>
        <v>&lt;/li&gt;&lt;li&gt;&lt;a href=|http://kingjbible.com/jeremiah/14.htm| title=|King James Bible| target=|_top|&gt;KJV&lt;/a&gt;</v>
      </c>
      <c r="R759" t="str">
        <f t="shared" si="3032"/>
        <v>&lt;/li&gt;&lt;li&gt;&lt;a href=|http://asvbible.com/jeremiah/14.htm| title=|American Standard Version| target=|_top|&gt;ASV&lt;/a&gt;</v>
      </c>
      <c r="S759" t="str">
        <f t="shared" si="3032"/>
        <v>&lt;/li&gt;&lt;li&gt;&lt;a href=|http://drb.scripturetext.com/jeremiah/14.htm| title=|Douay-Rheims Bible| target=|_top|&gt;DRB&lt;/a&gt;</v>
      </c>
      <c r="T759" t="str">
        <f t="shared" si="3032"/>
        <v>&lt;/li&gt;&lt;li&gt;&lt;a href=|http://erv.scripturetext.com/jeremiah/14.htm| title=|English Revised Version| target=|_top|&gt;ERV&lt;/a&gt;</v>
      </c>
      <c r="V759" t="str">
        <f>CONCATENATE("&lt;/li&gt;&lt;li&gt;&lt;a href=|http://",V1191,"/jeremiah/14.htm","| ","title=|",V1190,"| target=|_top|&gt;",V1192,"&lt;/a&gt;")</f>
        <v>&lt;/li&gt;&lt;li&gt;&lt;a href=|http://study.interlinearbible.org/jeremiah/14.htm| title=|Hebrew Study Bible| target=|_top|&gt;Heb Study&lt;/a&gt;</v>
      </c>
      <c r="W759" t="str">
        <f t="shared" si="3032"/>
        <v>&lt;/li&gt;&lt;li&gt;&lt;a href=|http://apostolic.interlinearbible.org/jeremiah/14.htm| title=|Apostolic Bible Polyglot Interlinear| target=|_top|&gt;Polyglot&lt;/a&gt;</v>
      </c>
      <c r="X759" t="str">
        <f t="shared" si="3032"/>
        <v>&lt;/li&gt;&lt;li&gt;&lt;a href=|http://interlinearbible.org/jeremiah/14.htm| title=|Interlinear Bible| target=|_top|&gt;Interlin&lt;/a&gt;</v>
      </c>
      <c r="Y759" t="str">
        <f t="shared" ref="Y759" si="3033">CONCATENATE("&lt;/li&gt;&lt;li&gt;&lt;a href=|http://",Y1191,"/jeremiah/14.htm","| ","title=|",Y1190,"| target=|_top|&gt;",Y1192,"&lt;/a&gt;")</f>
        <v>&lt;/li&gt;&lt;li&gt;&lt;a href=|http://bibleoutline.org/jeremiah/14.htm| title=|Outline with People and Places List| target=|_top|&gt;Outline&lt;/a&gt;</v>
      </c>
      <c r="Z759" t="str">
        <f t="shared" si="3032"/>
        <v>&lt;/li&gt;&lt;li&gt;&lt;a href=|http://kjvs.scripturetext.com/jeremiah/14.htm| title=|King James Bible with Strong's Numbers| target=|_top|&gt;Strong's&lt;/a&gt;</v>
      </c>
      <c r="AA759" t="str">
        <f t="shared" si="3032"/>
        <v>&lt;/li&gt;&lt;li&gt;&lt;a href=|http://childrensbibleonline.com/jeremiah/14.htm| title=|The Children's Bible| target=|_top|&gt;Children's&lt;/a&gt;</v>
      </c>
      <c r="AB759" s="2" t="str">
        <f t="shared" si="3032"/>
        <v>&lt;/li&gt;&lt;li&gt;&lt;a href=|http://tsk.scripturetext.com/jeremiah/14.htm| title=|Treasury of Scripture Knowledge| target=|_top|&gt;TSK&lt;/a&gt;</v>
      </c>
      <c r="AC759" t="str">
        <f>CONCATENATE("&lt;a href=|http://",AC1191,"/jeremiah/14.htm","| ","title=|",AC1190,"| target=|_top|&gt;",AC1192,"&lt;/a&gt;")</f>
        <v>&lt;a href=|http://parallelbible.com/jeremiah/14.htm| title=|Parallel Chapters| target=|_top|&gt;PAR&lt;/a&gt;</v>
      </c>
      <c r="AD759" s="2" t="str">
        <f t="shared" ref="AD759:AK759" si="3034">CONCATENATE("&lt;/li&gt;&lt;li&gt;&lt;a href=|http://",AD1191,"/jeremiah/14.htm","| ","title=|",AD1190,"| target=|_top|&gt;",AD1192,"&lt;/a&gt;")</f>
        <v>&lt;/li&gt;&lt;li&gt;&lt;a href=|http://gsb.biblecommenter.com/jeremiah/14.htm| title=|Geneva Study Bible| target=|_top|&gt;GSB&lt;/a&gt;</v>
      </c>
      <c r="AE759" s="2" t="str">
        <f t="shared" si="3034"/>
        <v>&lt;/li&gt;&lt;li&gt;&lt;a href=|http://jfb.biblecommenter.com/jeremiah/14.htm| title=|Jamieson-Fausset-Brown Bible Commentary| target=|_top|&gt;JFB&lt;/a&gt;</v>
      </c>
      <c r="AF759" s="2" t="str">
        <f t="shared" si="3034"/>
        <v>&lt;/li&gt;&lt;li&gt;&lt;a href=|http://kjt.biblecommenter.com/jeremiah/14.htm| title=|King James Translators' Notes| target=|_top|&gt;KJT&lt;/a&gt;</v>
      </c>
      <c r="AG759" s="2" t="str">
        <f t="shared" si="3034"/>
        <v>&lt;/li&gt;&lt;li&gt;&lt;a href=|http://mhc.biblecommenter.com/jeremiah/14.htm| title=|Matthew Henry's Concise Commentary| target=|_top|&gt;MHC&lt;/a&gt;</v>
      </c>
      <c r="AH759" s="2" t="str">
        <f t="shared" si="3034"/>
        <v>&lt;/li&gt;&lt;li&gt;&lt;a href=|http://sco.biblecommenter.com/jeremiah/14.htm| title=|Scofield Reference Notes| target=|_top|&gt;SCO&lt;/a&gt;</v>
      </c>
      <c r="AI759" s="2" t="str">
        <f t="shared" si="3034"/>
        <v>&lt;/li&gt;&lt;li&gt;&lt;a href=|http://wes.biblecommenter.com/jeremiah/14.htm| title=|Wesley's Notes on the Bible| target=|_top|&gt;WES&lt;/a&gt;</v>
      </c>
      <c r="AJ759" t="str">
        <f t="shared" si="3034"/>
        <v>&lt;/li&gt;&lt;li&gt;&lt;a href=|http://worldebible.com/jeremiah/14.htm| title=|World English Bible| target=|_top|&gt;WEB&lt;/a&gt;</v>
      </c>
      <c r="AK759" t="str">
        <f t="shared" si="3034"/>
        <v>&lt;/li&gt;&lt;li&gt;&lt;a href=|http://yltbible.com/jeremiah/14.htm| title=|Young's Literal Translation| target=|_top|&gt;YLT&lt;/a&gt;</v>
      </c>
      <c r="AL759" t="str">
        <f>CONCATENATE("&lt;a href=|http://",AL1191,"/jeremiah/14.htm","| ","title=|",AL1190,"| target=|_top|&gt;",AL1192,"&lt;/a&gt;")</f>
        <v>&lt;a href=|http://kjv.us/jeremiah/14.htm| title=|American King James Version| target=|_top|&gt;AKJ&lt;/a&gt;</v>
      </c>
      <c r="AM759" t="str">
        <f t="shared" ref="AM759:AN759" si="3035">CONCATENATE("&lt;/li&gt;&lt;li&gt;&lt;a href=|http://",AM1191,"/jeremiah/14.htm","| ","title=|",AM1190,"| target=|_top|&gt;",AM1192,"&lt;/a&gt;")</f>
        <v>&lt;/li&gt;&lt;li&gt;&lt;a href=|http://basicenglishbible.com/jeremiah/14.htm| title=|Bible in Basic English| target=|_top|&gt;BBE&lt;/a&gt;</v>
      </c>
      <c r="AN759" t="str">
        <f t="shared" si="3035"/>
        <v>&lt;/li&gt;&lt;li&gt;&lt;a href=|http://darbybible.com/jeremiah/14.htm| title=|Darby Bible Translation| target=|_top|&gt;DBY&lt;/a&gt;</v>
      </c>
      <c r="AO75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5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5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59" t="str">
        <f>CONCATENATE("&lt;/li&gt;&lt;li&gt;&lt;a href=|http://",AR1191,"/jeremiah/14.htm","| ","title=|",AR1190,"| target=|_top|&gt;",AR1192,"&lt;/a&gt;")</f>
        <v>&lt;/li&gt;&lt;li&gt;&lt;a href=|http://websterbible.com/jeremiah/14.htm| title=|Webster's Bible Translation| target=|_top|&gt;WBS&lt;/a&gt;</v>
      </c>
      <c r="AS75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59" t="str">
        <f>CONCATENATE("&lt;/li&gt;&lt;li&gt;&lt;a href=|http://",AT1191,"/jeremiah/14-1.htm","| ","title=|",AT1190,"| target=|_top|&gt;",AT1192,"&lt;/a&gt;")</f>
        <v>&lt;/li&gt;&lt;li&gt;&lt;a href=|http://biblebrowser.com/jeremiah/14-1.htm| title=|Split View| target=|_top|&gt;Split&lt;/a&gt;</v>
      </c>
      <c r="AU759" s="2" t="s">
        <v>1276</v>
      </c>
      <c r="AV759" t="s">
        <v>64</v>
      </c>
    </row>
    <row r="760" spans="1:48">
      <c r="A760" t="s">
        <v>622</v>
      </c>
      <c r="B760" t="s">
        <v>801</v>
      </c>
      <c r="C760" t="s">
        <v>624</v>
      </c>
      <c r="D760" t="s">
        <v>1268</v>
      </c>
      <c r="E760" t="s">
        <v>1277</v>
      </c>
      <c r="F760" t="s">
        <v>1304</v>
      </c>
      <c r="G760" t="s">
        <v>1266</v>
      </c>
      <c r="H760" t="s">
        <v>1305</v>
      </c>
      <c r="I760" t="s">
        <v>1303</v>
      </c>
      <c r="J760" t="s">
        <v>1267</v>
      </c>
      <c r="K760" t="s">
        <v>1275</v>
      </c>
      <c r="L760" s="2" t="s">
        <v>1274</v>
      </c>
      <c r="M760" t="str">
        <f t="shared" ref="M760:AB760" si="3036">CONCATENATE("&lt;/li&gt;&lt;li&gt;&lt;a href=|http://",M1191,"/jeremiah/15.htm","| ","title=|",M1190,"| target=|_top|&gt;",M1192,"&lt;/a&gt;")</f>
        <v>&lt;/li&gt;&lt;li&gt;&lt;a href=|http://niv.scripturetext.com/jeremiah/15.htm| title=|New International Version| target=|_top|&gt;NIV&lt;/a&gt;</v>
      </c>
      <c r="N760" t="str">
        <f t="shared" si="3036"/>
        <v>&lt;/li&gt;&lt;li&gt;&lt;a href=|http://nlt.scripturetext.com/jeremiah/15.htm| title=|New Living Translation| target=|_top|&gt;NLT&lt;/a&gt;</v>
      </c>
      <c r="O760" t="str">
        <f t="shared" si="3036"/>
        <v>&lt;/li&gt;&lt;li&gt;&lt;a href=|http://nasb.scripturetext.com/jeremiah/15.htm| title=|New American Standard Bible| target=|_top|&gt;NAS&lt;/a&gt;</v>
      </c>
      <c r="P760" t="str">
        <f t="shared" si="3036"/>
        <v>&lt;/li&gt;&lt;li&gt;&lt;a href=|http://gwt.scripturetext.com/jeremiah/15.htm| title=|God's Word Translation| target=|_top|&gt;GWT&lt;/a&gt;</v>
      </c>
      <c r="Q760" t="str">
        <f t="shared" si="3036"/>
        <v>&lt;/li&gt;&lt;li&gt;&lt;a href=|http://kingjbible.com/jeremiah/15.htm| title=|King James Bible| target=|_top|&gt;KJV&lt;/a&gt;</v>
      </c>
      <c r="R760" t="str">
        <f t="shared" si="3036"/>
        <v>&lt;/li&gt;&lt;li&gt;&lt;a href=|http://asvbible.com/jeremiah/15.htm| title=|American Standard Version| target=|_top|&gt;ASV&lt;/a&gt;</v>
      </c>
      <c r="S760" t="str">
        <f t="shared" si="3036"/>
        <v>&lt;/li&gt;&lt;li&gt;&lt;a href=|http://drb.scripturetext.com/jeremiah/15.htm| title=|Douay-Rheims Bible| target=|_top|&gt;DRB&lt;/a&gt;</v>
      </c>
      <c r="T760" t="str">
        <f t="shared" si="3036"/>
        <v>&lt;/li&gt;&lt;li&gt;&lt;a href=|http://erv.scripturetext.com/jeremiah/15.htm| title=|English Revised Version| target=|_top|&gt;ERV&lt;/a&gt;</v>
      </c>
      <c r="V760" t="str">
        <f>CONCATENATE("&lt;/li&gt;&lt;li&gt;&lt;a href=|http://",V1191,"/jeremiah/15.htm","| ","title=|",V1190,"| target=|_top|&gt;",V1192,"&lt;/a&gt;")</f>
        <v>&lt;/li&gt;&lt;li&gt;&lt;a href=|http://study.interlinearbible.org/jeremiah/15.htm| title=|Hebrew Study Bible| target=|_top|&gt;Heb Study&lt;/a&gt;</v>
      </c>
      <c r="W760" t="str">
        <f t="shared" si="3036"/>
        <v>&lt;/li&gt;&lt;li&gt;&lt;a href=|http://apostolic.interlinearbible.org/jeremiah/15.htm| title=|Apostolic Bible Polyglot Interlinear| target=|_top|&gt;Polyglot&lt;/a&gt;</v>
      </c>
      <c r="X760" t="str">
        <f t="shared" si="3036"/>
        <v>&lt;/li&gt;&lt;li&gt;&lt;a href=|http://interlinearbible.org/jeremiah/15.htm| title=|Interlinear Bible| target=|_top|&gt;Interlin&lt;/a&gt;</v>
      </c>
      <c r="Y760" t="str">
        <f t="shared" ref="Y760" si="3037">CONCATENATE("&lt;/li&gt;&lt;li&gt;&lt;a href=|http://",Y1191,"/jeremiah/15.htm","| ","title=|",Y1190,"| target=|_top|&gt;",Y1192,"&lt;/a&gt;")</f>
        <v>&lt;/li&gt;&lt;li&gt;&lt;a href=|http://bibleoutline.org/jeremiah/15.htm| title=|Outline with People and Places List| target=|_top|&gt;Outline&lt;/a&gt;</v>
      </c>
      <c r="Z760" t="str">
        <f t="shared" si="3036"/>
        <v>&lt;/li&gt;&lt;li&gt;&lt;a href=|http://kjvs.scripturetext.com/jeremiah/15.htm| title=|King James Bible with Strong's Numbers| target=|_top|&gt;Strong's&lt;/a&gt;</v>
      </c>
      <c r="AA760" t="str">
        <f t="shared" si="3036"/>
        <v>&lt;/li&gt;&lt;li&gt;&lt;a href=|http://childrensbibleonline.com/jeremiah/15.htm| title=|The Children's Bible| target=|_top|&gt;Children's&lt;/a&gt;</v>
      </c>
      <c r="AB760" s="2" t="str">
        <f t="shared" si="3036"/>
        <v>&lt;/li&gt;&lt;li&gt;&lt;a href=|http://tsk.scripturetext.com/jeremiah/15.htm| title=|Treasury of Scripture Knowledge| target=|_top|&gt;TSK&lt;/a&gt;</v>
      </c>
      <c r="AC760" t="str">
        <f>CONCATENATE("&lt;a href=|http://",AC1191,"/jeremiah/15.htm","| ","title=|",AC1190,"| target=|_top|&gt;",AC1192,"&lt;/a&gt;")</f>
        <v>&lt;a href=|http://parallelbible.com/jeremiah/15.htm| title=|Parallel Chapters| target=|_top|&gt;PAR&lt;/a&gt;</v>
      </c>
      <c r="AD760" s="2" t="str">
        <f t="shared" ref="AD760:AK760" si="3038">CONCATENATE("&lt;/li&gt;&lt;li&gt;&lt;a href=|http://",AD1191,"/jeremiah/15.htm","| ","title=|",AD1190,"| target=|_top|&gt;",AD1192,"&lt;/a&gt;")</f>
        <v>&lt;/li&gt;&lt;li&gt;&lt;a href=|http://gsb.biblecommenter.com/jeremiah/15.htm| title=|Geneva Study Bible| target=|_top|&gt;GSB&lt;/a&gt;</v>
      </c>
      <c r="AE760" s="2" t="str">
        <f t="shared" si="3038"/>
        <v>&lt;/li&gt;&lt;li&gt;&lt;a href=|http://jfb.biblecommenter.com/jeremiah/15.htm| title=|Jamieson-Fausset-Brown Bible Commentary| target=|_top|&gt;JFB&lt;/a&gt;</v>
      </c>
      <c r="AF760" s="2" t="str">
        <f t="shared" si="3038"/>
        <v>&lt;/li&gt;&lt;li&gt;&lt;a href=|http://kjt.biblecommenter.com/jeremiah/15.htm| title=|King James Translators' Notes| target=|_top|&gt;KJT&lt;/a&gt;</v>
      </c>
      <c r="AG760" s="2" t="str">
        <f t="shared" si="3038"/>
        <v>&lt;/li&gt;&lt;li&gt;&lt;a href=|http://mhc.biblecommenter.com/jeremiah/15.htm| title=|Matthew Henry's Concise Commentary| target=|_top|&gt;MHC&lt;/a&gt;</v>
      </c>
      <c r="AH760" s="2" t="str">
        <f t="shared" si="3038"/>
        <v>&lt;/li&gt;&lt;li&gt;&lt;a href=|http://sco.biblecommenter.com/jeremiah/15.htm| title=|Scofield Reference Notes| target=|_top|&gt;SCO&lt;/a&gt;</v>
      </c>
      <c r="AI760" s="2" t="str">
        <f t="shared" si="3038"/>
        <v>&lt;/li&gt;&lt;li&gt;&lt;a href=|http://wes.biblecommenter.com/jeremiah/15.htm| title=|Wesley's Notes on the Bible| target=|_top|&gt;WES&lt;/a&gt;</v>
      </c>
      <c r="AJ760" t="str">
        <f t="shared" si="3038"/>
        <v>&lt;/li&gt;&lt;li&gt;&lt;a href=|http://worldebible.com/jeremiah/15.htm| title=|World English Bible| target=|_top|&gt;WEB&lt;/a&gt;</v>
      </c>
      <c r="AK760" t="str">
        <f t="shared" si="3038"/>
        <v>&lt;/li&gt;&lt;li&gt;&lt;a href=|http://yltbible.com/jeremiah/15.htm| title=|Young's Literal Translation| target=|_top|&gt;YLT&lt;/a&gt;</v>
      </c>
      <c r="AL760" t="str">
        <f>CONCATENATE("&lt;a href=|http://",AL1191,"/jeremiah/15.htm","| ","title=|",AL1190,"| target=|_top|&gt;",AL1192,"&lt;/a&gt;")</f>
        <v>&lt;a href=|http://kjv.us/jeremiah/15.htm| title=|American King James Version| target=|_top|&gt;AKJ&lt;/a&gt;</v>
      </c>
      <c r="AM760" t="str">
        <f t="shared" ref="AM760:AN760" si="3039">CONCATENATE("&lt;/li&gt;&lt;li&gt;&lt;a href=|http://",AM1191,"/jeremiah/15.htm","| ","title=|",AM1190,"| target=|_top|&gt;",AM1192,"&lt;/a&gt;")</f>
        <v>&lt;/li&gt;&lt;li&gt;&lt;a href=|http://basicenglishbible.com/jeremiah/15.htm| title=|Bible in Basic English| target=|_top|&gt;BBE&lt;/a&gt;</v>
      </c>
      <c r="AN760" t="str">
        <f t="shared" si="3039"/>
        <v>&lt;/li&gt;&lt;li&gt;&lt;a href=|http://darbybible.com/jeremiah/15.htm| title=|Darby Bible Translation| target=|_top|&gt;DBY&lt;/a&gt;</v>
      </c>
      <c r="AO76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6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6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60" t="str">
        <f>CONCATENATE("&lt;/li&gt;&lt;li&gt;&lt;a href=|http://",AR1191,"/jeremiah/15.htm","| ","title=|",AR1190,"| target=|_top|&gt;",AR1192,"&lt;/a&gt;")</f>
        <v>&lt;/li&gt;&lt;li&gt;&lt;a href=|http://websterbible.com/jeremiah/15.htm| title=|Webster's Bible Translation| target=|_top|&gt;WBS&lt;/a&gt;</v>
      </c>
      <c r="AS76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60" t="str">
        <f>CONCATENATE("&lt;/li&gt;&lt;li&gt;&lt;a href=|http://",AT1191,"/jeremiah/15-1.htm","| ","title=|",AT1190,"| target=|_top|&gt;",AT1192,"&lt;/a&gt;")</f>
        <v>&lt;/li&gt;&lt;li&gt;&lt;a href=|http://biblebrowser.com/jeremiah/15-1.htm| title=|Split View| target=|_top|&gt;Split&lt;/a&gt;</v>
      </c>
      <c r="AU760" s="2" t="s">
        <v>1276</v>
      </c>
      <c r="AV760" t="s">
        <v>64</v>
      </c>
    </row>
    <row r="761" spans="1:48">
      <c r="A761" t="s">
        <v>622</v>
      </c>
      <c r="B761" t="s">
        <v>802</v>
      </c>
      <c r="C761" t="s">
        <v>624</v>
      </c>
      <c r="D761" t="s">
        <v>1268</v>
      </c>
      <c r="E761" t="s">
        <v>1277</v>
      </c>
      <c r="F761" t="s">
        <v>1304</v>
      </c>
      <c r="G761" t="s">
        <v>1266</v>
      </c>
      <c r="H761" t="s">
        <v>1305</v>
      </c>
      <c r="I761" t="s">
        <v>1303</v>
      </c>
      <c r="J761" t="s">
        <v>1267</v>
      </c>
      <c r="K761" t="s">
        <v>1275</v>
      </c>
      <c r="L761" s="2" t="s">
        <v>1274</v>
      </c>
      <c r="M761" t="str">
        <f t="shared" ref="M761:AB761" si="3040">CONCATENATE("&lt;/li&gt;&lt;li&gt;&lt;a href=|http://",M1191,"/jeremiah/16.htm","| ","title=|",M1190,"| target=|_top|&gt;",M1192,"&lt;/a&gt;")</f>
        <v>&lt;/li&gt;&lt;li&gt;&lt;a href=|http://niv.scripturetext.com/jeremiah/16.htm| title=|New International Version| target=|_top|&gt;NIV&lt;/a&gt;</v>
      </c>
      <c r="N761" t="str">
        <f t="shared" si="3040"/>
        <v>&lt;/li&gt;&lt;li&gt;&lt;a href=|http://nlt.scripturetext.com/jeremiah/16.htm| title=|New Living Translation| target=|_top|&gt;NLT&lt;/a&gt;</v>
      </c>
      <c r="O761" t="str">
        <f t="shared" si="3040"/>
        <v>&lt;/li&gt;&lt;li&gt;&lt;a href=|http://nasb.scripturetext.com/jeremiah/16.htm| title=|New American Standard Bible| target=|_top|&gt;NAS&lt;/a&gt;</v>
      </c>
      <c r="P761" t="str">
        <f t="shared" si="3040"/>
        <v>&lt;/li&gt;&lt;li&gt;&lt;a href=|http://gwt.scripturetext.com/jeremiah/16.htm| title=|God's Word Translation| target=|_top|&gt;GWT&lt;/a&gt;</v>
      </c>
      <c r="Q761" t="str">
        <f t="shared" si="3040"/>
        <v>&lt;/li&gt;&lt;li&gt;&lt;a href=|http://kingjbible.com/jeremiah/16.htm| title=|King James Bible| target=|_top|&gt;KJV&lt;/a&gt;</v>
      </c>
      <c r="R761" t="str">
        <f t="shared" si="3040"/>
        <v>&lt;/li&gt;&lt;li&gt;&lt;a href=|http://asvbible.com/jeremiah/16.htm| title=|American Standard Version| target=|_top|&gt;ASV&lt;/a&gt;</v>
      </c>
      <c r="S761" t="str">
        <f t="shared" si="3040"/>
        <v>&lt;/li&gt;&lt;li&gt;&lt;a href=|http://drb.scripturetext.com/jeremiah/16.htm| title=|Douay-Rheims Bible| target=|_top|&gt;DRB&lt;/a&gt;</v>
      </c>
      <c r="T761" t="str">
        <f t="shared" si="3040"/>
        <v>&lt;/li&gt;&lt;li&gt;&lt;a href=|http://erv.scripturetext.com/jeremiah/16.htm| title=|English Revised Version| target=|_top|&gt;ERV&lt;/a&gt;</v>
      </c>
      <c r="V761" t="str">
        <f>CONCATENATE("&lt;/li&gt;&lt;li&gt;&lt;a href=|http://",V1191,"/jeremiah/16.htm","| ","title=|",V1190,"| target=|_top|&gt;",V1192,"&lt;/a&gt;")</f>
        <v>&lt;/li&gt;&lt;li&gt;&lt;a href=|http://study.interlinearbible.org/jeremiah/16.htm| title=|Hebrew Study Bible| target=|_top|&gt;Heb Study&lt;/a&gt;</v>
      </c>
      <c r="W761" t="str">
        <f t="shared" si="3040"/>
        <v>&lt;/li&gt;&lt;li&gt;&lt;a href=|http://apostolic.interlinearbible.org/jeremiah/16.htm| title=|Apostolic Bible Polyglot Interlinear| target=|_top|&gt;Polyglot&lt;/a&gt;</v>
      </c>
      <c r="X761" t="str">
        <f t="shared" si="3040"/>
        <v>&lt;/li&gt;&lt;li&gt;&lt;a href=|http://interlinearbible.org/jeremiah/16.htm| title=|Interlinear Bible| target=|_top|&gt;Interlin&lt;/a&gt;</v>
      </c>
      <c r="Y761" t="str">
        <f t="shared" ref="Y761" si="3041">CONCATENATE("&lt;/li&gt;&lt;li&gt;&lt;a href=|http://",Y1191,"/jeremiah/16.htm","| ","title=|",Y1190,"| target=|_top|&gt;",Y1192,"&lt;/a&gt;")</f>
        <v>&lt;/li&gt;&lt;li&gt;&lt;a href=|http://bibleoutline.org/jeremiah/16.htm| title=|Outline with People and Places List| target=|_top|&gt;Outline&lt;/a&gt;</v>
      </c>
      <c r="Z761" t="str">
        <f t="shared" si="3040"/>
        <v>&lt;/li&gt;&lt;li&gt;&lt;a href=|http://kjvs.scripturetext.com/jeremiah/16.htm| title=|King James Bible with Strong's Numbers| target=|_top|&gt;Strong's&lt;/a&gt;</v>
      </c>
      <c r="AA761" t="str">
        <f t="shared" si="3040"/>
        <v>&lt;/li&gt;&lt;li&gt;&lt;a href=|http://childrensbibleonline.com/jeremiah/16.htm| title=|The Children's Bible| target=|_top|&gt;Children's&lt;/a&gt;</v>
      </c>
      <c r="AB761" s="2" t="str">
        <f t="shared" si="3040"/>
        <v>&lt;/li&gt;&lt;li&gt;&lt;a href=|http://tsk.scripturetext.com/jeremiah/16.htm| title=|Treasury of Scripture Knowledge| target=|_top|&gt;TSK&lt;/a&gt;</v>
      </c>
      <c r="AC761" t="str">
        <f>CONCATENATE("&lt;a href=|http://",AC1191,"/jeremiah/16.htm","| ","title=|",AC1190,"| target=|_top|&gt;",AC1192,"&lt;/a&gt;")</f>
        <v>&lt;a href=|http://parallelbible.com/jeremiah/16.htm| title=|Parallel Chapters| target=|_top|&gt;PAR&lt;/a&gt;</v>
      </c>
      <c r="AD761" s="2" t="str">
        <f t="shared" ref="AD761:AK761" si="3042">CONCATENATE("&lt;/li&gt;&lt;li&gt;&lt;a href=|http://",AD1191,"/jeremiah/16.htm","| ","title=|",AD1190,"| target=|_top|&gt;",AD1192,"&lt;/a&gt;")</f>
        <v>&lt;/li&gt;&lt;li&gt;&lt;a href=|http://gsb.biblecommenter.com/jeremiah/16.htm| title=|Geneva Study Bible| target=|_top|&gt;GSB&lt;/a&gt;</v>
      </c>
      <c r="AE761" s="2" t="str">
        <f t="shared" si="3042"/>
        <v>&lt;/li&gt;&lt;li&gt;&lt;a href=|http://jfb.biblecommenter.com/jeremiah/16.htm| title=|Jamieson-Fausset-Brown Bible Commentary| target=|_top|&gt;JFB&lt;/a&gt;</v>
      </c>
      <c r="AF761" s="2" t="str">
        <f t="shared" si="3042"/>
        <v>&lt;/li&gt;&lt;li&gt;&lt;a href=|http://kjt.biblecommenter.com/jeremiah/16.htm| title=|King James Translators' Notes| target=|_top|&gt;KJT&lt;/a&gt;</v>
      </c>
      <c r="AG761" s="2" t="str">
        <f t="shared" si="3042"/>
        <v>&lt;/li&gt;&lt;li&gt;&lt;a href=|http://mhc.biblecommenter.com/jeremiah/16.htm| title=|Matthew Henry's Concise Commentary| target=|_top|&gt;MHC&lt;/a&gt;</v>
      </c>
      <c r="AH761" s="2" t="str">
        <f t="shared" si="3042"/>
        <v>&lt;/li&gt;&lt;li&gt;&lt;a href=|http://sco.biblecommenter.com/jeremiah/16.htm| title=|Scofield Reference Notes| target=|_top|&gt;SCO&lt;/a&gt;</v>
      </c>
      <c r="AI761" s="2" t="str">
        <f t="shared" si="3042"/>
        <v>&lt;/li&gt;&lt;li&gt;&lt;a href=|http://wes.biblecommenter.com/jeremiah/16.htm| title=|Wesley's Notes on the Bible| target=|_top|&gt;WES&lt;/a&gt;</v>
      </c>
      <c r="AJ761" t="str">
        <f t="shared" si="3042"/>
        <v>&lt;/li&gt;&lt;li&gt;&lt;a href=|http://worldebible.com/jeremiah/16.htm| title=|World English Bible| target=|_top|&gt;WEB&lt;/a&gt;</v>
      </c>
      <c r="AK761" t="str">
        <f t="shared" si="3042"/>
        <v>&lt;/li&gt;&lt;li&gt;&lt;a href=|http://yltbible.com/jeremiah/16.htm| title=|Young's Literal Translation| target=|_top|&gt;YLT&lt;/a&gt;</v>
      </c>
      <c r="AL761" t="str">
        <f>CONCATENATE("&lt;a href=|http://",AL1191,"/jeremiah/16.htm","| ","title=|",AL1190,"| target=|_top|&gt;",AL1192,"&lt;/a&gt;")</f>
        <v>&lt;a href=|http://kjv.us/jeremiah/16.htm| title=|American King James Version| target=|_top|&gt;AKJ&lt;/a&gt;</v>
      </c>
      <c r="AM761" t="str">
        <f t="shared" ref="AM761:AN761" si="3043">CONCATENATE("&lt;/li&gt;&lt;li&gt;&lt;a href=|http://",AM1191,"/jeremiah/16.htm","| ","title=|",AM1190,"| target=|_top|&gt;",AM1192,"&lt;/a&gt;")</f>
        <v>&lt;/li&gt;&lt;li&gt;&lt;a href=|http://basicenglishbible.com/jeremiah/16.htm| title=|Bible in Basic English| target=|_top|&gt;BBE&lt;/a&gt;</v>
      </c>
      <c r="AN761" t="str">
        <f t="shared" si="3043"/>
        <v>&lt;/li&gt;&lt;li&gt;&lt;a href=|http://darbybible.com/jeremiah/16.htm| title=|Darby Bible Translation| target=|_top|&gt;DBY&lt;/a&gt;</v>
      </c>
      <c r="AO76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6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6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61" t="str">
        <f>CONCATENATE("&lt;/li&gt;&lt;li&gt;&lt;a href=|http://",AR1191,"/jeremiah/16.htm","| ","title=|",AR1190,"| target=|_top|&gt;",AR1192,"&lt;/a&gt;")</f>
        <v>&lt;/li&gt;&lt;li&gt;&lt;a href=|http://websterbible.com/jeremiah/16.htm| title=|Webster's Bible Translation| target=|_top|&gt;WBS&lt;/a&gt;</v>
      </c>
      <c r="AS76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61" t="str">
        <f>CONCATENATE("&lt;/li&gt;&lt;li&gt;&lt;a href=|http://",AT1191,"/jeremiah/16-1.htm","| ","title=|",AT1190,"| target=|_top|&gt;",AT1192,"&lt;/a&gt;")</f>
        <v>&lt;/li&gt;&lt;li&gt;&lt;a href=|http://biblebrowser.com/jeremiah/16-1.htm| title=|Split View| target=|_top|&gt;Split&lt;/a&gt;</v>
      </c>
      <c r="AU761" s="2" t="s">
        <v>1276</v>
      </c>
      <c r="AV761" t="s">
        <v>64</v>
      </c>
    </row>
    <row r="762" spans="1:48">
      <c r="A762" t="s">
        <v>622</v>
      </c>
      <c r="B762" t="s">
        <v>803</v>
      </c>
      <c r="C762" t="s">
        <v>624</v>
      </c>
      <c r="D762" t="s">
        <v>1268</v>
      </c>
      <c r="E762" t="s">
        <v>1277</v>
      </c>
      <c r="F762" t="s">
        <v>1304</v>
      </c>
      <c r="G762" t="s">
        <v>1266</v>
      </c>
      <c r="H762" t="s">
        <v>1305</v>
      </c>
      <c r="I762" t="s">
        <v>1303</v>
      </c>
      <c r="J762" t="s">
        <v>1267</v>
      </c>
      <c r="K762" t="s">
        <v>1275</v>
      </c>
      <c r="L762" s="2" t="s">
        <v>1274</v>
      </c>
      <c r="M762" t="str">
        <f t="shared" ref="M762:AB762" si="3044">CONCATENATE("&lt;/li&gt;&lt;li&gt;&lt;a href=|http://",M1191,"/jeremiah/17.htm","| ","title=|",M1190,"| target=|_top|&gt;",M1192,"&lt;/a&gt;")</f>
        <v>&lt;/li&gt;&lt;li&gt;&lt;a href=|http://niv.scripturetext.com/jeremiah/17.htm| title=|New International Version| target=|_top|&gt;NIV&lt;/a&gt;</v>
      </c>
      <c r="N762" t="str">
        <f t="shared" si="3044"/>
        <v>&lt;/li&gt;&lt;li&gt;&lt;a href=|http://nlt.scripturetext.com/jeremiah/17.htm| title=|New Living Translation| target=|_top|&gt;NLT&lt;/a&gt;</v>
      </c>
      <c r="O762" t="str">
        <f t="shared" si="3044"/>
        <v>&lt;/li&gt;&lt;li&gt;&lt;a href=|http://nasb.scripturetext.com/jeremiah/17.htm| title=|New American Standard Bible| target=|_top|&gt;NAS&lt;/a&gt;</v>
      </c>
      <c r="P762" t="str">
        <f t="shared" si="3044"/>
        <v>&lt;/li&gt;&lt;li&gt;&lt;a href=|http://gwt.scripturetext.com/jeremiah/17.htm| title=|God's Word Translation| target=|_top|&gt;GWT&lt;/a&gt;</v>
      </c>
      <c r="Q762" t="str">
        <f t="shared" si="3044"/>
        <v>&lt;/li&gt;&lt;li&gt;&lt;a href=|http://kingjbible.com/jeremiah/17.htm| title=|King James Bible| target=|_top|&gt;KJV&lt;/a&gt;</v>
      </c>
      <c r="R762" t="str">
        <f t="shared" si="3044"/>
        <v>&lt;/li&gt;&lt;li&gt;&lt;a href=|http://asvbible.com/jeremiah/17.htm| title=|American Standard Version| target=|_top|&gt;ASV&lt;/a&gt;</v>
      </c>
      <c r="S762" t="str">
        <f t="shared" si="3044"/>
        <v>&lt;/li&gt;&lt;li&gt;&lt;a href=|http://drb.scripturetext.com/jeremiah/17.htm| title=|Douay-Rheims Bible| target=|_top|&gt;DRB&lt;/a&gt;</v>
      </c>
      <c r="T762" t="str">
        <f t="shared" si="3044"/>
        <v>&lt;/li&gt;&lt;li&gt;&lt;a href=|http://erv.scripturetext.com/jeremiah/17.htm| title=|English Revised Version| target=|_top|&gt;ERV&lt;/a&gt;</v>
      </c>
      <c r="V762" t="str">
        <f>CONCATENATE("&lt;/li&gt;&lt;li&gt;&lt;a href=|http://",V1191,"/jeremiah/17.htm","| ","title=|",V1190,"| target=|_top|&gt;",V1192,"&lt;/a&gt;")</f>
        <v>&lt;/li&gt;&lt;li&gt;&lt;a href=|http://study.interlinearbible.org/jeremiah/17.htm| title=|Hebrew Study Bible| target=|_top|&gt;Heb Study&lt;/a&gt;</v>
      </c>
      <c r="W762" t="str">
        <f t="shared" si="3044"/>
        <v>&lt;/li&gt;&lt;li&gt;&lt;a href=|http://apostolic.interlinearbible.org/jeremiah/17.htm| title=|Apostolic Bible Polyglot Interlinear| target=|_top|&gt;Polyglot&lt;/a&gt;</v>
      </c>
      <c r="X762" t="str">
        <f t="shared" si="3044"/>
        <v>&lt;/li&gt;&lt;li&gt;&lt;a href=|http://interlinearbible.org/jeremiah/17.htm| title=|Interlinear Bible| target=|_top|&gt;Interlin&lt;/a&gt;</v>
      </c>
      <c r="Y762" t="str">
        <f t="shared" ref="Y762" si="3045">CONCATENATE("&lt;/li&gt;&lt;li&gt;&lt;a href=|http://",Y1191,"/jeremiah/17.htm","| ","title=|",Y1190,"| target=|_top|&gt;",Y1192,"&lt;/a&gt;")</f>
        <v>&lt;/li&gt;&lt;li&gt;&lt;a href=|http://bibleoutline.org/jeremiah/17.htm| title=|Outline with People and Places List| target=|_top|&gt;Outline&lt;/a&gt;</v>
      </c>
      <c r="Z762" t="str">
        <f t="shared" si="3044"/>
        <v>&lt;/li&gt;&lt;li&gt;&lt;a href=|http://kjvs.scripturetext.com/jeremiah/17.htm| title=|King James Bible with Strong's Numbers| target=|_top|&gt;Strong's&lt;/a&gt;</v>
      </c>
      <c r="AA762" t="str">
        <f t="shared" si="3044"/>
        <v>&lt;/li&gt;&lt;li&gt;&lt;a href=|http://childrensbibleonline.com/jeremiah/17.htm| title=|The Children's Bible| target=|_top|&gt;Children's&lt;/a&gt;</v>
      </c>
      <c r="AB762" s="2" t="str">
        <f t="shared" si="3044"/>
        <v>&lt;/li&gt;&lt;li&gt;&lt;a href=|http://tsk.scripturetext.com/jeremiah/17.htm| title=|Treasury of Scripture Knowledge| target=|_top|&gt;TSK&lt;/a&gt;</v>
      </c>
      <c r="AC762" t="str">
        <f>CONCATENATE("&lt;a href=|http://",AC1191,"/jeremiah/17.htm","| ","title=|",AC1190,"| target=|_top|&gt;",AC1192,"&lt;/a&gt;")</f>
        <v>&lt;a href=|http://parallelbible.com/jeremiah/17.htm| title=|Parallel Chapters| target=|_top|&gt;PAR&lt;/a&gt;</v>
      </c>
      <c r="AD762" s="2" t="str">
        <f t="shared" ref="AD762:AK762" si="3046">CONCATENATE("&lt;/li&gt;&lt;li&gt;&lt;a href=|http://",AD1191,"/jeremiah/17.htm","| ","title=|",AD1190,"| target=|_top|&gt;",AD1192,"&lt;/a&gt;")</f>
        <v>&lt;/li&gt;&lt;li&gt;&lt;a href=|http://gsb.biblecommenter.com/jeremiah/17.htm| title=|Geneva Study Bible| target=|_top|&gt;GSB&lt;/a&gt;</v>
      </c>
      <c r="AE762" s="2" t="str">
        <f t="shared" si="3046"/>
        <v>&lt;/li&gt;&lt;li&gt;&lt;a href=|http://jfb.biblecommenter.com/jeremiah/17.htm| title=|Jamieson-Fausset-Brown Bible Commentary| target=|_top|&gt;JFB&lt;/a&gt;</v>
      </c>
      <c r="AF762" s="2" t="str">
        <f t="shared" si="3046"/>
        <v>&lt;/li&gt;&lt;li&gt;&lt;a href=|http://kjt.biblecommenter.com/jeremiah/17.htm| title=|King James Translators' Notes| target=|_top|&gt;KJT&lt;/a&gt;</v>
      </c>
      <c r="AG762" s="2" t="str">
        <f t="shared" si="3046"/>
        <v>&lt;/li&gt;&lt;li&gt;&lt;a href=|http://mhc.biblecommenter.com/jeremiah/17.htm| title=|Matthew Henry's Concise Commentary| target=|_top|&gt;MHC&lt;/a&gt;</v>
      </c>
      <c r="AH762" s="2" t="str">
        <f t="shared" si="3046"/>
        <v>&lt;/li&gt;&lt;li&gt;&lt;a href=|http://sco.biblecommenter.com/jeremiah/17.htm| title=|Scofield Reference Notes| target=|_top|&gt;SCO&lt;/a&gt;</v>
      </c>
      <c r="AI762" s="2" t="str">
        <f t="shared" si="3046"/>
        <v>&lt;/li&gt;&lt;li&gt;&lt;a href=|http://wes.biblecommenter.com/jeremiah/17.htm| title=|Wesley's Notes on the Bible| target=|_top|&gt;WES&lt;/a&gt;</v>
      </c>
      <c r="AJ762" t="str">
        <f t="shared" si="3046"/>
        <v>&lt;/li&gt;&lt;li&gt;&lt;a href=|http://worldebible.com/jeremiah/17.htm| title=|World English Bible| target=|_top|&gt;WEB&lt;/a&gt;</v>
      </c>
      <c r="AK762" t="str">
        <f t="shared" si="3046"/>
        <v>&lt;/li&gt;&lt;li&gt;&lt;a href=|http://yltbible.com/jeremiah/17.htm| title=|Young's Literal Translation| target=|_top|&gt;YLT&lt;/a&gt;</v>
      </c>
      <c r="AL762" t="str">
        <f>CONCATENATE("&lt;a href=|http://",AL1191,"/jeremiah/17.htm","| ","title=|",AL1190,"| target=|_top|&gt;",AL1192,"&lt;/a&gt;")</f>
        <v>&lt;a href=|http://kjv.us/jeremiah/17.htm| title=|American King James Version| target=|_top|&gt;AKJ&lt;/a&gt;</v>
      </c>
      <c r="AM762" t="str">
        <f t="shared" ref="AM762:AN762" si="3047">CONCATENATE("&lt;/li&gt;&lt;li&gt;&lt;a href=|http://",AM1191,"/jeremiah/17.htm","| ","title=|",AM1190,"| target=|_top|&gt;",AM1192,"&lt;/a&gt;")</f>
        <v>&lt;/li&gt;&lt;li&gt;&lt;a href=|http://basicenglishbible.com/jeremiah/17.htm| title=|Bible in Basic English| target=|_top|&gt;BBE&lt;/a&gt;</v>
      </c>
      <c r="AN762" t="str">
        <f t="shared" si="3047"/>
        <v>&lt;/li&gt;&lt;li&gt;&lt;a href=|http://darbybible.com/jeremiah/17.htm| title=|Darby Bible Translation| target=|_top|&gt;DBY&lt;/a&gt;</v>
      </c>
      <c r="AO76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6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6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62" t="str">
        <f>CONCATENATE("&lt;/li&gt;&lt;li&gt;&lt;a href=|http://",AR1191,"/jeremiah/17.htm","| ","title=|",AR1190,"| target=|_top|&gt;",AR1192,"&lt;/a&gt;")</f>
        <v>&lt;/li&gt;&lt;li&gt;&lt;a href=|http://websterbible.com/jeremiah/17.htm| title=|Webster's Bible Translation| target=|_top|&gt;WBS&lt;/a&gt;</v>
      </c>
      <c r="AS76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62" t="str">
        <f>CONCATENATE("&lt;/li&gt;&lt;li&gt;&lt;a href=|http://",AT1191,"/jeremiah/17-1.htm","| ","title=|",AT1190,"| target=|_top|&gt;",AT1192,"&lt;/a&gt;")</f>
        <v>&lt;/li&gt;&lt;li&gt;&lt;a href=|http://biblebrowser.com/jeremiah/17-1.htm| title=|Split View| target=|_top|&gt;Split&lt;/a&gt;</v>
      </c>
      <c r="AU762" s="2" t="s">
        <v>1276</v>
      </c>
      <c r="AV762" t="s">
        <v>64</v>
      </c>
    </row>
    <row r="763" spans="1:48">
      <c r="A763" t="s">
        <v>622</v>
      </c>
      <c r="B763" t="s">
        <v>804</v>
      </c>
      <c r="C763" t="s">
        <v>624</v>
      </c>
      <c r="D763" t="s">
        <v>1268</v>
      </c>
      <c r="E763" t="s">
        <v>1277</v>
      </c>
      <c r="F763" t="s">
        <v>1304</v>
      </c>
      <c r="G763" t="s">
        <v>1266</v>
      </c>
      <c r="H763" t="s">
        <v>1305</v>
      </c>
      <c r="I763" t="s">
        <v>1303</v>
      </c>
      <c r="J763" t="s">
        <v>1267</v>
      </c>
      <c r="K763" t="s">
        <v>1275</v>
      </c>
      <c r="L763" s="2" t="s">
        <v>1274</v>
      </c>
      <c r="M763" t="str">
        <f t="shared" ref="M763:AB763" si="3048">CONCATENATE("&lt;/li&gt;&lt;li&gt;&lt;a href=|http://",M1191,"/jeremiah/18.htm","| ","title=|",M1190,"| target=|_top|&gt;",M1192,"&lt;/a&gt;")</f>
        <v>&lt;/li&gt;&lt;li&gt;&lt;a href=|http://niv.scripturetext.com/jeremiah/18.htm| title=|New International Version| target=|_top|&gt;NIV&lt;/a&gt;</v>
      </c>
      <c r="N763" t="str">
        <f t="shared" si="3048"/>
        <v>&lt;/li&gt;&lt;li&gt;&lt;a href=|http://nlt.scripturetext.com/jeremiah/18.htm| title=|New Living Translation| target=|_top|&gt;NLT&lt;/a&gt;</v>
      </c>
      <c r="O763" t="str">
        <f t="shared" si="3048"/>
        <v>&lt;/li&gt;&lt;li&gt;&lt;a href=|http://nasb.scripturetext.com/jeremiah/18.htm| title=|New American Standard Bible| target=|_top|&gt;NAS&lt;/a&gt;</v>
      </c>
      <c r="P763" t="str">
        <f t="shared" si="3048"/>
        <v>&lt;/li&gt;&lt;li&gt;&lt;a href=|http://gwt.scripturetext.com/jeremiah/18.htm| title=|God's Word Translation| target=|_top|&gt;GWT&lt;/a&gt;</v>
      </c>
      <c r="Q763" t="str">
        <f t="shared" si="3048"/>
        <v>&lt;/li&gt;&lt;li&gt;&lt;a href=|http://kingjbible.com/jeremiah/18.htm| title=|King James Bible| target=|_top|&gt;KJV&lt;/a&gt;</v>
      </c>
      <c r="R763" t="str">
        <f t="shared" si="3048"/>
        <v>&lt;/li&gt;&lt;li&gt;&lt;a href=|http://asvbible.com/jeremiah/18.htm| title=|American Standard Version| target=|_top|&gt;ASV&lt;/a&gt;</v>
      </c>
      <c r="S763" t="str">
        <f t="shared" si="3048"/>
        <v>&lt;/li&gt;&lt;li&gt;&lt;a href=|http://drb.scripturetext.com/jeremiah/18.htm| title=|Douay-Rheims Bible| target=|_top|&gt;DRB&lt;/a&gt;</v>
      </c>
      <c r="T763" t="str">
        <f t="shared" si="3048"/>
        <v>&lt;/li&gt;&lt;li&gt;&lt;a href=|http://erv.scripturetext.com/jeremiah/18.htm| title=|English Revised Version| target=|_top|&gt;ERV&lt;/a&gt;</v>
      </c>
      <c r="V763" t="str">
        <f>CONCATENATE("&lt;/li&gt;&lt;li&gt;&lt;a href=|http://",V1191,"/jeremiah/18.htm","| ","title=|",V1190,"| target=|_top|&gt;",V1192,"&lt;/a&gt;")</f>
        <v>&lt;/li&gt;&lt;li&gt;&lt;a href=|http://study.interlinearbible.org/jeremiah/18.htm| title=|Hebrew Study Bible| target=|_top|&gt;Heb Study&lt;/a&gt;</v>
      </c>
      <c r="W763" t="str">
        <f t="shared" si="3048"/>
        <v>&lt;/li&gt;&lt;li&gt;&lt;a href=|http://apostolic.interlinearbible.org/jeremiah/18.htm| title=|Apostolic Bible Polyglot Interlinear| target=|_top|&gt;Polyglot&lt;/a&gt;</v>
      </c>
      <c r="X763" t="str">
        <f t="shared" si="3048"/>
        <v>&lt;/li&gt;&lt;li&gt;&lt;a href=|http://interlinearbible.org/jeremiah/18.htm| title=|Interlinear Bible| target=|_top|&gt;Interlin&lt;/a&gt;</v>
      </c>
      <c r="Y763" t="str">
        <f t="shared" ref="Y763" si="3049">CONCATENATE("&lt;/li&gt;&lt;li&gt;&lt;a href=|http://",Y1191,"/jeremiah/18.htm","| ","title=|",Y1190,"| target=|_top|&gt;",Y1192,"&lt;/a&gt;")</f>
        <v>&lt;/li&gt;&lt;li&gt;&lt;a href=|http://bibleoutline.org/jeremiah/18.htm| title=|Outline with People and Places List| target=|_top|&gt;Outline&lt;/a&gt;</v>
      </c>
      <c r="Z763" t="str">
        <f t="shared" si="3048"/>
        <v>&lt;/li&gt;&lt;li&gt;&lt;a href=|http://kjvs.scripturetext.com/jeremiah/18.htm| title=|King James Bible with Strong's Numbers| target=|_top|&gt;Strong's&lt;/a&gt;</v>
      </c>
      <c r="AA763" t="str">
        <f t="shared" si="3048"/>
        <v>&lt;/li&gt;&lt;li&gt;&lt;a href=|http://childrensbibleonline.com/jeremiah/18.htm| title=|The Children's Bible| target=|_top|&gt;Children's&lt;/a&gt;</v>
      </c>
      <c r="AB763" s="2" t="str">
        <f t="shared" si="3048"/>
        <v>&lt;/li&gt;&lt;li&gt;&lt;a href=|http://tsk.scripturetext.com/jeremiah/18.htm| title=|Treasury of Scripture Knowledge| target=|_top|&gt;TSK&lt;/a&gt;</v>
      </c>
      <c r="AC763" t="str">
        <f>CONCATENATE("&lt;a href=|http://",AC1191,"/jeremiah/18.htm","| ","title=|",AC1190,"| target=|_top|&gt;",AC1192,"&lt;/a&gt;")</f>
        <v>&lt;a href=|http://parallelbible.com/jeremiah/18.htm| title=|Parallel Chapters| target=|_top|&gt;PAR&lt;/a&gt;</v>
      </c>
      <c r="AD763" s="2" t="str">
        <f t="shared" ref="AD763:AK763" si="3050">CONCATENATE("&lt;/li&gt;&lt;li&gt;&lt;a href=|http://",AD1191,"/jeremiah/18.htm","| ","title=|",AD1190,"| target=|_top|&gt;",AD1192,"&lt;/a&gt;")</f>
        <v>&lt;/li&gt;&lt;li&gt;&lt;a href=|http://gsb.biblecommenter.com/jeremiah/18.htm| title=|Geneva Study Bible| target=|_top|&gt;GSB&lt;/a&gt;</v>
      </c>
      <c r="AE763" s="2" t="str">
        <f t="shared" si="3050"/>
        <v>&lt;/li&gt;&lt;li&gt;&lt;a href=|http://jfb.biblecommenter.com/jeremiah/18.htm| title=|Jamieson-Fausset-Brown Bible Commentary| target=|_top|&gt;JFB&lt;/a&gt;</v>
      </c>
      <c r="AF763" s="2" t="str">
        <f t="shared" si="3050"/>
        <v>&lt;/li&gt;&lt;li&gt;&lt;a href=|http://kjt.biblecommenter.com/jeremiah/18.htm| title=|King James Translators' Notes| target=|_top|&gt;KJT&lt;/a&gt;</v>
      </c>
      <c r="AG763" s="2" t="str">
        <f t="shared" si="3050"/>
        <v>&lt;/li&gt;&lt;li&gt;&lt;a href=|http://mhc.biblecommenter.com/jeremiah/18.htm| title=|Matthew Henry's Concise Commentary| target=|_top|&gt;MHC&lt;/a&gt;</v>
      </c>
      <c r="AH763" s="2" t="str">
        <f t="shared" si="3050"/>
        <v>&lt;/li&gt;&lt;li&gt;&lt;a href=|http://sco.biblecommenter.com/jeremiah/18.htm| title=|Scofield Reference Notes| target=|_top|&gt;SCO&lt;/a&gt;</v>
      </c>
      <c r="AI763" s="2" t="str">
        <f t="shared" si="3050"/>
        <v>&lt;/li&gt;&lt;li&gt;&lt;a href=|http://wes.biblecommenter.com/jeremiah/18.htm| title=|Wesley's Notes on the Bible| target=|_top|&gt;WES&lt;/a&gt;</v>
      </c>
      <c r="AJ763" t="str">
        <f t="shared" si="3050"/>
        <v>&lt;/li&gt;&lt;li&gt;&lt;a href=|http://worldebible.com/jeremiah/18.htm| title=|World English Bible| target=|_top|&gt;WEB&lt;/a&gt;</v>
      </c>
      <c r="AK763" t="str">
        <f t="shared" si="3050"/>
        <v>&lt;/li&gt;&lt;li&gt;&lt;a href=|http://yltbible.com/jeremiah/18.htm| title=|Young's Literal Translation| target=|_top|&gt;YLT&lt;/a&gt;</v>
      </c>
      <c r="AL763" t="str">
        <f>CONCATENATE("&lt;a href=|http://",AL1191,"/jeremiah/18.htm","| ","title=|",AL1190,"| target=|_top|&gt;",AL1192,"&lt;/a&gt;")</f>
        <v>&lt;a href=|http://kjv.us/jeremiah/18.htm| title=|American King James Version| target=|_top|&gt;AKJ&lt;/a&gt;</v>
      </c>
      <c r="AM763" t="str">
        <f t="shared" ref="AM763:AN763" si="3051">CONCATENATE("&lt;/li&gt;&lt;li&gt;&lt;a href=|http://",AM1191,"/jeremiah/18.htm","| ","title=|",AM1190,"| target=|_top|&gt;",AM1192,"&lt;/a&gt;")</f>
        <v>&lt;/li&gt;&lt;li&gt;&lt;a href=|http://basicenglishbible.com/jeremiah/18.htm| title=|Bible in Basic English| target=|_top|&gt;BBE&lt;/a&gt;</v>
      </c>
      <c r="AN763" t="str">
        <f t="shared" si="3051"/>
        <v>&lt;/li&gt;&lt;li&gt;&lt;a href=|http://darbybible.com/jeremiah/18.htm| title=|Darby Bible Translation| target=|_top|&gt;DBY&lt;/a&gt;</v>
      </c>
      <c r="AO76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6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6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63" t="str">
        <f>CONCATENATE("&lt;/li&gt;&lt;li&gt;&lt;a href=|http://",AR1191,"/jeremiah/18.htm","| ","title=|",AR1190,"| target=|_top|&gt;",AR1192,"&lt;/a&gt;")</f>
        <v>&lt;/li&gt;&lt;li&gt;&lt;a href=|http://websterbible.com/jeremiah/18.htm| title=|Webster's Bible Translation| target=|_top|&gt;WBS&lt;/a&gt;</v>
      </c>
      <c r="AS76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63" t="str">
        <f>CONCATENATE("&lt;/li&gt;&lt;li&gt;&lt;a href=|http://",AT1191,"/jeremiah/18-1.htm","| ","title=|",AT1190,"| target=|_top|&gt;",AT1192,"&lt;/a&gt;")</f>
        <v>&lt;/li&gt;&lt;li&gt;&lt;a href=|http://biblebrowser.com/jeremiah/18-1.htm| title=|Split View| target=|_top|&gt;Split&lt;/a&gt;</v>
      </c>
      <c r="AU763" s="2" t="s">
        <v>1276</v>
      </c>
      <c r="AV763" t="s">
        <v>64</v>
      </c>
    </row>
    <row r="764" spans="1:48">
      <c r="A764" t="s">
        <v>622</v>
      </c>
      <c r="B764" t="s">
        <v>805</v>
      </c>
      <c r="C764" t="s">
        <v>624</v>
      </c>
      <c r="D764" t="s">
        <v>1268</v>
      </c>
      <c r="E764" t="s">
        <v>1277</v>
      </c>
      <c r="F764" t="s">
        <v>1304</v>
      </c>
      <c r="G764" t="s">
        <v>1266</v>
      </c>
      <c r="H764" t="s">
        <v>1305</v>
      </c>
      <c r="I764" t="s">
        <v>1303</v>
      </c>
      <c r="J764" t="s">
        <v>1267</v>
      </c>
      <c r="K764" t="s">
        <v>1275</v>
      </c>
      <c r="L764" s="2" t="s">
        <v>1274</v>
      </c>
      <c r="M764" t="str">
        <f t="shared" ref="M764:AB764" si="3052">CONCATENATE("&lt;/li&gt;&lt;li&gt;&lt;a href=|http://",M1191,"/jeremiah/19.htm","| ","title=|",M1190,"| target=|_top|&gt;",M1192,"&lt;/a&gt;")</f>
        <v>&lt;/li&gt;&lt;li&gt;&lt;a href=|http://niv.scripturetext.com/jeremiah/19.htm| title=|New International Version| target=|_top|&gt;NIV&lt;/a&gt;</v>
      </c>
      <c r="N764" t="str">
        <f t="shared" si="3052"/>
        <v>&lt;/li&gt;&lt;li&gt;&lt;a href=|http://nlt.scripturetext.com/jeremiah/19.htm| title=|New Living Translation| target=|_top|&gt;NLT&lt;/a&gt;</v>
      </c>
      <c r="O764" t="str">
        <f t="shared" si="3052"/>
        <v>&lt;/li&gt;&lt;li&gt;&lt;a href=|http://nasb.scripturetext.com/jeremiah/19.htm| title=|New American Standard Bible| target=|_top|&gt;NAS&lt;/a&gt;</v>
      </c>
      <c r="P764" t="str">
        <f t="shared" si="3052"/>
        <v>&lt;/li&gt;&lt;li&gt;&lt;a href=|http://gwt.scripturetext.com/jeremiah/19.htm| title=|God's Word Translation| target=|_top|&gt;GWT&lt;/a&gt;</v>
      </c>
      <c r="Q764" t="str">
        <f t="shared" si="3052"/>
        <v>&lt;/li&gt;&lt;li&gt;&lt;a href=|http://kingjbible.com/jeremiah/19.htm| title=|King James Bible| target=|_top|&gt;KJV&lt;/a&gt;</v>
      </c>
      <c r="R764" t="str">
        <f t="shared" si="3052"/>
        <v>&lt;/li&gt;&lt;li&gt;&lt;a href=|http://asvbible.com/jeremiah/19.htm| title=|American Standard Version| target=|_top|&gt;ASV&lt;/a&gt;</v>
      </c>
      <c r="S764" t="str">
        <f t="shared" si="3052"/>
        <v>&lt;/li&gt;&lt;li&gt;&lt;a href=|http://drb.scripturetext.com/jeremiah/19.htm| title=|Douay-Rheims Bible| target=|_top|&gt;DRB&lt;/a&gt;</v>
      </c>
      <c r="T764" t="str">
        <f t="shared" si="3052"/>
        <v>&lt;/li&gt;&lt;li&gt;&lt;a href=|http://erv.scripturetext.com/jeremiah/19.htm| title=|English Revised Version| target=|_top|&gt;ERV&lt;/a&gt;</v>
      </c>
      <c r="V764" t="str">
        <f>CONCATENATE("&lt;/li&gt;&lt;li&gt;&lt;a href=|http://",V1191,"/jeremiah/19.htm","| ","title=|",V1190,"| target=|_top|&gt;",V1192,"&lt;/a&gt;")</f>
        <v>&lt;/li&gt;&lt;li&gt;&lt;a href=|http://study.interlinearbible.org/jeremiah/19.htm| title=|Hebrew Study Bible| target=|_top|&gt;Heb Study&lt;/a&gt;</v>
      </c>
      <c r="W764" t="str">
        <f t="shared" si="3052"/>
        <v>&lt;/li&gt;&lt;li&gt;&lt;a href=|http://apostolic.interlinearbible.org/jeremiah/19.htm| title=|Apostolic Bible Polyglot Interlinear| target=|_top|&gt;Polyglot&lt;/a&gt;</v>
      </c>
      <c r="X764" t="str">
        <f t="shared" si="3052"/>
        <v>&lt;/li&gt;&lt;li&gt;&lt;a href=|http://interlinearbible.org/jeremiah/19.htm| title=|Interlinear Bible| target=|_top|&gt;Interlin&lt;/a&gt;</v>
      </c>
      <c r="Y764" t="str">
        <f t="shared" ref="Y764" si="3053">CONCATENATE("&lt;/li&gt;&lt;li&gt;&lt;a href=|http://",Y1191,"/jeremiah/19.htm","| ","title=|",Y1190,"| target=|_top|&gt;",Y1192,"&lt;/a&gt;")</f>
        <v>&lt;/li&gt;&lt;li&gt;&lt;a href=|http://bibleoutline.org/jeremiah/19.htm| title=|Outline with People and Places List| target=|_top|&gt;Outline&lt;/a&gt;</v>
      </c>
      <c r="Z764" t="str">
        <f t="shared" si="3052"/>
        <v>&lt;/li&gt;&lt;li&gt;&lt;a href=|http://kjvs.scripturetext.com/jeremiah/19.htm| title=|King James Bible with Strong's Numbers| target=|_top|&gt;Strong's&lt;/a&gt;</v>
      </c>
      <c r="AA764" t="str">
        <f t="shared" si="3052"/>
        <v>&lt;/li&gt;&lt;li&gt;&lt;a href=|http://childrensbibleonline.com/jeremiah/19.htm| title=|The Children's Bible| target=|_top|&gt;Children's&lt;/a&gt;</v>
      </c>
      <c r="AB764" s="2" t="str">
        <f t="shared" si="3052"/>
        <v>&lt;/li&gt;&lt;li&gt;&lt;a href=|http://tsk.scripturetext.com/jeremiah/19.htm| title=|Treasury of Scripture Knowledge| target=|_top|&gt;TSK&lt;/a&gt;</v>
      </c>
      <c r="AC764" t="str">
        <f>CONCATENATE("&lt;a href=|http://",AC1191,"/jeremiah/19.htm","| ","title=|",AC1190,"| target=|_top|&gt;",AC1192,"&lt;/a&gt;")</f>
        <v>&lt;a href=|http://parallelbible.com/jeremiah/19.htm| title=|Parallel Chapters| target=|_top|&gt;PAR&lt;/a&gt;</v>
      </c>
      <c r="AD764" s="2" t="str">
        <f t="shared" ref="AD764:AK764" si="3054">CONCATENATE("&lt;/li&gt;&lt;li&gt;&lt;a href=|http://",AD1191,"/jeremiah/19.htm","| ","title=|",AD1190,"| target=|_top|&gt;",AD1192,"&lt;/a&gt;")</f>
        <v>&lt;/li&gt;&lt;li&gt;&lt;a href=|http://gsb.biblecommenter.com/jeremiah/19.htm| title=|Geneva Study Bible| target=|_top|&gt;GSB&lt;/a&gt;</v>
      </c>
      <c r="AE764" s="2" t="str">
        <f t="shared" si="3054"/>
        <v>&lt;/li&gt;&lt;li&gt;&lt;a href=|http://jfb.biblecommenter.com/jeremiah/19.htm| title=|Jamieson-Fausset-Brown Bible Commentary| target=|_top|&gt;JFB&lt;/a&gt;</v>
      </c>
      <c r="AF764" s="2" t="str">
        <f t="shared" si="3054"/>
        <v>&lt;/li&gt;&lt;li&gt;&lt;a href=|http://kjt.biblecommenter.com/jeremiah/19.htm| title=|King James Translators' Notes| target=|_top|&gt;KJT&lt;/a&gt;</v>
      </c>
      <c r="AG764" s="2" t="str">
        <f t="shared" si="3054"/>
        <v>&lt;/li&gt;&lt;li&gt;&lt;a href=|http://mhc.biblecommenter.com/jeremiah/19.htm| title=|Matthew Henry's Concise Commentary| target=|_top|&gt;MHC&lt;/a&gt;</v>
      </c>
      <c r="AH764" s="2" t="str">
        <f t="shared" si="3054"/>
        <v>&lt;/li&gt;&lt;li&gt;&lt;a href=|http://sco.biblecommenter.com/jeremiah/19.htm| title=|Scofield Reference Notes| target=|_top|&gt;SCO&lt;/a&gt;</v>
      </c>
      <c r="AI764" s="2" t="str">
        <f t="shared" si="3054"/>
        <v>&lt;/li&gt;&lt;li&gt;&lt;a href=|http://wes.biblecommenter.com/jeremiah/19.htm| title=|Wesley's Notes on the Bible| target=|_top|&gt;WES&lt;/a&gt;</v>
      </c>
      <c r="AJ764" t="str">
        <f t="shared" si="3054"/>
        <v>&lt;/li&gt;&lt;li&gt;&lt;a href=|http://worldebible.com/jeremiah/19.htm| title=|World English Bible| target=|_top|&gt;WEB&lt;/a&gt;</v>
      </c>
      <c r="AK764" t="str">
        <f t="shared" si="3054"/>
        <v>&lt;/li&gt;&lt;li&gt;&lt;a href=|http://yltbible.com/jeremiah/19.htm| title=|Young's Literal Translation| target=|_top|&gt;YLT&lt;/a&gt;</v>
      </c>
      <c r="AL764" t="str">
        <f>CONCATENATE("&lt;a href=|http://",AL1191,"/jeremiah/19.htm","| ","title=|",AL1190,"| target=|_top|&gt;",AL1192,"&lt;/a&gt;")</f>
        <v>&lt;a href=|http://kjv.us/jeremiah/19.htm| title=|American King James Version| target=|_top|&gt;AKJ&lt;/a&gt;</v>
      </c>
      <c r="AM764" t="str">
        <f t="shared" ref="AM764:AN764" si="3055">CONCATENATE("&lt;/li&gt;&lt;li&gt;&lt;a href=|http://",AM1191,"/jeremiah/19.htm","| ","title=|",AM1190,"| target=|_top|&gt;",AM1192,"&lt;/a&gt;")</f>
        <v>&lt;/li&gt;&lt;li&gt;&lt;a href=|http://basicenglishbible.com/jeremiah/19.htm| title=|Bible in Basic English| target=|_top|&gt;BBE&lt;/a&gt;</v>
      </c>
      <c r="AN764" t="str">
        <f t="shared" si="3055"/>
        <v>&lt;/li&gt;&lt;li&gt;&lt;a href=|http://darbybible.com/jeremiah/19.htm| title=|Darby Bible Translation| target=|_top|&gt;DBY&lt;/a&gt;</v>
      </c>
      <c r="AO76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6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6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64" t="str">
        <f>CONCATENATE("&lt;/li&gt;&lt;li&gt;&lt;a href=|http://",AR1191,"/jeremiah/19.htm","| ","title=|",AR1190,"| target=|_top|&gt;",AR1192,"&lt;/a&gt;")</f>
        <v>&lt;/li&gt;&lt;li&gt;&lt;a href=|http://websterbible.com/jeremiah/19.htm| title=|Webster's Bible Translation| target=|_top|&gt;WBS&lt;/a&gt;</v>
      </c>
      <c r="AS76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64" t="str">
        <f>CONCATENATE("&lt;/li&gt;&lt;li&gt;&lt;a href=|http://",AT1191,"/jeremiah/19-1.htm","| ","title=|",AT1190,"| target=|_top|&gt;",AT1192,"&lt;/a&gt;")</f>
        <v>&lt;/li&gt;&lt;li&gt;&lt;a href=|http://biblebrowser.com/jeremiah/19-1.htm| title=|Split View| target=|_top|&gt;Split&lt;/a&gt;</v>
      </c>
      <c r="AU764" s="2" t="s">
        <v>1276</v>
      </c>
      <c r="AV764" t="s">
        <v>64</v>
      </c>
    </row>
    <row r="765" spans="1:48">
      <c r="A765" t="s">
        <v>622</v>
      </c>
      <c r="B765" t="s">
        <v>806</v>
      </c>
      <c r="C765" t="s">
        <v>624</v>
      </c>
      <c r="D765" t="s">
        <v>1268</v>
      </c>
      <c r="E765" t="s">
        <v>1277</v>
      </c>
      <c r="F765" t="s">
        <v>1304</v>
      </c>
      <c r="G765" t="s">
        <v>1266</v>
      </c>
      <c r="H765" t="s">
        <v>1305</v>
      </c>
      <c r="I765" t="s">
        <v>1303</v>
      </c>
      <c r="J765" t="s">
        <v>1267</v>
      </c>
      <c r="K765" t="s">
        <v>1275</v>
      </c>
      <c r="L765" s="2" t="s">
        <v>1274</v>
      </c>
      <c r="M765" t="str">
        <f t="shared" ref="M765:AB765" si="3056">CONCATENATE("&lt;/li&gt;&lt;li&gt;&lt;a href=|http://",M1191,"/jeremiah/20.htm","| ","title=|",M1190,"| target=|_top|&gt;",M1192,"&lt;/a&gt;")</f>
        <v>&lt;/li&gt;&lt;li&gt;&lt;a href=|http://niv.scripturetext.com/jeremiah/20.htm| title=|New International Version| target=|_top|&gt;NIV&lt;/a&gt;</v>
      </c>
      <c r="N765" t="str">
        <f t="shared" si="3056"/>
        <v>&lt;/li&gt;&lt;li&gt;&lt;a href=|http://nlt.scripturetext.com/jeremiah/20.htm| title=|New Living Translation| target=|_top|&gt;NLT&lt;/a&gt;</v>
      </c>
      <c r="O765" t="str">
        <f t="shared" si="3056"/>
        <v>&lt;/li&gt;&lt;li&gt;&lt;a href=|http://nasb.scripturetext.com/jeremiah/20.htm| title=|New American Standard Bible| target=|_top|&gt;NAS&lt;/a&gt;</v>
      </c>
      <c r="P765" t="str">
        <f t="shared" si="3056"/>
        <v>&lt;/li&gt;&lt;li&gt;&lt;a href=|http://gwt.scripturetext.com/jeremiah/20.htm| title=|God's Word Translation| target=|_top|&gt;GWT&lt;/a&gt;</v>
      </c>
      <c r="Q765" t="str">
        <f t="shared" si="3056"/>
        <v>&lt;/li&gt;&lt;li&gt;&lt;a href=|http://kingjbible.com/jeremiah/20.htm| title=|King James Bible| target=|_top|&gt;KJV&lt;/a&gt;</v>
      </c>
      <c r="R765" t="str">
        <f t="shared" si="3056"/>
        <v>&lt;/li&gt;&lt;li&gt;&lt;a href=|http://asvbible.com/jeremiah/20.htm| title=|American Standard Version| target=|_top|&gt;ASV&lt;/a&gt;</v>
      </c>
      <c r="S765" t="str">
        <f t="shared" si="3056"/>
        <v>&lt;/li&gt;&lt;li&gt;&lt;a href=|http://drb.scripturetext.com/jeremiah/20.htm| title=|Douay-Rheims Bible| target=|_top|&gt;DRB&lt;/a&gt;</v>
      </c>
      <c r="T765" t="str">
        <f t="shared" si="3056"/>
        <v>&lt;/li&gt;&lt;li&gt;&lt;a href=|http://erv.scripturetext.com/jeremiah/20.htm| title=|English Revised Version| target=|_top|&gt;ERV&lt;/a&gt;</v>
      </c>
      <c r="V765" t="str">
        <f>CONCATENATE("&lt;/li&gt;&lt;li&gt;&lt;a href=|http://",V1191,"/jeremiah/20.htm","| ","title=|",V1190,"| target=|_top|&gt;",V1192,"&lt;/a&gt;")</f>
        <v>&lt;/li&gt;&lt;li&gt;&lt;a href=|http://study.interlinearbible.org/jeremiah/20.htm| title=|Hebrew Study Bible| target=|_top|&gt;Heb Study&lt;/a&gt;</v>
      </c>
      <c r="W765" t="str">
        <f t="shared" si="3056"/>
        <v>&lt;/li&gt;&lt;li&gt;&lt;a href=|http://apostolic.interlinearbible.org/jeremiah/20.htm| title=|Apostolic Bible Polyglot Interlinear| target=|_top|&gt;Polyglot&lt;/a&gt;</v>
      </c>
      <c r="X765" t="str">
        <f t="shared" si="3056"/>
        <v>&lt;/li&gt;&lt;li&gt;&lt;a href=|http://interlinearbible.org/jeremiah/20.htm| title=|Interlinear Bible| target=|_top|&gt;Interlin&lt;/a&gt;</v>
      </c>
      <c r="Y765" t="str">
        <f t="shared" ref="Y765" si="3057">CONCATENATE("&lt;/li&gt;&lt;li&gt;&lt;a href=|http://",Y1191,"/jeremiah/20.htm","| ","title=|",Y1190,"| target=|_top|&gt;",Y1192,"&lt;/a&gt;")</f>
        <v>&lt;/li&gt;&lt;li&gt;&lt;a href=|http://bibleoutline.org/jeremiah/20.htm| title=|Outline with People and Places List| target=|_top|&gt;Outline&lt;/a&gt;</v>
      </c>
      <c r="Z765" t="str">
        <f t="shared" si="3056"/>
        <v>&lt;/li&gt;&lt;li&gt;&lt;a href=|http://kjvs.scripturetext.com/jeremiah/20.htm| title=|King James Bible with Strong's Numbers| target=|_top|&gt;Strong's&lt;/a&gt;</v>
      </c>
      <c r="AA765" t="str">
        <f t="shared" si="3056"/>
        <v>&lt;/li&gt;&lt;li&gt;&lt;a href=|http://childrensbibleonline.com/jeremiah/20.htm| title=|The Children's Bible| target=|_top|&gt;Children's&lt;/a&gt;</v>
      </c>
      <c r="AB765" s="2" t="str">
        <f t="shared" si="3056"/>
        <v>&lt;/li&gt;&lt;li&gt;&lt;a href=|http://tsk.scripturetext.com/jeremiah/20.htm| title=|Treasury of Scripture Knowledge| target=|_top|&gt;TSK&lt;/a&gt;</v>
      </c>
      <c r="AC765" t="str">
        <f>CONCATENATE("&lt;a href=|http://",AC1191,"/jeremiah/20.htm","| ","title=|",AC1190,"| target=|_top|&gt;",AC1192,"&lt;/a&gt;")</f>
        <v>&lt;a href=|http://parallelbible.com/jeremiah/20.htm| title=|Parallel Chapters| target=|_top|&gt;PAR&lt;/a&gt;</v>
      </c>
      <c r="AD765" s="2" t="str">
        <f t="shared" ref="AD765:AK765" si="3058">CONCATENATE("&lt;/li&gt;&lt;li&gt;&lt;a href=|http://",AD1191,"/jeremiah/20.htm","| ","title=|",AD1190,"| target=|_top|&gt;",AD1192,"&lt;/a&gt;")</f>
        <v>&lt;/li&gt;&lt;li&gt;&lt;a href=|http://gsb.biblecommenter.com/jeremiah/20.htm| title=|Geneva Study Bible| target=|_top|&gt;GSB&lt;/a&gt;</v>
      </c>
      <c r="AE765" s="2" t="str">
        <f t="shared" si="3058"/>
        <v>&lt;/li&gt;&lt;li&gt;&lt;a href=|http://jfb.biblecommenter.com/jeremiah/20.htm| title=|Jamieson-Fausset-Brown Bible Commentary| target=|_top|&gt;JFB&lt;/a&gt;</v>
      </c>
      <c r="AF765" s="2" t="str">
        <f t="shared" si="3058"/>
        <v>&lt;/li&gt;&lt;li&gt;&lt;a href=|http://kjt.biblecommenter.com/jeremiah/20.htm| title=|King James Translators' Notes| target=|_top|&gt;KJT&lt;/a&gt;</v>
      </c>
      <c r="AG765" s="2" t="str">
        <f t="shared" si="3058"/>
        <v>&lt;/li&gt;&lt;li&gt;&lt;a href=|http://mhc.biblecommenter.com/jeremiah/20.htm| title=|Matthew Henry's Concise Commentary| target=|_top|&gt;MHC&lt;/a&gt;</v>
      </c>
      <c r="AH765" s="2" t="str">
        <f t="shared" si="3058"/>
        <v>&lt;/li&gt;&lt;li&gt;&lt;a href=|http://sco.biblecommenter.com/jeremiah/20.htm| title=|Scofield Reference Notes| target=|_top|&gt;SCO&lt;/a&gt;</v>
      </c>
      <c r="AI765" s="2" t="str">
        <f t="shared" si="3058"/>
        <v>&lt;/li&gt;&lt;li&gt;&lt;a href=|http://wes.biblecommenter.com/jeremiah/20.htm| title=|Wesley's Notes on the Bible| target=|_top|&gt;WES&lt;/a&gt;</v>
      </c>
      <c r="AJ765" t="str">
        <f t="shared" si="3058"/>
        <v>&lt;/li&gt;&lt;li&gt;&lt;a href=|http://worldebible.com/jeremiah/20.htm| title=|World English Bible| target=|_top|&gt;WEB&lt;/a&gt;</v>
      </c>
      <c r="AK765" t="str">
        <f t="shared" si="3058"/>
        <v>&lt;/li&gt;&lt;li&gt;&lt;a href=|http://yltbible.com/jeremiah/20.htm| title=|Young's Literal Translation| target=|_top|&gt;YLT&lt;/a&gt;</v>
      </c>
      <c r="AL765" t="str">
        <f>CONCATENATE("&lt;a href=|http://",AL1191,"/jeremiah/20.htm","| ","title=|",AL1190,"| target=|_top|&gt;",AL1192,"&lt;/a&gt;")</f>
        <v>&lt;a href=|http://kjv.us/jeremiah/20.htm| title=|American King James Version| target=|_top|&gt;AKJ&lt;/a&gt;</v>
      </c>
      <c r="AM765" t="str">
        <f t="shared" ref="AM765:AN765" si="3059">CONCATENATE("&lt;/li&gt;&lt;li&gt;&lt;a href=|http://",AM1191,"/jeremiah/20.htm","| ","title=|",AM1190,"| target=|_top|&gt;",AM1192,"&lt;/a&gt;")</f>
        <v>&lt;/li&gt;&lt;li&gt;&lt;a href=|http://basicenglishbible.com/jeremiah/20.htm| title=|Bible in Basic English| target=|_top|&gt;BBE&lt;/a&gt;</v>
      </c>
      <c r="AN765" t="str">
        <f t="shared" si="3059"/>
        <v>&lt;/li&gt;&lt;li&gt;&lt;a href=|http://darbybible.com/jeremiah/20.htm| title=|Darby Bible Translation| target=|_top|&gt;DBY&lt;/a&gt;</v>
      </c>
      <c r="AO76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6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6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65" t="str">
        <f>CONCATENATE("&lt;/li&gt;&lt;li&gt;&lt;a href=|http://",AR1191,"/jeremiah/20.htm","| ","title=|",AR1190,"| target=|_top|&gt;",AR1192,"&lt;/a&gt;")</f>
        <v>&lt;/li&gt;&lt;li&gt;&lt;a href=|http://websterbible.com/jeremiah/20.htm| title=|Webster's Bible Translation| target=|_top|&gt;WBS&lt;/a&gt;</v>
      </c>
      <c r="AS76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65" t="str">
        <f>CONCATENATE("&lt;/li&gt;&lt;li&gt;&lt;a href=|http://",AT1191,"/jeremiah/20-1.htm","| ","title=|",AT1190,"| target=|_top|&gt;",AT1192,"&lt;/a&gt;")</f>
        <v>&lt;/li&gt;&lt;li&gt;&lt;a href=|http://biblebrowser.com/jeremiah/20-1.htm| title=|Split View| target=|_top|&gt;Split&lt;/a&gt;</v>
      </c>
      <c r="AU765" s="2" t="s">
        <v>1276</v>
      </c>
      <c r="AV765" t="s">
        <v>64</v>
      </c>
    </row>
    <row r="766" spans="1:48">
      <c r="A766" t="s">
        <v>622</v>
      </c>
      <c r="B766" t="s">
        <v>807</v>
      </c>
      <c r="C766" t="s">
        <v>624</v>
      </c>
      <c r="D766" t="s">
        <v>1268</v>
      </c>
      <c r="E766" t="s">
        <v>1277</v>
      </c>
      <c r="F766" t="s">
        <v>1304</v>
      </c>
      <c r="G766" t="s">
        <v>1266</v>
      </c>
      <c r="H766" t="s">
        <v>1305</v>
      </c>
      <c r="I766" t="s">
        <v>1303</v>
      </c>
      <c r="J766" t="s">
        <v>1267</v>
      </c>
      <c r="K766" t="s">
        <v>1275</v>
      </c>
      <c r="L766" s="2" t="s">
        <v>1274</v>
      </c>
      <c r="M766" t="str">
        <f t="shared" ref="M766:AB766" si="3060">CONCATENATE("&lt;/li&gt;&lt;li&gt;&lt;a href=|http://",M1191,"/jeremiah/21.htm","| ","title=|",M1190,"| target=|_top|&gt;",M1192,"&lt;/a&gt;")</f>
        <v>&lt;/li&gt;&lt;li&gt;&lt;a href=|http://niv.scripturetext.com/jeremiah/21.htm| title=|New International Version| target=|_top|&gt;NIV&lt;/a&gt;</v>
      </c>
      <c r="N766" t="str">
        <f t="shared" si="3060"/>
        <v>&lt;/li&gt;&lt;li&gt;&lt;a href=|http://nlt.scripturetext.com/jeremiah/21.htm| title=|New Living Translation| target=|_top|&gt;NLT&lt;/a&gt;</v>
      </c>
      <c r="O766" t="str">
        <f t="shared" si="3060"/>
        <v>&lt;/li&gt;&lt;li&gt;&lt;a href=|http://nasb.scripturetext.com/jeremiah/21.htm| title=|New American Standard Bible| target=|_top|&gt;NAS&lt;/a&gt;</v>
      </c>
      <c r="P766" t="str">
        <f t="shared" si="3060"/>
        <v>&lt;/li&gt;&lt;li&gt;&lt;a href=|http://gwt.scripturetext.com/jeremiah/21.htm| title=|God's Word Translation| target=|_top|&gt;GWT&lt;/a&gt;</v>
      </c>
      <c r="Q766" t="str">
        <f t="shared" si="3060"/>
        <v>&lt;/li&gt;&lt;li&gt;&lt;a href=|http://kingjbible.com/jeremiah/21.htm| title=|King James Bible| target=|_top|&gt;KJV&lt;/a&gt;</v>
      </c>
      <c r="R766" t="str">
        <f t="shared" si="3060"/>
        <v>&lt;/li&gt;&lt;li&gt;&lt;a href=|http://asvbible.com/jeremiah/21.htm| title=|American Standard Version| target=|_top|&gt;ASV&lt;/a&gt;</v>
      </c>
      <c r="S766" t="str">
        <f t="shared" si="3060"/>
        <v>&lt;/li&gt;&lt;li&gt;&lt;a href=|http://drb.scripturetext.com/jeremiah/21.htm| title=|Douay-Rheims Bible| target=|_top|&gt;DRB&lt;/a&gt;</v>
      </c>
      <c r="T766" t="str">
        <f t="shared" si="3060"/>
        <v>&lt;/li&gt;&lt;li&gt;&lt;a href=|http://erv.scripturetext.com/jeremiah/21.htm| title=|English Revised Version| target=|_top|&gt;ERV&lt;/a&gt;</v>
      </c>
      <c r="V766" t="str">
        <f>CONCATENATE("&lt;/li&gt;&lt;li&gt;&lt;a href=|http://",V1191,"/jeremiah/21.htm","| ","title=|",V1190,"| target=|_top|&gt;",V1192,"&lt;/a&gt;")</f>
        <v>&lt;/li&gt;&lt;li&gt;&lt;a href=|http://study.interlinearbible.org/jeremiah/21.htm| title=|Hebrew Study Bible| target=|_top|&gt;Heb Study&lt;/a&gt;</v>
      </c>
      <c r="W766" t="str">
        <f t="shared" si="3060"/>
        <v>&lt;/li&gt;&lt;li&gt;&lt;a href=|http://apostolic.interlinearbible.org/jeremiah/21.htm| title=|Apostolic Bible Polyglot Interlinear| target=|_top|&gt;Polyglot&lt;/a&gt;</v>
      </c>
      <c r="X766" t="str">
        <f t="shared" si="3060"/>
        <v>&lt;/li&gt;&lt;li&gt;&lt;a href=|http://interlinearbible.org/jeremiah/21.htm| title=|Interlinear Bible| target=|_top|&gt;Interlin&lt;/a&gt;</v>
      </c>
      <c r="Y766" t="str">
        <f t="shared" ref="Y766" si="3061">CONCATENATE("&lt;/li&gt;&lt;li&gt;&lt;a href=|http://",Y1191,"/jeremiah/21.htm","| ","title=|",Y1190,"| target=|_top|&gt;",Y1192,"&lt;/a&gt;")</f>
        <v>&lt;/li&gt;&lt;li&gt;&lt;a href=|http://bibleoutline.org/jeremiah/21.htm| title=|Outline with People and Places List| target=|_top|&gt;Outline&lt;/a&gt;</v>
      </c>
      <c r="Z766" t="str">
        <f t="shared" si="3060"/>
        <v>&lt;/li&gt;&lt;li&gt;&lt;a href=|http://kjvs.scripturetext.com/jeremiah/21.htm| title=|King James Bible with Strong's Numbers| target=|_top|&gt;Strong's&lt;/a&gt;</v>
      </c>
      <c r="AA766" t="str">
        <f t="shared" si="3060"/>
        <v>&lt;/li&gt;&lt;li&gt;&lt;a href=|http://childrensbibleonline.com/jeremiah/21.htm| title=|The Children's Bible| target=|_top|&gt;Children's&lt;/a&gt;</v>
      </c>
      <c r="AB766" s="2" t="str">
        <f t="shared" si="3060"/>
        <v>&lt;/li&gt;&lt;li&gt;&lt;a href=|http://tsk.scripturetext.com/jeremiah/21.htm| title=|Treasury of Scripture Knowledge| target=|_top|&gt;TSK&lt;/a&gt;</v>
      </c>
      <c r="AC766" t="str">
        <f>CONCATENATE("&lt;a href=|http://",AC1191,"/jeremiah/21.htm","| ","title=|",AC1190,"| target=|_top|&gt;",AC1192,"&lt;/a&gt;")</f>
        <v>&lt;a href=|http://parallelbible.com/jeremiah/21.htm| title=|Parallel Chapters| target=|_top|&gt;PAR&lt;/a&gt;</v>
      </c>
      <c r="AD766" s="2" t="str">
        <f t="shared" ref="AD766:AK766" si="3062">CONCATENATE("&lt;/li&gt;&lt;li&gt;&lt;a href=|http://",AD1191,"/jeremiah/21.htm","| ","title=|",AD1190,"| target=|_top|&gt;",AD1192,"&lt;/a&gt;")</f>
        <v>&lt;/li&gt;&lt;li&gt;&lt;a href=|http://gsb.biblecommenter.com/jeremiah/21.htm| title=|Geneva Study Bible| target=|_top|&gt;GSB&lt;/a&gt;</v>
      </c>
      <c r="AE766" s="2" t="str">
        <f t="shared" si="3062"/>
        <v>&lt;/li&gt;&lt;li&gt;&lt;a href=|http://jfb.biblecommenter.com/jeremiah/21.htm| title=|Jamieson-Fausset-Brown Bible Commentary| target=|_top|&gt;JFB&lt;/a&gt;</v>
      </c>
      <c r="AF766" s="2" t="str">
        <f t="shared" si="3062"/>
        <v>&lt;/li&gt;&lt;li&gt;&lt;a href=|http://kjt.biblecommenter.com/jeremiah/21.htm| title=|King James Translators' Notes| target=|_top|&gt;KJT&lt;/a&gt;</v>
      </c>
      <c r="AG766" s="2" t="str">
        <f t="shared" si="3062"/>
        <v>&lt;/li&gt;&lt;li&gt;&lt;a href=|http://mhc.biblecommenter.com/jeremiah/21.htm| title=|Matthew Henry's Concise Commentary| target=|_top|&gt;MHC&lt;/a&gt;</v>
      </c>
      <c r="AH766" s="2" t="str">
        <f t="shared" si="3062"/>
        <v>&lt;/li&gt;&lt;li&gt;&lt;a href=|http://sco.biblecommenter.com/jeremiah/21.htm| title=|Scofield Reference Notes| target=|_top|&gt;SCO&lt;/a&gt;</v>
      </c>
      <c r="AI766" s="2" t="str">
        <f t="shared" si="3062"/>
        <v>&lt;/li&gt;&lt;li&gt;&lt;a href=|http://wes.biblecommenter.com/jeremiah/21.htm| title=|Wesley's Notes on the Bible| target=|_top|&gt;WES&lt;/a&gt;</v>
      </c>
      <c r="AJ766" t="str">
        <f t="shared" si="3062"/>
        <v>&lt;/li&gt;&lt;li&gt;&lt;a href=|http://worldebible.com/jeremiah/21.htm| title=|World English Bible| target=|_top|&gt;WEB&lt;/a&gt;</v>
      </c>
      <c r="AK766" t="str">
        <f t="shared" si="3062"/>
        <v>&lt;/li&gt;&lt;li&gt;&lt;a href=|http://yltbible.com/jeremiah/21.htm| title=|Young's Literal Translation| target=|_top|&gt;YLT&lt;/a&gt;</v>
      </c>
      <c r="AL766" t="str">
        <f>CONCATENATE("&lt;a href=|http://",AL1191,"/jeremiah/21.htm","| ","title=|",AL1190,"| target=|_top|&gt;",AL1192,"&lt;/a&gt;")</f>
        <v>&lt;a href=|http://kjv.us/jeremiah/21.htm| title=|American King James Version| target=|_top|&gt;AKJ&lt;/a&gt;</v>
      </c>
      <c r="AM766" t="str">
        <f t="shared" ref="AM766:AN766" si="3063">CONCATENATE("&lt;/li&gt;&lt;li&gt;&lt;a href=|http://",AM1191,"/jeremiah/21.htm","| ","title=|",AM1190,"| target=|_top|&gt;",AM1192,"&lt;/a&gt;")</f>
        <v>&lt;/li&gt;&lt;li&gt;&lt;a href=|http://basicenglishbible.com/jeremiah/21.htm| title=|Bible in Basic English| target=|_top|&gt;BBE&lt;/a&gt;</v>
      </c>
      <c r="AN766" t="str">
        <f t="shared" si="3063"/>
        <v>&lt;/li&gt;&lt;li&gt;&lt;a href=|http://darbybible.com/jeremiah/21.htm| title=|Darby Bible Translation| target=|_top|&gt;DBY&lt;/a&gt;</v>
      </c>
      <c r="AO76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6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6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66" t="str">
        <f>CONCATENATE("&lt;/li&gt;&lt;li&gt;&lt;a href=|http://",AR1191,"/jeremiah/21.htm","| ","title=|",AR1190,"| target=|_top|&gt;",AR1192,"&lt;/a&gt;")</f>
        <v>&lt;/li&gt;&lt;li&gt;&lt;a href=|http://websterbible.com/jeremiah/21.htm| title=|Webster's Bible Translation| target=|_top|&gt;WBS&lt;/a&gt;</v>
      </c>
      <c r="AS76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66" t="str">
        <f>CONCATENATE("&lt;/li&gt;&lt;li&gt;&lt;a href=|http://",AT1191,"/jeremiah/21-1.htm","| ","title=|",AT1190,"| target=|_top|&gt;",AT1192,"&lt;/a&gt;")</f>
        <v>&lt;/li&gt;&lt;li&gt;&lt;a href=|http://biblebrowser.com/jeremiah/21-1.htm| title=|Split View| target=|_top|&gt;Split&lt;/a&gt;</v>
      </c>
      <c r="AU766" s="2" t="s">
        <v>1276</v>
      </c>
      <c r="AV766" t="s">
        <v>64</v>
      </c>
    </row>
    <row r="767" spans="1:48">
      <c r="A767" t="s">
        <v>622</v>
      </c>
      <c r="B767" t="s">
        <v>808</v>
      </c>
      <c r="C767" t="s">
        <v>624</v>
      </c>
      <c r="D767" t="s">
        <v>1268</v>
      </c>
      <c r="E767" t="s">
        <v>1277</v>
      </c>
      <c r="F767" t="s">
        <v>1304</v>
      </c>
      <c r="G767" t="s">
        <v>1266</v>
      </c>
      <c r="H767" t="s">
        <v>1305</v>
      </c>
      <c r="I767" t="s">
        <v>1303</v>
      </c>
      <c r="J767" t="s">
        <v>1267</v>
      </c>
      <c r="K767" t="s">
        <v>1275</v>
      </c>
      <c r="L767" s="2" t="s">
        <v>1274</v>
      </c>
      <c r="M767" t="str">
        <f t="shared" ref="M767:AB767" si="3064">CONCATENATE("&lt;/li&gt;&lt;li&gt;&lt;a href=|http://",M1191,"/jeremiah/22.htm","| ","title=|",M1190,"| target=|_top|&gt;",M1192,"&lt;/a&gt;")</f>
        <v>&lt;/li&gt;&lt;li&gt;&lt;a href=|http://niv.scripturetext.com/jeremiah/22.htm| title=|New International Version| target=|_top|&gt;NIV&lt;/a&gt;</v>
      </c>
      <c r="N767" t="str">
        <f t="shared" si="3064"/>
        <v>&lt;/li&gt;&lt;li&gt;&lt;a href=|http://nlt.scripturetext.com/jeremiah/22.htm| title=|New Living Translation| target=|_top|&gt;NLT&lt;/a&gt;</v>
      </c>
      <c r="O767" t="str">
        <f t="shared" si="3064"/>
        <v>&lt;/li&gt;&lt;li&gt;&lt;a href=|http://nasb.scripturetext.com/jeremiah/22.htm| title=|New American Standard Bible| target=|_top|&gt;NAS&lt;/a&gt;</v>
      </c>
      <c r="P767" t="str">
        <f t="shared" si="3064"/>
        <v>&lt;/li&gt;&lt;li&gt;&lt;a href=|http://gwt.scripturetext.com/jeremiah/22.htm| title=|God's Word Translation| target=|_top|&gt;GWT&lt;/a&gt;</v>
      </c>
      <c r="Q767" t="str">
        <f t="shared" si="3064"/>
        <v>&lt;/li&gt;&lt;li&gt;&lt;a href=|http://kingjbible.com/jeremiah/22.htm| title=|King James Bible| target=|_top|&gt;KJV&lt;/a&gt;</v>
      </c>
      <c r="R767" t="str">
        <f t="shared" si="3064"/>
        <v>&lt;/li&gt;&lt;li&gt;&lt;a href=|http://asvbible.com/jeremiah/22.htm| title=|American Standard Version| target=|_top|&gt;ASV&lt;/a&gt;</v>
      </c>
      <c r="S767" t="str">
        <f t="shared" si="3064"/>
        <v>&lt;/li&gt;&lt;li&gt;&lt;a href=|http://drb.scripturetext.com/jeremiah/22.htm| title=|Douay-Rheims Bible| target=|_top|&gt;DRB&lt;/a&gt;</v>
      </c>
      <c r="T767" t="str">
        <f t="shared" si="3064"/>
        <v>&lt;/li&gt;&lt;li&gt;&lt;a href=|http://erv.scripturetext.com/jeremiah/22.htm| title=|English Revised Version| target=|_top|&gt;ERV&lt;/a&gt;</v>
      </c>
      <c r="V767" t="str">
        <f>CONCATENATE("&lt;/li&gt;&lt;li&gt;&lt;a href=|http://",V1191,"/jeremiah/22.htm","| ","title=|",V1190,"| target=|_top|&gt;",V1192,"&lt;/a&gt;")</f>
        <v>&lt;/li&gt;&lt;li&gt;&lt;a href=|http://study.interlinearbible.org/jeremiah/22.htm| title=|Hebrew Study Bible| target=|_top|&gt;Heb Study&lt;/a&gt;</v>
      </c>
      <c r="W767" t="str">
        <f t="shared" si="3064"/>
        <v>&lt;/li&gt;&lt;li&gt;&lt;a href=|http://apostolic.interlinearbible.org/jeremiah/22.htm| title=|Apostolic Bible Polyglot Interlinear| target=|_top|&gt;Polyglot&lt;/a&gt;</v>
      </c>
      <c r="X767" t="str">
        <f t="shared" si="3064"/>
        <v>&lt;/li&gt;&lt;li&gt;&lt;a href=|http://interlinearbible.org/jeremiah/22.htm| title=|Interlinear Bible| target=|_top|&gt;Interlin&lt;/a&gt;</v>
      </c>
      <c r="Y767" t="str">
        <f t="shared" ref="Y767" si="3065">CONCATENATE("&lt;/li&gt;&lt;li&gt;&lt;a href=|http://",Y1191,"/jeremiah/22.htm","| ","title=|",Y1190,"| target=|_top|&gt;",Y1192,"&lt;/a&gt;")</f>
        <v>&lt;/li&gt;&lt;li&gt;&lt;a href=|http://bibleoutline.org/jeremiah/22.htm| title=|Outline with People and Places List| target=|_top|&gt;Outline&lt;/a&gt;</v>
      </c>
      <c r="Z767" t="str">
        <f t="shared" si="3064"/>
        <v>&lt;/li&gt;&lt;li&gt;&lt;a href=|http://kjvs.scripturetext.com/jeremiah/22.htm| title=|King James Bible with Strong's Numbers| target=|_top|&gt;Strong's&lt;/a&gt;</v>
      </c>
      <c r="AA767" t="str">
        <f t="shared" si="3064"/>
        <v>&lt;/li&gt;&lt;li&gt;&lt;a href=|http://childrensbibleonline.com/jeremiah/22.htm| title=|The Children's Bible| target=|_top|&gt;Children's&lt;/a&gt;</v>
      </c>
      <c r="AB767" s="2" t="str">
        <f t="shared" si="3064"/>
        <v>&lt;/li&gt;&lt;li&gt;&lt;a href=|http://tsk.scripturetext.com/jeremiah/22.htm| title=|Treasury of Scripture Knowledge| target=|_top|&gt;TSK&lt;/a&gt;</v>
      </c>
      <c r="AC767" t="str">
        <f>CONCATENATE("&lt;a href=|http://",AC1191,"/jeremiah/22.htm","| ","title=|",AC1190,"| target=|_top|&gt;",AC1192,"&lt;/a&gt;")</f>
        <v>&lt;a href=|http://parallelbible.com/jeremiah/22.htm| title=|Parallel Chapters| target=|_top|&gt;PAR&lt;/a&gt;</v>
      </c>
      <c r="AD767" s="2" t="str">
        <f t="shared" ref="AD767:AK767" si="3066">CONCATENATE("&lt;/li&gt;&lt;li&gt;&lt;a href=|http://",AD1191,"/jeremiah/22.htm","| ","title=|",AD1190,"| target=|_top|&gt;",AD1192,"&lt;/a&gt;")</f>
        <v>&lt;/li&gt;&lt;li&gt;&lt;a href=|http://gsb.biblecommenter.com/jeremiah/22.htm| title=|Geneva Study Bible| target=|_top|&gt;GSB&lt;/a&gt;</v>
      </c>
      <c r="AE767" s="2" t="str">
        <f t="shared" si="3066"/>
        <v>&lt;/li&gt;&lt;li&gt;&lt;a href=|http://jfb.biblecommenter.com/jeremiah/22.htm| title=|Jamieson-Fausset-Brown Bible Commentary| target=|_top|&gt;JFB&lt;/a&gt;</v>
      </c>
      <c r="AF767" s="2" t="str">
        <f t="shared" si="3066"/>
        <v>&lt;/li&gt;&lt;li&gt;&lt;a href=|http://kjt.biblecommenter.com/jeremiah/22.htm| title=|King James Translators' Notes| target=|_top|&gt;KJT&lt;/a&gt;</v>
      </c>
      <c r="AG767" s="2" t="str">
        <f t="shared" si="3066"/>
        <v>&lt;/li&gt;&lt;li&gt;&lt;a href=|http://mhc.biblecommenter.com/jeremiah/22.htm| title=|Matthew Henry's Concise Commentary| target=|_top|&gt;MHC&lt;/a&gt;</v>
      </c>
      <c r="AH767" s="2" t="str">
        <f t="shared" si="3066"/>
        <v>&lt;/li&gt;&lt;li&gt;&lt;a href=|http://sco.biblecommenter.com/jeremiah/22.htm| title=|Scofield Reference Notes| target=|_top|&gt;SCO&lt;/a&gt;</v>
      </c>
      <c r="AI767" s="2" t="str">
        <f t="shared" si="3066"/>
        <v>&lt;/li&gt;&lt;li&gt;&lt;a href=|http://wes.biblecommenter.com/jeremiah/22.htm| title=|Wesley's Notes on the Bible| target=|_top|&gt;WES&lt;/a&gt;</v>
      </c>
      <c r="AJ767" t="str">
        <f t="shared" si="3066"/>
        <v>&lt;/li&gt;&lt;li&gt;&lt;a href=|http://worldebible.com/jeremiah/22.htm| title=|World English Bible| target=|_top|&gt;WEB&lt;/a&gt;</v>
      </c>
      <c r="AK767" t="str">
        <f t="shared" si="3066"/>
        <v>&lt;/li&gt;&lt;li&gt;&lt;a href=|http://yltbible.com/jeremiah/22.htm| title=|Young's Literal Translation| target=|_top|&gt;YLT&lt;/a&gt;</v>
      </c>
      <c r="AL767" t="str">
        <f>CONCATENATE("&lt;a href=|http://",AL1191,"/jeremiah/22.htm","| ","title=|",AL1190,"| target=|_top|&gt;",AL1192,"&lt;/a&gt;")</f>
        <v>&lt;a href=|http://kjv.us/jeremiah/22.htm| title=|American King James Version| target=|_top|&gt;AKJ&lt;/a&gt;</v>
      </c>
      <c r="AM767" t="str">
        <f t="shared" ref="AM767:AN767" si="3067">CONCATENATE("&lt;/li&gt;&lt;li&gt;&lt;a href=|http://",AM1191,"/jeremiah/22.htm","| ","title=|",AM1190,"| target=|_top|&gt;",AM1192,"&lt;/a&gt;")</f>
        <v>&lt;/li&gt;&lt;li&gt;&lt;a href=|http://basicenglishbible.com/jeremiah/22.htm| title=|Bible in Basic English| target=|_top|&gt;BBE&lt;/a&gt;</v>
      </c>
      <c r="AN767" t="str">
        <f t="shared" si="3067"/>
        <v>&lt;/li&gt;&lt;li&gt;&lt;a href=|http://darbybible.com/jeremiah/22.htm| title=|Darby Bible Translation| target=|_top|&gt;DBY&lt;/a&gt;</v>
      </c>
      <c r="AO76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6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6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67" t="str">
        <f>CONCATENATE("&lt;/li&gt;&lt;li&gt;&lt;a href=|http://",AR1191,"/jeremiah/22.htm","| ","title=|",AR1190,"| target=|_top|&gt;",AR1192,"&lt;/a&gt;")</f>
        <v>&lt;/li&gt;&lt;li&gt;&lt;a href=|http://websterbible.com/jeremiah/22.htm| title=|Webster's Bible Translation| target=|_top|&gt;WBS&lt;/a&gt;</v>
      </c>
      <c r="AS76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67" t="str">
        <f>CONCATENATE("&lt;/li&gt;&lt;li&gt;&lt;a href=|http://",AT1191,"/jeremiah/22-1.htm","| ","title=|",AT1190,"| target=|_top|&gt;",AT1192,"&lt;/a&gt;")</f>
        <v>&lt;/li&gt;&lt;li&gt;&lt;a href=|http://biblebrowser.com/jeremiah/22-1.htm| title=|Split View| target=|_top|&gt;Split&lt;/a&gt;</v>
      </c>
      <c r="AU767" s="2" t="s">
        <v>1276</v>
      </c>
      <c r="AV767" t="s">
        <v>64</v>
      </c>
    </row>
    <row r="768" spans="1:48">
      <c r="A768" t="s">
        <v>622</v>
      </c>
      <c r="B768" t="s">
        <v>809</v>
      </c>
      <c r="C768" t="s">
        <v>624</v>
      </c>
      <c r="D768" t="s">
        <v>1268</v>
      </c>
      <c r="E768" t="s">
        <v>1277</v>
      </c>
      <c r="F768" t="s">
        <v>1304</v>
      </c>
      <c r="G768" t="s">
        <v>1266</v>
      </c>
      <c r="H768" t="s">
        <v>1305</v>
      </c>
      <c r="I768" t="s">
        <v>1303</v>
      </c>
      <c r="J768" t="s">
        <v>1267</v>
      </c>
      <c r="K768" t="s">
        <v>1275</v>
      </c>
      <c r="L768" s="2" t="s">
        <v>1274</v>
      </c>
      <c r="M768" t="str">
        <f t="shared" ref="M768:AB768" si="3068">CONCATENATE("&lt;/li&gt;&lt;li&gt;&lt;a href=|http://",M1191,"/jeremiah/23.htm","| ","title=|",M1190,"| target=|_top|&gt;",M1192,"&lt;/a&gt;")</f>
        <v>&lt;/li&gt;&lt;li&gt;&lt;a href=|http://niv.scripturetext.com/jeremiah/23.htm| title=|New International Version| target=|_top|&gt;NIV&lt;/a&gt;</v>
      </c>
      <c r="N768" t="str">
        <f t="shared" si="3068"/>
        <v>&lt;/li&gt;&lt;li&gt;&lt;a href=|http://nlt.scripturetext.com/jeremiah/23.htm| title=|New Living Translation| target=|_top|&gt;NLT&lt;/a&gt;</v>
      </c>
      <c r="O768" t="str">
        <f t="shared" si="3068"/>
        <v>&lt;/li&gt;&lt;li&gt;&lt;a href=|http://nasb.scripturetext.com/jeremiah/23.htm| title=|New American Standard Bible| target=|_top|&gt;NAS&lt;/a&gt;</v>
      </c>
      <c r="P768" t="str">
        <f t="shared" si="3068"/>
        <v>&lt;/li&gt;&lt;li&gt;&lt;a href=|http://gwt.scripturetext.com/jeremiah/23.htm| title=|God's Word Translation| target=|_top|&gt;GWT&lt;/a&gt;</v>
      </c>
      <c r="Q768" t="str">
        <f t="shared" si="3068"/>
        <v>&lt;/li&gt;&lt;li&gt;&lt;a href=|http://kingjbible.com/jeremiah/23.htm| title=|King James Bible| target=|_top|&gt;KJV&lt;/a&gt;</v>
      </c>
      <c r="R768" t="str">
        <f t="shared" si="3068"/>
        <v>&lt;/li&gt;&lt;li&gt;&lt;a href=|http://asvbible.com/jeremiah/23.htm| title=|American Standard Version| target=|_top|&gt;ASV&lt;/a&gt;</v>
      </c>
      <c r="S768" t="str">
        <f t="shared" si="3068"/>
        <v>&lt;/li&gt;&lt;li&gt;&lt;a href=|http://drb.scripturetext.com/jeremiah/23.htm| title=|Douay-Rheims Bible| target=|_top|&gt;DRB&lt;/a&gt;</v>
      </c>
      <c r="T768" t="str">
        <f t="shared" si="3068"/>
        <v>&lt;/li&gt;&lt;li&gt;&lt;a href=|http://erv.scripturetext.com/jeremiah/23.htm| title=|English Revised Version| target=|_top|&gt;ERV&lt;/a&gt;</v>
      </c>
      <c r="V768" t="str">
        <f>CONCATENATE("&lt;/li&gt;&lt;li&gt;&lt;a href=|http://",V1191,"/jeremiah/23.htm","| ","title=|",V1190,"| target=|_top|&gt;",V1192,"&lt;/a&gt;")</f>
        <v>&lt;/li&gt;&lt;li&gt;&lt;a href=|http://study.interlinearbible.org/jeremiah/23.htm| title=|Hebrew Study Bible| target=|_top|&gt;Heb Study&lt;/a&gt;</v>
      </c>
      <c r="W768" t="str">
        <f t="shared" si="3068"/>
        <v>&lt;/li&gt;&lt;li&gt;&lt;a href=|http://apostolic.interlinearbible.org/jeremiah/23.htm| title=|Apostolic Bible Polyglot Interlinear| target=|_top|&gt;Polyglot&lt;/a&gt;</v>
      </c>
      <c r="X768" t="str">
        <f t="shared" si="3068"/>
        <v>&lt;/li&gt;&lt;li&gt;&lt;a href=|http://interlinearbible.org/jeremiah/23.htm| title=|Interlinear Bible| target=|_top|&gt;Interlin&lt;/a&gt;</v>
      </c>
      <c r="Y768" t="str">
        <f t="shared" ref="Y768" si="3069">CONCATENATE("&lt;/li&gt;&lt;li&gt;&lt;a href=|http://",Y1191,"/jeremiah/23.htm","| ","title=|",Y1190,"| target=|_top|&gt;",Y1192,"&lt;/a&gt;")</f>
        <v>&lt;/li&gt;&lt;li&gt;&lt;a href=|http://bibleoutline.org/jeremiah/23.htm| title=|Outline with People and Places List| target=|_top|&gt;Outline&lt;/a&gt;</v>
      </c>
      <c r="Z768" t="str">
        <f t="shared" si="3068"/>
        <v>&lt;/li&gt;&lt;li&gt;&lt;a href=|http://kjvs.scripturetext.com/jeremiah/23.htm| title=|King James Bible with Strong's Numbers| target=|_top|&gt;Strong's&lt;/a&gt;</v>
      </c>
      <c r="AA768" t="str">
        <f t="shared" si="3068"/>
        <v>&lt;/li&gt;&lt;li&gt;&lt;a href=|http://childrensbibleonline.com/jeremiah/23.htm| title=|The Children's Bible| target=|_top|&gt;Children's&lt;/a&gt;</v>
      </c>
      <c r="AB768" s="2" t="str">
        <f t="shared" si="3068"/>
        <v>&lt;/li&gt;&lt;li&gt;&lt;a href=|http://tsk.scripturetext.com/jeremiah/23.htm| title=|Treasury of Scripture Knowledge| target=|_top|&gt;TSK&lt;/a&gt;</v>
      </c>
      <c r="AC768" t="str">
        <f>CONCATENATE("&lt;a href=|http://",AC1191,"/jeremiah/23.htm","| ","title=|",AC1190,"| target=|_top|&gt;",AC1192,"&lt;/a&gt;")</f>
        <v>&lt;a href=|http://parallelbible.com/jeremiah/23.htm| title=|Parallel Chapters| target=|_top|&gt;PAR&lt;/a&gt;</v>
      </c>
      <c r="AD768" s="2" t="str">
        <f t="shared" ref="AD768:AK768" si="3070">CONCATENATE("&lt;/li&gt;&lt;li&gt;&lt;a href=|http://",AD1191,"/jeremiah/23.htm","| ","title=|",AD1190,"| target=|_top|&gt;",AD1192,"&lt;/a&gt;")</f>
        <v>&lt;/li&gt;&lt;li&gt;&lt;a href=|http://gsb.biblecommenter.com/jeremiah/23.htm| title=|Geneva Study Bible| target=|_top|&gt;GSB&lt;/a&gt;</v>
      </c>
      <c r="AE768" s="2" t="str">
        <f t="shared" si="3070"/>
        <v>&lt;/li&gt;&lt;li&gt;&lt;a href=|http://jfb.biblecommenter.com/jeremiah/23.htm| title=|Jamieson-Fausset-Brown Bible Commentary| target=|_top|&gt;JFB&lt;/a&gt;</v>
      </c>
      <c r="AF768" s="2" t="str">
        <f t="shared" si="3070"/>
        <v>&lt;/li&gt;&lt;li&gt;&lt;a href=|http://kjt.biblecommenter.com/jeremiah/23.htm| title=|King James Translators' Notes| target=|_top|&gt;KJT&lt;/a&gt;</v>
      </c>
      <c r="AG768" s="2" t="str">
        <f t="shared" si="3070"/>
        <v>&lt;/li&gt;&lt;li&gt;&lt;a href=|http://mhc.biblecommenter.com/jeremiah/23.htm| title=|Matthew Henry's Concise Commentary| target=|_top|&gt;MHC&lt;/a&gt;</v>
      </c>
      <c r="AH768" s="2" t="str">
        <f t="shared" si="3070"/>
        <v>&lt;/li&gt;&lt;li&gt;&lt;a href=|http://sco.biblecommenter.com/jeremiah/23.htm| title=|Scofield Reference Notes| target=|_top|&gt;SCO&lt;/a&gt;</v>
      </c>
      <c r="AI768" s="2" t="str">
        <f t="shared" si="3070"/>
        <v>&lt;/li&gt;&lt;li&gt;&lt;a href=|http://wes.biblecommenter.com/jeremiah/23.htm| title=|Wesley's Notes on the Bible| target=|_top|&gt;WES&lt;/a&gt;</v>
      </c>
      <c r="AJ768" t="str">
        <f t="shared" si="3070"/>
        <v>&lt;/li&gt;&lt;li&gt;&lt;a href=|http://worldebible.com/jeremiah/23.htm| title=|World English Bible| target=|_top|&gt;WEB&lt;/a&gt;</v>
      </c>
      <c r="AK768" t="str">
        <f t="shared" si="3070"/>
        <v>&lt;/li&gt;&lt;li&gt;&lt;a href=|http://yltbible.com/jeremiah/23.htm| title=|Young's Literal Translation| target=|_top|&gt;YLT&lt;/a&gt;</v>
      </c>
      <c r="AL768" t="str">
        <f>CONCATENATE("&lt;a href=|http://",AL1191,"/jeremiah/23.htm","| ","title=|",AL1190,"| target=|_top|&gt;",AL1192,"&lt;/a&gt;")</f>
        <v>&lt;a href=|http://kjv.us/jeremiah/23.htm| title=|American King James Version| target=|_top|&gt;AKJ&lt;/a&gt;</v>
      </c>
      <c r="AM768" t="str">
        <f t="shared" ref="AM768:AN768" si="3071">CONCATENATE("&lt;/li&gt;&lt;li&gt;&lt;a href=|http://",AM1191,"/jeremiah/23.htm","| ","title=|",AM1190,"| target=|_top|&gt;",AM1192,"&lt;/a&gt;")</f>
        <v>&lt;/li&gt;&lt;li&gt;&lt;a href=|http://basicenglishbible.com/jeremiah/23.htm| title=|Bible in Basic English| target=|_top|&gt;BBE&lt;/a&gt;</v>
      </c>
      <c r="AN768" t="str">
        <f t="shared" si="3071"/>
        <v>&lt;/li&gt;&lt;li&gt;&lt;a href=|http://darbybible.com/jeremiah/23.htm| title=|Darby Bible Translation| target=|_top|&gt;DBY&lt;/a&gt;</v>
      </c>
      <c r="AO76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6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6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68" t="str">
        <f>CONCATENATE("&lt;/li&gt;&lt;li&gt;&lt;a href=|http://",AR1191,"/jeremiah/23.htm","| ","title=|",AR1190,"| target=|_top|&gt;",AR1192,"&lt;/a&gt;")</f>
        <v>&lt;/li&gt;&lt;li&gt;&lt;a href=|http://websterbible.com/jeremiah/23.htm| title=|Webster's Bible Translation| target=|_top|&gt;WBS&lt;/a&gt;</v>
      </c>
      <c r="AS76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68" t="str">
        <f>CONCATENATE("&lt;/li&gt;&lt;li&gt;&lt;a href=|http://",AT1191,"/jeremiah/23-1.htm","| ","title=|",AT1190,"| target=|_top|&gt;",AT1192,"&lt;/a&gt;")</f>
        <v>&lt;/li&gt;&lt;li&gt;&lt;a href=|http://biblebrowser.com/jeremiah/23-1.htm| title=|Split View| target=|_top|&gt;Split&lt;/a&gt;</v>
      </c>
      <c r="AU768" s="2" t="s">
        <v>1276</v>
      </c>
      <c r="AV768" t="s">
        <v>64</v>
      </c>
    </row>
    <row r="769" spans="1:48">
      <c r="A769" t="s">
        <v>622</v>
      </c>
      <c r="B769" t="s">
        <v>810</v>
      </c>
      <c r="C769" t="s">
        <v>624</v>
      </c>
      <c r="D769" t="s">
        <v>1268</v>
      </c>
      <c r="E769" t="s">
        <v>1277</v>
      </c>
      <c r="F769" t="s">
        <v>1304</v>
      </c>
      <c r="G769" t="s">
        <v>1266</v>
      </c>
      <c r="H769" t="s">
        <v>1305</v>
      </c>
      <c r="I769" t="s">
        <v>1303</v>
      </c>
      <c r="J769" t="s">
        <v>1267</v>
      </c>
      <c r="K769" t="s">
        <v>1275</v>
      </c>
      <c r="L769" s="2" t="s">
        <v>1274</v>
      </c>
      <c r="M769" t="str">
        <f t="shared" ref="M769:AB769" si="3072">CONCATENATE("&lt;/li&gt;&lt;li&gt;&lt;a href=|http://",M1191,"/jeremiah/24.htm","| ","title=|",M1190,"| target=|_top|&gt;",M1192,"&lt;/a&gt;")</f>
        <v>&lt;/li&gt;&lt;li&gt;&lt;a href=|http://niv.scripturetext.com/jeremiah/24.htm| title=|New International Version| target=|_top|&gt;NIV&lt;/a&gt;</v>
      </c>
      <c r="N769" t="str">
        <f t="shared" si="3072"/>
        <v>&lt;/li&gt;&lt;li&gt;&lt;a href=|http://nlt.scripturetext.com/jeremiah/24.htm| title=|New Living Translation| target=|_top|&gt;NLT&lt;/a&gt;</v>
      </c>
      <c r="O769" t="str">
        <f t="shared" si="3072"/>
        <v>&lt;/li&gt;&lt;li&gt;&lt;a href=|http://nasb.scripturetext.com/jeremiah/24.htm| title=|New American Standard Bible| target=|_top|&gt;NAS&lt;/a&gt;</v>
      </c>
      <c r="P769" t="str">
        <f t="shared" si="3072"/>
        <v>&lt;/li&gt;&lt;li&gt;&lt;a href=|http://gwt.scripturetext.com/jeremiah/24.htm| title=|God's Word Translation| target=|_top|&gt;GWT&lt;/a&gt;</v>
      </c>
      <c r="Q769" t="str">
        <f t="shared" si="3072"/>
        <v>&lt;/li&gt;&lt;li&gt;&lt;a href=|http://kingjbible.com/jeremiah/24.htm| title=|King James Bible| target=|_top|&gt;KJV&lt;/a&gt;</v>
      </c>
      <c r="R769" t="str">
        <f t="shared" si="3072"/>
        <v>&lt;/li&gt;&lt;li&gt;&lt;a href=|http://asvbible.com/jeremiah/24.htm| title=|American Standard Version| target=|_top|&gt;ASV&lt;/a&gt;</v>
      </c>
      <c r="S769" t="str">
        <f t="shared" si="3072"/>
        <v>&lt;/li&gt;&lt;li&gt;&lt;a href=|http://drb.scripturetext.com/jeremiah/24.htm| title=|Douay-Rheims Bible| target=|_top|&gt;DRB&lt;/a&gt;</v>
      </c>
      <c r="T769" t="str">
        <f t="shared" si="3072"/>
        <v>&lt;/li&gt;&lt;li&gt;&lt;a href=|http://erv.scripturetext.com/jeremiah/24.htm| title=|English Revised Version| target=|_top|&gt;ERV&lt;/a&gt;</v>
      </c>
      <c r="V769" t="str">
        <f>CONCATENATE("&lt;/li&gt;&lt;li&gt;&lt;a href=|http://",V1191,"/jeremiah/24.htm","| ","title=|",V1190,"| target=|_top|&gt;",V1192,"&lt;/a&gt;")</f>
        <v>&lt;/li&gt;&lt;li&gt;&lt;a href=|http://study.interlinearbible.org/jeremiah/24.htm| title=|Hebrew Study Bible| target=|_top|&gt;Heb Study&lt;/a&gt;</v>
      </c>
      <c r="W769" t="str">
        <f t="shared" si="3072"/>
        <v>&lt;/li&gt;&lt;li&gt;&lt;a href=|http://apostolic.interlinearbible.org/jeremiah/24.htm| title=|Apostolic Bible Polyglot Interlinear| target=|_top|&gt;Polyglot&lt;/a&gt;</v>
      </c>
      <c r="X769" t="str">
        <f t="shared" si="3072"/>
        <v>&lt;/li&gt;&lt;li&gt;&lt;a href=|http://interlinearbible.org/jeremiah/24.htm| title=|Interlinear Bible| target=|_top|&gt;Interlin&lt;/a&gt;</v>
      </c>
      <c r="Y769" t="str">
        <f t="shared" ref="Y769" si="3073">CONCATENATE("&lt;/li&gt;&lt;li&gt;&lt;a href=|http://",Y1191,"/jeremiah/24.htm","| ","title=|",Y1190,"| target=|_top|&gt;",Y1192,"&lt;/a&gt;")</f>
        <v>&lt;/li&gt;&lt;li&gt;&lt;a href=|http://bibleoutline.org/jeremiah/24.htm| title=|Outline with People and Places List| target=|_top|&gt;Outline&lt;/a&gt;</v>
      </c>
      <c r="Z769" t="str">
        <f t="shared" si="3072"/>
        <v>&lt;/li&gt;&lt;li&gt;&lt;a href=|http://kjvs.scripturetext.com/jeremiah/24.htm| title=|King James Bible with Strong's Numbers| target=|_top|&gt;Strong's&lt;/a&gt;</v>
      </c>
      <c r="AA769" t="str">
        <f t="shared" si="3072"/>
        <v>&lt;/li&gt;&lt;li&gt;&lt;a href=|http://childrensbibleonline.com/jeremiah/24.htm| title=|The Children's Bible| target=|_top|&gt;Children's&lt;/a&gt;</v>
      </c>
      <c r="AB769" s="2" t="str">
        <f t="shared" si="3072"/>
        <v>&lt;/li&gt;&lt;li&gt;&lt;a href=|http://tsk.scripturetext.com/jeremiah/24.htm| title=|Treasury of Scripture Knowledge| target=|_top|&gt;TSK&lt;/a&gt;</v>
      </c>
      <c r="AC769" t="str">
        <f>CONCATENATE("&lt;a href=|http://",AC1191,"/jeremiah/24.htm","| ","title=|",AC1190,"| target=|_top|&gt;",AC1192,"&lt;/a&gt;")</f>
        <v>&lt;a href=|http://parallelbible.com/jeremiah/24.htm| title=|Parallel Chapters| target=|_top|&gt;PAR&lt;/a&gt;</v>
      </c>
      <c r="AD769" s="2" t="str">
        <f t="shared" ref="AD769:AK769" si="3074">CONCATENATE("&lt;/li&gt;&lt;li&gt;&lt;a href=|http://",AD1191,"/jeremiah/24.htm","| ","title=|",AD1190,"| target=|_top|&gt;",AD1192,"&lt;/a&gt;")</f>
        <v>&lt;/li&gt;&lt;li&gt;&lt;a href=|http://gsb.biblecommenter.com/jeremiah/24.htm| title=|Geneva Study Bible| target=|_top|&gt;GSB&lt;/a&gt;</v>
      </c>
      <c r="AE769" s="2" t="str">
        <f t="shared" si="3074"/>
        <v>&lt;/li&gt;&lt;li&gt;&lt;a href=|http://jfb.biblecommenter.com/jeremiah/24.htm| title=|Jamieson-Fausset-Brown Bible Commentary| target=|_top|&gt;JFB&lt;/a&gt;</v>
      </c>
      <c r="AF769" s="2" t="str">
        <f t="shared" si="3074"/>
        <v>&lt;/li&gt;&lt;li&gt;&lt;a href=|http://kjt.biblecommenter.com/jeremiah/24.htm| title=|King James Translators' Notes| target=|_top|&gt;KJT&lt;/a&gt;</v>
      </c>
      <c r="AG769" s="2" t="str">
        <f t="shared" si="3074"/>
        <v>&lt;/li&gt;&lt;li&gt;&lt;a href=|http://mhc.biblecommenter.com/jeremiah/24.htm| title=|Matthew Henry's Concise Commentary| target=|_top|&gt;MHC&lt;/a&gt;</v>
      </c>
      <c r="AH769" s="2" t="str">
        <f t="shared" si="3074"/>
        <v>&lt;/li&gt;&lt;li&gt;&lt;a href=|http://sco.biblecommenter.com/jeremiah/24.htm| title=|Scofield Reference Notes| target=|_top|&gt;SCO&lt;/a&gt;</v>
      </c>
      <c r="AI769" s="2" t="str">
        <f t="shared" si="3074"/>
        <v>&lt;/li&gt;&lt;li&gt;&lt;a href=|http://wes.biblecommenter.com/jeremiah/24.htm| title=|Wesley's Notes on the Bible| target=|_top|&gt;WES&lt;/a&gt;</v>
      </c>
      <c r="AJ769" t="str">
        <f t="shared" si="3074"/>
        <v>&lt;/li&gt;&lt;li&gt;&lt;a href=|http://worldebible.com/jeremiah/24.htm| title=|World English Bible| target=|_top|&gt;WEB&lt;/a&gt;</v>
      </c>
      <c r="AK769" t="str">
        <f t="shared" si="3074"/>
        <v>&lt;/li&gt;&lt;li&gt;&lt;a href=|http://yltbible.com/jeremiah/24.htm| title=|Young's Literal Translation| target=|_top|&gt;YLT&lt;/a&gt;</v>
      </c>
      <c r="AL769" t="str">
        <f>CONCATENATE("&lt;a href=|http://",AL1191,"/jeremiah/24.htm","| ","title=|",AL1190,"| target=|_top|&gt;",AL1192,"&lt;/a&gt;")</f>
        <v>&lt;a href=|http://kjv.us/jeremiah/24.htm| title=|American King James Version| target=|_top|&gt;AKJ&lt;/a&gt;</v>
      </c>
      <c r="AM769" t="str">
        <f t="shared" ref="AM769:AN769" si="3075">CONCATENATE("&lt;/li&gt;&lt;li&gt;&lt;a href=|http://",AM1191,"/jeremiah/24.htm","| ","title=|",AM1190,"| target=|_top|&gt;",AM1192,"&lt;/a&gt;")</f>
        <v>&lt;/li&gt;&lt;li&gt;&lt;a href=|http://basicenglishbible.com/jeremiah/24.htm| title=|Bible in Basic English| target=|_top|&gt;BBE&lt;/a&gt;</v>
      </c>
      <c r="AN769" t="str">
        <f t="shared" si="3075"/>
        <v>&lt;/li&gt;&lt;li&gt;&lt;a href=|http://darbybible.com/jeremiah/24.htm| title=|Darby Bible Translation| target=|_top|&gt;DBY&lt;/a&gt;</v>
      </c>
      <c r="AO76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6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6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69" t="str">
        <f>CONCATENATE("&lt;/li&gt;&lt;li&gt;&lt;a href=|http://",AR1191,"/jeremiah/24.htm","| ","title=|",AR1190,"| target=|_top|&gt;",AR1192,"&lt;/a&gt;")</f>
        <v>&lt;/li&gt;&lt;li&gt;&lt;a href=|http://websterbible.com/jeremiah/24.htm| title=|Webster's Bible Translation| target=|_top|&gt;WBS&lt;/a&gt;</v>
      </c>
      <c r="AS76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69" t="str">
        <f>CONCATENATE("&lt;/li&gt;&lt;li&gt;&lt;a href=|http://",AT1191,"/jeremiah/24-1.htm","| ","title=|",AT1190,"| target=|_top|&gt;",AT1192,"&lt;/a&gt;")</f>
        <v>&lt;/li&gt;&lt;li&gt;&lt;a href=|http://biblebrowser.com/jeremiah/24-1.htm| title=|Split View| target=|_top|&gt;Split&lt;/a&gt;</v>
      </c>
      <c r="AU769" s="2" t="s">
        <v>1276</v>
      </c>
      <c r="AV769" t="s">
        <v>64</v>
      </c>
    </row>
    <row r="770" spans="1:48">
      <c r="A770" t="s">
        <v>622</v>
      </c>
      <c r="B770" t="s">
        <v>811</v>
      </c>
      <c r="C770" t="s">
        <v>624</v>
      </c>
      <c r="D770" t="s">
        <v>1268</v>
      </c>
      <c r="E770" t="s">
        <v>1277</v>
      </c>
      <c r="F770" t="s">
        <v>1304</v>
      </c>
      <c r="G770" t="s">
        <v>1266</v>
      </c>
      <c r="H770" t="s">
        <v>1305</v>
      </c>
      <c r="I770" t="s">
        <v>1303</v>
      </c>
      <c r="J770" t="s">
        <v>1267</v>
      </c>
      <c r="K770" t="s">
        <v>1275</v>
      </c>
      <c r="L770" s="2" t="s">
        <v>1274</v>
      </c>
      <c r="M770" t="str">
        <f t="shared" ref="M770:AB770" si="3076">CONCATENATE("&lt;/li&gt;&lt;li&gt;&lt;a href=|http://",M1191,"/jeremiah/25.htm","| ","title=|",M1190,"| target=|_top|&gt;",M1192,"&lt;/a&gt;")</f>
        <v>&lt;/li&gt;&lt;li&gt;&lt;a href=|http://niv.scripturetext.com/jeremiah/25.htm| title=|New International Version| target=|_top|&gt;NIV&lt;/a&gt;</v>
      </c>
      <c r="N770" t="str">
        <f t="shared" si="3076"/>
        <v>&lt;/li&gt;&lt;li&gt;&lt;a href=|http://nlt.scripturetext.com/jeremiah/25.htm| title=|New Living Translation| target=|_top|&gt;NLT&lt;/a&gt;</v>
      </c>
      <c r="O770" t="str">
        <f t="shared" si="3076"/>
        <v>&lt;/li&gt;&lt;li&gt;&lt;a href=|http://nasb.scripturetext.com/jeremiah/25.htm| title=|New American Standard Bible| target=|_top|&gt;NAS&lt;/a&gt;</v>
      </c>
      <c r="P770" t="str">
        <f t="shared" si="3076"/>
        <v>&lt;/li&gt;&lt;li&gt;&lt;a href=|http://gwt.scripturetext.com/jeremiah/25.htm| title=|God's Word Translation| target=|_top|&gt;GWT&lt;/a&gt;</v>
      </c>
      <c r="Q770" t="str">
        <f t="shared" si="3076"/>
        <v>&lt;/li&gt;&lt;li&gt;&lt;a href=|http://kingjbible.com/jeremiah/25.htm| title=|King James Bible| target=|_top|&gt;KJV&lt;/a&gt;</v>
      </c>
      <c r="R770" t="str">
        <f t="shared" si="3076"/>
        <v>&lt;/li&gt;&lt;li&gt;&lt;a href=|http://asvbible.com/jeremiah/25.htm| title=|American Standard Version| target=|_top|&gt;ASV&lt;/a&gt;</v>
      </c>
      <c r="S770" t="str">
        <f t="shared" si="3076"/>
        <v>&lt;/li&gt;&lt;li&gt;&lt;a href=|http://drb.scripturetext.com/jeremiah/25.htm| title=|Douay-Rheims Bible| target=|_top|&gt;DRB&lt;/a&gt;</v>
      </c>
      <c r="T770" t="str">
        <f t="shared" si="3076"/>
        <v>&lt;/li&gt;&lt;li&gt;&lt;a href=|http://erv.scripturetext.com/jeremiah/25.htm| title=|English Revised Version| target=|_top|&gt;ERV&lt;/a&gt;</v>
      </c>
      <c r="V770" t="str">
        <f>CONCATENATE("&lt;/li&gt;&lt;li&gt;&lt;a href=|http://",V1191,"/jeremiah/25.htm","| ","title=|",V1190,"| target=|_top|&gt;",V1192,"&lt;/a&gt;")</f>
        <v>&lt;/li&gt;&lt;li&gt;&lt;a href=|http://study.interlinearbible.org/jeremiah/25.htm| title=|Hebrew Study Bible| target=|_top|&gt;Heb Study&lt;/a&gt;</v>
      </c>
      <c r="W770" t="str">
        <f t="shared" si="3076"/>
        <v>&lt;/li&gt;&lt;li&gt;&lt;a href=|http://apostolic.interlinearbible.org/jeremiah/25.htm| title=|Apostolic Bible Polyglot Interlinear| target=|_top|&gt;Polyglot&lt;/a&gt;</v>
      </c>
      <c r="X770" t="str">
        <f t="shared" si="3076"/>
        <v>&lt;/li&gt;&lt;li&gt;&lt;a href=|http://interlinearbible.org/jeremiah/25.htm| title=|Interlinear Bible| target=|_top|&gt;Interlin&lt;/a&gt;</v>
      </c>
      <c r="Y770" t="str">
        <f t="shared" ref="Y770" si="3077">CONCATENATE("&lt;/li&gt;&lt;li&gt;&lt;a href=|http://",Y1191,"/jeremiah/25.htm","| ","title=|",Y1190,"| target=|_top|&gt;",Y1192,"&lt;/a&gt;")</f>
        <v>&lt;/li&gt;&lt;li&gt;&lt;a href=|http://bibleoutline.org/jeremiah/25.htm| title=|Outline with People and Places List| target=|_top|&gt;Outline&lt;/a&gt;</v>
      </c>
      <c r="Z770" t="str">
        <f t="shared" si="3076"/>
        <v>&lt;/li&gt;&lt;li&gt;&lt;a href=|http://kjvs.scripturetext.com/jeremiah/25.htm| title=|King James Bible with Strong's Numbers| target=|_top|&gt;Strong's&lt;/a&gt;</v>
      </c>
      <c r="AA770" t="str">
        <f t="shared" si="3076"/>
        <v>&lt;/li&gt;&lt;li&gt;&lt;a href=|http://childrensbibleonline.com/jeremiah/25.htm| title=|The Children's Bible| target=|_top|&gt;Children's&lt;/a&gt;</v>
      </c>
      <c r="AB770" s="2" t="str">
        <f t="shared" si="3076"/>
        <v>&lt;/li&gt;&lt;li&gt;&lt;a href=|http://tsk.scripturetext.com/jeremiah/25.htm| title=|Treasury of Scripture Knowledge| target=|_top|&gt;TSK&lt;/a&gt;</v>
      </c>
      <c r="AC770" t="str">
        <f>CONCATENATE("&lt;a href=|http://",AC1191,"/jeremiah/25.htm","| ","title=|",AC1190,"| target=|_top|&gt;",AC1192,"&lt;/a&gt;")</f>
        <v>&lt;a href=|http://parallelbible.com/jeremiah/25.htm| title=|Parallel Chapters| target=|_top|&gt;PAR&lt;/a&gt;</v>
      </c>
      <c r="AD770" s="2" t="str">
        <f t="shared" ref="AD770:AK770" si="3078">CONCATENATE("&lt;/li&gt;&lt;li&gt;&lt;a href=|http://",AD1191,"/jeremiah/25.htm","| ","title=|",AD1190,"| target=|_top|&gt;",AD1192,"&lt;/a&gt;")</f>
        <v>&lt;/li&gt;&lt;li&gt;&lt;a href=|http://gsb.biblecommenter.com/jeremiah/25.htm| title=|Geneva Study Bible| target=|_top|&gt;GSB&lt;/a&gt;</v>
      </c>
      <c r="AE770" s="2" t="str">
        <f t="shared" si="3078"/>
        <v>&lt;/li&gt;&lt;li&gt;&lt;a href=|http://jfb.biblecommenter.com/jeremiah/25.htm| title=|Jamieson-Fausset-Brown Bible Commentary| target=|_top|&gt;JFB&lt;/a&gt;</v>
      </c>
      <c r="AF770" s="2" t="str">
        <f t="shared" si="3078"/>
        <v>&lt;/li&gt;&lt;li&gt;&lt;a href=|http://kjt.biblecommenter.com/jeremiah/25.htm| title=|King James Translators' Notes| target=|_top|&gt;KJT&lt;/a&gt;</v>
      </c>
      <c r="AG770" s="2" t="str">
        <f t="shared" si="3078"/>
        <v>&lt;/li&gt;&lt;li&gt;&lt;a href=|http://mhc.biblecommenter.com/jeremiah/25.htm| title=|Matthew Henry's Concise Commentary| target=|_top|&gt;MHC&lt;/a&gt;</v>
      </c>
      <c r="AH770" s="2" t="str">
        <f t="shared" si="3078"/>
        <v>&lt;/li&gt;&lt;li&gt;&lt;a href=|http://sco.biblecommenter.com/jeremiah/25.htm| title=|Scofield Reference Notes| target=|_top|&gt;SCO&lt;/a&gt;</v>
      </c>
      <c r="AI770" s="2" t="str">
        <f t="shared" si="3078"/>
        <v>&lt;/li&gt;&lt;li&gt;&lt;a href=|http://wes.biblecommenter.com/jeremiah/25.htm| title=|Wesley's Notes on the Bible| target=|_top|&gt;WES&lt;/a&gt;</v>
      </c>
      <c r="AJ770" t="str">
        <f t="shared" si="3078"/>
        <v>&lt;/li&gt;&lt;li&gt;&lt;a href=|http://worldebible.com/jeremiah/25.htm| title=|World English Bible| target=|_top|&gt;WEB&lt;/a&gt;</v>
      </c>
      <c r="AK770" t="str">
        <f t="shared" si="3078"/>
        <v>&lt;/li&gt;&lt;li&gt;&lt;a href=|http://yltbible.com/jeremiah/25.htm| title=|Young's Literal Translation| target=|_top|&gt;YLT&lt;/a&gt;</v>
      </c>
      <c r="AL770" t="str">
        <f>CONCATENATE("&lt;a href=|http://",AL1191,"/jeremiah/25.htm","| ","title=|",AL1190,"| target=|_top|&gt;",AL1192,"&lt;/a&gt;")</f>
        <v>&lt;a href=|http://kjv.us/jeremiah/25.htm| title=|American King James Version| target=|_top|&gt;AKJ&lt;/a&gt;</v>
      </c>
      <c r="AM770" t="str">
        <f t="shared" ref="AM770:AN770" si="3079">CONCATENATE("&lt;/li&gt;&lt;li&gt;&lt;a href=|http://",AM1191,"/jeremiah/25.htm","| ","title=|",AM1190,"| target=|_top|&gt;",AM1192,"&lt;/a&gt;")</f>
        <v>&lt;/li&gt;&lt;li&gt;&lt;a href=|http://basicenglishbible.com/jeremiah/25.htm| title=|Bible in Basic English| target=|_top|&gt;BBE&lt;/a&gt;</v>
      </c>
      <c r="AN770" t="str">
        <f t="shared" si="3079"/>
        <v>&lt;/li&gt;&lt;li&gt;&lt;a href=|http://darbybible.com/jeremiah/25.htm| title=|Darby Bible Translation| target=|_top|&gt;DBY&lt;/a&gt;</v>
      </c>
      <c r="AO77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7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7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70" t="str">
        <f>CONCATENATE("&lt;/li&gt;&lt;li&gt;&lt;a href=|http://",AR1191,"/jeremiah/25.htm","| ","title=|",AR1190,"| target=|_top|&gt;",AR1192,"&lt;/a&gt;")</f>
        <v>&lt;/li&gt;&lt;li&gt;&lt;a href=|http://websterbible.com/jeremiah/25.htm| title=|Webster's Bible Translation| target=|_top|&gt;WBS&lt;/a&gt;</v>
      </c>
      <c r="AS77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70" t="str">
        <f>CONCATENATE("&lt;/li&gt;&lt;li&gt;&lt;a href=|http://",AT1191,"/jeremiah/25-1.htm","| ","title=|",AT1190,"| target=|_top|&gt;",AT1192,"&lt;/a&gt;")</f>
        <v>&lt;/li&gt;&lt;li&gt;&lt;a href=|http://biblebrowser.com/jeremiah/25-1.htm| title=|Split View| target=|_top|&gt;Split&lt;/a&gt;</v>
      </c>
      <c r="AU770" s="2" t="s">
        <v>1276</v>
      </c>
      <c r="AV770" t="s">
        <v>64</v>
      </c>
    </row>
    <row r="771" spans="1:48">
      <c r="A771" t="s">
        <v>622</v>
      </c>
      <c r="B771" t="s">
        <v>812</v>
      </c>
      <c r="C771" t="s">
        <v>624</v>
      </c>
      <c r="D771" t="s">
        <v>1268</v>
      </c>
      <c r="E771" t="s">
        <v>1277</v>
      </c>
      <c r="F771" t="s">
        <v>1304</v>
      </c>
      <c r="G771" t="s">
        <v>1266</v>
      </c>
      <c r="H771" t="s">
        <v>1305</v>
      </c>
      <c r="I771" t="s">
        <v>1303</v>
      </c>
      <c r="J771" t="s">
        <v>1267</v>
      </c>
      <c r="K771" t="s">
        <v>1275</v>
      </c>
      <c r="L771" s="2" t="s">
        <v>1274</v>
      </c>
      <c r="M771" t="str">
        <f t="shared" ref="M771:AB771" si="3080">CONCATENATE("&lt;/li&gt;&lt;li&gt;&lt;a href=|http://",M1191,"/jeremiah/26.htm","| ","title=|",M1190,"| target=|_top|&gt;",M1192,"&lt;/a&gt;")</f>
        <v>&lt;/li&gt;&lt;li&gt;&lt;a href=|http://niv.scripturetext.com/jeremiah/26.htm| title=|New International Version| target=|_top|&gt;NIV&lt;/a&gt;</v>
      </c>
      <c r="N771" t="str">
        <f t="shared" si="3080"/>
        <v>&lt;/li&gt;&lt;li&gt;&lt;a href=|http://nlt.scripturetext.com/jeremiah/26.htm| title=|New Living Translation| target=|_top|&gt;NLT&lt;/a&gt;</v>
      </c>
      <c r="O771" t="str">
        <f t="shared" si="3080"/>
        <v>&lt;/li&gt;&lt;li&gt;&lt;a href=|http://nasb.scripturetext.com/jeremiah/26.htm| title=|New American Standard Bible| target=|_top|&gt;NAS&lt;/a&gt;</v>
      </c>
      <c r="P771" t="str">
        <f t="shared" si="3080"/>
        <v>&lt;/li&gt;&lt;li&gt;&lt;a href=|http://gwt.scripturetext.com/jeremiah/26.htm| title=|God's Word Translation| target=|_top|&gt;GWT&lt;/a&gt;</v>
      </c>
      <c r="Q771" t="str">
        <f t="shared" si="3080"/>
        <v>&lt;/li&gt;&lt;li&gt;&lt;a href=|http://kingjbible.com/jeremiah/26.htm| title=|King James Bible| target=|_top|&gt;KJV&lt;/a&gt;</v>
      </c>
      <c r="R771" t="str">
        <f t="shared" si="3080"/>
        <v>&lt;/li&gt;&lt;li&gt;&lt;a href=|http://asvbible.com/jeremiah/26.htm| title=|American Standard Version| target=|_top|&gt;ASV&lt;/a&gt;</v>
      </c>
      <c r="S771" t="str">
        <f t="shared" si="3080"/>
        <v>&lt;/li&gt;&lt;li&gt;&lt;a href=|http://drb.scripturetext.com/jeremiah/26.htm| title=|Douay-Rheims Bible| target=|_top|&gt;DRB&lt;/a&gt;</v>
      </c>
      <c r="T771" t="str">
        <f t="shared" si="3080"/>
        <v>&lt;/li&gt;&lt;li&gt;&lt;a href=|http://erv.scripturetext.com/jeremiah/26.htm| title=|English Revised Version| target=|_top|&gt;ERV&lt;/a&gt;</v>
      </c>
      <c r="V771" t="str">
        <f>CONCATENATE("&lt;/li&gt;&lt;li&gt;&lt;a href=|http://",V1191,"/jeremiah/26.htm","| ","title=|",V1190,"| target=|_top|&gt;",V1192,"&lt;/a&gt;")</f>
        <v>&lt;/li&gt;&lt;li&gt;&lt;a href=|http://study.interlinearbible.org/jeremiah/26.htm| title=|Hebrew Study Bible| target=|_top|&gt;Heb Study&lt;/a&gt;</v>
      </c>
      <c r="W771" t="str">
        <f t="shared" si="3080"/>
        <v>&lt;/li&gt;&lt;li&gt;&lt;a href=|http://apostolic.interlinearbible.org/jeremiah/26.htm| title=|Apostolic Bible Polyglot Interlinear| target=|_top|&gt;Polyglot&lt;/a&gt;</v>
      </c>
      <c r="X771" t="str">
        <f t="shared" si="3080"/>
        <v>&lt;/li&gt;&lt;li&gt;&lt;a href=|http://interlinearbible.org/jeremiah/26.htm| title=|Interlinear Bible| target=|_top|&gt;Interlin&lt;/a&gt;</v>
      </c>
      <c r="Y771" t="str">
        <f t="shared" ref="Y771" si="3081">CONCATENATE("&lt;/li&gt;&lt;li&gt;&lt;a href=|http://",Y1191,"/jeremiah/26.htm","| ","title=|",Y1190,"| target=|_top|&gt;",Y1192,"&lt;/a&gt;")</f>
        <v>&lt;/li&gt;&lt;li&gt;&lt;a href=|http://bibleoutline.org/jeremiah/26.htm| title=|Outline with People and Places List| target=|_top|&gt;Outline&lt;/a&gt;</v>
      </c>
      <c r="Z771" t="str">
        <f t="shared" si="3080"/>
        <v>&lt;/li&gt;&lt;li&gt;&lt;a href=|http://kjvs.scripturetext.com/jeremiah/26.htm| title=|King James Bible with Strong's Numbers| target=|_top|&gt;Strong's&lt;/a&gt;</v>
      </c>
      <c r="AA771" t="str">
        <f t="shared" si="3080"/>
        <v>&lt;/li&gt;&lt;li&gt;&lt;a href=|http://childrensbibleonline.com/jeremiah/26.htm| title=|The Children's Bible| target=|_top|&gt;Children's&lt;/a&gt;</v>
      </c>
      <c r="AB771" s="2" t="str">
        <f t="shared" si="3080"/>
        <v>&lt;/li&gt;&lt;li&gt;&lt;a href=|http://tsk.scripturetext.com/jeremiah/26.htm| title=|Treasury of Scripture Knowledge| target=|_top|&gt;TSK&lt;/a&gt;</v>
      </c>
      <c r="AC771" t="str">
        <f>CONCATENATE("&lt;a href=|http://",AC1191,"/jeremiah/26.htm","| ","title=|",AC1190,"| target=|_top|&gt;",AC1192,"&lt;/a&gt;")</f>
        <v>&lt;a href=|http://parallelbible.com/jeremiah/26.htm| title=|Parallel Chapters| target=|_top|&gt;PAR&lt;/a&gt;</v>
      </c>
      <c r="AD771" s="2" t="str">
        <f t="shared" ref="AD771:AK771" si="3082">CONCATENATE("&lt;/li&gt;&lt;li&gt;&lt;a href=|http://",AD1191,"/jeremiah/26.htm","| ","title=|",AD1190,"| target=|_top|&gt;",AD1192,"&lt;/a&gt;")</f>
        <v>&lt;/li&gt;&lt;li&gt;&lt;a href=|http://gsb.biblecommenter.com/jeremiah/26.htm| title=|Geneva Study Bible| target=|_top|&gt;GSB&lt;/a&gt;</v>
      </c>
      <c r="AE771" s="2" t="str">
        <f t="shared" si="3082"/>
        <v>&lt;/li&gt;&lt;li&gt;&lt;a href=|http://jfb.biblecommenter.com/jeremiah/26.htm| title=|Jamieson-Fausset-Brown Bible Commentary| target=|_top|&gt;JFB&lt;/a&gt;</v>
      </c>
      <c r="AF771" s="2" t="str">
        <f t="shared" si="3082"/>
        <v>&lt;/li&gt;&lt;li&gt;&lt;a href=|http://kjt.biblecommenter.com/jeremiah/26.htm| title=|King James Translators' Notes| target=|_top|&gt;KJT&lt;/a&gt;</v>
      </c>
      <c r="AG771" s="2" t="str">
        <f t="shared" si="3082"/>
        <v>&lt;/li&gt;&lt;li&gt;&lt;a href=|http://mhc.biblecommenter.com/jeremiah/26.htm| title=|Matthew Henry's Concise Commentary| target=|_top|&gt;MHC&lt;/a&gt;</v>
      </c>
      <c r="AH771" s="2" t="str">
        <f t="shared" si="3082"/>
        <v>&lt;/li&gt;&lt;li&gt;&lt;a href=|http://sco.biblecommenter.com/jeremiah/26.htm| title=|Scofield Reference Notes| target=|_top|&gt;SCO&lt;/a&gt;</v>
      </c>
      <c r="AI771" s="2" t="str">
        <f t="shared" si="3082"/>
        <v>&lt;/li&gt;&lt;li&gt;&lt;a href=|http://wes.biblecommenter.com/jeremiah/26.htm| title=|Wesley's Notes on the Bible| target=|_top|&gt;WES&lt;/a&gt;</v>
      </c>
      <c r="AJ771" t="str">
        <f t="shared" si="3082"/>
        <v>&lt;/li&gt;&lt;li&gt;&lt;a href=|http://worldebible.com/jeremiah/26.htm| title=|World English Bible| target=|_top|&gt;WEB&lt;/a&gt;</v>
      </c>
      <c r="AK771" t="str">
        <f t="shared" si="3082"/>
        <v>&lt;/li&gt;&lt;li&gt;&lt;a href=|http://yltbible.com/jeremiah/26.htm| title=|Young's Literal Translation| target=|_top|&gt;YLT&lt;/a&gt;</v>
      </c>
      <c r="AL771" t="str">
        <f>CONCATENATE("&lt;a href=|http://",AL1191,"/jeremiah/26.htm","| ","title=|",AL1190,"| target=|_top|&gt;",AL1192,"&lt;/a&gt;")</f>
        <v>&lt;a href=|http://kjv.us/jeremiah/26.htm| title=|American King James Version| target=|_top|&gt;AKJ&lt;/a&gt;</v>
      </c>
      <c r="AM771" t="str">
        <f t="shared" ref="AM771:AN771" si="3083">CONCATENATE("&lt;/li&gt;&lt;li&gt;&lt;a href=|http://",AM1191,"/jeremiah/26.htm","| ","title=|",AM1190,"| target=|_top|&gt;",AM1192,"&lt;/a&gt;")</f>
        <v>&lt;/li&gt;&lt;li&gt;&lt;a href=|http://basicenglishbible.com/jeremiah/26.htm| title=|Bible in Basic English| target=|_top|&gt;BBE&lt;/a&gt;</v>
      </c>
      <c r="AN771" t="str">
        <f t="shared" si="3083"/>
        <v>&lt;/li&gt;&lt;li&gt;&lt;a href=|http://darbybible.com/jeremiah/26.htm| title=|Darby Bible Translation| target=|_top|&gt;DBY&lt;/a&gt;</v>
      </c>
      <c r="AO77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7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7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71" t="str">
        <f>CONCATENATE("&lt;/li&gt;&lt;li&gt;&lt;a href=|http://",AR1191,"/jeremiah/26.htm","| ","title=|",AR1190,"| target=|_top|&gt;",AR1192,"&lt;/a&gt;")</f>
        <v>&lt;/li&gt;&lt;li&gt;&lt;a href=|http://websterbible.com/jeremiah/26.htm| title=|Webster's Bible Translation| target=|_top|&gt;WBS&lt;/a&gt;</v>
      </c>
      <c r="AS77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71" t="str">
        <f>CONCATENATE("&lt;/li&gt;&lt;li&gt;&lt;a href=|http://",AT1191,"/jeremiah/26-1.htm","| ","title=|",AT1190,"| target=|_top|&gt;",AT1192,"&lt;/a&gt;")</f>
        <v>&lt;/li&gt;&lt;li&gt;&lt;a href=|http://biblebrowser.com/jeremiah/26-1.htm| title=|Split View| target=|_top|&gt;Split&lt;/a&gt;</v>
      </c>
      <c r="AU771" s="2" t="s">
        <v>1276</v>
      </c>
      <c r="AV771" t="s">
        <v>64</v>
      </c>
    </row>
    <row r="772" spans="1:48">
      <c r="A772" t="s">
        <v>622</v>
      </c>
      <c r="B772" t="s">
        <v>813</v>
      </c>
      <c r="C772" t="s">
        <v>624</v>
      </c>
      <c r="D772" t="s">
        <v>1268</v>
      </c>
      <c r="E772" t="s">
        <v>1277</v>
      </c>
      <c r="F772" t="s">
        <v>1304</v>
      </c>
      <c r="G772" t="s">
        <v>1266</v>
      </c>
      <c r="H772" t="s">
        <v>1305</v>
      </c>
      <c r="I772" t="s">
        <v>1303</v>
      </c>
      <c r="J772" t="s">
        <v>1267</v>
      </c>
      <c r="K772" t="s">
        <v>1275</v>
      </c>
      <c r="L772" s="2" t="s">
        <v>1274</v>
      </c>
      <c r="M772" t="str">
        <f t="shared" ref="M772:AB772" si="3084">CONCATENATE("&lt;/li&gt;&lt;li&gt;&lt;a href=|http://",M1191,"/jeremiah/27.htm","| ","title=|",M1190,"| target=|_top|&gt;",M1192,"&lt;/a&gt;")</f>
        <v>&lt;/li&gt;&lt;li&gt;&lt;a href=|http://niv.scripturetext.com/jeremiah/27.htm| title=|New International Version| target=|_top|&gt;NIV&lt;/a&gt;</v>
      </c>
      <c r="N772" t="str">
        <f t="shared" si="3084"/>
        <v>&lt;/li&gt;&lt;li&gt;&lt;a href=|http://nlt.scripturetext.com/jeremiah/27.htm| title=|New Living Translation| target=|_top|&gt;NLT&lt;/a&gt;</v>
      </c>
      <c r="O772" t="str">
        <f t="shared" si="3084"/>
        <v>&lt;/li&gt;&lt;li&gt;&lt;a href=|http://nasb.scripturetext.com/jeremiah/27.htm| title=|New American Standard Bible| target=|_top|&gt;NAS&lt;/a&gt;</v>
      </c>
      <c r="P772" t="str">
        <f t="shared" si="3084"/>
        <v>&lt;/li&gt;&lt;li&gt;&lt;a href=|http://gwt.scripturetext.com/jeremiah/27.htm| title=|God's Word Translation| target=|_top|&gt;GWT&lt;/a&gt;</v>
      </c>
      <c r="Q772" t="str">
        <f t="shared" si="3084"/>
        <v>&lt;/li&gt;&lt;li&gt;&lt;a href=|http://kingjbible.com/jeremiah/27.htm| title=|King James Bible| target=|_top|&gt;KJV&lt;/a&gt;</v>
      </c>
      <c r="R772" t="str">
        <f t="shared" si="3084"/>
        <v>&lt;/li&gt;&lt;li&gt;&lt;a href=|http://asvbible.com/jeremiah/27.htm| title=|American Standard Version| target=|_top|&gt;ASV&lt;/a&gt;</v>
      </c>
      <c r="S772" t="str">
        <f t="shared" si="3084"/>
        <v>&lt;/li&gt;&lt;li&gt;&lt;a href=|http://drb.scripturetext.com/jeremiah/27.htm| title=|Douay-Rheims Bible| target=|_top|&gt;DRB&lt;/a&gt;</v>
      </c>
      <c r="T772" t="str">
        <f t="shared" si="3084"/>
        <v>&lt;/li&gt;&lt;li&gt;&lt;a href=|http://erv.scripturetext.com/jeremiah/27.htm| title=|English Revised Version| target=|_top|&gt;ERV&lt;/a&gt;</v>
      </c>
      <c r="V772" t="str">
        <f>CONCATENATE("&lt;/li&gt;&lt;li&gt;&lt;a href=|http://",V1191,"/jeremiah/27.htm","| ","title=|",V1190,"| target=|_top|&gt;",V1192,"&lt;/a&gt;")</f>
        <v>&lt;/li&gt;&lt;li&gt;&lt;a href=|http://study.interlinearbible.org/jeremiah/27.htm| title=|Hebrew Study Bible| target=|_top|&gt;Heb Study&lt;/a&gt;</v>
      </c>
      <c r="W772" t="str">
        <f t="shared" si="3084"/>
        <v>&lt;/li&gt;&lt;li&gt;&lt;a href=|http://apostolic.interlinearbible.org/jeremiah/27.htm| title=|Apostolic Bible Polyglot Interlinear| target=|_top|&gt;Polyglot&lt;/a&gt;</v>
      </c>
      <c r="X772" t="str">
        <f t="shared" si="3084"/>
        <v>&lt;/li&gt;&lt;li&gt;&lt;a href=|http://interlinearbible.org/jeremiah/27.htm| title=|Interlinear Bible| target=|_top|&gt;Interlin&lt;/a&gt;</v>
      </c>
      <c r="Y772" t="str">
        <f t="shared" ref="Y772" si="3085">CONCATENATE("&lt;/li&gt;&lt;li&gt;&lt;a href=|http://",Y1191,"/jeremiah/27.htm","| ","title=|",Y1190,"| target=|_top|&gt;",Y1192,"&lt;/a&gt;")</f>
        <v>&lt;/li&gt;&lt;li&gt;&lt;a href=|http://bibleoutline.org/jeremiah/27.htm| title=|Outline with People and Places List| target=|_top|&gt;Outline&lt;/a&gt;</v>
      </c>
      <c r="Z772" t="str">
        <f t="shared" si="3084"/>
        <v>&lt;/li&gt;&lt;li&gt;&lt;a href=|http://kjvs.scripturetext.com/jeremiah/27.htm| title=|King James Bible with Strong's Numbers| target=|_top|&gt;Strong's&lt;/a&gt;</v>
      </c>
      <c r="AA772" t="str">
        <f t="shared" si="3084"/>
        <v>&lt;/li&gt;&lt;li&gt;&lt;a href=|http://childrensbibleonline.com/jeremiah/27.htm| title=|The Children's Bible| target=|_top|&gt;Children's&lt;/a&gt;</v>
      </c>
      <c r="AB772" s="2" t="str">
        <f t="shared" si="3084"/>
        <v>&lt;/li&gt;&lt;li&gt;&lt;a href=|http://tsk.scripturetext.com/jeremiah/27.htm| title=|Treasury of Scripture Knowledge| target=|_top|&gt;TSK&lt;/a&gt;</v>
      </c>
      <c r="AC772" t="str">
        <f>CONCATENATE("&lt;a href=|http://",AC1191,"/jeremiah/27.htm","| ","title=|",AC1190,"| target=|_top|&gt;",AC1192,"&lt;/a&gt;")</f>
        <v>&lt;a href=|http://parallelbible.com/jeremiah/27.htm| title=|Parallel Chapters| target=|_top|&gt;PAR&lt;/a&gt;</v>
      </c>
      <c r="AD772" s="2" t="str">
        <f t="shared" ref="AD772:AK772" si="3086">CONCATENATE("&lt;/li&gt;&lt;li&gt;&lt;a href=|http://",AD1191,"/jeremiah/27.htm","| ","title=|",AD1190,"| target=|_top|&gt;",AD1192,"&lt;/a&gt;")</f>
        <v>&lt;/li&gt;&lt;li&gt;&lt;a href=|http://gsb.biblecommenter.com/jeremiah/27.htm| title=|Geneva Study Bible| target=|_top|&gt;GSB&lt;/a&gt;</v>
      </c>
      <c r="AE772" s="2" t="str">
        <f t="shared" si="3086"/>
        <v>&lt;/li&gt;&lt;li&gt;&lt;a href=|http://jfb.biblecommenter.com/jeremiah/27.htm| title=|Jamieson-Fausset-Brown Bible Commentary| target=|_top|&gt;JFB&lt;/a&gt;</v>
      </c>
      <c r="AF772" s="2" t="str">
        <f t="shared" si="3086"/>
        <v>&lt;/li&gt;&lt;li&gt;&lt;a href=|http://kjt.biblecommenter.com/jeremiah/27.htm| title=|King James Translators' Notes| target=|_top|&gt;KJT&lt;/a&gt;</v>
      </c>
      <c r="AG772" s="2" t="str">
        <f t="shared" si="3086"/>
        <v>&lt;/li&gt;&lt;li&gt;&lt;a href=|http://mhc.biblecommenter.com/jeremiah/27.htm| title=|Matthew Henry's Concise Commentary| target=|_top|&gt;MHC&lt;/a&gt;</v>
      </c>
      <c r="AH772" s="2" t="str">
        <f t="shared" si="3086"/>
        <v>&lt;/li&gt;&lt;li&gt;&lt;a href=|http://sco.biblecommenter.com/jeremiah/27.htm| title=|Scofield Reference Notes| target=|_top|&gt;SCO&lt;/a&gt;</v>
      </c>
      <c r="AI772" s="2" t="str">
        <f t="shared" si="3086"/>
        <v>&lt;/li&gt;&lt;li&gt;&lt;a href=|http://wes.biblecommenter.com/jeremiah/27.htm| title=|Wesley's Notes on the Bible| target=|_top|&gt;WES&lt;/a&gt;</v>
      </c>
      <c r="AJ772" t="str">
        <f t="shared" si="3086"/>
        <v>&lt;/li&gt;&lt;li&gt;&lt;a href=|http://worldebible.com/jeremiah/27.htm| title=|World English Bible| target=|_top|&gt;WEB&lt;/a&gt;</v>
      </c>
      <c r="AK772" t="str">
        <f t="shared" si="3086"/>
        <v>&lt;/li&gt;&lt;li&gt;&lt;a href=|http://yltbible.com/jeremiah/27.htm| title=|Young's Literal Translation| target=|_top|&gt;YLT&lt;/a&gt;</v>
      </c>
      <c r="AL772" t="str">
        <f>CONCATENATE("&lt;a href=|http://",AL1191,"/jeremiah/27.htm","| ","title=|",AL1190,"| target=|_top|&gt;",AL1192,"&lt;/a&gt;")</f>
        <v>&lt;a href=|http://kjv.us/jeremiah/27.htm| title=|American King James Version| target=|_top|&gt;AKJ&lt;/a&gt;</v>
      </c>
      <c r="AM772" t="str">
        <f t="shared" ref="AM772:AN772" si="3087">CONCATENATE("&lt;/li&gt;&lt;li&gt;&lt;a href=|http://",AM1191,"/jeremiah/27.htm","| ","title=|",AM1190,"| target=|_top|&gt;",AM1192,"&lt;/a&gt;")</f>
        <v>&lt;/li&gt;&lt;li&gt;&lt;a href=|http://basicenglishbible.com/jeremiah/27.htm| title=|Bible in Basic English| target=|_top|&gt;BBE&lt;/a&gt;</v>
      </c>
      <c r="AN772" t="str">
        <f t="shared" si="3087"/>
        <v>&lt;/li&gt;&lt;li&gt;&lt;a href=|http://darbybible.com/jeremiah/27.htm| title=|Darby Bible Translation| target=|_top|&gt;DBY&lt;/a&gt;</v>
      </c>
      <c r="AO77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7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7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72" t="str">
        <f>CONCATENATE("&lt;/li&gt;&lt;li&gt;&lt;a href=|http://",AR1191,"/jeremiah/27.htm","| ","title=|",AR1190,"| target=|_top|&gt;",AR1192,"&lt;/a&gt;")</f>
        <v>&lt;/li&gt;&lt;li&gt;&lt;a href=|http://websterbible.com/jeremiah/27.htm| title=|Webster's Bible Translation| target=|_top|&gt;WBS&lt;/a&gt;</v>
      </c>
      <c r="AS77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72" t="str">
        <f>CONCATENATE("&lt;/li&gt;&lt;li&gt;&lt;a href=|http://",AT1191,"/jeremiah/27-1.htm","| ","title=|",AT1190,"| target=|_top|&gt;",AT1192,"&lt;/a&gt;")</f>
        <v>&lt;/li&gt;&lt;li&gt;&lt;a href=|http://biblebrowser.com/jeremiah/27-1.htm| title=|Split View| target=|_top|&gt;Split&lt;/a&gt;</v>
      </c>
      <c r="AU772" s="2" t="s">
        <v>1276</v>
      </c>
      <c r="AV772" t="s">
        <v>64</v>
      </c>
    </row>
    <row r="773" spans="1:48">
      <c r="A773" t="s">
        <v>622</v>
      </c>
      <c r="B773" t="s">
        <v>814</v>
      </c>
      <c r="C773" t="s">
        <v>624</v>
      </c>
      <c r="D773" t="s">
        <v>1268</v>
      </c>
      <c r="E773" t="s">
        <v>1277</v>
      </c>
      <c r="F773" t="s">
        <v>1304</v>
      </c>
      <c r="G773" t="s">
        <v>1266</v>
      </c>
      <c r="H773" t="s">
        <v>1305</v>
      </c>
      <c r="I773" t="s">
        <v>1303</v>
      </c>
      <c r="J773" t="s">
        <v>1267</v>
      </c>
      <c r="K773" t="s">
        <v>1275</v>
      </c>
      <c r="L773" s="2" t="s">
        <v>1274</v>
      </c>
      <c r="M773" t="str">
        <f t="shared" ref="M773:AB773" si="3088">CONCATENATE("&lt;/li&gt;&lt;li&gt;&lt;a href=|http://",M1191,"/jeremiah/28.htm","| ","title=|",M1190,"| target=|_top|&gt;",M1192,"&lt;/a&gt;")</f>
        <v>&lt;/li&gt;&lt;li&gt;&lt;a href=|http://niv.scripturetext.com/jeremiah/28.htm| title=|New International Version| target=|_top|&gt;NIV&lt;/a&gt;</v>
      </c>
      <c r="N773" t="str">
        <f t="shared" si="3088"/>
        <v>&lt;/li&gt;&lt;li&gt;&lt;a href=|http://nlt.scripturetext.com/jeremiah/28.htm| title=|New Living Translation| target=|_top|&gt;NLT&lt;/a&gt;</v>
      </c>
      <c r="O773" t="str">
        <f t="shared" si="3088"/>
        <v>&lt;/li&gt;&lt;li&gt;&lt;a href=|http://nasb.scripturetext.com/jeremiah/28.htm| title=|New American Standard Bible| target=|_top|&gt;NAS&lt;/a&gt;</v>
      </c>
      <c r="P773" t="str">
        <f t="shared" si="3088"/>
        <v>&lt;/li&gt;&lt;li&gt;&lt;a href=|http://gwt.scripturetext.com/jeremiah/28.htm| title=|God's Word Translation| target=|_top|&gt;GWT&lt;/a&gt;</v>
      </c>
      <c r="Q773" t="str">
        <f t="shared" si="3088"/>
        <v>&lt;/li&gt;&lt;li&gt;&lt;a href=|http://kingjbible.com/jeremiah/28.htm| title=|King James Bible| target=|_top|&gt;KJV&lt;/a&gt;</v>
      </c>
      <c r="R773" t="str">
        <f t="shared" si="3088"/>
        <v>&lt;/li&gt;&lt;li&gt;&lt;a href=|http://asvbible.com/jeremiah/28.htm| title=|American Standard Version| target=|_top|&gt;ASV&lt;/a&gt;</v>
      </c>
      <c r="S773" t="str">
        <f t="shared" si="3088"/>
        <v>&lt;/li&gt;&lt;li&gt;&lt;a href=|http://drb.scripturetext.com/jeremiah/28.htm| title=|Douay-Rheims Bible| target=|_top|&gt;DRB&lt;/a&gt;</v>
      </c>
      <c r="T773" t="str">
        <f t="shared" si="3088"/>
        <v>&lt;/li&gt;&lt;li&gt;&lt;a href=|http://erv.scripturetext.com/jeremiah/28.htm| title=|English Revised Version| target=|_top|&gt;ERV&lt;/a&gt;</v>
      </c>
      <c r="V773" t="str">
        <f>CONCATENATE("&lt;/li&gt;&lt;li&gt;&lt;a href=|http://",V1191,"/jeremiah/28.htm","| ","title=|",V1190,"| target=|_top|&gt;",V1192,"&lt;/a&gt;")</f>
        <v>&lt;/li&gt;&lt;li&gt;&lt;a href=|http://study.interlinearbible.org/jeremiah/28.htm| title=|Hebrew Study Bible| target=|_top|&gt;Heb Study&lt;/a&gt;</v>
      </c>
      <c r="W773" t="str">
        <f t="shared" si="3088"/>
        <v>&lt;/li&gt;&lt;li&gt;&lt;a href=|http://apostolic.interlinearbible.org/jeremiah/28.htm| title=|Apostolic Bible Polyglot Interlinear| target=|_top|&gt;Polyglot&lt;/a&gt;</v>
      </c>
      <c r="X773" t="str">
        <f t="shared" si="3088"/>
        <v>&lt;/li&gt;&lt;li&gt;&lt;a href=|http://interlinearbible.org/jeremiah/28.htm| title=|Interlinear Bible| target=|_top|&gt;Interlin&lt;/a&gt;</v>
      </c>
      <c r="Y773" t="str">
        <f t="shared" ref="Y773" si="3089">CONCATENATE("&lt;/li&gt;&lt;li&gt;&lt;a href=|http://",Y1191,"/jeremiah/28.htm","| ","title=|",Y1190,"| target=|_top|&gt;",Y1192,"&lt;/a&gt;")</f>
        <v>&lt;/li&gt;&lt;li&gt;&lt;a href=|http://bibleoutline.org/jeremiah/28.htm| title=|Outline with People and Places List| target=|_top|&gt;Outline&lt;/a&gt;</v>
      </c>
      <c r="Z773" t="str">
        <f t="shared" si="3088"/>
        <v>&lt;/li&gt;&lt;li&gt;&lt;a href=|http://kjvs.scripturetext.com/jeremiah/28.htm| title=|King James Bible with Strong's Numbers| target=|_top|&gt;Strong's&lt;/a&gt;</v>
      </c>
      <c r="AA773" t="str">
        <f t="shared" si="3088"/>
        <v>&lt;/li&gt;&lt;li&gt;&lt;a href=|http://childrensbibleonline.com/jeremiah/28.htm| title=|The Children's Bible| target=|_top|&gt;Children's&lt;/a&gt;</v>
      </c>
      <c r="AB773" s="2" t="str">
        <f t="shared" si="3088"/>
        <v>&lt;/li&gt;&lt;li&gt;&lt;a href=|http://tsk.scripturetext.com/jeremiah/28.htm| title=|Treasury of Scripture Knowledge| target=|_top|&gt;TSK&lt;/a&gt;</v>
      </c>
      <c r="AC773" t="str">
        <f>CONCATENATE("&lt;a href=|http://",AC1191,"/jeremiah/28.htm","| ","title=|",AC1190,"| target=|_top|&gt;",AC1192,"&lt;/a&gt;")</f>
        <v>&lt;a href=|http://parallelbible.com/jeremiah/28.htm| title=|Parallel Chapters| target=|_top|&gt;PAR&lt;/a&gt;</v>
      </c>
      <c r="AD773" s="2" t="str">
        <f t="shared" ref="AD773:AK773" si="3090">CONCATENATE("&lt;/li&gt;&lt;li&gt;&lt;a href=|http://",AD1191,"/jeremiah/28.htm","| ","title=|",AD1190,"| target=|_top|&gt;",AD1192,"&lt;/a&gt;")</f>
        <v>&lt;/li&gt;&lt;li&gt;&lt;a href=|http://gsb.biblecommenter.com/jeremiah/28.htm| title=|Geneva Study Bible| target=|_top|&gt;GSB&lt;/a&gt;</v>
      </c>
      <c r="AE773" s="2" t="str">
        <f t="shared" si="3090"/>
        <v>&lt;/li&gt;&lt;li&gt;&lt;a href=|http://jfb.biblecommenter.com/jeremiah/28.htm| title=|Jamieson-Fausset-Brown Bible Commentary| target=|_top|&gt;JFB&lt;/a&gt;</v>
      </c>
      <c r="AF773" s="2" t="str">
        <f t="shared" si="3090"/>
        <v>&lt;/li&gt;&lt;li&gt;&lt;a href=|http://kjt.biblecommenter.com/jeremiah/28.htm| title=|King James Translators' Notes| target=|_top|&gt;KJT&lt;/a&gt;</v>
      </c>
      <c r="AG773" s="2" t="str">
        <f t="shared" si="3090"/>
        <v>&lt;/li&gt;&lt;li&gt;&lt;a href=|http://mhc.biblecommenter.com/jeremiah/28.htm| title=|Matthew Henry's Concise Commentary| target=|_top|&gt;MHC&lt;/a&gt;</v>
      </c>
      <c r="AH773" s="2" t="str">
        <f t="shared" si="3090"/>
        <v>&lt;/li&gt;&lt;li&gt;&lt;a href=|http://sco.biblecommenter.com/jeremiah/28.htm| title=|Scofield Reference Notes| target=|_top|&gt;SCO&lt;/a&gt;</v>
      </c>
      <c r="AI773" s="2" t="str">
        <f t="shared" si="3090"/>
        <v>&lt;/li&gt;&lt;li&gt;&lt;a href=|http://wes.biblecommenter.com/jeremiah/28.htm| title=|Wesley's Notes on the Bible| target=|_top|&gt;WES&lt;/a&gt;</v>
      </c>
      <c r="AJ773" t="str">
        <f t="shared" si="3090"/>
        <v>&lt;/li&gt;&lt;li&gt;&lt;a href=|http://worldebible.com/jeremiah/28.htm| title=|World English Bible| target=|_top|&gt;WEB&lt;/a&gt;</v>
      </c>
      <c r="AK773" t="str">
        <f t="shared" si="3090"/>
        <v>&lt;/li&gt;&lt;li&gt;&lt;a href=|http://yltbible.com/jeremiah/28.htm| title=|Young's Literal Translation| target=|_top|&gt;YLT&lt;/a&gt;</v>
      </c>
      <c r="AL773" t="str">
        <f>CONCATENATE("&lt;a href=|http://",AL1191,"/jeremiah/28.htm","| ","title=|",AL1190,"| target=|_top|&gt;",AL1192,"&lt;/a&gt;")</f>
        <v>&lt;a href=|http://kjv.us/jeremiah/28.htm| title=|American King James Version| target=|_top|&gt;AKJ&lt;/a&gt;</v>
      </c>
      <c r="AM773" t="str">
        <f t="shared" ref="AM773:AN773" si="3091">CONCATENATE("&lt;/li&gt;&lt;li&gt;&lt;a href=|http://",AM1191,"/jeremiah/28.htm","| ","title=|",AM1190,"| target=|_top|&gt;",AM1192,"&lt;/a&gt;")</f>
        <v>&lt;/li&gt;&lt;li&gt;&lt;a href=|http://basicenglishbible.com/jeremiah/28.htm| title=|Bible in Basic English| target=|_top|&gt;BBE&lt;/a&gt;</v>
      </c>
      <c r="AN773" t="str">
        <f t="shared" si="3091"/>
        <v>&lt;/li&gt;&lt;li&gt;&lt;a href=|http://darbybible.com/jeremiah/28.htm| title=|Darby Bible Translation| target=|_top|&gt;DBY&lt;/a&gt;</v>
      </c>
      <c r="AO77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7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7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73" t="str">
        <f>CONCATENATE("&lt;/li&gt;&lt;li&gt;&lt;a href=|http://",AR1191,"/jeremiah/28.htm","| ","title=|",AR1190,"| target=|_top|&gt;",AR1192,"&lt;/a&gt;")</f>
        <v>&lt;/li&gt;&lt;li&gt;&lt;a href=|http://websterbible.com/jeremiah/28.htm| title=|Webster's Bible Translation| target=|_top|&gt;WBS&lt;/a&gt;</v>
      </c>
      <c r="AS77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73" t="str">
        <f>CONCATENATE("&lt;/li&gt;&lt;li&gt;&lt;a href=|http://",AT1191,"/jeremiah/28-1.htm","| ","title=|",AT1190,"| target=|_top|&gt;",AT1192,"&lt;/a&gt;")</f>
        <v>&lt;/li&gt;&lt;li&gt;&lt;a href=|http://biblebrowser.com/jeremiah/28-1.htm| title=|Split View| target=|_top|&gt;Split&lt;/a&gt;</v>
      </c>
      <c r="AU773" s="2" t="s">
        <v>1276</v>
      </c>
      <c r="AV773" t="s">
        <v>64</v>
      </c>
    </row>
    <row r="774" spans="1:48">
      <c r="A774" t="s">
        <v>622</v>
      </c>
      <c r="B774" t="s">
        <v>815</v>
      </c>
      <c r="C774" t="s">
        <v>624</v>
      </c>
      <c r="D774" t="s">
        <v>1268</v>
      </c>
      <c r="E774" t="s">
        <v>1277</v>
      </c>
      <c r="F774" t="s">
        <v>1304</v>
      </c>
      <c r="G774" t="s">
        <v>1266</v>
      </c>
      <c r="H774" t="s">
        <v>1305</v>
      </c>
      <c r="I774" t="s">
        <v>1303</v>
      </c>
      <c r="J774" t="s">
        <v>1267</v>
      </c>
      <c r="K774" t="s">
        <v>1275</v>
      </c>
      <c r="L774" s="2" t="s">
        <v>1274</v>
      </c>
      <c r="M774" t="str">
        <f t="shared" ref="M774:AB774" si="3092">CONCATENATE("&lt;/li&gt;&lt;li&gt;&lt;a href=|http://",M1191,"/jeremiah/29.htm","| ","title=|",M1190,"| target=|_top|&gt;",M1192,"&lt;/a&gt;")</f>
        <v>&lt;/li&gt;&lt;li&gt;&lt;a href=|http://niv.scripturetext.com/jeremiah/29.htm| title=|New International Version| target=|_top|&gt;NIV&lt;/a&gt;</v>
      </c>
      <c r="N774" t="str">
        <f t="shared" si="3092"/>
        <v>&lt;/li&gt;&lt;li&gt;&lt;a href=|http://nlt.scripturetext.com/jeremiah/29.htm| title=|New Living Translation| target=|_top|&gt;NLT&lt;/a&gt;</v>
      </c>
      <c r="O774" t="str">
        <f t="shared" si="3092"/>
        <v>&lt;/li&gt;&lt;li&gt;&lt;a href=|http://nasb.scripturetext.com/jeremiah/29.htm| title=|New American Standard Bible| target=|_top|&gt;NAS&lt;/a&gt;</v>
      </c>
      <c r="P774" t="str">
        <f t="shared" si="3092"/>
        <v>&lt;/li&gt;&lt;li&gt;&lt;a href=|http://gwt.scripturetext.com/jeremiah/29.htm| title=|God's Word Translation| target=|_top|&gt;GWT&lt;/a&gt;</v>
      </c>
      <c r="Q774" t="str">
        <f t="shared" si="3092"/>
        <v>&lt;/li&gt;&lt;li&gt;&lt;a href=|http://kingjbible.com/jeremiah/29.htm| title=|King James Bible| target=|_top|&gt;KJV&lt;/a&gt;</v>
      </c>
      <c r="R774" t="str">
        <f t="shared" si="3092"/>
        <v>&lt;/li&gt;&lt;li&gt;&lt;a href=|http://asvbible.com/jeremiah/29.htm| title=|American Standard Version| target=|_top|&gt;ASV&lt;/a&gt;</v>
      </c>
      <c r="S774" t="str">
        <f t="shared" si="3092"/>
        <v>&lt;/li&gt;&lt;li&gt;&lt;a href=|http://drb.scripturetext.com/jeremiah/29.htm| title=|Douay-Rheims Bible| target=|_top|&gt;DRB&lt;/a&gt;</v>
      </c>
      <c r="T774" t="str">
        <f t="shared" si="3092"/>
        <v>&lt;/li&gt;&lt;li&gt;&lt;a href=|http://erv.scripturetext.com/jeremiah/29.htm| title=|English Revised Version| target=|_top|&gt;ERV&lt;/a&gt;</v>
      </c>
      <c r="V774" t="str">
        <f>CONCATENATE("&lt;/li&gt;&lt;li&gt;&lt;a href=|http://",V1191,"/jeremiah/29.htm","| ","title=|",V1190,"| target=|_top|&gt;",V1192,"&lt;/a&gt;")</f>
        <v>&lt;/li&gt;&lt;li&gt;&lt;a href=|http://study.interlinearbible.org/jeremiah/29.htm| title=|Hebrew Study Bible| target=|_top|&gt;Heb Study&lt;/a&gt;</v>
      </c>
      <c r="W774" t="str">
        <f t="shared" si="3092"/>
        <v>&lt;/li&gt;&lt;li&gt;&lt;a href=|http://apostolic.interlinearbible.org/jeremiah/29.htm| title=|Apostolic Bible Polyglot Interlinear| target=|_top|&gt;Polyglot&lt;/a&gt;</v>
      </c>
      <c r="X774" t="str">
        <f t="shared" si="3092"/>
        <v>&lt;/li&gt;&lt;li&gt;&lt;a href=|http://interlinearbible.org/jeremiah/29.htm| title=|Interlinear Bible| target=|_top|&gt;Interlin&lt;/a&gt;</v>
      </c>
      <c r="Y774" t="str">
        <f t="shared" ref="Y774" si="3093">CONCATENATE("&lt;/li&gt;&lt;li&gt;&lt;a href=|http://",Y1191,"/jeremiah/29.htm","| ","title=|",Y1190,"| target=|_top|&gt;",Y1192,"&lt;/a&gt;")</f>
        <v>&lt;/li&gt;&lt;li&gt;&lt;a href=|http://bibleoutline.org/jeremiah/29.htm| title=|Outline with People and Places List| target=|_top|&gt;Outline&lt;/a&gt;</v>
      </c>
      <c r="Z774" t="str">
        <f t="shared" si="3092"/>
        <v>&lt;/li&gt;&lt;li&gt;&lt;a href=|http://kjvs.scripturetext.com/jeremiah/29.htm| title=|King James Bible with Strong's Numbers| target=|_top|&gt;Strong's&lt;/a&gt;</v>
      </c>
      <c r="AA774" t="str">
        <f t="shared" si="3092"/>
        <v>&lt;/li&gt;&lt;li&gt;&lt;a href=|http://childrensbibleonline.com/jeremiah/29.htm| title=|The Children's Bible| target=|_top|&gt;Children's&lt;/a&gt;</v>
      </c>
      <c r="AB774" s="2" t="str">
        <f t="shared" si="3092"/>
        <v>&lt;/li&gt;&lt;li&gt;&lt;a href=|http://tsk.scripturetext.com/jeremiah/29.htm| title=|Treasury of Scripture Knowledge| target=|_top|&gt;TSK&lt;/a&gt;</v>
      </c>
      <c r="AC774" t="str">
        <f>CONCATENATE("&lt;a href=|http://",AC1191,"/jeremiah/29.htm","| ","title=|",AC1190,"| target=|_top|&gt;",AC1192,"&lt;/a&gt;")</f>
        <v>&lt;a href=|http://parallelbible.com/jeremiah/29.htm| title=|Parallel Chapters| target=|_top|&gt;PAR&lt;/a&gt;</v>
      </c>
      <c r="AD774" s="2" t="str">
        <f t="shared" ref="AD774:AK774" si="3094">CONCATENATE("&lt;/li&gt;&lt;li&gt;&lt;a href=|http://",AD1191,"/jeremiah/29.htm","| ","title=|",AD1190,"| target=|_top|&gt;",AD1192,"&lt;/a&gt;")</f>
        <v>&lt;/li&gt;&lt;li&gt;&lt;a href=|http://gsb.biblecommenter.com/jeremiah/29.htm| title=|Geneva Study Bible| target=|_top|&gt;GSB&lt;/a&gt;</v>
      </c>
      <c r="AE774" s="2" t="str">
        <f t="shared" si="3094"/>
        <v>&lt;/li&gt;&lt;li&gt;&lt;a href=|http://jfb.biblecommenter.com/jeremiah/29.htm| title=|Jamieson-Fausset-Brown Bible Commentary| target=|_top|&gt;JFB&lt;/a&gt;</v>
      </c>
      <c r="AF774" s="2" t="str">
        <f t="shared" si="3094"/>
        <v>&lt;/li&gt;&lt;li&gt;&lt;a href=|http://kjt.biblecommenter.com/jeremiah/29.htm| title=|King James Translators' Notes| target=|_top|&gt;KJT&lt;/a&gt;</v>
      </c>
      <c r="AG774" s="2" t="str">
        <f t="shared" si="3094"/>
        <v>&lt;/li&gt;&lt;li&gt;&lt;a href=|http://mhc.biblecommenter.com/jeremiah/29.htm| title=|Matthew Henry's Concise Commentary| target=|_top|&gt;MHC&lt;/a&gt;</v>
      </c>
      <c r="AH774" s="2" t="str">
        <f t="shared" si="3094"/>
        <v>&lt;/li&gt;&lt;li&gt;&lt;a href=|http://sco.biblecommenter.com/jeremiah/29.htm| title=|Scofield Reference Notes| target=|_top|&gt;SCO&lt;/a&gt;</v>
      </c>
      <c r="AI774" s="2" t="str">
        <f t="shared" si="3094"/>
        <v>&lt;/li&gt;&lt;li&gt;&lt;a href=|http://wes.biblecommenter.com/jeremiah/29.htm| title=|Wesley's Notes on the Bible| target=|_top|&gt;WES&lt;/a&gt;</v>
      </c>
      <c r="AJ774" t="str">
        <f t="shared" si="3094"/>
        <v>&lt;/li&gt;&lt;li&gt;&lt;a href=|http://worldebible.com/jeremiah/29.htm| title=|World English Bible| target=|_top|&gt;WEB&lt;/a&gt;</v>
      </c>
      <c r="AK774" t="str">
        <f t="shared" si="3094"/>
        <v>&lt;/li&gt;&lt;li&gt;&lt;a href=|http://yltbible.com/jeremiah/29.htm| title=|Young's Literal Translation| target=|_top|&gt;YLT&lt;/a&gt;</v>
      </c>
      <c r="AL774" t="str">
        <f>CONCATENATE("&lt;a href=|http://",AL1191,"/jeremiah/29.htm","| ","title=|",AL1190,"| target=|_top|&gt;",AL1192,"&lt;/a&gt;")</f>
        <v>&lt;a href=|http://kjv.us/jeremiah/29.htm| title=|American King James Version| target=|_top|&gt;AKJ&lt;/a&gt;</v>
      </c>
      <c r="AM774" t="str">
        <f t="shared" ref="AM774:AN774" si="3095">CONCATENATE("&lt;/li&gt;&lt;li&gt;&lt;a href=|http://",AM1191,"/jeremiah/29.htm","| ","title=|",AM1190,"| target=|_top|&gt;",AM1192,"&lt;/a&gt;")</f>
        <v>&lt;/li&gt;&lt;li&gt;&lt;a href=|http://basicenglishbible.com/jeremiah/29.htm| title=|Bible in Basic English| target=|_top|&gt;BBE&lt;/a&gt;</v>
      </c>
      <c r="AN774" t="str">
        <f t="shared" si="3095"/>
        <v>&lt;/li&gt;&lt;li&gt;&lt;a href=|http://darbybible.com/jeremiah/29.htm| title=|Darby Bible Translation| target=|_top|&gt;DBY&lt;/a&gt;</v>
      </c>
      <c r="AO77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7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7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74" t="str">
        <f>CONCATENATE("&lt;/li&gt;&lt;li&gt;&lt;a href=|http://",AR1191,"/jeremiah/29.htm","| ","title=|",AR1190,"| target=|_top|&gt;",AR1192,"&lt;/a&gt;")</f>
        <v>&lt;/li&gt;&lt;li&gt;&lt;a href=|http://websterbible.com/jeremiah/29.htm| title=|Webster's Bible Translation| target=|_top|&gt;WBS&lt;/a&gt;</v>
      </c>
      <c r="AS77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74" t="str">
        <f>CONCATENATE("&lt;/li&gt;&lt;li&gt;&lt;a href=|http://",AT1191,"/jeremiah/29-1.htm","| ","title=|",AT1190,"| target=|_top|&gt;",AT1192,"&lt;/a&gt;")</f>
        <v>&lt;/li&gt;&lt;li&gt;&lt;a href=|http://biblebrowser.com/jeremiah/29-1.htm| title=|Split View| target=|_top|&gt;Split&lt;/a&gt;</v>
      </c>
      <c r="AU774" s="2" t="s">
        <v>1276</v>
      </c>
      <c r="AV774" t="s">
        <v>64</v>
      </c>
    </row>
    <row r="775" spans="1:48">
      <c r="A775" t="s">
        <v>622</v>
      </c>
      <c r="B775" t="s">
        <v>816</v>
      </c>
      <c r="C775" t="s">
        <v>624</v>
      </c>
      <c r="D775" t="s">
        <v>1268</v>
      </c>
      <c r="E775" t="s">
        <v>1277</v>
      </c>
      <c r="F775" t="s">
        <v>1304</v>
      </c>
      <c r="G775" t="s">
        <v>1266</v>
      </c>
      <c r="H775" t="s">
        <v>1305</v>
      </c>
      <c r="I775" t="s">
        <v>1303</v>
      </c>
      <c r="J775" t="s">
        <v>1267</v>
      </c>
      <c r="K775" t="s">
        <v>1275</v>
      </c>
      <c r="L775" s="2" t="s">
        <v>1274</v>
      </c>
      <c r="M775" t="str">
        <f t="shared" ref="M775:AB775" si="3096">CONCATENATE("&lt;/li&gt;&lt;li&gt;&lt;a href=|http://",M1191,"/jeremiah/30.htm","| ","title=|",M1190,"| target=|_top|&gt;",M1192,"&lt;/a&gt;")</f>
        <v>&lt;/li&gt;&lt;li&gt;&lt;a href=|http://niv.scripturetext.com/jeremiah/30.htm| title=|New International Version| target=|_top|&gt;NIV&lt;/a&gt;</v>
      </c>
      <c r="N775" t="str">
        <f t="shared" si="3096"/>
        <v>&lt;/li&gt;&lt;li&gt;&lt;a href=|http://nlt.scripturetext.com/jeremiah/30.htm| title=|New Living Translation| target=|_top|&gt;NLT&lt;/a&gt;</v>
      </c>
      <c r="O775" t="str">
        <f t="shared" si="3096"/>
        <v>&lt;/li&gt;&lt;li&gt;&lt;a href=|http://nasb.scripturetext.com/jeremiah/30.htm| title=|New American Standard Bible| target=|_top|&gt;NAS&lt;/a&gt;</v>
      </c>
      <c r="P775" t="str">
        <f t="shared" si="3096"/>
        <v>&lt;/li&gt;&lt;li&gt;&lt;a href=|http://gwt.scripturetext.com/jeremiah/30.htm| title=|God's Word Translation| target=|_top|&gt;GWT&lt;/a&gt;</v>
      </c>
      <c r="Q775" t="str">
        <f t="shared" si="3096"/>
        <v>&lt;/li&gt;&lt;li&gt;&lt;a href=|http://kingjbible.com/jeremiah/30.htm| title=|King James Bible| target=|_top|&gt;KJV&lt;/a&gt;</v>
      </c>
      <c r="R775" t="str">
        <f t="shared" si="3096"/>
        <v>&lt;/li&gt;&lt;li&gt;&lt;a href=|http://asvbible.com/jeremiah/30.htm| title=|American Standard Version| target=|_top|&gt;ASV&lt;/a&gt;</v>
      </c>
      <c r="S775" t="str">
        <f t="shared" si="3096"/>
        <v>&lt;/li&gt;&lt;li&gt;&lt;a href=|http://drb.scripturetext.com/jeremiah/30.htm| title=|Douay-Rheims Bible| target=|_top|&gt;DRB&lt;/a&gt;</v>
      </c>
      <c r="T775" t="str">
        <f t="shared" si="3096"/>
        <v>&lt;/li&gt;&lt;li&gt;&lt;a href=|http://erv.scripturetext.com/jeremiah/30.htm| title=|English Revised Version| target=|_top|&gt;ERV&lt;/a&gt;</v>
      </c>
      <c r="V775" t="str">
        <f>CONCATENATE("&lt;/li&gt;&lt;li&gt;&lt;a href=|http://",V1191,"/jeremiah/30.htm","| ","title=|",V1190,"| target=|_top|&gt;",V1192,"&lt;/a&gt;")</f>
        <v>&lt;/li&gt;&lt;li&gt;&lt;a href=|http://study.interlinearbible.org/jeremiah/30.htm| title=|Hebrew Study Bible| target=|_top|&gt;Heb Study&lt;/a&gt;</v>
      </c>
      <c r="W775" t="str">
        <f t="shared" si="3096"/>
        <v>&lt;/li&gt;&lt;li&gt;&lt;a href=|http://apostolic.interlinearbible.org/jeremiah/30.htm| title=|Apostolic Bible Polyglot Interlinear| target=|_top|&gt;Polyglot&lt;/a&gt;</v>
      </c>
      <c r="X775" t="str">
        <f t="shared" si="3096"/>
        <v>&lt;/li&gt;&lt;li&gt;&lt;a href=|http://interlinearbible.org/jeremiah/30.htm| title=|Interlinear Bible| target=|_top|&gt;Interlin&lt;/a&gt;</v>
      </c>
      <c r="Y775" t="str">
        <f t="shared" ref="Y775" si="3097">CONCATENATE("&lt;/li&gt;&lt;li&gt;&lt;a href=|http://",Y1191,"/jeremiah/30.htm","| ","title=|",Y1190,"| target=|_top|&gt;",Y1192,"&lt;/a&gt;")</f>
        <v>&lt;/li&gt;&lt;li&gt;&lt;a href=|http://bibleoutline.org/jeremiah/30.htm| title=|Outline with People and Places List| target=|_top|&gt;Outline&lt;/a&gt;</v>
      </c>
      <c r="Z775" t="str">
        <f t="shared" si="3096"/>
        <v>&lt;/li&gt;&lt;li&gt;&lt;a href=|http://kjvs.scripturetext.com/jeremiah/30.htm| title=|King James Bible with Strong's Numbers| target=|_top|&gt;Strong's&lt;/a&gt;</v>
      </c>
      <c r="AA775" t="str">
        <f t="shared" si="3096"/>
        <v>&lt;/li&gt;&lt;li&gt;&lt;a href=|http://childrensbibleonline.com/jeremiah/30.htm| title=|The Children's Bible| target=|_top|&gt;Children's&lt;/a&gt;</v>
      </c>
      <c r="AB775" s="2" t="str">
        <f t="shared" si="3096"/>
        <v>&lt;/li&gt;&lt;li&gt;&lt;a href=|http://tsk.scripturetext.com/jeremiah/30.htm| title=|Treasury of Scripture Knowledge| target=|_top|&gt;TSK&lt;/a&gt;</v>
      </c>
      <c r="AC775" t="str">
        <f>CONCATENATE("&lt;a href=|http://",AC1191,"/jeremiah/30.htm","| ","title=|",AC1190,"| target=|_top|&gt;",AC1192,"&lt;/a&gt;")</f>
        <v>&lt;a href=|http://parallelbible.com/jeremiah/30.htm| title=|Parallel Chapters| target=|_top|&gt;PAR&lt;/a&gt;</v>
      </c>
      <c r="AD775" s="2" t="str">
        <f t="shared" ref="AD775:AK775" si="3098">CONCATENATE("&lt;/li&gt;&lt;li&gt;&lt;a href=|http://",AD1191,"/jeremiah/30.htm","| ","title=|",AD1190,"| target=|_top|&gt;",AD1192,"&lt;/a&gt;")</f>
        <v>&lt;/li&gt;&lt;li&gt;&lt;a href=|http://gsb.biblecommenter.com/jeremiah/30.htm| title=|Geneva Study Bible| target=|_top|&gt;GSB&lt;/a&gt;</v>
      </c>
      <c r="AE775" s="2" t="str">
        <f t="shared" si="3098"/>
        <v>&lt;/li&gt;&lt;li&gt;&lt;a href=|http://jfb.biblecommenter.com/jeremiah/30.htm| title=|Jamieson-Fausset-Brown Bible Commentary| target=|_top|&gt;JFB&lt;/a&gt;</v>
      </c>
      <c r="AF775" s="2" t="str">
        <f t="shared" si="3098"/>
        <v>&lt;/li&gt;&lt;li&gt;&lt;a href=|http://kjt.biblecommenter.com/jeremiah/30.htm| title=|King James Translators' Notes| target=|_top|&gt;KJT&lt;/a&gt;</v>
      </c>
      <c r="AG775" s="2" t="str">
        <f t="shared" si="3098"/>
        <v>&lt;/li&gt;&lt;li&gt;&lt;a href=|http://mhc.biblecommenter.com/jeremiah/30.htm| title=|Matthew Henry's Concise Commentary| target=|_top|&gt;MHC&lt;/a&gt;</v>
      </c>
      <c r="AH775" s="2" t="str">
        <f t="shared" si="3098"/>
        <v>&lt;/li&gt;&lt;li&gt;&lt;a href=|http://sco.biblecommenter.com/jeremiah/30.htm| title=|Scofield Reference Notes| target=|_top|&gt;SCO&lt;/a&gt;</v>
      </c>
      <c r="AI775" s="2" t="str">
        <f t="shared" si="3098"/>
        <v>&lt;/li&gt;&lt;li&gt;&lt;a href=|http://wes.biblecommenter.com/jeremiah/30.htm| title=|Wesley's Notes on the Bible| target=|_top|&gt;WES&lt;/a&gt;</v>
      </c>
      <c r="AJ775" t="str">
        <f t="shared" si="3098"/>
        <v>&lt;/li&gt;&lt;li&gt;&lt;a href=|http://worldebible.com/jeremiah/30.htm| title=|World English Bible| target=|_top|&gt;WEB&lt;/a&gt;</v>
      </c>
      <c r="AK775" t="str">
        <f t="shared" si="3098"/>
        <v>&lt;/li&gt;&lt;li&gt;&lt;a href=|http://yltbible.com/jeremiah/30.htm| title=|Young's Literal Translation| target=|_top|&gt;YLT&lt;/a&gt;</v>
      </c>
      <c r="AL775" t="str">
        <f>CONCATENATE("&lt;a href=|http://",AL1191,"/jeremiah/30.htm","| ","title=|",AL1190,"| target=|_top|&gt;",AL1192,"&lt;/a&gt;")</f>
        <v>&lt;a href=|http://kjv.us/jeremiah/30.htm| title=|American King James Version| target=|_top|&gt;AKJ&lt;/a&gt;</v>
      </c>
      <c r="AM775" t="str">
        <f t="shared" ref="AM775:AN775" si="3099">CONCATENATE("&lt;/li&gt;&lt;li&gt;&lt;a href=|http://",AM1191,"/jeremiah/30.htm","| ","title=|",AM1190,"| target=|_top|&gt;",AM1192,"&lt;/a&gt;")</f>
        <v>&lt;/li&gt;&lt;li&gt;&lt;a href=|http://basicenglishbible.com/jeremiah/30.htm| title=|Bible in Basic English| target=|_top|&gt;BBE&lt;/a&gt;</v>
      </c>
      <c r="AN775" t="str">
        <f t="shared" si="3099"/>
        <v>&lt;/li&gt;&lt;li&gt;&lt;a href=|http://darbybible.com/jeremiah/30.htm| title=|Darby Bible Translation| target=|_top|&gt;DBY&lt;/a&gt;</v>
      </c>
      <c r="AO77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7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7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75" t="str">
        <f>CONCATENATE("&lt;/li&gt;&lt;li&gt;&lt;a href=|http://",AR1191,"/jeremiah/30.htm","| ","title=|",AR1190,"| target=|_top|&gt;",AR1192,"&lt;/a&gt;")</f>
        <v>&lt;/li&gt;&lt;li&gt;&lt;a href=|http://websterbible.com/jeremiah/30.htm| title=|Webster's Bible Translation| target=|_top|&gt;WBS&lt;/a&gt;</v>
      </c>
      <c r="AS77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75" t="str">
        <f>CONCATENATE("&lt;/li&gt;&lt;li&gt;&lt;a href=|http://",AT1191,"/jeremiah/30-1.htm","| ","title=|",AT1190,"| target=|_top|&gt;",AT1192,"&lt;/a&gt;")</f>
        <v>&lt;/li&gt;&lt;li&gt;&lt;a href=|http://biblebrowser.com/jeremiah/30-1.htm| title=|Split View| target=|_top|&gt;Split&lt;/a&gt;</v>
      </c>
      <c r="AU775" s="2" t="s">
        <v>1276</v>
      </c>
      <c r="AV775" t="s">
        <v>64</v>
      </c>
    </row>
    <row r="776" spans="1:48">
      <c r="A776" t="s">
        <v>622</v>
      </c>
      <c r="B776" t="s">
        <v>817</v>
      </c>
      <c r="C776" t="s">
        <v>624</v>
      </c>
      <c r="D776" t="s">
        <v>1268</v>
      </c>
      <c r="E776" t="s">
        <v>1277</v>
      </c>
      <c r="F776" t="s">
        <v>1304</v>
      </c>
      <c r="G776" t="s">
        <v>1266</v>
      </c>
      <c r="H776" t="s">
        <v>1305</v>
      </c>
      <c r="I776" t="s">
        <v>1303</v>
      </c>
      <c r="J776" t="s">
        <v>1267</v>
      </c>
      <c r="K776" t="s">
        <v>1275</v>
      </c>
      <c r="L776" s="2" t="s">
        <v>1274</v>
      </c>
      <c r="M776" t="str">
        <f t="shared" ref="M776:AB776" si="3100">CONCATENATE("&lt;/li&gt;&lt;li&gt;&lt;a href=|http://",M1191,"/jeremiah/31.htm","| ","title=|",M1190,"| target=|_top|&gt;",M1192,"&lt;/a&gt;")</f>
        <v>&lt;/li&gt;&lt;li&gt;&lt;a href=|http://niv.scripturetext.com/jeremiah/31.htm| title=|New International Version| target=|_top|&gt;NIV&lt;/a&gt;</v>
      </c>
      <c r="N776" t="str">
        <f t="shared" si="3100"/>
        <v>&lt;/li&gt;&lt;li&gt;&lt;a href=|http://nlt.scripturetext.com/jeremiah/31.htm| title=|New Living Translation| target=|_top|&gt;NLT&lt;/a&gt;</v>
      </c>
      <c r="O776" t="str">
        <f t="shared" si="3100"/>
        <v>&lt;/li&gt;&lt;li&gt;&lt;a href=|http://nasb.scripturetext.com/jeremiah/31.htm| title=|New American Standard Bible| target=|_top|&gt;NAS&lt;/a&gt;</v>
      </c>
      <c r="P776" t="str">
        <f t="shared" si="3100"/>
        <v>&lt;/li&gt;&lt;li&gt;&lt;a href=|http://gwt.scripturetext.com/jeremiah/31.htm| title=|God's Word Translation| target=|_top|&gt;GWT&lt;/a&gt;</v>
      </c>
      <c r="Q776" t="str">
        <f t="shared" si="3100"/>
        <v>&lt;/li&gt;&lt;li&gt;&lt;a href=|http://kingjbible.com/jeremiah/31.htm| title=|King James Bible| target=|_top|&gt;KJV&lt;/a&gt;</v>
      </c>
      <c r="R776" t="str">
        <f t="shared" si="3100"/>
        <v>&lt;/li&gt;&lt;li&gt;&lt;a href=|http://asvbible.com/jeremiah/31.htm| title=|American Standard Version| target=|_top|&gt;ASV&lt;/a&gt;</v>
      </c>
      <c r="S776" t="str">
        <f t="shared" si="3100"/>
        <v>&lt;/li&gt;&lt;li&gt;&lt;a href=|http://drb.scripturetext.com/jeremiah/31.htm| title=|Douay-Rheims Bible| target=|_top|&gt;DRB&lt;/a&gt;</v>
      </c>
      <c r="T776" t="str">
        <f t="shared" si="3100"/>
        <v>&lt;/li&gt;&lt;li&gt;&lt;a href=|http://erv.scripturetext.com/jeremiah/31.htm| title=|English Revised Version| target=|_top|&gt;ERV&lt;/a&gt;</v>
      </c>
      <c r="V776" t="str">
        <f>CONCATENATE("&lt;/li&gt;&lt;li&gt;&lt;a href=|http://",V1191,"/jeremiah/31.htm","| ","title=|",V1190,"| target=|_top|&gt;",V1192,"&lt;/a&gt;")</f>
        <v>&lt;/li&gt;&lt;li&gt;&lt;a href=|http://study.interlinearbible.org/jeremiah/31.htm| title=|Hebrew Study Bible| target=|_top|&gt;Heb Study&lt;/a&gt;</v>
      </c>
      <c r="W776" t="str">
        <f t="shared" si="3100"/>
        <v>&lt;/li&gt;&lt;li&gt;&lt;a href=|http://apostolic.interlinearbible.org/jeremiah/31.htm| title=|Apostolic Bible Polyglot Interlinear| target=|_top|&gt;Polyglot&lt;/a&gt;</v>
      </c>
      <c r="X776" t="str">
        <f t="shared" si="3100"/>
        <v>&lt;/li&gt;&lt;li&gt;&lt;a href=|http://interlinearbible.org/jeremiah/31.htm| title=|Interlinear Bible| target=|_top|&gt;Interlin&lt;/a&gt;</v>
      </c>
      <c r="Y776" t="str">
        <f t="shared" ref="Y776" si="3101">CONCATENATE("&lt;/li&gt;&lt;li&gt;&lt;a href=|http://",Y1191,"/jeremiah/31.htm","| ","title=|",Y1190,"| target=|_top|&gt;",Y1192,"&lt;/a&gt;")</f>
        <v>&lt;/li&gt;&lt;li&gt;&lt;a href=|http://bibleoutline.org/jeremiah/31.htm| title=|Outline with People and Places List| target=|_top|&gt;Outline&lt;/a&gt;</v>
      </c>
      <c r="Z776" t="str">
        <f t="shared" si="3100"/>
        <v>&lt;/li&gt;&lt;li&gt;&lt;a href=|http://kjvs.scripturetext.com/jeremiah/31.htm| title=|King James Bible with Strong's Numbers| target=|_top|&gt;Strong's&lt;/a&gt;</v>
      </c>
      <c r="AA776" t="str">
        <f t="shared" si="3100"/>
        <v>&lt;/li&gt;&lt;li&gt;&lt;a href=|http://childrensbibleonline.com/jeremiah/31.htm| title=|The Children's Bible| target=|_top|&gt;Children's&lt;/a&gt;</v>
      </c>
      <c r="AB776" s="2" t="str">
        <f t="shared" si="3100"/>
        <v>&lt;/li&gt;&lt;li&gt;&lt;a href=|http://tsk.scripturetext.com/jeremiah/31.htm| title=|Treasury of Scripture Knowledge| target=|_top|&gt;TSK&lt;/a&gt;</v>
      </c>
      <c r="AC776" t="str">
        <f>CONCATENATE("&lt;a href=|http://",AC1191,"/jeremiah/31.htm","| ","title=|",AC1190,"| target=|_top|&gt;",AC1192,"&lt;/a&gt;")</f>
        <v>&lt;a href=|http://parallelbible.com/jeremiah/31.htm| title=|Parallel Chapters| target=|_top|&gt;PAR&lt;/a&gt;</v>
      </c>
      <c r="AD776" s="2" t="str">
        <f t="shared" ref="AD776:AK776" si="3102">CONCATENATE("&lt;/li&gt;&lt;li&gt;&lt;a href=|http://",AD1191,"/jeremiah/31.htm","| ","title=|",AD1190,"| target=|_top|&gt;",AD1192,"&lt;/a&gt;")</f>
        <v>&lt;/li&gt;&lt;li&gt;&lt;a href=|http://gsb.biblecommenter.com/jeremiah/31.htm| title=|Geneva Study Bible| target=|_top|&gt;GSB&lt;/a&gt;</v>
      </c>
      <c r="AE776" s="2" t="str">
        <f t="shared" si="3102"/>
        <v>&lt;/li&gt;&lt;li&gt;&lt;a href=|http://jfb.biblecommenter.com/jeremiah/31.htm| title=|Jamieson-Fausset-Brown Bible Commentary| target=|_top|&gt;JFB&lt;/a&gt;</v>
      </c>
      <c r="AF776" s="2" t="str">
        <f t="shared" si="3102"/>
        <v>&lt;/li&gt;&lt;li&gt;&lt;a href=|http://kjt.biblecommenter.com/jeremiah/31.htm| title=|King James Translators' Notes| target=|_top|&gt;KJT&lt;/a&gt;</v>
      </c>
      <c r="AG776" s="2" t="str">
        <f t="shared" si="3102"/>
        <v>&lt;/li&gt;&lt;li&gt;&lt;a href=|http://mhc.biblecommenter.com/jeremiah/31.htm| title=|Matthew Henry's Concise Commentary| target=|_top|&gt;MHC&lt;/a&gt;</v>
      </c>
      <c r="AH776" s="2" t="str">
        <f t="shared" si="3102"/>
        <v>&lt;/li&gt;&lt;li&gt;&lt;a href=|http://sco.biblecommenter.com/jeremiah/31.htm| title=|Scofield Reference Notes| target=|_top|&gt;SCO&lt;/a&gt;</v>
      </c>
      <c r="AI776" s="2" t="str">
        <f t="shared" si="3102"/>
        <v>&lt;/li&gt;&lt;li&gt;&lt;a href=|http://wes.biblecommenter.com/jeremiah/31.htm| title=|Wesley's Notes on the Bible| target=|_top|&gt;WES&lt;/a&gt;</v>
      </c>
      <c r="AJ776" t="str">
        <f t="shared" si="3102"/>
        <v>&lt;/li&gt;&lt;li&gt;&lt;a href=|http://worldebible.com/jeremiah/31.htm| title=|World English Bible| target=|_top|&gt;WEB&lt;/a&gt;</v>
      </c>
      <c r="AK776" t="str">
        <f t="shared" si="3102"/>
        <v>&lt;/li&gt;&lt;li&gt;&lt;a href=|http://yltbible.com/jeremiah/31.htm| title=|Young's Literal Translation| target=|_top|&gt;YLT&lt;/a&gt;</v>
      </c>
      <c r="AL776" t="str">
        <f>CONCATENATE("&lt;a href=|http://",AL1191,"/jeremiah/31.htm","| ","title=|",AL1190,"| target=|_top|&gt;",AL1192,"&lt;/a&gt;")</f>
        <v>&lt;a href=|http://kjv.us/jeremiah/31.htm| title=|American King James Version| target=|_top|&gt;AKJ&lt;/a&gt;</v>
      </c>
      <c r="AM776" t="str">
        <f t="shared" ref="AM776:AN776" si="3103">CONCATENATE("&lt;/li&gt;&lt;li&gt;&lt;a href=|http://",AM1191,"/jeremiah/31.htm","| ","title=|",AM1190,"| target=|_top|&gt;",AM1192,"&lt;/a&gt;")</f>
        <v>&lt;/li&gt;&lt;li&gt;&lt;a href=|http://basicenglishbible.com/jeremiah/31.htm| title=|Bible in Basic English| target=|_top|&gt;BBE&lt;/a&gt;</v>
      </c>
      <c r="AN776" t="str">
        <f t="shared" si="3103"/>
        <v>&lt;/li&gt;&lt;li&gt;&lt;a href=|http://darbybible.com/jeremiah/31.htm| title=|Darby Bible Translation| target=|_top|&gt;DBY&lt;/a&gt;</v>
      </c>
      <c r="AO77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7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7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76" t="str">
        <f>CONCATENATE("&lt;/li&gt;&lt;li&gt;&lt;a href=|http://",AR1191,"/jeremiah/31.htm","| ","title=|",AR1190,"| target=|_top|&gt;",AR1192,"&lt;/a&gt;")</f>
        <v>&lt;/li&gt;&lt;li&gt;&lt;a href=|http://websterbible.com/jeremiah/31.htm| title=|Webster's Bible Translation| target=|_top|&gt;WBS&lt;/a&gt;</v>
      </c>
      <c r="AS77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76" t="str">
        <f>CONCATENATE("&lt;/li&gt;&lt;li&gt;&lt;a href=|http://",AT1191,"/jeremiah/31-1.htm","| ","title=|",AT1190,"| target=|_top|&gt;",AT1192,"&lt;/a&gt;")</f>
        <v>&lt;/li&gt;&lt;li&gt;&lt;a href=|http://biblebrowser.com/jeremiah/31-1.htm| title=|Split View| target=|_top|&gt;Split&lt;/a&gt;</v>
      </c>
      <c r="AU776" s="2" t="s">
        <v>1276</v>
      </c>
      <c r="AV776" t="s">
        <v>64</v>
      </c>
    </row>
    <row r="777" spans="1:48">
      <c r="A777" t="s">
        <v>622</v>
      </c>
      <c r="B777" t="s">
        <v>818</v>
      </c>
      <c r="C777" t="s">
        <v>624</v>
      </c>
      <c r="D777" t="s">
        <v>1268</v>
      </c>
      <c r="E777" t="s">
        <v>1277</v>
      </c>
      <c r="F777" t="s">
        <v>1304</v>
      </c>
      <c r="G777" t="s">
        <v>1266</v>
      </c>
      <c r="H777" t="s">
        <v>1305</v>
      </c>
      <c r="I777" t="s">
        <v>1303</v>
      </c>
      <c r="J777" t="s">
        <v>1267</v>
      </c>
      <c r="K777" t="s">
        <v>1275</v>
      </c>
      <c r="L777" s="2" t="s">
        <v>1274</v>
      </c>
      <c r="M777" t="str">
        <f t="shared" ref="M777:AB777" si="3104">CONCATENATE("&lt;/li&gt;&lt;li&gt;&lt;a href=|http://",M1191,"/jeremiah/32.htm","| ","title=|",M1190,"| target=|_top|&gt;",M1192,"&lt;/a&gt;")</f>
        <v>&lt;/li&gt;&lt;li&gt;&lt;a href=|http://niv.scripturetext.com/jeremiah/32.htm| title=|New International Version| target=|_top|&gt;NIV&lt;/a&gt;</v>
      </c>
      <c r="N777" t="str">
        <f t="shared" si="3104"/>
        <v>&lt;/li&gt;&lt;li&gt;&lt;a href=|http://nlt.scripturetext.com/jeremiah/32.htm| title=|New Living Translation| target=|_top|&gt;NLT&lt;/a&gt;</v>
      </c>
      <c r="O777" t="str">
        <f t="shared" si="3104"/>
        <v>&lt;/li&gt;&lt;li&gt;&lt;a href=|http://nasb.scripturetext.com/jeremiah/32.htm| title=|New American Standard Bible| target=|_top|&gt;NAS&lt;/a&gt;</v>
      </c>
      <c r="P777" t="str">
        <f t="shared" si="3104"/>
        <v>&lt;/li&gt;&lt;li&gt;&lt;a href=|http://gwt.scripturetext.com/jeremiah/32.htm| title=|God's Word Translation| target=|_top|&gt;GWT&lt;/a&gt;</v>
      </c>
      <c r="Q777" t="str">
        <f t="shared" si="3104"/>
        <v>&lt;/li&gt;&lt;li&gt;&lt;a href=|http://kingjbible.com/jeremiah/32.htm| title=|King James Bible| target=|_top|&gt;KJV&lt;/a&gt;</v>
      </c>
      <c r="R777" t="str">
        <f t="shared" si="3104"/>
        <v>&lt;/li&gt;&lt;li&gt;&lt;a href=|http://asvbible.com/jeremiah/32.htm| title=|American Standard Version| target=|_top|&gt;ASV&lt;/a&gt;</v>
      </c>
      <c r="S777" t="str">
        <f t="shared" si="3104"/>
        <v>&lt;/li&gt;&lt;li&gt;&lt;a href=|http://drb.scripturetext.com/jeremiah/32.htm| title=|Douay-Rheims Bible| target=|_top|&gt;DRB&lt;/a&gt;</v>
      </c>
      <c r="T777" t="str">
        <f t="shared" si="3104"/>
        <v>&lt;/li&gt;&lt;li&gt;&lt;a href=|http://erv.scripturetext.com/jeremiah/32.htm| title=|English Revised Version| target=|_top|&gt;ERV&lt;/a&gt;</v>
      </c>
      <c r="V777" t="str">
        <f>CONCATENATE("&lt;/li&gt;&lt;li&gt;&lt;a href=|http://",V1191,"/jeremiah/32.htm","| ","title=|",V1190,"| target=|_top|&gt;",V1192,"&lt;/a&gt;")</f>
        <v>&lt;/li&gt;&lt;li&gt;&lt;a href=|http://study.interlinearbible.org/jeremiah/32.htm| title=|Hebrew Study Bible| target=|_top|&gt;Heb Study&lt;/a&gt;</v>
      </c>
      <c r="W777" t="str">
        <f t="shared" si="3104"/>
        <v>&lt;/li&gt;&lt;li&gt;&lt;a href=|http://apostolic.interlinearbible.org/jeremiah/32.htm| title=|Apostolic Bible Polyglot Interlinear| target=|_top|&gt;Polyglot&lt;/a&gt;</v>
      </c>
      <c r="X777" t="str">
        <f t="shared" si="3104"/>
        <v>&lt;/li&gt;&lt;li&gt;&lt;a href=|http://interlinearbible.org/jeremiah/32.htm| title=|Interlinear Bible| target=|_top|&gt;Interlin&lt;/a&gt;</v>
      </c>
      <c r="Y777" t="str">
        <f t="shared" ref="Y777" si="3105">CONCATENATE("&lt;/li&gt;&lt;li&gt;&lt;a href=|http://",Y1191,"/jeremiah/32.htm","| ","title=|",Y1190,"| target=|_top|&gt;",Y1192,"&lt;/a&gt;")</f>
        <v>&lt;/li&gt;&lt;li&gt;&lt;a href=|http://bibleoutline.org/jeremiah/32.htm| title=|Outline with People and Places List| target=|_top|&gt;Outline&lt;/a&gt;</v>
      </c>
      <c r="Z777" t="str">
        <f t="shared" si="3104"/>
        <v>&lt;/li&gt;&lt;li&gt;&lt;a href=|http://kjvs.scripturetext.com/jeremiah/32.htm| title=|King James Bible with Strong's Numbers| target=|_top|&gt;Strong's&lt;/a&gt;</v>
      </c>
      <c r="AA777" t="str">
        <f t="shared" si="3104"/>
        <v>&lt;/li&gt;&lt;li&gt;&lt;a href=|http://childrensbibleonline.com/jeremiah/32.htm| title=|The Children's Bible| target=|_top|&gt;Children's&lt;/a&gt;</v>
      </c>
      <c r="AB777" s="2" t="str">
        <f t="shared" si="3104"/>
        <v>&lt;/li&gt;&lt;li&gt;&lt;a href=|http://tsk.scripturetext.com/jeremiah/32.htm| title=|Treasury of Scripture Knowledge| target=|_top|&gt;TSK&lt;/a&gt;</v>
      </c>
      <c r="AC777" t="str">
        <f>CONCATENATE("&lt;a href=|http://",AC1191,"/jeremiah/32.htm","| ","title=|",AC1190,"| target=|_top|&gt;",AC1192,"&lt;/a&gt;")</f>
        <v>&lt;a href=|http://parallelbible.com/jeremiah/32.htm| title=|Parallel Chapters| target=|_top|&gt;PAR&lt;/a&gt;</v>
      </c>
      <c r="AD777" s="2" t="str">
        <f t="shared" ref="AD777:AK777" si="3106">CONCATENATE("&lt;/li&gt;&lt;li&gt;&lt;a href=|http://",AD1191,"/jeremiah/32.htm","| ","title=|",AD1190,"| target=|_top|&gt;",AD1192,"&lt;/a&gt;")</f>
        <v>&lt;/li&gt;&lt;li&gt;&lt;a href=|http://gsb.biblecommenter.com/jeremiah/32.htm| title=|Geneva Study Bible| target=|_top|&gt;GSB&lt;/a&gt;</v>
      </c>
      <c r="AE777" s="2" t="str">
        <f t="shared" si="3106"/>
        <v>&lt;/li&gt;&lt;li&gt;&lt;a href=|http://jfb.biblecommenter.com/jeremiah/32.htm| title=|Jamieson-Fausset-Brown Bible Commentary| target=|_top|&gt;JFB&lt;/a&gt;</v>
      </c>
      <c r="AF777" s="2" t="str">
        <f t="shared" si="3106"/>
        <v>&lt;/li&gt;&lt;li&gt;&lt;a href=|http://kjt.biblecommenter.com/jeremiah/32.htm| title=|King James Translators' Notes| target=|_top|&gt;KJT&lt;/a&gt;</v>
      </c>
      <c r="AG777" s="2" t="str">
        <f t="shared" si="3106"/>
        <v>&lt;/li&gt;&lt;li&gt;&lt;a href=|http://mhc.biblecommenter.com/jeremiah/32.htm| title=|Matthew Henry's Concise Commentary| target=|_top|&gt;MHC&lt;/a&gt;</v>
      </c>
      <c r="AH777" s="2" t="str">
        <f t="shared" si="3106"/>
        <v>&lt;/li&gt;&lt;li&gt;&lt;a href=|http://sco.biblecommenter.com/jeremiah/32.htm| title=|Scofield Reference Notes| target=|_top|&gt;SCO&lt;/a&gt;</v>
      </c>
      <c r="AI777" s="2" t="str">
        <f t="shared" si="3106"/>
        <v>&lt;/li&gt;&lt;li&gt;&lt;a href=|http://wes.biblecommenter.com/jeremiah/32.htm| title=|Wesley's Notes on the Bible| target=|_top|&gt;WES&lt;/a&gt;</v>
      </c>
      <c r="AJ777" t="str">
        <f t="shared" si="3106"/>
        <v>&lt;/li&gt;&lt;li&gt;&lt;a href=|http://worldebible.com/jeremiah/32.htm| title=|World English Bible| target=|_top|&gt;WEB&lt;/a&gt;</v>
      </c>
      <c r="AK777" t="str">
        <f t="shared" si="3106"/>
        <v>&lt;/li&gt;&lt;li&gt;&lt;a href=|http://yltbible.com/jeremiah/32.htm| title=|Young's Literal Translation| target=|_top|&gt;YLT&lt;/a&gt;</v>
      </c>
      <c r="AL777" t="str">
        <f>CONCATENATE("&lt;a href=|http://",AL1191,"/jeremiah/32.htm","| ","title=|",AL1190,"| target=|_top|&gt;",AL1192,"&lt;/a&gt;")</f>
        <v>&lt;a href=|http://kjv.us/jeremiah/32.htm| title=|American King James Version| target=|_top|&gt;AKJ&lt;/a&gt;</v>
      </c>
      <c r="AM777" t="str">
        <f t="shared" ref="AM777:AN777" si="3107">CONCATENATE("&lt;/li&gt;&lt;li&gt;&lt;a href=|http://",AM1191,"/jeremiah/32.htm","| ","title=|",AM1190,"| target=|_top|&gt;",AM1192,"&lt;/a&gt;")</f>
        <v>&lt;/li&gt;&lt;li&gt;&lt;a href=|http://basicenglishbible.com/jeremiah/32.htm| title=|Bible in Basic English| target=|_top|&gt;BBE&lt;/a&gt;</v>
      </c>
      <c r="AN777" t="str">
        <f t="shared" si="3107"/>
        <v>&lt;/li&gt;&lt;li&gt;&lt;a href=|http://darbybible.com/jeremiah/32.htm| title=|Darby Bible Translation| target=|_top|&gt;DBY&lt;/a&gt;</v>
      </c>
      <c r="AO77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7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7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77" t="str">
        <f>CONCATENATE("&lt;/li&gt;&lt;li&gt;&lt;a href=|http://",AR1191,"/jeremiah/32.htm","| ","title=|",AR1190,"| target=|_top|&gt;",AR1192,"&lt;/a&gt;")</f>
        <v>&lt;/li&gt;&lt;li&gt;&lt;a href=|http://websterbible.com/jeremiah/32.htm| title=|Webster's Bible Translation| target=|_top|&gt;WBS&lt;/a&gt;</v>
      </c>
      <c r="AS77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77" t="str">
        <f>CONCATENATE("&lt;/li&gt;&lt;li&gt;&lt;a href=|http://",AT1191,"/jeremiah/32-1.htm","| ","title=|",AT1190,"| target=|_top|&gt;",AT1192,"&lt;/a&gt;")</f>
        <v>&lt;/li&gt;&lt;li&gt;&lt;a href=|http://biblebrowser.com/jeremiah/32-1.htm| title=|Split View| target=|_top|&gt;Split&lt;/a&gt;</v>
      </c>
      <c r="AU777" s="2" t="s">
        <v>1276</v>
      </c>
      <c r="AV777" t="s">
        <v>64</v>
      </c>
    </row>
    <row r="778" spans="1:48">
      <c r="A778" t="s">
        <v>622</v>
      </c>
      <c r="B778" t="s">
        <v>819</v>
      </c>
      <c r="C778" t="s">
        <v>624</v>
      </c>
      <c r="D778" t="s">
        <v>1268</v>
      </c>
      <c r="E778" t="s">
        <v>1277</v>
      </c>
      <c r="F778" t="s">
        <v>1304</v>
      </c>
      <c r="G778" t="s">
        <v>1266</v>
      </c>
      <c r="H778" t="s">
        <v>1305</v>
      </c>
      <c r="I778" t="s">
        <v>1303</v>
      </c>
      <c r="J778" t="s">
        <v>1267</v>
      </c>
      <c r="K778" t="s">
        <v>1275</v>
      </c>
      <c r="L778" s="2" t="s">
        <v>1274</v>
      </c>
      <c r="M778" t="str">
        <f t="shared" ref="M778:AB778" si="3108">CONCATENATE("&lt;/li&gt;&lt;li&gt;&lt;a href=|http://",M1191,"/jeremiah/33.htm","| ","title=|",M1190,"| target=|_top|&gt;",M1192,"&lt;/a&gt;")</f>
        <v>&lt;/li&gt;&lt;li&gt;&lt;a href=|http://niv.scripturetext.com/jeremiah/33.htm| title=|New International Version| target=|_top|&gt;NIV&lt;/a&gt;</v>
      </c>
      <c r="N778" t="str">
        <f t="shared" si="3108"/>
        <v>&lt;/li&gt;&lt;li&gt;&lt;a href=|http://nlt.scripturetext.com/jeremiah/33.htm| title=|New Living Translation| target=|_top|&gt;NLT&lt;/a&gt;</v>
      </c>
      <c r="O778" t="str">
        <f t="shared" si="3108"/>
        <v>&lt;/li&gt;&lt;li&gt;&lt;a href=|http://nasb.scripturetext.com/jeremiah/33.htm| title=|New American Standard Bible| target=|_top|&gt;NAS&lt;/a&gt;</v>
      </c>
      <c r="P778" t="str">
        <f t="shared" si="3108"/>
        <v>&lt;/li&gt;&lt;li&gt;&lt;a href=|http://gwt.scripturetext.com/jeremiah/33.htm| title=|God's Word Translation| target=|_top|&gt;GWT&lt;/a&gt;</v>
      </c>
      <c r="Q778" t="str">
        <f t="shared" si="3108"/>
        <v>&lt;/li&gt;&lt;li&gt;&lt;a href=|http://kingjbible.com/jeremiah/33.htm| title=|King James Bible| target=|_top|&gt;KJV&lt;/a&gt;</v>
      </c>
      <c r="R778" t="str">
        <f t="shared" si="3108"/>
        <v>&lt;/li&gt;&lt;li&gt;&lt;a href=|http://asvbible.com/jeremiah/33.htm| title=|American Standard Version| target=|_top|&gt;ASV&lt;/a&gt;</v>
      </c>
      <c r="S778" t="str">
        <f t="shared" si="3108"/>
        <v>&lt;/li&gt;&lt;li&gt;&lt;a href=|http://drb.scripturetext.com/jeremiah/33.htm| title=|Douay-Rheims Bible| target=|_top|&gt;DRB&lt;/a&gt;</v>
      </c>
      <c r="T778" t="str">
        <f t="shared" si="3108"/>
        <v>&lt;/li&gt;&lt;li&gt;&lt;a href=|http://erv.scripturetext.com/jeremiah/33.htm| title=|English Revised Version| target=|_top|&gt;ERV&lt;/a&gt;</v>
      </c>
      <c r="V778" t="str">
        <f>CONCATENATE("&lt;/li&gt;&lt;li&gt;&lt;a href=|http://",V1191,"/jeremiah/33.htm","| ","title=|",V1190,"| target=|_top|&gt;",V1192,"&lt;/a&gt;")</f>
        <v>&lt;/li&gt;&lt;li&gt;&lt;a href=|http://study.interlinearbible.org/jeremiah/33.htm| title=|Hebrew Study Bible| target=|_top|&gt;Heb Study&lt;/a&gt;</v>
      </c>
      <c r="W778" t="str">
        <f t="shared" si="3108"/>
        <v>&lt;/li&gt;&lt;li&gt;&lt;a href=|http://apostolic.interlinearbible.org/jeremiah/33.htm| title=|Apostolic Bible Polyglot Interlinear| target=|_top|&gt;Polyglot&lt;/a&gt;</v>
      </c>
      <c r="X778" t="str">
        <f t="shared" si="3108"/>
        <v>&lt;/li&gt;&lt;li&gt;&lt;a href=|http://interlinearbible.org/jeremiah/33.htm| title=|Interlinear Bible| target=|_top|&gt;Interlin&lt;/a&gt;</v>
      </c>
      <c r="Y778" t="str">
        <f t="shared" ref="Y778" si="3109">CONCATENATE("&lt;/li&gt;&lt;li&gt;&lt;a href=|http://",Y1191,"/jeremiah/33.htm","| ","title=|",Y1190,"| target=|_top|&gt;",Y1192,"&lt;/a&gt;")</f>
        <v>&lt;/li&gt;&lt;li&gt;&lt;a href=|http://bibleoutline.org/jeremiah/33.htm| title=|Outline with People and Places List| target=|_top|&gt;Outline&lt;/a&gt;</v>
      </c>
      <c r="Z778" t="str">
        <f t="shared" si="3108"/>
        <v>&lt;/li&gt;&lt;li&gt;&lt;a href=|http://kjvs.scripturetext.com/jeremiah/33.htm| title=|King James Bible with Strong's Numbers| target=|_top|&gt;Strong's&lt;/a&gt;</v>
      </c>
      <c r="AA778" t="str">
        <f t="shared" si="3108"/>
        <v>&lt;/li&gt;&lt;li&gt;&lt;a href=|http://childrensbibleonline.com/jeremiah/33.htm| title=|The Children's Bible| target=|_top|&gt;Children's&lt;/a&gt;</v>
      </c>
      <c r="AB778" s="2" t="str">
        <f t="shared" si="3108"/>
        <v>&lt;/li&gt;&lt;li&gt;&lt;a href=|http://tsk.scripturetext.com/jeremiah/33.htm| title=|Treasury of Scripture Knowledge| target=|_top|&gt;TSK&lt;/a&gt;</v>
      </c>
      <c r="AC778" t="str">
        <f>CONCATENATE("&lt;a href=|http://",AC1191,"/jeremiah/33.htm","| ","title=|",AC1190,"| target=|_top|&gt;",AC1192,"&lt;/a&gt;")</f>
        <v>&lt;a href=|http://parallelbible.com/jeremiah/33.htm| title=|Parallel Chapters| target=|_top|&gt;PAR&lt;/a&gt;</v>
      </c>
      <c r="AD778" s="2" t="str">
        <f t="shared" ref="AD778:AK778" si="3110">CONCATENATE("&lt;/li&gt;&lt;li&gt;&lt;a href=|http://",AD1191,"/jeremiah/33.htm","| ","title=|",AD1190,"| target=|_top|&gt;",AD1192,"&lt;/a&gt;")</f>
        <v>&lt;/li&gt;&lt;li&gt;&lt;a href=|http://gsb.biblecommenter.com/jeremiah/33.htm| title=|Geneva Study Bible| target=|_top|&gt;GSB&lt;/a&gt;</v>
      </c>
      <c r="AE778" s="2" t="str">
        <f t="shared" si="3110"/>
        <v>&lt;/li&gt;&lt;li&gt;&lt;a href=|http://jfb.biblecommenter.com/jeremiah/33.htm| title=|Jamieson-Fausset-Brown Bible Commentary| target=|_top|&gt;JFB&lt;/a&gt;</v>
      </c>
      <c r="AF778" s="2" t="str">
        <f t="shared" si="3110"/>
        <v>&lt;/li&gt;&lt;li&gt;&lt;a href=|http://kjt.biblecommenter.com/jeremiah/33.htm| title=|King James Translators' Notes| target=|_top|&gt;KJT&lt;/a&gt;</v>
      </c>
      <c r="AG778" s="2" t="str">
        <f t="shared" si="3110"/>
        <v>&lt;/li&gt;&lt;li&gt;&lt;a href=|http://mhc.biblecommenter.com/jeremiah/33.htm| title=|Matthew Henry's Concise Commentary| target=|_top|&gt;MHC&lt;/a&gt;</v>
      </c>
      <c r="AH778" s="2" t="str">
        <f t="shared" si="3110"/>
        <v>&lt;/li&gt;&lt;li&gt;&lt;a href=|http://sco.biblecommenter.com/jeremiah/33.htm| title=|Scofield Reference Notes| target=|_top|&gt;SCO&lt;/a&gt;</v>
      </c>
      <c r="AI778" s="2" t="str">
        <f t="shared" si="3110"/>
        <v>&lt;/li&gt;&lt;li&gt;&lt;a href=|http://wes.biblecommenter.com/jeremiah/33.htm| title=|Wesley's Notes on the Bible| target=|_top|&gt;WES&lt;/a&gt;</v>
      </c>
      <c r="AJ778" t="str">
        <f t="shared" si="3110"/>
        <v>&lt;/li&gt;&lt;li&gt;&lt;a href=|http://worldebible.com/jeremiah/33.htm| title=|World English Bible| target=|_top|&gt;WEB&lt;/a&gt;</v>
      </c>
      <c r="AK778" t="str">
        <f t="shared" si="3110"/>
        <v>&lt;/li&gt;&lt;li&gt;&lt;a href=|http://yltbible.com/jeremiah/33.htm| title=|Young's Literal Translation| target=|_top|&gt;YLT&lt;/a&gt;</v>
      </c>
      <c r="AL778" t="str">
        <f>CONCATENATE("&lt;a href=|http://",AL1191,"/jeremiah/33.htm","| ","title=|",AL1190,"| target=|_top|&gt;",AL1192,"&lt;/a&gt;")</f>
        <v>&lt;a href=|http://kjv.us/jeremiah/33.htm| title=|American King James Version| target=|_top|&gt;AKJ&lt;/a&gt;</v>
      </c>
      <c r="AM778" t="str">
        <f t="shared" ref="AM778:AN778" si="3111">CONCATENATE("&lt;/li&gt;&lt;li&gt;&lt;a href=|http://",AM1191,"/jeremiah/33.htm","| ","title=|",AM1190,"| target=|_top|&gt;",AM1192,"&lt;/a&gt;")</f>
        <v>&lt;/li&gt;&lt;li&gt;&lt;a href=|http://basicenglishbible.com/jeremiah/33.htm| title=|Bible in Basic English| target=|_top|&gt;BBE&lt;/a&gt;</v>
      </c>
      <c r="AN778" t="str">
        <f t="shared" si="3111"/>
        <v>&lt;/li&gt;&lt;li&gt;&lt;a href=|http://darbybible.com/jeremiah/33.htm| title=|Darby Bible Translation| target=|_top|&gt;DBY&lt;/a&gt;</v>
      </c>
      <c r="AO77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7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7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78" t="str">
        <f>CONCATENATE("&lt;/li&gt;&lt;li&gt;&lt;a href=|http://",AR1191,"/jeremiah/33.htm","| ","title=|",AR1190,"| target=|_top|&gt;",AR1192,"&lt;/a&gt;")</f>
        <v>&lt;/li&gt;&lt;li&gt;&lt;a href=|http://websterbible.com/jeremiah/33.htm| title=|Webster's Bible Translation| target=|_top|&gt;WBS&lt;/a&gt;</v>
      </c>
      <c r="AS77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78" t="str">
        <f>CONCATENATE("&lt;/li&gt;&lt;li&gt;&lt;a href=|http://",AT1191,"/jeremiah/33-1.htm","| ","title=|",AT1190,"| target=|_top|&gt;",AT1192,"&lt;/a&gt;")</f>
        <v>&lt;/li&gt;&lt;li&gt;&lt;a href=|http://biblebrowser.com/jeremiah/33-1.htm| title=|Split View| target=|_top|&gt;Split&lt;/a&gt;</v>
      </c>
      <c r="AU778" s="2" t="s">
        <v>1276</v>
      </c>
      <c r="AV778" t="s">
        <v>64</v>
      </c>
    </row>
    <row r="779" spans="1:48">
      <c r="A779" t="s">
        <v>622</v>
      </c>
      <c r="B779" t="s">
        <v>820</v>
      </c>
      <c r="C779" t="s">
        <v>624</v>
      </c>
      <c r="D779" t="s">
        <v>1268</v>
      </c>
      <c r="E779" t="s">
        <v>1277</v>
      </c>
      <c r="F779" t="s">
        <v>1304</v>
      </c>
      <c r="G779" t="s">
        <v>1266</v>
      </c>
      <c r="H779" t="s">
        <v>1305</v>
      </c>
      <c r="I779" t="s">
        <v>1303</v>
      </c>
      <c r="J779" t="s">
        <v>1267</v>
      </c>
      <c r="K779" t="s">
        <v>1275</v>
      </c>
      <c r="L779" s="2" t="s">
        <v>1274</v>
      </c>
      <c r="M779" t="str">
        <f t="shared" ref="M779:AB779" si="3112">CONCATENATE("&lt;/li&gt;&lt;li&gt;&lt;a href=|http://",M1191,"/jeremiah/34.htm","| ","title=|",M1190,"| target=|_top|&gt;",M1192,"&lt;/a&gt;")</f>
        <v>&lt;/li&gt;&lt;li&gt;&lt;a href=|http://niv.scripturetext.com/jeremiah/34.htm| title=|New International Version| target=|_top|&gt;NIV&lt;/a&gt;</v>
      </c>
      <c r="N779" t="str">
        <f t="shared" si="3112"/>
        <v>&lt;/li&gt;&lt;li&gt;&lt;a href=|http://nlt.scripturetext.com/jeremiah/34.htm| title=|New Living Translation| target=|_top|&gt;NLT&lt;/a&gt;</v>
      </c>
      <c r="O779" t="str">
        <f t="shared" si="3112"/>
        <v>&lt;/li&gt;&lt;li&gt;&lt;a href=|http://nasb.scripturetext.com/jeremiah/34.htm| title=|New American Standard Bible| target=|_top|&gt;NAS&lt;/a&gt;</v>
      </c>
      <c r="P779" t="str">
        <f t="shared" si="3112"/>
        <v>&lt;/li&gt;&lt;li&gt;&lt;a href=|http://gwt.scripturetext.com/jeremiah/34.htm| title=|God's Word Translation| target=|_top|&gt;GWT&lt;/a&gt;</v>
      </c>
      <c r="Q779" t="str">
        <f t="shared" si="3112"/>
        <v>&lt;/li&gt;&lt;li&gt;&lt;a href=|http://kingjbible.com/jeremiah/34.htm| title=|King James Bible| target=|_top|&gt;KJV&lt;/a&gt;</v>
      </c>
      <c r="R779" t="str">
        <f t="shared" si="3112"/>
        <v>&lt;/li&gt;&lt;li&gt;&lt;a href=|http://asvbible.com/jeremiah/34.htm| title=|American Standard Version| target=|_top|&gt;ASV&lt;/a&gt;</v>
      </c>
      <c r="S779" t="str">
        <f t="shared" si="3112"/>
        <v>&lt;/li&gt;&lt;li&gt;&lt;a href=|http://drb.scripturetext.com/jeremiah/34.htm| title=|Douay-Rheims Bible| target=|_top|&gt;DRB&lt;/a&gt;</v>
      </c>
      <c r="T779" t="str">
        <f t="shared" si="3112"/>
        <v>&lt;/li&gt;&lt;li&gt;&lt;a href=|http://erv.scripturetext.com/jeremiah/34.htm| title=|English Revised Version| target=|_top|&gt;ERV&lt;/a&gt;</v>
      </c>
      <c r="V779" t="str">
        <f>CONCATENATE("&lt;/li&gt;&lt;li&gt;&lt;a href=|http://",V1191,"/jeremiah/34.htm","| ","title=|",V1190,"| target=|_top|&gt;",V1192,"&lt;/a&gt;")</f>
        <v>&lt;/li&gt;&lt;li&gt;&lt;a href=|http://study.interlinearbible.org/jeremiah/34.htm| title=|Hebrew Study Bible| target=|_top|&gt;Heb Study&lt;/a&gt;</v>
      </c>
      <c r="W779" t="str">
        <f t="shared" si="3112"/>
        <v>&lt;/li&gt;&lt;li&gt;&lt;a href=|http://apostolic.interlinearbible.org/jeremiah/34.htm| title=|Apostolic Bible Polyglot Interlinear| target=|_top|&gt;Polyglot&lt;/a&gt;</v>
      </c>
      <c r="X779" t="str">
        <f t="shared" si="3112"/>
        <v>&lt;/li&gt;&lt;li&gt;&lt;a href=|http://interlinearbible.org/jeremiah/34.htm| title=|Interlinear Bible| target=|_top|&gt;Interlin&lt;/a&gt;</v>
      </c>
      <c r="Y779" t="str">
        <f t="shared" ref="Y779" si="3113">CONCATENATE("&lt;/li&gt;&lt;li&gt;&lt;a href=|http://",Y1191,"/jeremiah/34.htm","| ","title=|",Y1190,"| target=|_top|&gt;",Y1192,"&lt;/a&gt;")</f>
        <v>&lt;/li&gt;&lt;li&gt;&lt;a href=|http://bibleoutline.org/jeremiah/34.htm| title=|Outline with People and Places List| target=|_top|&gt;Outline&lt;/a&gt;</v>
      </c>
      <c r="Z779" t="str">
        <f t="shared" si="3112"/>
        <v>&lt;/li&gt;&lt;li&gt;&lt;a href=|http://kjvs.scripturetext.com/jeremiah/34.htm| title=|King James Bible with Strong's Numbers| target=|_top|&gt;Strong's&lt;/a&gt;</v>
      </c>
      <c r="AA779" t="str">
        <f t="shared" si="3112"/>
        <v>&lt;/li&gt;&lt;li&gt;&lt;a href=|http://childrensbibleonline.com/jeremiah/34.htm| title=|The Children's Bible| target=|_top|&gt;Children's&lt;/a&gt;</v>
      </c>
      <c r="AB779" s="2" t="str">
        <f t="shared" si="3112"/>
        <v>&lt;/li&gt;&lt;li&gt;&lt;a href=|http://tsk.scripturetext.com/jeremiah/34.htm| title=|Treasury of Scripture Knowledge| target=|_top|&gt;TSK&lt;/a&gt;</v>
      </c>
      <c r="AC779" t="str">
        <f>CONCATENATE("&lt;a href=|http://",AC1191,"/jeremiah/34.htm","| ","title=|",AC1190,"| target=|_top|&gt;",AC1192,"&lt;/a&gt;")</f>
        <v>&lt;a href=|http://parallelbible.com/jeremiah/34.htm| title=|Parallel Chapters| target=|_top|&gt;PAR&lt;/a&gt;</v>
      </c>
      <c r="AD779" s="2" t="str">
        <f t="shared" ref="AD779:AK779" si="3114">CONCATENATE("&lt;/li&gt;&lt;li&gt;&lt;a href=|http://",AD1191,"/jeremiah/34.htm","| ","title=|",AD1190,"| target=|_top|&gt;",AD1192,"&lt;/a&gt;")</f>
        <v>&lt;/li&gt;&lt;li&gt;&lt;a href=|http://gsb.biblecommenter.com/jeremiah/34.htm| title=|Geneva Study Bible| target=|_top|&gt;GSB&lt;/a&gt;</v>
      </c>
      <c r="AE779" s="2" t="str">
        <f t="shared" si="3114"/>
        <v>&lt;/li&gt;&lt;li&gt;&lt;a href=|http://jfb.biblecommenter.com/jeremiah/34.htm| title=|Jamieson-Fausset-Brown Bible Commentary| target=|_top|&gt;JFB&lt;/a&gt;</v>
      </c>
      <c r="AF779" s="2" t="str">
        <f t="shared" si="3114"/>
        <v>&lt;/li&gt;&lt;li&gt;&lt;a href=|http://kjt.biblecommenter.com/jeremiah/34.htm| title=|King James Translators' Notes| target=|_top|&gt;KJT&lt;/a&gt;</v>
      </c>
      <c r="AG779" s="2" t="str">
        <f t="shared" si="3114"/>
        <v>&lt;/li&gt;&lt;li&gt;&lt;a href=|http://mhc.biblecommenter.com/jeremiah/34.htm| title=|Matthew Henry's Concise Commentary| target=|_top|&gt;MHC&lt;/a&gt;</v>
      </c>
      <c r="AH779" s="2" t="str">
        <f t="shared" si="3114"/>
        <v>&lt;/li&gt;&lt;li&gt;&lt;a href=|http://sco.biblecommenter.com/jeremiah/34.htm| title=|Scofield Reference Notes| target=|_top|&gt;SCO&lt;/a&gt;</v>
      </c>
      <c r="AI779" s="2" t="str">
        <f t="shared" si="3114"/>
        <v>&lt;/li&gt;&lt;li&gt;&lt;a href=|http://wes.biblecommenter.com/jeremiah/34.htm| title=|Wesley's Notes on the Bible| target=|_top|&gt;WES&lt;/a&gt;</v>
      </c>
      <c r="AJ779" t="str">
        <f t="shared" si="3114"/>
        <v>&lt;/li&gt;&lt;li&gt;&lt;a href=|http://worldebible.com/jeremiah/34.htm| title=|World English Bible| target=|_top|&gt;WEB&lt;/a&gt;</v>
      </c>
      <c r="AK779" t="str">
        <f t="shared" si="3114"/>
        <v>&lt;/li&gt;&lt;li&gt;&lt;a href=|http://yltbible.com/jeremiah/34.htm| title=|Young's Literal Translation| target=|_top|&gt;YLT&lt;/a&gt;</v>
      </c>
      <c r="AL779" t="str">
        <f>CONCATENATE("&lt;a href=|http://",AL1191,"/jeremiah/34.htm","| ","title=|",AL1190,"| target=|_top|&gt;",AL1192,"&lt;/a&gt;")</f>
        <v>&lt;a href=|http://kjv.us/jeremiah/34.htm| title=|American King James Version| target=|_top|&gt;AKJ&lt;/a&gt;</v>
      </c>
      <c r="AM779" t="str">
        <f t="shared" ref="AM779:AN779" si="3115">CONCATENATE("&lt;/li&gt;&lt;li&gt;&lt;a href=|http://",AM1191,"/jeremiah/34.htm","| ","title=|",AM1190,"| target=|_top|&gt;",AM1192,"&lt;/a&gt;")</f>
        <v>&lt;/li&gt;&lt;li&gt;&lt;a href=|http://basicenglishbible.com/jeremiah/34.htm| title=|Bible in Basic English| target=|_top|&gt;BBE&lt;/a&gt;</v>
      </c>
      <c r="AN779" t="str">
        <f t="shared" si="3115"/>
        <v>&lt;/li&gt;&lt;li&gt;&lt;a href=|http://darbybible.com/jeremiah/34.htm| title=|Darby Bible Translation| target=|_top|&gt;DBY&lt;/a&gt;</v>
      </c>
      <c r="AO77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7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7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79" t="str">
        <f>CONCATENATE("&lt;/li&gt;&lt;li&gt;&lt;a href=|http://",AR1191,"/jeremiah/34.htm","| ","title=|",AR1190,"| target=|_top|&gt;",AR1192,"&lt;/a&gt;")</f>
        <v>&lt;/li&gt;&lt;li&gt;&lt;a href=|http://websterbible.com/jeremiah/34.htm| title=|Webster's Bible Translation| target=|_top|&gt;WBS&lt;/a&gt;</v>
      </c>
      <c r="AS77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79" t="str">
        <f>CONCATENATE("&lt;/li&gt;&lt;li&gt;&lt;a href=|http://",AT1191,"/jeremiah/34-1.htm","| ","title=|",AT1190,"| target=|_top|&gt;",AT1192,"&lt;/a&gt;")</f>
        <v>&lt;/li&gt;&lt;li&gt;&lt;a href=|http://biblebrowser.com/jeremiah/34-1.htm| title=|Split View| target=|_top|&gt;Split&lt;/a&gt;</v>
      </c>
      <c r="AU779" s="2" t="s">
        <v>1276</v>
      </c>
      <c r="AV779" t="s">
        <v>64</v>
      </c>
    </row>
    <row r="780" spans="1:48">
      <c r="A780" t="s">
        <v>622</v>
      </c>
      <c r="B780" t="s">
        <v>821</v>
      </c>
      <c r="C780" t="s">
        <v>624</v>
      </c>
      <c r="D780" t="s">
        <v>1268</v>
      </c>
      <c r="E780" t="s">
        <v>1277</v>
      </c>
      <c r="F780" t="s">
        <v>1304</v>
      </c>
      <c r="G780" t="s">
        <v>1266</v>
      </c>
      <c r="H780" t="s">
        <v>1305</v>
      </c>
      <c r="I780" t="s">
        <v>1303</v>
      </c>
      <c r="J780" t="s">
        <v>1267</v>
      </c>
      <c r="K780" t="s">
        <v>1275</v>
      </c>
      <c r="L780" s="2" t="s">
        <v>1274</v>
      </c>
      <c r="M780" t="str">
        <f t="shared" ref="M780:AB780" si="3116">CONCATENATE("&lt;/li&gt;&lt;li&gt;&lt;a href=|http://",M1191,"/jeremiah/35.htm","| ","title=|",M1190,"| target=|_top|&gt;",M1192,"&lt;/a&gt;")</f>
        <v>&lt;/li&gt;&lt;li&gt;&lt;a href=|http://niv.scripturetext.com/jeremiah/35.htm| title=|New International Version| target=|_top|&gt;NIV&lt;/a&gt;</v>
      </c>
      <c r="N780" t="str">
        <f t="shared" si="3116"/>
        <v>&lt;/li&gt;&lt;li&gt;&lt;a href=|http://nlt.scripturetext.com/jeremiah/35.htm| title=|New Living Translation| target=|_top|&gt;NLT&lt;/a&gt;</v>
      </c>
      <c r="O780" t="str">
        <f t="shared" si="3116"/>
        <v>&lt;/li&gt;&lt;li&gt;&lt;a href=|http://nasb.scripturetext.com/jeremiah/35.htm| title=|New American Standard Bible| target=|_top|&gt;NAS&lt;/a&gt;</v>
      </c>
      <c r="P780" t="str">
        <f t="shared" si="3116"/>
        <v>&lt;/li&gt;&lt;li&gt;&lt;a href=|http://gwt.scripturetext.com/jeremiah/35.htm| title=|God's Word Translation| target=|_top|&gt;GWT&lt;/a&gt;</v>
      </c>
      <c r="Q780" t="str">
        <f t="shared" si="3116"/>
        <v>&lt;/li&gt;&lt;li&gt;&lt;a href=|http://kingjbible.com/jeremiah/35.htm| title=|King James Bible| target=|_top|&gt;KJV&lt;/a&gt;</v>
      </c>
      <c r="R780" t="str">
        <f t="shared" si="3116"/>
        <v>&lt;/li&gt;&lt;li&gt;&lt;a href=|http://asvbible.com/jeremiah/35.htm| title=|American Standard Version| target=|_top|&gt;ASV&lt;/a&gt;</v>
      </c>
      <c r="S780" t="str">
        <f t="shared" si="3116"/>
        <v>&lt;/li&gt;&lt;li&gt;&lt;a href=|http://drb.scripturetext.com/jeremiah/35.htm| title=|Douay-Rheims Bible| target=|_top|&gt;DRB&lt;/a&gt;</v>
      </c>
      <c r="T780" t="str">
        <f t="shared" si="3116"/>
        <v>&lt;/li&gt;&lt;li&gt;&lt;a href=|http://erv.scripturetext.com/jeremiah/35.htm| title=|English Revised Version| target=|_top|&gt;ERV&lt;/a&gt;</v>
      </c>
      <c r="V780" t="str">
        <f>CONCATENATE("&lt;/li&gt;&lt;li&gt;&lt;a href=|http://",V1191,"/jeremiah/35.htm","| ","title=|",V1190,"| target=|_top|&gt;",V1192,"&lt;/a&gt;")</f>
        <v>&lt;/li&gt;&lt;li&gt;&lt;a href=|http://study.interlinearbible.org/jeremiah/35.htm| title=|Hebrew Study Bible| target=|_top|&gt;Heb Study&lt;/a&gt;</v>
      </c>
      <c r="W780" t="str">
        <f t="shared" si="3116"/>
        <v>&lt;/li&gt;&lt;li&gt;&lt;a href=|http://apostolic.interlinearbible.org/jeremiah/35.htm| title=|Apostolic Bible Polyglot Interlinear| target=|_top|&gt;Polyglot&lt;/a&gt;</v>
      </c>
      <c r="X780" t="str">
        <f t="shared" si="3116"/>
        <v>&lt;/li&gt;&lt;li&gt;&lt;a href=|http://interlinearbible.org/jeremiah/35.htm| title=|Interlinear Bible| target=|_top|&gt;Interlin&lt;/a&gt;</v>
      </c>
      <c r="Y780" t="str">
        <f t="shared" ref="Y780" si="3117">CONCATENATE("&lt;/li&gt;&lt;li&gt;&lt;a href=|http://",Y1191,"/jeremiah/35.htm","| ","title=|",Y1190,"| target=|_top|&gt;",Y1192,"&lt;/a&gt;")</f>
        <v>&lt;/li&gt;&lt;li&gt;&lt;a href=|http://bibleoutline.org/jeremiah/35.htm| title=|Outline with People and Places List| target=|_top|&gt;Outline&lt;/a&gt;</v>
      </c>
      <c r="Z780" t="str">
        <f t="shared" si="3116"/>
        <v>&lt;/li&gt;&lt;li&gt;&lt;a href=|http://kjvs.scripturetext.com/jeremiah/35.htm| title=|King James Bible with Strong's Numbers| target=|_top|&gt;Strong's&lt;/a&gt;</v>
      </c>
      <c r="AA780" t="str">
        <f t="shared" si="3116"/>
        <v>&lt;/li&gt;&lt;li&gt;&lt;a href=|http://childrensbibleonline.com/jeremiah/35.htm| title=|The Children's Bible| target=|_top|&gt;Children's&lt;/a&gt;</v>
      </c>
      <c r="AB780" s="2" t="str">
        <f t="shared" si="3116"/>
        <v>&lt;/li&gt;&lt;li&gt;&lt;a href=|http://tsk.scripturetext.com/jeremiah/35.htm| title=|Treasury of Scripture Knowledge| target=|_top|&gt;TSK&lt;/a&gt;</v>
      </c>
      <c r="AC780" t="str">
        <f>CONCATENATE("&lt;a href=|http://",AC1191,"/jeremiah/35.htm","| ","title=|",AC1190,"| target=|_top|&gt;",AC1192,"&lt;/a&gt;")</f>
        <v>&lt;a href=|http://parallelbible.com/jeremiah/35.htm| title=|Parallel Chapters| target=|_top|&gt;PAR&lt;/a&gt;</v>
      </c>
      <c r="AD780" s="2" t="str">
        <f t="shared" ref="AD780:AK780" si="3118">CONCATENATE("&lt;/li&gt;&lt;li&gt;&lt;a href=|http://",AD1191,"/jeremiah/35.htm","| ","title=|",AD1190,"| target=|_top|&gt;",AD1192,"&lt;/a&gt;")</f>
        <v>&lt;/li&gt;&lt;li&gt;&lt;a href=|http://gsb.biblecommenter.com/jeremiah/35.htm| title=|Geneva Study Bible| target=|_top|&gt;GSB&lt;/a&gt;</v>
      </c>
      <c r="AE780" s="2" t="str">
        <f t="shared" si="3118"/>
        <v>&lt;/li&gt;&lt;li&gt;&lt;a href=|http://jfb.biblecommenter.com/jeremiah/35.htm| title=|Jamieson-Fausset-Brown Bible Commentary| target=|_top|&gt;JFB&lt;/a&gt;</v>
      </c>
      <c r="AF780" s="2" t="str">
        <f t="shared" si="3118"/>
        <v>&lt;/li&gt;&lt;li&gt;&lt;a href=|http://kjt.biblecommenter.com/jeremiah/35.htm| title=|King James Translators' Notes| target=|_top|&gt;KJT&lt;/a&gt;</v>
      </c>
      <c r="AG780" s="2" t="str">
        <f t="shared" si="3118"/>
        <v>&lt;/li&gt;&lt;li&gt;&lt;a href=|http://mhc.biblecommenter.com/jeremiah/35.htm| title=|Matthew Henry's Concise Commentary| target=|_top|&gt;MHC&lt;/a&gt;</v>
      </c>
      <c r="AH780" s="2" t="str">
        <f t="shared" si="3118"/>
        <v>&lt;/li&gt;&lt;li&gt;&lt;a href=|http://sco.biblecommenter.com/jeremiah/35.htm| title=|Scofield Reference Notes| target=|_top|&gt;SCO&lt;/a&gt;</v>
      </c>
      <c r="AI780" s="2" t="str">
        <f t="shared" si="3118"/>
        <v>&lt;/li&gt;&lt;li&gt;&lt;a href=|http://wes.biblecommenter.com/jeremiah/35.htm| title=|Wesley's Notes on the Bible| target=|_top|&gt;WES&lt;/a&gt;</v>
      </c>
      <c r="AJ780" t="str">
        <f t="shared" si="3118"/>
        <v>&lt;/li&gt;&lt;li&gt;&lt;a href=|http://worldebible.com/jeremiah/35.htm| title=|World English Bible| target=|_top|&gt;WEB&lt;/a&gt;</v>
      </c>
      <c r="AK780" t="str">
        <f t="shared" si="3118"/>
        <v>&lt;/li&gt;&lt;li&gt;&lt;a href=|http://yltbible.com/jeremiah/35.htm| title=|Young's Literal Translation| target=|_top|&gt;YLT&lt;/a&gt;</v>
      </c>
      <c r="AL780" t="str">
        <f>CONCATENATE("&lt;a href=|http://",AL1191,"/jeremiah/35.htm","| ","title=|",AL1190,"| target=|_top|&gt;",AL1192,"&lt;/a&gt;")</f>
        <v>&lt;a href=|http://kjv.us/jeremiah/35.htm| title=|American King James Version| target=|_top|&gt;AKJ&lt;/a&gt;</v>
      </c>
      <c r="AM780" t="str">
        <f t="shared" ref="AM780:AN780" si="3119">CONCATENATE("&lt;/li&gt;&lt;li&gt;&lt;a href=|http://",AM1191,"/jeremiah/35.htm","| ","title=|",AM1190,"| target=|_top|&gt;",AM1192,"&lt;/a&gt;")</f>
        <v>&lt;/li&gt;&lt;li&gt;&lt;a href=|http://basicenglishbible.com/jeremiah/35.htm| title=|Bible in Basic English| target=|_top|&gt;BBE&lt;/a&gt;</v>
      </c>
      <c r="AN780" t="str">
        <f t="shared" si="3119"/>
        <v>&lt;/li&gt;&lt;li&gt;&lt;a href=|http://darbybible.com/jeremiah/35.htm| title=|Darby Bible Translation| target=|_top|&gt;DBY&lt;/a&gt;</v>
      </c>
      <c r="AO78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8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8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80" t="str">
        <f>CONCATENATE("&lt;/li&gt;&lt;li&gt;&lt;a href=|http://",AR1191,"/jeremiah/35.htm","| ","title=|",AR1190,"| target=|_top|&gt;",AR1192,"&lt;/a&gt;")</f>
        <v>&lt;/li&gt;&lt;li&gt;&lt;a href=|http://websterbible.com/jeremiah/35.htm| title=|Webster's Bible Translation| target=|_top|&gt;WBS&lt;/a&gt;</v>
      </c>
      <c r="AS78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80" t="str">
        <f>CONCATENATE("&lt;/li&gt;&lt;li&gt;&lt;a href=|http://",AT1191,"/jeremiah/35-1.htm","| ","title=|",AT1190,"| target=|_top|&gt;",AT1192,"&lt;/a&gt;")</f>
        <v>&lt;/li&gt;&lt;li&gt;&lt;a href=|http://biblebrowser.com/jeremiah/35-1.htm| title=|Split View| target=|_top|&gt;Split&lt;/a&gt;</v>
      </c>
      <c r="AU780" s="2" t="s">
        <v>1276</v>
      </c>
      <c r="AV780" t="s">
        <v>64</v>
      </c>
    </row>
    <row r="781" spans="1:48">
      <c r="A781" t="s">
        <v>622</v>
      </c>
      <c r="B781" t="s">
        <v>822</v>
      </c>
      <c r="C781" t="s">
        <v>624</v>
      </c>
      <c r="D781" t="s">
        <v>1268</v>
      </c>
      <c r="E781" t="s">
        <v>1277</v>
      </c>
      <c r="F781" t="s">
        <v>1304</v>
      </c>
      <c r="G781" t="s">
        <v>1266</v>
      </c>
      <c r="H781" t="s">
        <v>1305</v>
      </c>
      <c r="I781" t="s">
        <v>1303</v>
      </c>
      <c r="J781" t="s">
        <v>1267</v>
      </c>
      <c r="K781" t="s">
        <v>1275</v>
      </c>
      <c r="L781" s="2" t="s">
        <v>1274</v>
      </c>
      <c r="M781" t="str">
        <f t="shared" ref="M781:AB781" si="3120">CONCATENATE("&lt;/li&gt;&lt;li&gt;&lt;a href=|http://",M1191,"/jeremiah/36.htm","| ","title=|",M1190,"| target=|_top|&gt;",M1192,"&lt;/a&gt;")</f>
        <v>&lt;/li&gt;&lt;li&gt;&lt;a href=|http://niv.scripturetext.com/jeremiah/36.htm| title=|New International Version| target=|_top|&gt;NIV&lt;/a&gt;</v>
      </c>
      <c r="N781" t="str">
        <f t="shared" si="3120"/>
        <v>&lt;/li&gt;&lt;li&gt;&lt;a href=|http://nlt.scripturetext.com/jeremiah/36.htm| title=|New Living Translation| target=|_top|&gt;NLT&lt;/a&gt;</v>
      </c>
      <c r="O781" t="str">
        <f t="shared" si="3120"/>
        <v>&lt;/li&gt;&lt;li&gt;&lt;a href=|http://nasb.scripturetext.com/jeremiah/36.htm| title=|New American Standard Bible| target=|_top|&gt;NAS&lt;/a&gt;</v>
      </c>
      <c r="P781" t="str">
        <f t="shared" si="3120"/>
        <v>&lt;/li&gt;&lt;li&gt;&lt;a href=|http://gwt.scripturetext.com/jeremiah/36.htm| title=|God's Word Translation| target=|_top|&gt;GWT&lt;/a&gt;</v>
      </c>
      <c r="Q781" t="str">
        <f t="shared" si="3120"/>
        <v>&lt;/li&gt;&lt;li&gt;&lt;a href=|http://kingjbible.com/jeremiah/36.htm| title=|King James Bible| target=|_top|&gt;KJV&lt;/a&gt;</v>
      </c>
      <c r="R781" t="str">
        <f t="shared" si="3120"/>
        <v>&lt;/li&gt;&lt;li&gt;&lt;a href=|http://asvbible.com/jeremiah/36.htm| title=|American Standard Version| target=|_top|&gt;ASV&lt;/a&gt;</v>
      </c>
      <c r="S781" t="str">
        <f t="shared" si="3120"/>
        <v>&lt;/li&gt;&lt;li&gt;&lt;a href=|http://drb.scripturetext.com/jeremiah/36.htm| title=|Douay-Rheims Bible| target=|_top|&gt;DRB&lt;/a&gt;</v>
      </c>
      <c r="T781" t="str">
        <f t="shared" si="3120"/>
        <v>&lt;/li&gt;&lt;li&gt;&lt;a href=|http://erv.scripturetext.com/jeremiah/36.htm| title=|English Revised Version| target=|_top|&gt;ERV&lt;/a&gt;</v>
      </c>
      <c r="V781" t="str">
        <f>CONCATENATE("&lt;/li&gt;&lt;li&gt;&lt;a href=|http://",V1191,"/jeremiah/36.htm","| ","title=|",V1190,"| target=|_top|&gt;",V1192,"&lt;/a&gt;")</f>
        <v>&lt;/li&gt;&lt;li&gt;&lt;a href=|http://study.interlinearbible.org/jeremiah/36.htm| title=|Hebrew Study Bible| target=|_top|&gt;Heb Study&lt;/a&gt;</v>
      </c>
      <c r="W781" t="str">
        <f t="shared" si="3120"/>
        <v>&lt;/li&gt;&lt;li&gt;&lt;a href=|http://apostolic.interlinearbible.org/jeremiah/36.htm| title=|Apostolic Bible Polyglot Interlinear| target=|_top|&gt;Polyglot&lt;/a&gt;</v>
      </c>
      <c r="X781" t="str">
        <f t="shared" si="3120"/>
        <v>&lt;/li&gt;&lt;li&gt;&lt;a href=|http://interlinearbible.org/jeremiah/36.htm| title=|Interlinear Bible| target=|_top|&gt;Interlin&lt;/a&gt;</v>
      </c>
      <c r="Y781" t="str">
        <f t="shared" ref="Y781" si="3121">CONCATENATE("&lt;/li&gt;&lt;li&gt;&lt;a href=|http://",Y1191,"/jeremiah/36.htm","| ","title=|",Y1190,"| target=|_top|&gt;",Y1192,"&lt;/a&gt;")</f>
        <v>&lt;/li&gt;&lt;li&gt;&lt;a href=|http://bibleoutline.org/jeremiah/36.htm| title=|Outline with People and Places List| target=|_top|&gt;Outline&lt;/a&gt;</v>
      </c>
      <c r="Z781" t="str">
        <f t="shared" si="3120"/>
        <v>&lt;/li&gt;&lt;li&gt;&lt;a href=|http://kjvs.scripturetext.com/jeremiah/36.htm| title=|King James Bible with Strong's Numbers| target=|_top|&gt;Strong's&lt;/a&gt;</v>
      </c>
      <c r="AA781" t="str">
        <f t="shared" si="3120"/>
        <v>&lt;/li&gt;&lt;li&gt;&lt;a href=|http://childrensbibleonline.com/jeremiah/36.htm| title=|The Children's Bible| target=|_top|&gt;Children's&lt;/a&gt;</v>
      </c>
      <c r="AB781" s="2" t="str">
        <f t="shared" si="3120"/>
        <v>&lt;/li&gt;&lt;li&gt;&lt;a href=|http://tsk.scripturetext.com/jeremiah/36.htm| title=|Treasury of Scripture Knowledge| target=|_top|&gt;TSK&lt;/a&gt;</v>
      </c>
      <c r="AC781" t="str">
        <f>CONCATENATE("&lt;a href=|http://",AC1191,"/jeremiah/36.htm","| ","title=|",AC1190,"| target=|_top|&gt;",AC1192,"&lt;/a&gt;")</f>
        <v>&lt;a href=|http://parallelbible.com/jeremiah/36.htm| title=|Parallel Chapters| target=|_top|&gt;PAR&lt;/a&gt;</v>
      </c>
      <c r="AD781" s="2" t="str">
        <f t="shared" ref="AD781:AK781" si="3122">CONCATENATE("&lt;/li&gt;&lt;li&gt;&lt;a href=|http://",AD1191,"/jeremiah/36.htm","| ","title=|",AD1190,"| target=|_top|&gt;",AD1192,"&lt;/a&gt;")</f>
        <v>&lt;/li&gt;&lt;li&gt;&lt;a href=|http://gsb.biblecommenter.com/jeremiah/36.htm| title=|Geneva Study Bible| target=|_top|&gt;GSB&lt;/a&gt;</v>
      </c>
      <c r="AE781" s="2" t="str">
        <f t="shared" si="3122"/>
        <v>&lt;/li&gt;&lt;li&gt;&lt;a href=|http://jfb.biblecommenter.com/jeremiah/36.htm| title=|Jamieson-Fausset-Brown Bible Commentary| target=|_top|&gt;JFB&lt;/a&gt;</v>
      </c>
      <c r="AF781" s="2" t="str">
        <f t="shared" si="3122"/>
        <v>&lt;/li&gt;&lt;li&gt;&lt;a href=|http://kjt.biblecommenter.com/jeremiah/36.htm| title=|King James Translators' Notes| target=|_top|&gt;KJT&lt;/a&gt;</v>
      </c>
      <c r="AG781" s="2" t="str">
        <f t="shared" si="3122"/>
        <v>&lt;/li&gt;&lt;li&gt;&lt;a href=|http://mhc.biblecommenter.com/jeremiah/36.htm| title=|Matthew Henry's Concise Commentary| target=|_top|&gt;MHC&lt;/a&gt;</v>
      </c>
      <c r="AH781" s="2" t="str">
        <f t="shared" si="3122"/>
        <v>&lt;/li&gt;&lt;li&gt;&lt;a href=|http://sco.biblecommenter.com/jeremiah/36.htm| title=|Scofield Reference Notes| target=|_top|&gt;SCO&lt;/a&gt;</v>
      </c>
      <c r="AI781" s="2" t="str">
        <f t="shared" si="3122"/>
        <v>&lt;/li&gt;&lt;li&gt;&lt;a href=|http://wes.biblecommenter.com/jeremiah/36.htm| title=|Wesley's Notes on the Bible| target=|_top|&gt;WES&lt;/a&gt;</v>
      </c>
      <c r="AJ781" t="str">
        <f t="shared" si="3122"/>
        <v>&lt;/li&gt;&lt;li&gt;&lt;a href=|http://worldebible.com/jeremiah/36.htm| title=|World English Bible| target=|_top|&gt;WEB&lt;/a&gt;</v>
      </c>
      <c r="AK781" t="str">
        <f t="shared" si="3122"/>
        <v>&lt;/li&gt;&lt;li&gt;&lt;a href=|http://yltbible.com/jeremiah/36.htm| title=|Young's Literal Translation| target=|_top|&gt;YLT&lt;/a&gt;</v>
      </c>
      <c r="AL781" t="str">
        <f>CONCATENATE("&lt;a href=|http://",AL1191,"/jeremiah/36.htm","| ","title=|",AL1190,"| target=|_top|&gt;",AL1192,"&lt;/a&gt;")</f>
        <v>&lt;a href=|http://kjv.us/jeremiah/36.htm| title=|American King James Version| target=|_top|&gt;AKJ&lt;/a&gt;</v>
      </c>
      <c r="AM781" t="str">
        <f t="shared" ref="AM781:AN781" si="3123">CONCATENATE("&lt;/li&gt;&lt;li&gt;&lt;a href=|http://",AM1191,"/jeremiah/36.htm","| ","title=|",AM1190,"| target=|_top|&gt;",AM1192,"&lt;/a&gt;")</f>
        <v>&lt;/li&gt;&lt;li&gt;&lt;a href=|http://basicenglishbible.com/jeremiah/36.htm| title=|Bible in Basic English| target=|_top|&gt;BBE&lt;/a&gt;</v>
      </c>
      <c r="AN781" t="str">
        <f t="shared" si="3123"/>
        <v>&lt;/li&gt;&lt;li&gt;&lt;a href=|http://darbybible.com/jeremiah/36.htm| title=|Darby Bible Translation| target=|_top|&gt;DBY&lt;/a&gt;</v>
      </c>
      <c r="AO78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8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8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81" t="str">
        <f>CONCATENATE("&lt;/li&gt;&lt;li&gt;&lt;a href=|http://",AR1191,"/jeremiah/36.htm","| ","title=|",AR1190,"| target=|_top|&gt;",AR1192,"&lt;/a&gt;")</f>
        <v>&lt;/li&gt;&lt;li&gt;&lt;a href=|http://websterbible.com/jeremiah/36.htm| title=|Webster's Bible Translation| target=|_top|&gt;WBS&lt;/a&gt;</v>
      </c>
      <c r="AS78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81" t="str">
        <f>CONCATENATE("&lt;/li&gt;&lt;li&gt;&lt;a href=|http://",AT1191,"/jeremiah/36-1.htm","| ","title=|",AT1190,"| target=|_top|&gt;",AT1192,"&lt;/a&gt;")</f>
        <v>&lt;/li&gt;&lt;li&gt;&lt;a href=|http://biblebrowser.com/jeremiah/36-1.htm| title=|Split View| target=|_top|&gt;Split&lt;/a&gt;</v>
      </c>
      <c r="AU781" s="2" t="s">
        <v>1276</v>
      </c>
      <c r="AV781" t="s">
        <v>64</v>
      </c>
    </row>
    <row r="782" spans="1:48">
      <c r="A782" t="s">
        <v>622</v>
      </c>
      <c r="B782" t="s">
        <v>823</v>
      </c>
      <c r="C782" t="s">
        <v>624</v>
      </c>
      <c r="D782" t="s">
        <v>1268</v>
      </c>
      <c r="E782" t="s">
        <v>1277</v>
      </c>
      <c r="F782" t="s">
        <v>1304</v>
      </c>
      <c r="G782" t="s">
        <v>1266</v>
      </c>
      <c r="H782" t="s">
        <v>1305</v>
      </c>
      <c r="I782" t="s">
        <v>1303</v>
      </c>
      <c r="J782" t="s">
        <v>1267</v>
      </c>
      <c r="K782" t="s">
        <v>1275</v>
      </c>
      <c r="L782" s="2" t="s">
        <v>1274</v>
      </c>
      <c r="M782" t="str">
        <f t="shared" ref="M782:AB782" si="3124">CONCATENATE("&lt;/li&gt;&lt;li&gt;&lt;a href=|http://",M1191,"/jeremiah/37.htm","| ","title=|",M1190,"| target=|_top|&gt;",M1192,"&lt;/a&gt;")</f>
        <v>&lt;/li&gt;&lt;li&gt;&lt;a href=|http://niv.scripturetext.com/jeremiah/37.htm| title=|New International Version| target=|_top|&gt;NIV&lt;/a&gt;</v>
      </c>
      <c r="N782" t="str">
        <f t="shared" si="3124"/>
        <v>&lt;/li&gt;&lt;li&gt;&lt;a href=|http://nlt.scripturetext.com/jeremiah/37.htm| title=|New Living Translation| target=|_top|&gt;NLT&lt;/a&gt;</v>
      </c>
      <c r="O782" t="str">
        <f t="shared" si="3124"/>
        <v>&lt;/li&gt;&lt;li&gt;&lt;a href=|http://nasb.scripturetext.com/jeremiah/37.htm| title=|New American Standard Bible| target=|_top|&gt;NAS&lt;/a&gt;</v>
      </c>
      <c r="P782" t="str">
        <f t="shared" si="3124"/>
        <v>&lt;/li&gt;&lt;li&gt;&lt;a href=|http://gwt.scripturetext.com/jeremiah/37.htm| title=|God's Word Translation| target=|_top|&gt;GWT&lt;/a&gt;</v>
      </c>
      <c r="Q782" t="str">
        <f t="shared" si="3124"/>
        <v>&lt;/li&gt;&lt;li&gt;&lt;a href=|http://kingjbible.com/jeremiah/37.htm| title=|King James Bible| target=|_top|&gt;KJV&lt;/a&gt;</v>
      </c>
      <c r="R782" t="str">
        <f t="shared" si="3124"/>
        <v>&lt;/li&gt;&lt;li&gt;&lt;a href=|http://asvbible.com/jeremiah/37.htm| title=|American Standard Version| target=|_top|&gt;ASV&lt;/a&gt;</v>
      </c>
      <c r="S782" t="str">
        <f t="shared" si="3124"/>
        <v>&lt;/li&gt;&lt;li&gt;&lt;a href=|http://drb.scripturetext.com/jeremiah/37.htm| title=|Douay-Rheims Bible| target=|_top|&gt;DRB&lt;/a&gt;</v>
      </c>
      <c r="T782" t="str">
        <f t="shared" si="3124"/>
        <v>&lt;/li&gt;&lt;li&gt;&lt;a href=|http://erv.scripturetext.com/jeremiah/37.htm| title=|English Revised Version| target=|_top|&gt;ERV&lt;/a&gt;</v>
      </c>
      <c r="V782" t="str">
        <f>CONCATENATE("&lt;/li&gt;&lt;li&gt;&lt;a href=|http://",V1191,"/jeremiah/37.htm","| ","title=|",V1190,"| target=|_top|&gt;",V1192,"&lt;/a&gt;")</f>
        <v>&lt;/li&gt;&lt;li&gt;&lt;a href=|http://study.interlinearbible.org/jeremiah/37.htm| title=|Hebrew Study Bible| target=|_top|&gt;Heb Study&lt;/a&gt;</v>
      </c>
      <c r="W782" t="str">
        <f t="shared" si="3124"/>
        <v>&lt;/li&gt;&lt;li&gt;&lt;a href=|http://apostolic.interlinearbible.org/jeremiah/37.htm| title=|Apostolic Bible Polyglot Interlinear| target=|_top|&gt;Polyglot&lt;/a&gt;</v>
      </c>
      <c r="X782" t="str">
        <f t="shared" si="3124"/>
        <v>&lt;/li&gt;&lt;li&gt;&lt;a href=|http://interlinearbible.org/jeremiah/37.htm| title=|Interlinear Bible| target=|_top|&gt;Interlin&lt;/a&gt;</v>
      </c>
      <c r="Y782" t="str">
        <f t="shared" ref="Y782" si="3125">CONCATENATE("&lt;/li&gt;&lt;li&gt;&lt;a href=|http://",Y1191,"/jeremiah/37.htm","| ","title=|",Y1190,"| target=|_top|&gt;",Y1192,"&lt;/a&gt;")</f>
        <v>&lt;/li&gt;&lt;li&gt;&lt;a href=|http://bibleoutline.org/jeremiah/37.htm| title=|Outline with People and Places List| target=|_top|&gt;Outline&lt;/a&gt;</v>
      </c>
      <c r="Z782" t="str">
        <f t="shared" si="3124"/>
        <v>&lt;/li&gt;&lt;li&gt;&lt;a href=|http://kjvs.scripturetext.com/jeremiah/37.htm| title=|King James Bible with Strong's Numbers| target=|_top|&gt;Strong's&lt;/a&gt;</v>
      </c>
      <c r="AA782" t="str">
        <f t="shared" si="3124"/>
        <v>&lt;/li&gt;&lt;li&gt;&lt;a href=|http://childrensbibleonline.com/jeremiah/37.htm| title=|The Children's Bible| target=|_top|&gt;Children's&lt;/a&gt;</v>
      </c>
      <c r="AB782" s="2" t="str">
        <f t="shared" si="3124"/>
        <v>&lt;/li&gt;&lt;li&gt;&lt;a href=|http://tsk.scripturetext.com/jeremiah/37.htm| title=|Treasury of Scripture Knowledge| target=|_top|&gt;TSK&lt;/a&gt;</v>
      </c>
      <c r="AC782" t="str">
        <f>CONCATENATE("&lt;a href=|http://",AC1191,"/jeremiah/37.htm","| ","title=|",AC1190,"| target=|_top|&gt;",AC1192,"&lt;/a&gt;")</f>
        <v>&lt;a href=|http://parallelbible.com/jeremiah/37.htm| title=|Parallel Chapters| target=|_top|&gt;PAR&lt;/a&gt;</v>
      </c>
      <c r="AD782" s="2" t="str">
        <f t="shared" ref="AD782:AK782" si="3126">CONCATENATE("&lt;/li&gt;&lt;li&gt;&lt;a href=|http://",AD1191,"/jeremiah/37.htm","| ","title=|",AD1190,"| target=|_top|&gt;",AD1192,"&lt;/a&gt;")</f>
        <v>&lt;/li&gt;&lt;li&gt;&lt;a href=|http://gsb.biblecommenter.com/jeremiah/37.htm| title=|Geneva Study Bible| target=|_top|&gt;GSB&lt;/a&gt;</v>
      </c>
      <c r="AE782" s="2" t="str">
        <f t="shared" si="3126"/>
        <v>&lt;/li&gt;&lt;li&gt;&lt;a href=|http://jfb.biblecommenter.com/jeremiah/37.htm| title=|Jamieson-Fausset-Brown Bible Commentary| target=|_top|&gt;JFB&lt;/a&gt;</v>
      </c>
      <c r="AF782" s="2" t="str">
        <f t="shared" si="3126"/>
        <v>&lt;/li&gt;&lt;li&gt;&lt;a href=|http://kjt.biblecommenter.com/jeremiah/37.htm| title=|King James Translators' Notes| target=|_top|&gt;KJT&lt;/a&gt;</v>
      </c>
      <c r="AG782" s="2" t="str">
        <f t="shared" si="3126"/>
        <v>&lt;/li&gt;&lt;li&gt;&lt;a href=|http://mhc.biblecommenter.com/jeremiah/37.htm| title=|Matthew Henry's Concise Commentary| target=|_top|&gt;MHC&lt;/a&gt;</v>
      </c>
      <c r="AH782" s="2" t="str">
        <f t="shared" si="3126"/>
        <v>&lt;/li&gt;&lt;li&gt;&lt;a href=|http://sco.biblecommenter.com/jeremiah/37.htm| title=|Scofield Reference Notes| target=|_top|&gt;SCO&lt;/a&gt;</v>
      </c>
      <c r="AI782" s="2" t="str">
        <f t="shared" si="3126"/>
        <v>&lt;/li&gt;&lt;li&gt;&lt;a href=|http://wes.biblecommenter.com/jeremiah/37.htm| title=|Wesley's Notes on the Bible| target=|_top|&gt;WES&lt;/a&gt;</v>
      </c>
      <c r="AJ782" t="str">
        <f t="shared" si="3126"/>
        <v>&lt;/li&gt;&lt;li&gt;&lt;a href=|http://worldebible.com/jeremiah/37.htm| title=|World English Bible| target=|_top|&gt;WEB&lt;/a&gt;</v>
      </c>
      <c r="AK782" t="str">
        <f t="shared" si="3126"/>
        <v>&lt;/li&gt;&lt;li&gt;&lt;a href=|http://yltbible.com/jeremiah/37.htm| title=|Young's Literal Translation| target=|_top|&gt;YLT&lt;/a&gt;</v>
      </c>
      <c r="AL782" t="str">
        <f>CONCATENATE("&lt;a href=|http://",AL1191,"/jeremiah/37.htm","| ","title=|",AL1190,"| target=|_top|&gt;",AL1192,"&lt;/a&gt;")</f>
        <v>&lt;a href=|http://kjv.us/jeremiah/37.htm| title=|American King James Version| target=|_top|&gt;AKJ&lt;/a&gt;</v>
      </c>
      <c r="AM782" t="str">
        <f t="shared" ref="AM782:AN782" si="3127">CONCATENATE("&lt;/li&gt;&lt;li&gt;&lt;a href=|http://",AM1191,"/jeremiah/37.htm","| ","title=|",AM1190,"| target=|_top|&gt;",AM1192,"&lt;/a&gt;")</f>
        <v>&lt;/li&gt;&lt;li&gt;&lt;a href=|http://basicenglishbible.com/jeremiah/37.htm| title=|Bible in Basic English| target=|_top|&gt;BBE&lt;/a&gt;</v>
      </c>
      <c r="AN782" t="str">
        <f t="shared" si="3127"/>
        <v>&lt;/li&gt;&lt;li&gt;&lt;a href=|http://darbybible.com/jeremiah/37.htm| title=|Darby Bible Translation| target=|_top|&gt;DBY&lt;/a&gt;</v>
      </c>
      <c r="AO78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8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8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82" t="str">
        <f>CONCATENATE("&lt;/li&gt;&lt;li&gt;&lt;a href=|http://",AR1191,"/jeremiah/37.htm","| ","title=|",AR1190,"| target=|_top|&gt;",AR1192,"&lt;/a&gt;")</f>
        <v>&lt;/li&gt;&lt;li&gt;&lt;a href=|http://websterbible.com/jeremiah/37.htm| title=|Webster's Bible Translation| target=|_top|&gt;WBS&lt;/a&gt;</v>
      </c>
      <c r="AS78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82" t="str">
        <f>CONCATENATE("&lt;/li&gt;&lt;li&gt;&lt;a href=|http://",AT1191,"/jeremiah/37-1.htm","| ","title=|",AT1190,"| target=|_top|&gt;",AT1192,"&lt;/a&gt;")</f>
        <v>&lt;/li&gt;&lt;li&gt;&lt;a href=|http://biblebrowser.com/jeremiah/37-1.htm| title=|Split View| target=|_top|&gt;Split&lt;/a&gt;</v>
      </c>
      <c r="AU782" s="2" t="s">
        <v>1276</v>
      </c>
      <c r="AV782" t="s">
        <v>64</v>
      </c>
    </row>
    <row r="783" spans="1:48">
      <c r="A783" t="s">
        <v>622</v>
      </c>
      <c r="B783" t="s">
        <v>824</v>
      </c>
      <c r="C783" t="s">
        <v>624</v>
      </c>
      <c r="D783" t="s">
        <v>1268</v>
      </c>
      <c r="E783" t="s">
        <v>1277</v>
      </c>
      <c r="F783" t="s">
        <v>1304</v>
      </c>
      <c r="G783" t="s">
        <v>1266</v>
      </c>
      <c r="H783" t="s">
        <v>1305</v>
      </c>
      <c r="I783" t="s">
        <v>1303</v>
      </c>
      <c r="J783" t="s">
        <v>1267</v>
      </c>
      <c r="K783" t="s">
        <v>1275</v>
      </c>
      <c r="L783" s="2" t="s">
        <v>1274</v>
      </c>
      <c r="M783" t="str">
        <f t="shared" ref="M783:AB783" si="3128">CONCATENATE("&lt;/li&gt;&lt;li&gt;&lt;a href=|http://",M1191,"/jeremiah/38.htm","| ","title=|",M1190,"| target=|_top|&gt;",M1192,"&lt;/a&gt;")</f>
        <v>&lt;/li&gt;&lt;li&gt;&lt;a href=|http://niv.scripturetext.com/jeremiah/38.htm| title=|New International Version| target=|_top|&gt;NIV&lt;/a&gt;</v>
      </c>
      <c r="N783" t="str">
        <f t="shared" si="3128"/>
        <v>&lt;/li&gt;&lt;li&gt;&lt;a href=|http://nlt.scripturetext.com/jeremiah/38.htm| title=|New Living Translation| target=|_top|&gt;NLT&lt;/a&gt;</v>
      </c>
      <c r="O783" t="str">
        <f t="shared" si="3128"/>
        <v>&lt;/li&gt;&lt;li&gt;&lt;a href=|http://nasb.scripturetext.com/jeremiah/38.htm| title=|New American Standard Bible| target=|_top|&gt;NAS&lt;/a&gt;</v>
      </c>
      <c r="P783" t="str">
        <f t="shared" si="3128"/>
        <v>&lt;/li&gt;&lt;li&gt;&lt;a href=|http://gwt.scripturetext.com/jeremiah/38.htm| title=|God's Word Translation| target=|_top|&gt;GWT&lt;/a&gt;</v>
      </c>
      <c r="Q783" t="str">
        <f t="shared" si="3128"/>
        <v>&lt;/li&gt;&lt;li&gt;&lt;a href=|http://kingjbible.com/jeremiah/38.htm| title=|King James Bible| target=|_top|&gt;KJV&lt;/a&gt;</v>
      </c>
      <c r="R783" t="str">
        <f t="shared" si="3128"/>
        <v>&lt;/li&gt;&lt;li&gt;&lt;a href=|http://asvbible.com/jeremiah/38.htm| title=|American Standard Version| target=|_top|&gt;ASV&lt;/a&gt;</v>
      </c>
      <c r="S783" t="str">
        <f t="shared" si="3128"/>
        <v>&lt;/li&gt;&lt;li&gt;&lt;a href=|http://drb.scripturetext.com/jeremiah/38.htm| title=|Douay-Rheims Bible| target=|_top|&gt;DRB&lt;/a&gt;</v>
      </c>
      <c r="T783" t="str">
        <f t="shared" si="3128"/>
        <v>&lt;/li&gt;&lt;li&gt;&lt;a href=|http://erv.scripturetext.com/jeremiah/38.htm| title=|English Revised Version| target=|_top|&gt;ERV&lt;/a&gt;</v>
      </c>
      <c r="V783" t="str">
        <f>CONCATENATE("&lt;/li&gt;&lt;li&gt;&lt;a href=|http://",V1191,"/jeremiah/38.htm","| ","title=|",V1190,"| target=|_top|&gt;",V1192,"&lt;/a&gt;")</f>
        <v>&lt;/li&gt;&lt;li&gt;&lt;a href=|http://study.interlinearbible.org/jeremiah/38.htm| title=|Hebrew Study Bible| target=|_top|&gt;Heb Study&lt;/a&gt;</v>
      </c>
      <c r="W783" t="str">
        <f t="shared" si="3128"/>
        <v>&lt;/li&gt;&lt;li&gt;&lt;a href=|http://apostolic.interlinearbible.org/jeremiah/38.htm| title=|Apostolic Bible Polyglot Interlinear| target=|_top|&gt;Polyglot&lt;/a&gt;</v>
      </c>
      <c r="X783" t="str">
        <f t="shared" si="3128"/>
        <v>&lt;/li&gt;&lt;li&gt;&lt;a href=|http://interlinearbible.org/jeremiah/38.htm| title=|Interlinear Bible| target=|_top|&gt;Interlin&lt;/a&gt;</v>
      </c>
      <c r="Y783" t="str">
        <f t="shared" ref="Y783" si="3129">CONCATENATE("&lt;/li&gt;&lt;li&gt;&lt;a href=|http://",Y1191,"/jeremiah/38.htm","| ","title=|",Y1190,"| target=|_top|&gt;",Y1192,"&lt;/a&gt;")</f>
        <v>&lt;/li&gt;&lt;li&gt;&lt;a href=|http://bibleoutline.org/jeremiah/38.htm| title=|Outline with People and Places List| target=|_top|&gt;Outline&lt;/a&gt;</v>
      </c>
      <c r="Z783" t="str">
        <f t="shared" si="3128"/>
        <v>&lt;/li&gt;&lt;li&gt;&lt;a href=|http://kjvs.scripturetext.com/jeremiah/38.htm| title=|King James Bible with Strong's Numbers| target=|_top|&gt;Strong's&lt;/a&gt;</v>
      </c>
      <c r="AA783" t="str">
        <f t="shared" si="3128"/>
        <v>&lt;/li&gt;&lt;li&gt;&lt;a href=|http://childrensbibleonline.com/jeremiah/38.htm| title=|The Children's Bible| target=|_top|&gt;Children's&lt;/a&gt;</v>
      </c>
      <c r="AB783" s="2" t="str">
        <f t="shared" si="3128"/>
        <v>&lt;/li&gt;&lt;li&gt;&lt;a href=|http://tsk.scripturetext.com/jeremiah/38.htm| title=|Treasury of Scripture Knowledge| target=|_top|&gt;TSK&lt;/a&gt;</v>
      </c>
      <c r="AC783" t="str">
        <f>CONCATENATE("&lt;a href=|http://",AC1191,"/jeremiah/38.htm","| ","title=|",AC1190,"| target=|_top|&gt;",AC1192,"&lt;/a&gt;")</f>
        <v>&lt;a href=|http://parallelbible.com/jeremiah/38.htm| title=|Parallel Chapters| target=|_top|&gt;PAR&lt;/a&gt;</v>
      </c>
      <c r="AD783" s="2" t="str">
        <f t="shared" ref="AD783:AK783" si="3130">CONCATENATE("&lt;/li&gt;&lt;li&gt;&lt;a href=|http://",AD1191,"/jeremiah/38.htm","| ","title=|",AD1190,"| target=|_top|&gt;",AD1192,"&lt;/a&gt;")</f>
        <v>&lt;/li&gt;&lt;li&gt;&lt;a href=|http://gsb.biblecommenter.com/jeremiah/38.htm| title=|Geneva Study Bible| target=|_top|&gt;GSB&lt;/a&gt;</v>
      </c>
      <c r="AE783" s="2" t="str">
        <f t="shared" si="3130"/>
        <v>&lt;/li&gt;&lt;li&gt;&lt;a href=|http://jfb.biblecommenter.com/jeremiah/38.htm| title=|Jamieson-Fausset-Brown Bible Commentary| target=|_top|&gt;JFB&lt;/a&gt;</v>
      </c>
      <c r="AF783" s="2" t="str">
        <f t="shared" si="3130"/>
        <v>&lt;/li&gt;&lt;li&gt;&lt;a href=|http://kjt.biblecommenter.com/jeremiah/38.htm| title=|King James Translators' Notes| target=|_top|&gt;KJT&lt;/a&gt;</v>
      </c>
      <c r="AG783" s="2" t="str">
        <f t="shared" si="3130"/>
        <v>&lt;/li&gt;&lt;li&gt;&lt;a href=|http://mhc.biblecommenter.com/jeremiah/38.htm| title=|Matthew Henry's Concise Commentary| target=|_top|&gt;MHC&lt;/a&gt;</v>
      </c>
      <c r="AH783" s="2" t="str">
        <f t="shared" si="3130"/>
        <v>&lt;/li&gt;&lt;li&gt;&lt;a href=|http://sco.biblecommenter.com/jeremiah/38.htm| title=|Scofield Reference Notes| target=|_top|&gt;SCO&lt;/a&gt;</v>
      </c>
      <c r="AI783" s="2" t="str">
        <f t="shared" si="3130"/>
        <v>&lt;/li&gt;&lt;li&gt;&lt;a href=|http://wes.biblecommenter.com/jeremiah/38.htm| title=|Wesley's Notes on the Bible| target=|_top|&gt;WES&lt;/a&gt;</v>
      </c>
      <c r="AJ783" t="str">
        <f t="shared" si="3130"/>
        <v>&lt;/li&gt;&lt;li&gt;&lt;a href=|http://worldebible.com/jeremiah/38.htm| title=|World English Bible| target=|_top|&gt;WEB&lt;/a&gt;</v>
      </c>
      <c r="AK783" t="str">
        <f t="shared" si="3130"/>
        <v>&lt;/li&gt;&lt;li&gt;&lt;a href=|http://yltbible.com/jeremiah/38.htm| title=|Young's Literal Translation| target=|_top|&gt;YLT&lt;/a&gt;</v>
      </c>
      <c r="AL783" t="str">
        <f>CONCATENATE("&lt;a href=|http://",AL1191,"/jeremiah/38.htm","| ","title=|",AL1190,"| target=|_top|&gt;",AL1192,"&lt;/a&gt;")</f>
        <v>&lt;a href=|http://kjv.us/jeremiah/38.htm| title=|American King James Version| target=|_top|&gt;AKJ&lt;/a&gt;</v>
      </c>
      <c r="AM783" t="str">
        <f t="shared" ref="AM783:AN783" si="3131">CONCATENATE("&lt;/li&gt;&lt;li&gt;&lt;a href=|http://",AM1191,"/jeremiah/38.htm","| ","title=|",AM1190,"| target=|_top|&gt;",AM1192,"&lt;/a&gt;")</f>
        <v>&lt;/li&gt;&lt;li&gt;&lt;a href=|http://basicenglishbible.com/jeremiah/38.htm| title=|Bible in Basic English| target=|_top|&gt;BBE&lt;/a&gt;</v>
      </c>
      <c r="AN783" t="str">
        <f t="shared" si="3131"/>
        <v>&lt;/li&gt;&lt;li&gt;&lt;a href=|http://darbybible.com/jeremiah/38.htm| title=|Darby Bible Translation| target=|_top|&gt;DBY&lt;/a&gt;</v>
      </c>
      <c r="AO78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8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8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83" t="str">
        <f>CONCATENATE("&lt;/li&gt;&lt;li&gt;&lt;a href=|http://",AR1191,"/jeremiah/38.htm","| ","title=|",AR1190,"| target=|_top|&gt;",AR1192,"&lt;/a&gt;")</f>
        <v>&lt;/li&gt;&lt;li&gt;&lt;a href=|http://websterbible.com/jeremiah/38.htm| title=|Webster's Bible Translation| target=|_top|&gt;WBS&lt;/a&gt;</v>
      </c>
      <c r="AS78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83" t="str">
        <f>CONCATENATE("&lt;/li&gt;&lt;li&gt;&lt;a href=|http://",AT1191,"/jeremiah/38-1.htm","| ","title=|",AT1190,"| target=|_top|&gt;",AT1192,"&lt;/a&gt;")</f>
        <v>&lt;/li&gt;&lt;li&gt;&lt;a href=|http://biblebrowser.com/jeremiah/38-1.htm| title=|Split View| target=|_top|&gt;Split&lt;/a&gt;</v>
      </c>
      <c r="AU783" s="2" t="s">
        <v>1276</v>
      </c>
      <c r="AV783" t="s">
        <v>64</v>
      </c>
    </row>
    <row r="784" spans="1:48">
      <c r="A784" t="s">
        <v>622</v>
      </c>
      <c r="B784" t="s">
        <v>825</v>
      </c>
      <c r="C784" t="s">
        <v>624</v>
      </c>
      <c r="D784" t="s">
        <v>1268</v>
      </c>
      <c r="E784" t="s">
        <v>1277</v>
      </c>
      <c r="F784" t="s">
        <v>1304</v>
      </c>
      <c r="G784" t="s">
        <v>1266</v>
      </c>
      <c r="H784" t="s">
        <v>1305</v>
      </c>
      <c r="I784" t="s">
        <v>1303</v>
      </c>
      <c r="J784" t="s">
        <v>1267</v>
      </c>
      <c r="K784" t="s">
        <v>1275</v>
      </c>
      <c r="L784" s="2" t="s">
        <v>1274</v>
      </c>
      <c r="M784" t="str">
        <f t="shared" ref="M784:AB784" si="3132">CONCATENATE("&lt;/li&gt;&lt;li&gt;&lt;a href=|http://",M1191,"/jeremiah/39.htm","| ","title=|",M1190,"| target=|_top|&gt;",M1192,"&lt;/a&gt;")</f>
        <v>&lt;/li&gt;&lt;li&gt;&lt;a href=|http://niv.scripturetext.com/jeremiah/39.htm| title=|New International Version| target=|_top|&gt;NIV&lt;/a&gt;</v>
      </c>
      <c r="N784" t="str">
        <f t="shared" si="3132"/>
        <v>&lt;/li&gt;&lt;li&gt;&lt;a href=|http://nlt.scripturetext.com/jeremiah/39.htm| title=|New Living Translation| target=|_top|&gt;NLT&lt;/a&gt;</v>
      </c>
      <c r="O784" t="str">
        <f t="shared" si="3132"/>
        <v>&lt;/li&gt;&lt;li&gt;&lt;a href=|http://nasb.scripturetext.com/jeremiah/39.htm| title=|New American Standard Bible| target=|_top|&gt;NAS&lt;/a&gt;</v>
      </c>
      <c r="P784" t="str">
        <f t="shared" si="3132"/>
        <v>&lt;/li&gt;&lt;li&gt;&lt;a href=|http://gwt.scripturetext.com/jeremiah/39.htm| title=|God's Word Translation| target=|_top|&gt;GWT&lt;/a&gt;</v>
      </c>
      <c r="Q784" t="str">
        <f t="shared" si="3132"/>
        <v>&lt;/li&gt;&lt;li&gt;&lt;a href=|http://kingjbible.com/jeremiah/39.htm| title=|King James Bible| target=|_top|&gt;KJV&lt;/a&gt;</v>
      </c>
      <c r="R784" t="str">
        <f t="shared" si="3132"/>
        <v>&lt;/li&gt;&lt;li&gt;&lt;a href=|http://asvbible.com/jeremiah/39.htm| title=|American Standard Version| target=|_top|&gt;ASV&lt;/a&gt;</v>
      </c>
      <c r="S784" t="str">
        <f t="shared" si="3132"/>
        <v>&lt;/li&gt;&lt;li&gt;&lt;a href=|http://drb.scripturetext.com/jeremiah/39.htm| title=|Douay-Rheims Bible| target=|_top|&gt;DRB&lt;/a&gt;</v>
      </c>
      <c r="T784" t="str">
        <f t="shared" si="3132"/>
        <v>&lt;/li&gt;&lt;li&gt;&lt;a href=|http://erv.scripturetext.com/jeremiah/39.htm| title=|English Revised Version| target=|_top|&gt;ERV&lt;/a&gt;</v>
      </c>
      <c r="V784" t="str">
        <f>CONCATENATE("&lt;/li&gt;&lt;li&gt;&lt;a href=|http://",V1191,"/jeremiah/39.htm","| ","title=|",V1190,"| target=|_top|&gt;",V1192,"&lt;/a&gt;")</f>
        <v>&lt;/li&gt;&lt;li&gt;&lt;a href=|http://study.interlinearbible.org/jeremiah/39.htm| title=|Hebrew Study Bible| target=|_top|&gt;Heb Study&lt;/a&gt;</v>
      </c>
      <c r="W784" t="str">
        <f t="shared" si="3132"/>
        <v>&lt;/li&gt;&lt;li&gt;&lt;a href=|http://apostolic.interlinearbible.org/jeremiah/39.htm| title=|Apostolic Bible Polyglot Interlinear| target=|_top|&gt;Polyglot&lt;/a&gt;</v>
      </c>
      <c r="X784" t="str">
        <f t="shared" si="3132"/>
        <v>&lt;/li&gt;&lt;li&gt;&lt;a href=|http://interlinearbible.org/jeremiah/39.htm| title=|Interlinear Bible| target=|_top|&gt;Interlin&lt;/a&gt;</v>
      </c>
      <c r="Y784" t="str">
        <f t="shared" ref="Y784" si="3133">CONCATENATE("&lt;/li&gt;&lt;li&gt;&lt;a href=|http://",Y1191,"/jeremiah/39.htm","| ","title=|",Y1190,"| target=|_top|&gt;",Y1192,"&lt;/a&gt;")</f>
        <v>&lt;/li&gt;&lt;li&gt;&lt;a href=|http://bibleoutline.org/jeremiah/39.htm| title=|Outline with People and Places List| target=|_top|&gt;Outline&lt;/a&gt;</v>
      </c>
      <c r="Z784" t="str">
        <f t="shared" si="3132"/>
        <v>&lt;/li&gt;&lt;li&gt;&lt;a href=|http://kjvs.scripturetext.com/jeremiah/39.htm| title=|King James Bible with Strong's Numbers| target=|_top|&gt;Strong's&lt;/a&gt;</v>
      </c>
      <c r="AA784" t="str">
        <f t="shared" si="3132"/>
        <v>&lt;/li&gt;&lt;li&gt;&lt;a href=|http://childrensbibleonline.com/jeremiah/39.htm| title=|The Children's Bible| target=|_top|&gt;Children's&lt;/a&gt;</v>
      </c>
      <c r="AB784" s="2" t="str">
        <f t="shared" si="3132"/>
        <v>&lt;/li&gt;&lt;li&gt;&lt;a href=|http://tsk.scripturetext.com/jeremiah/39.htm| title=|Treasury of Scripture Knowledge| target=|_top|&gt;TSK&lt;/a&gt;</v>
      </c>
      <c r="AC784" t="str">
        <f>CONCATENATE("&lt;a href=|http://",AC1191,"/jeremiah/39.htm","| ","title=|",AC1190,"| target=|_top|&gt;",AC1192,"&lt;/a&gt;")</f>
        <v>&lt;a href=|http://parallelbible.com/jeremiah/39.htm| title=|Parallel Chapters| target=|_top|&gt;PAR&lt;/a&gt;</v>
      </c>
      <c r="AD784" s="2" t="str">
        <f t="shared" ref="AD784:AK784" si="3134">CONCATENATE("&lt;/li&gt;&lt;li&gt;&lt;a href=|http://",AD1191,"/jeremiah/39.htm","| ","title=|",AD1190,"| target=|_top|&gt;",AD1192,"&lt;/a&gt;")</f>
        <v>&lt;/li&gt;&lt;li&gt;&lt;a href=|http://gsb.biblecommenter.com/jeremiah/39.htm| title=|Geneva Study Bible| target=|_top|&gt;GSB&lt;/a&gt;</v>
      </c>
      <c r="AE784" s="2" t="str">
        <f t="shared" si="3134"/>
        <v>&lt;/li&gt;&lt;li&gt;&lt;a href=|http://jfb.biblecommenter.com/jeremiah/39.htm| title=|Jamieson-Fausset-Brown Bible Commentary| target=|_top|&gt;JFB&lt;/a&gt;</v>
      </c>
      <c r="AF784" s="2" t="str">
        <f t="shared" si="3134"/>
        <v>&lt;/li&gt;&lt;li&gt;&lt;a href=|http://kjt.biblecommenter.com/jeremiah/39.htm| title=|King James Translators' Notes| target=|_top|&gt;KJT&lt;/a&gt;</v>
      </c>
      <c r="AG784" s="2" t="str">
        <f t="shared" si="3134"/>
        <v>&lt;/li&gt;&lt;li&gt;&lt;a href=|http://mhc.biblecommenter.com/jeremiah/39.htm| title=|Matthew Henry's Concise Commentary| target=|_top|&gt;MHC&lt;/a&gt;</v>
      </c>
      <c r="AH784" s="2" t="str">
        <f t="shared" si="3134"/>
        <v>&lt;/li&gt;&lt;li&gt;&lt;a href=|http://sco.biblecommenter.com/jeremiah/39.htm| title=|Scofield Reference Notes| target=|_top|&gt;SCO&lt;/a&gt;</v>
      </c>
      <c r="AI784" s="2" t="str">
        <f t="shared" si="3134"/>
        <v>&lt;/li&gt;&lt;li&gt;&lt;a href=|http://wes.biblecommenter.com/jeremiah/39.htm| title=|Wesley's Notes on the Bible| target=|_top|&gt;WES&lt;/a&gt;</v>
      </c>
      <c r="AJ784" t="str">
        <f t="shared" si="3134"/>
        <v>&lt;/li&gt;&lt;li&gt;&lt;a href=|http://worldebible.com/jeremiah/39.htm| title=|World English Bible| target=|_top|&gt;WEB&lt;/a&gt;</v>
      </c>
      <c r="AK784" t="str">
        <f t="shared" si="3134"/>
        <v>&lt;/li&gt;&lt;li&gt;&lt;a href=|http://yltbible.com/jeremiah/39.htm| title=|Young's Literal Translation| target=|_top|&gt;YLT&lt;/a&gt;</v>
      </c>
      <c r="AL784" t="str">
        <f>CONCATENATE("&lt;a href=|http://",AL1191,"/jeremiah/39.htm","| ","title=|",AL1190,"| target=|_top|&gt;",AL1192,"&lt;/a&gt;")</f>
        <v>&lt;a href=|http://kjv.us/jeremiah/39.htm| title=|American King James Version| target=|_top|&gt;AKJ&lt;/a&gt;</v>
      </c>
      <c r="AM784" t="str">
        <f t="shared" ref="AM784:AN784" si="3135">CONCATENATE("&lt;/li&gt;&lt;li&gt;&lt;a href=|http://",AM1191,"/jeremiah/39.htm","| ","title=|",AM1190,"| target=|_top|&gt;",AM1192,"&lt;/a&gt;")</f>
        <v>&lt;/li&gt;&lt;li&gt;&lt;a href=|http://basicenglishbible.com/jeremiah/39.htm| title=|Bible in Basic English| target=|_top|&gt;BBE&lt;/a&gt;</v>
      </c>
      <c r="AN784" t="str">
        <f t="shared" si="3135"/>
        <v>&lt;/li&gt;&lt;li&gt;&lt;a href=|http://darbybible.com/jeremiah/39.htm| title=|Darby Bible Translation| target=|_top|&gt;DBY&lt;/a&gt;</v>
      </c>
      <c r="AO78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8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8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84" t="str">
        <f>CONCATENATE("&lt;/li&gt;&lt;li&gt;&lt;a href=|http://",AR1191,"/jeremiah/39.htm","| ","title=|",AR1190,"| target=|_top|&gt;",AR1192,"&lt;/a&gt;")</f>
        <v>&lt;/li&gt;&lt;li&gt;&lt;a href=|http://websterbible.com/jeremiah/39.htm| title=|Webster's Bible Translation| target=|_top|&gt;WBS&lt;/a&gt;</v>
      </c>
      <c r="AS78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84" t="str">
        <f>CONCATENATE("&lt;/li&gt;&lt;li&gt;&lt;a href=|http://",AT1191,"/jeremiah/39-1.htm","| ","title=|",AT1190,"| target=|_top|&gt;",AT1192,"&lt;/a&gt;")</f>
        <v>&lt;/li&gt;&lt;li&gt;&lt;a href=|http://biblebrowser.com/jeremiah/39-1.htm| title=|Split View| target=|_top|&gt;Split&lt;/a&gt;</v>
      </c>
      <c r="AU784" s="2" t="s">
        <v>1276</v>
      </c>
      <c r="AV784" t="s">
        <v>64</v>
      </c>
    </row>
    <row r="785" spans="1:48">
      <c r="A785" t="s">
        <v>622</v>
      </c>
      <c r="B785" t="s">
        <v>826</v>
      </c>
      <c r="C785" t="s">
        <v>624</v>
      </c>
      <c r="D785" t="s">
        <v>1268</v>
      </c>
      <c r="E785" t="s">
        <v>1277</v>
      </c>
      <c r="F785" t="s">
        <v>1304</v>
      </c>
      <c r="G785" t="s">
        <v>1266</v>
      </c>
      <c r="H785" t="s">
        <v>1305</v>
      </c>
      <c r="I785" t="s">
        <v>1303</v>
      </c>
      <c r="J785" t="s">
        <v>1267</v>
      </c>
      <c r="K785" t="s">
        <v>1275</v>
      </c>
      <c r="L785" s="2" t="s">
        <v>1274</v>
      </c>
      <c r="M785" t="str">
        <f t="shared" ref="M785:AB785" si="3136">CONCATENATE("&lt;/li&gt;&lt;li&gt;&lt;a href=|http://",M1191,"/jeremiah/40.htm","| ","title=|",M1190,"| target=|_top|&gt;",M1192,"&lt;/a&gt;")</f>
        <v>&lt;/li&gt;&lt;li&gt;&lt;a href=|http://niv.scripturetext.com/jeremiah/40.htm| title=|New International Version| target=|_top|&gt;NIV&lt;/a&gt;</v>
      </c>
      <c r="N785" t="str">
        <f t="shared" si="3136"/>
        <v>&lt;/li&gt;&lt;li&gt;&lt;a href=|http://nlt.scripturetext.com/jeremiah/40.htm| title=|New Living Translation| target=|_top|&gt;NLT&lt;/a&gt;</v>
      </c>
      <c r="O785" t="str">
        <f t="shared" si="3136"/>
        <v>&lt;/li&gt;&lt;li&gt;&lt;a href=|http://nasb.scripturetext.com/jeremiah/40.htm| title=|New American Standard Bible| target=|_top|&gt;NAS&lt;/a&gt;</v>
      </c>
      <c r="P785" t="str">
        <f t="shared" si="3136"/>
        <v>&lt;/li&gt;&lt;li&gt;&lt;a href=|http://gwt.scripturetext.com/jeremiah/40.htm| title=|God's Word Translation| target=|_top|&gt;GWT&lt;/a&gt;</v>
      </c>
      <c r="Q785" t="str">
        <f t="shared" si="3136"/>
        <v>&lt;/li&gt;&lt;li&gt;&lt;a href=|http://kingjbible.com/jeremiah/40.htm| title=|King James Bible| target=|_top|&gt;KJV&lt;/a&gt;</v>
      </c>
      <c r="R785" t="str">
        <f t="shared" si="3136"/>
        <v>&lt;/li&gt;&lt;li&gt;&lt;a href=|http://asvbible.com/jeremiah/40.htm| title=|American Standard Version| target=|_top|&gt;ASV&lt;/a&gt;</v>
      </c>
      <c r="S785" t="str">
        <f t="shared" si="3136"/>
        <v>&lt;/li&gt;&lt;li&gt;&lt;a href=|http://drb.scripturetext.com/jeremiah/40.htm| title=|Douay-Rheims Bible| target=|_top|&gt;DRB&lt;/a&gt;</v>
      </c>
      <c r="T785" t="str">
        <f t="shared" si="3136"/>
        <v>&lt;/li&gt;&lt;li&gt;&lt;a href=|http://erv.scripturetext.com/jeremiah/40.htm| title=|English Revised Version| target=|_top|&gt;ERV&lt;/a&gt;</v>
      </c>
      <c r="V785" t="str">
        <f>CONCATENATE("&lt;/li&gt;&lt;li&gt;&lt;a href=|http://",V1191,"/jeremiah/40.htm","| ","title=|",V1190,"| target=|_top|&gt;",V1192,"&lt;/a&gt;")</f>
        <v>&lt;/li&gt;&lt;li&gt;&lt;a href=|http://study.interlinearbible.org/jeremiah/40.htm| title=|Hebrew Study Bible| target=|_top|&gt;Heb Study&lt;/a&gt;</v>
      </c>
      <c r="W785" t="str">
        <f t="shared" si="3136"/>
        <v>&lt;/li&gt;&lt;li&gt;&lt;a href=|http://apostolic.interlinearbible.org/jeremiah/40.htm| title=|Apostolic Bible Polyglot Interlinear| target=|_top|&gt;Polyglot&lt;/a&gt;</v>
      </c>
      <c r="X785" t="str">
        <f t="shared" si="3136"/>
        <v>&lt;/li&gt;&lt;li&gt;&lt;a href=|http://interlinearbible.org/jeremiah/40.htm| title=|Interlinear Bible| target=|_top|&gt;Interlin&lt;/a&gt;</v>
      </c>
      <c r="Y785" t="str">
        <f t="shared" ref="Y785" si="3137">CONCATENATE("&lt;/li&gt;&lt;li&gt;&lt;a href=|http://",Y1191,"/jeremiah/40.htm","| ","title=|",Y1190,"| target=|_top|&gt;",Y1192,"&lt;/a&gt;")</f>
        <v>&lt;/li&gt;&lt;li&gt;&lt;a href=|http://bibleoutline.org/jeremiah/40.htm| title=|Outline with People and Places List| target=|_top|&gt;Outline&lt;/a&gt;</v>
      </c>
      <c r="Z785" t="str">
        <f t="shared" si="3136"/>
        <v>&lt;/li&gt;&lt;li&gt;&lt;a href=|http://kjvs.scripturetext.com/jeremiah/40.htm| title=|King James Bible with Strong's Numbers| target=|_top|&gt;Strong's&lt;/a&gt;</v>
      </c>
      <c r="AA785" t="str">
        <f t="shared" si="3136"/>
        <v>&lt;/li&gt;&lt;li&gt;&lt;a href=|http://childrensbibleonline.com/jeremiah/40.htm| title=|The Children's Bible| target=|_top|&gt;Children's&lt;/a&gt;</v>
      </c>
      <c r="AB785" s="2" t="str">
        <f t="shared" si="3136"/>
        <v>&lt;/li&gt;&lt;li&gt;&lt;a href=|http://tsk.scripturetext.com/jeremiah/40.htm| title=|Treasury of Scripture Knowledge| target=|_top|&gt;TSK&lt;/a&gt;</v>
      </c>
      <c r="AC785" t="str">
        <f>CONCATENATE("&lt;a href=|http://",AC1191,"/jeremiah/40.htm","| ","title=|",AC1190,"| target=|_top|&gt;",AC1192,"&lt;/a&gt;")</f>
        <v>&lt;a href=|http://parallelbible.com/jeremiah/40.htm| title=|Parallel Chapters| target=|_top|&gt;PAR&lt;/a&gt;</v>
      </c>
      <c r="AD785" s="2" t="str">
        <f t="shared" ref="AD785:AK785" si="3138">CONCATENATE("&lt;/li&gt;&lt;li&gt;&lt;a href=|http://",AD1191,"/jeremiah/40.htm","| ","title=|",AD1190,"| target=|_top|&gt;",AD1192,"&lt;/a&gt;")</f>
        <v>&lt;/li&gt;&lt;li&gt;&lt;a href=|http://gsb.biblecommenter.com/jeremiah/40.htm| title=|Geneva Study Bible| target=|_top|&gt;GSB&lt;/a&gt;</v>
      </c>
      <c r="AE785" s="2" t="str">
        <f t="shared" si="3138"/>
        <v>&lt;/li&gt;&lt;li&gt;&lt;a href=|http://jfb.biblecommenter.com/jeremiah/40.htm| title=|Jamieson-Fausset-Brown Bible Commentary| target=|_top|&gt;JFB&lt;/a&gt;</v>
      </c>
      <c r="AF785" s="2" t="str">
        <f t="shared" si="3138"/>
        <v>&lt;/li&gt;&lt;li&gt;&lt;a href=|http://kjt.biblecommenter.com/jeremiah/40.htm| title=|King James Translators' Notes| target=|_top|&gt;KJT&lt;/a&gt;</v>
      </c>
      <c r="AG785" s="2" t="str">
        <f t="shared" si="3138"/>
        <v>&lt;/li&gt;&lt;li&gt;&lt;a href=|http://mhc.biblecommenter.com/jeremiah/40.htm| title=|Matthew Henry's Concise Commentary| target=|_top|&gt;MHC&lt;/a&gt;</v>
      </c>
      <c r="AH785" s="2" t="str">
        <f t="shared" si="3138"/>
        <v>&lt;/li&gt;&lt;li&gt;&lt;a href=|http://sco.biblecommenter.com/jeremiah/40.htm| title=|Scofield Reference Notes| target=|_top|&gt;SCO&lt;/a&gt;</v>
      </c>
      <c r="AI785" s="2" t="str">
        <f t="shared" si="3138"/>
        <v>&lt;/li&gt;&lt;li&gt;&lt;a href=|http://wes.biblecommenter.com/jeremiah/40.htm| title=|Wesley's Notes on the Bible| target=|_top|&gt;WES&lt;/a&gt;</v>
      </c>
      <c r="AJ785" t="str">
        <f t="shared" si="3138"/>
        <v>&lt;/li&gt;&lt;li&gt;&lt;a href=|http://worldebible.com/jeremiah/40.htm| title=|World English Bible| target=|_top|&gt;WEB&lt;/a&gt;</v>
      </c>
      <c r="AK785" t="str">
        <f t="shared" si="3138"/>
        <v>&lt;/li&gt;&lt;li&gt;&lt;a href=|http://yltbible.com/jeremiah/40.htm| title=|Young's Literal Translation| target=|_top|&gt;YLT&lt;/a&gt;</v>
      </c>
      <c r="AL785" t="str">
        <f>CONCATENATE("&lt;a href=|http://",AL1191,"/jeremiah/40.htm","| ","title=|",AL1190,"| target=|_top|&gt;",AL1192,"&lt;/a&gt;")</f>
        <v>&lt;a href=|http://kjv.us/jeremiah/40.htm| title=|American King James Version| target=|_top|&gt;AKJ&lt;/a&gt;</v>
      </c>
      <c r="AM785" t="str">
        <f t="shared" ref="AM785:AN785" si="3139">CONCATENATE("&lt;/li&gt;&lt;li&gt;&lt;a href=|http://",AM1191,"/jeremiah/40.htm","| ","title=|",AM1190,"| target=|_top|&gt;",AM1192,"&lt;/a&gt;")</f>
        <v>&lt;/li&gt;&lt;li&gt;&lt;a href=|http://basicenglishbible.com/jeremiah/40.htm| title=|Bible in Basic English| target=|_top|&gt;BBE&lt;/a&gt;</v>
      </c>
      <c r="AN785" t="str">
        <f t="shared" si="3139"/>
        <v>&lt;/li&gt;&lt;li&gt;&lt;a href=|http://darbybible.com/jeremiah/40.htm| title=|Darby Bible Translation| target=|_top|&gt;DBY&lt;/a&gt;</v>
      </c>
      <c r="AO78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8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8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85" t="str">
        <f>CONCATENATE("&lt;/li&gt;&lt;li&gt;&lt;a href=|http://",AR1191,"/jeremiah/40.htm","| ","title=|",AR1190,"| target=|_top|&gt;",AR1192,"&lt;/a&gt;")</f>
        <v>&lt;/li&gt;&lt;li&gt;&lt;a href=|http://websterbible.com/jeremiah/40.htm| title=|Webster's Bible Translation| target=|_top|&gt;WBS&lt;/a&gt;</v>
      </c>
      <c r="AS78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85" t="str">
        <f>CONCATENATE("&lt;/li&gt;&lt;li&gt;&lt;a href=|http://",AT1191,"/jeremiah/40-1.htm","| ","title=|",AT1190,"| target=|_top|&gt;",AT1192,"&lt;/a&gt;")</f>
        <v>&lt;/li&gt;&lt;li&gt;&lt;a href=|http://biblebrowser.com/jeremiah/40-1.htm| title=|Split View| target=|_top|&gt;Split&lt;/a&gt;</v>
      </c>
      <c r="AU785" s="2" t="s">
        <v>1276</v>
      </c>
      <c r="AV785" t="s">
        <v>64</v>
      </c>
    </row>
    <row r="786" spans="1:48">
      <c r="A786" t="s">
        <v>622</v>
      </c>
      <c r="B786" t="s">
        <v>827</v>
      </c>
      <c r="C786" t="s">
        <v>624</v>
      </c>
      <c r="D786" t="s">
        <v>1268</v>
      </c>
      <c r="E786" t="s">
        <v>1277</v>
      </c>
      <c r="F786" t="s">
        <v>1304</v>
      </c>
      <c r="G786" t="s">
        <v>1266</v>
      </c>
      <c r="H786" t="s">
        <v>1305</v>
      </c>
      <c r="I786" t="s">
        <v>1303</v>
      </c>
      <c r="J786" t="s">
        <v>1267</v>
      </c>
      <c r="K786" t="s">
        <v>1275</v>
      </c>
      <c r="L786" s="2" t="s">
        <v>1274</v>
      </c>
      <c r="M786" t="str">
        <f t="shared" ref="M786:AB786" si="3140">CONCATENATE("&lt;/li&gt;&lt;li&gt;&lt;a href=|http://",M1191,"/jeremiah/41.htm","| ","title=|",M1190,"| target=|_top|&gt;",M1192,"&lt;/a&gt;")</f>
        <v>&lt;/li&gt;&lt;li&gt;&lt;a href=|http://niv.scripturetext.com/jeremiah/41.htm| title=|New International Version| target=|_top|&gt;NIV&lt;/a&gt;</v>
      </c>
      <c r="N786" t="str">
        <f t="shared" si="3140"/>
        <v>&lt;/li&gt;&lt;li&gt;&lt;a href=|http://nlt.scripturetext.com/jeremiah/41.htm| title=|New Living Translation| target=|_top|&gt;NLT&lt;/a&gt;</v>
      </c>
      <c r="O786" t="str">
        <f t="shared" si="3140"/>
        <v>&lt;/li&gt;&lt;li&gt;&lt;a href=|http://nasb.scripturetext.com/jeremiah/41.htm| title=|New American Standard Bible| target=|_top|&gt;NAS&lt;/a&gt;</v>
      </c>
      <c r="P786" t="str">
        <f t="shared" si="3140"/>
        <v>&lt;/li&gt;&lt;li&gt;&lt;a href=|http://gwt.scripturetext.com/jeremiah/41.htm| title=|God's Word Translation| target=|_top|&gt;GWT&lt;/a&gt;</v>
      </c>
      <c r="Q786" t="str">
        <f t="shared" si="3140"/>
        <v>&lt;/li&gt;&lt;li&gt;&lt;a href=|http://kingjbible.com/jeremiah/41.htm| title=|King James Bible| target=|_top|&gt;KJV&lt;/a&gt;</v>
      </c>
      <c r="R786" t="str">
        <f t="shared" si="3140"/>
        <v>&lt;/li&gt;&lt;li&gt;&lt;a href=|http://asvbible.com/jeremiah/41.htm| title=|American Standard Version| target=|_top|&gt;ASV&lt;/a&gt;</v>
      </c>
      <c r="S786" t="str">
        <f t="shared" si="3140"/>
        <v>&lt;/li&gt;&lt;li&gt;&lt;a href=|http://drb.scripturetext.com/jeremiah/41.htm| title=|Douay-Rheims Bible| target=|_top|&gt;DRB&lt;/a&gt;</v>
      </c>
      <c r="T786" t="str">
        <f t="shared" si="3140"/>
        <v>&lt;/li&gt;&lt;li&gt;&lt;a href=|http://erv.scripturetext.com/jeremiah/41.htm| title=|English Revised Version| target=|_top|&gt;ERV&lt;/a&gt;</v>
      </c>
      <c r="V786" t="str">
        <f>CONCATENATE("&lt;/li&gt;&lt;li&gt;&lt;a href=|http://",V1191,"/jeremiah/41.htm","| ","title=|",V1190,"| target=|_top|&gt;",V1192,"&lt;/a&gt;")</f>
        <v>&lt;/li&gt;&lt;li&gt;&lt;a href=|http://study.interlinearbible.org/jeremiah/41.htm| title=|Hebrew Study Bible| target=|_top|&gt;Heb Study&lt;/a&gt;</v>
      </c>
      <c r="W786" t="str">
        <f t="shared" si="3140"/>
        <v>&lt;/li&gt;&lt;li&gt;&lt;a href=|http://apostolic.interlinearbible.org/jeremiah/41.htm| title=|Apostolic Bible Polyglot Interlinear| target=|_top|&gt;Polyglot&lt;/a&gt;</v>
      </c>
      <c r="X786" t="str">
        <f t="shared" si="3140"/>
        <v>&lt;/li&gt;&lt;li&gt;&lt;a href=|http://interlinearbible.org/jeremiah/41.htm| title=|Interlinear Bible| target=|_top|&gt;Interlin&lt;/a&gt;</v>
      </c>
      <c r="Y786" t="str">
        <f t="shared" ref="Y786" si="3141">CONCATENATE("&lt;/li&gt;&lt;li&gt;&lt;a href=|http://",Y1191,"/jeremiah/41.htm","| ","title=|",Y1190,"| target=|_top|&gt;",Y1192,"&lt;/a&gt;")</f>
        <v>&lt;/li&gt;&lt;li&gt;&lt;a href=|http://bibleoutline.org/jeremiah/41.htm| title=|Outline with People and Places List| target=|_top|&gt;Outline&lt;/a&gt;</v>
      </c>
      <c r="Z786" t="str">
        <f t="shared" si="3140"/>
        <v>&lt;/li&gt;&lt;li&gt;&lt;a href=|http://kjvs.scripturetext.com/jeremiah/41.htm| title=|King James Bible with Strong's Numbers| target=|_top|&gt;Strong's&lt;/a&gt;</v>
      </c>
      <c r="AA786" t="str">
        <f t="shared" si="3140"/>
        <v>&lt;/li&gt;&lt;li&gt;&lt;a href=|http://childrensbibleonline.com/jeremiah/41.htm| title=|The Children's Bible| target=|_top|&gt;Children's&lt;/a&gt;</v>
      </c>
      <c r="AB786" s="2" t="str">
        <f t="shared" si="3140"/>
        <v>&lt;/li&gt;&lt;li&gt;&lt;a href=|http://tsk.scripturetext.com/jeremiah/41.htm| title=|Treasury of Scripture Knowledge| target=|_top|&gt;TSK&lt;/a&gt;</v>
      </c>
      <c r="AC786" t="str">
        <f>CONCATENATE("&lt;a href=|http://",AC1191,"/jeremiah/41.htm","| ","title=|",AC1190,"| target=|_top|&gt;",AC1192,"&lt;/a&gt;")</f>
        <v>&lt;a href=|http://parallelbible.com/jeremiah/41.htm| title=|Parallel Chapters| target=|_top|&gt;PAR&lt;/a&gt;</v>
      </c>
      <c r="AD786" s="2" t="str">
        <f t="shared" ref="AD786:AK786" si="3142">CONCATENATE("&lt;/li&gt;&lt;li&gt;&lt;a href=|http://",AD1191,"/jeremiah/41.htm","| ","title=|",AD1190,"| target=|_top|&gt;",AD1192,"&lt;/a&gt;")</f>
        <v>&lt;/li&gt;&lt;li&gt;&lt;a href=|http://gsb.biblecommenter.com/jeremiah/41.htm| title=|Geneva Study Bible| target=|_top|&gt;GSB&lt;/a&gt;</v>
      </c>
      <c r="AE786" s="2" t="str">
        <f t="shared" si="3142"/>
        <v>&lt;/li&gt;&lt;li&gt;&lt;a href=|http://jfb.biblecommenter.com/jeremiah/41.htm| title=|Jamieson-Fausset-Brown Bible Commentary| target=|_top|&gt;JFB&lt;/a&gt;</v>
      </c>
      <c r="AF786" s="2" t="str">
        <f t="shared" si="3142"/>
        <v>&lt;/li&gt;&lt;li&gt;&lt;a href=|http://kjt.biblecommenter.com/jeremiah/41.htm| title=|King James Translators' Notes| target=|_top|&gt;KJT&lt;/a&gt;</v>
      </c>
      <c r="AG786" s="2" t="str">
        <f t="shared" si="3142"/>
        <v>&lt;/li&gt;&lt;li&gt;&lt;a href=|http://mhc.biblecommenter.com/jeremiah/41.htm| title=|Matthew Henry's Concise Commentary| target=|_top|&gt;MHC&lt;/a&gt;</v>
      </c>
      <c r="AH786" s="2" t="str">
        <f t="shared" si="3142"/>
        <v>&lt;/li&gt;&lt;li&gt;&lt;a href=|http://sco.biblecommenter.com/jeremiah/41.htm| title=|Scofield Reference Notes| target=|_top|&gt;SCO&lt;/a&gt;</v>
      </c>
      <c r="AI786" s="2" t="str">
        <f t="shared" si="3142"/>
        <v>&lt;/li&gt;&lt;li&gt;&lt;a href=|http://wes.biblecommenter.com/jeremiah/41.htm| title=|Wesley's Notes on the Bible| target=|_top|&gt;WES&lt;/a&gt;</v>
      </c>
      <c r="AJ786" t="str">
        <f t="shared" si="3142"/>
        <v>&lt;/li&gt;&lt;li&gt;&lt;a href=|http://worldebible.com/jeremiah/41.htm| title=|World English Bible| target=|_top|&gt;WEB&lt;/a&gt;</v>
      </c>
      <c r="AK786" t="str">
        <f t="shared" si="3142"/>
        <v>&lt;/li&gt;&lt;li&gt;&lt;a href=|http://yltbible.com/jeremiah/41.htm| title=|Young's Literal Translation| target=|_top|&gt;YLT&lt;/a&gt;</v>
      </c>
      <c r="AL786" t="str">
        <f>CONCATENATE("&lt;a href=|http://",AL1191,"/jeremiah/41.htm","| ","title=|",AL1190,"| target=|_top|&gt;",AL1192,"&lt;/a&gt;")</f>
        <v>&lt;a href=|http://kjv.us/jeremiah/41.htm| title=|American King James Version| target=|_top|&gt;AKJ&lt;/a&gt;</v>
      </c>
      <c r="AM786" t="str">
        <f t="shared" ref="AM786:AN786" si="3143">CONCATENATE("&lt;/li&gt;&lt;li&gt;&lt;a href=|http://",AM1191,"/jeremiah/41.htm","| ","title=|",AM1190,"| target=|_top|&gt;",AM1192,"&lt;/a&gt;")</f>
        <v>&lt;/li&gt;&lt;li&gt;&lt;a href=|http://basicenglishbible.com/jeremiah/41.htm| title=|Bible in Basic English| target=|_top|&gt;BBE&lt;/a&gt;</v>
      </c>
      <c r="AN786" t="str">
        <f t="shared" si="3143"/>
        <v>&lt;/li&gt;&lt;li&gt;&lt;a href=|http://darbybible.com/jeremiah/41.htm| title=|Darby Bible Translation| target=|_top|&gt;DBY&lt;/a&gt;</v>
      </c>
      <c r="AO78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8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8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86" t="str">
        <f>CONCATENATE("&lt;/li&gt;&lt;li&gt;&lt;a href=|http://",AR1191,"/jeremiah/41.htm","| ","title=|",AR1190,"| target=|_top|&gt;",AR1192,"&lt;/a&gt;")</f>
        <v>&lt;/li&gt;&lt;li&gt;&lt;a href=|http://websterbible.com/jeremiah/41.htm| title=|Webster's Bible Translation| target=|_top|&gt;WBS&lt;/a&gt;</v>
      </c>
      <c r="AS78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86" t="str">
        <f>CONCATENATE("&lt;/li&gt;&lt;li&gt;&lt;a href=|http://",AT1191,"/jeremiah/41-1.htm","| ","title=|",AT1190,"| target=|_top|&gt;",AT1192,"&lt;/a&gt;")</f>
        <v>&lt;/li&gt;&lt;li&gt;&lt;a href=|http://biblebrowser.com/jeremiah/41-1.htm| title=|Split View| target=|_top|&gt;Split&lt;/a&gt;</v>
      </c>
      <c r="AU786" s="2" t="s">
        <v>1276</v>
      </c>
      <c r="AV786" t="s">
        <v>64</v>
      </c>
    </row>
    <row r="787" spans="1:48">
      <c r="A787" t="s">
        <v>622</v>
      </c>
      <c r="B787" t="s">
        <v>828</v>
      </c>
      <c r="C787" t="s">
        <v>624</v>
      </c>
      <c r="D787" t="s">
        <v>1268</v>
      </c>
      <c r="E787" t="s">
        <v>1277</v>
      </c>
      <c r="F787" t="s">
        <v>1304</v>
      </c>
      <c r="G787" t="s">
        <v>1266</v>
      </c>
      <c r="H787" t="s">
        <v>1305</v>
      </c>
      <c r="I787" t="s">
        <v>1303</v>
      </c>
      <c r="J787" t="s">
        <v>1267</v>
      </c>
      <c r="K787" t="s">
        <v>1275</v>
      </c>
      <c r="L787" s="2" t="s">
        <v>1274</v>
      </c>
      <c r="M787" t="str">
        <f t="shared" ref="M787:AB787" si="3144">CONCATENATE("&lt;/li&gt;&lt;li&gt;&lt;a href=|http://",M1191,"/jeremiah/42.htm","| ","title=|",M1190,"| target=|_top|&gt;",M1192,"&lt;/a&gt;")</f>
        <v>&lt;/li&gt;&lt;li&gt;&lt;a href=|http://niv.scripturetext.com/jeremiah/42.htm| title=|New International Version| target=|_top|&gt;NIV&lt;/a&gt;</v>
      </c>
      <c r="N787" t="str">
        <f t="shared" si="3144"/>
        <v>&lt;/li&gt;&lt;li&gt;&lt;a href=|http://nlt.scripturetext.com/jeremiah/42.htm| title=|New Living Translation| target=|_top|&gt;NLT&lt;/a&gt;</v>
      </c>
      <c r="O787" t="str">
        <f t="shared" si="3144"/>
        <v>&lt;/li&gt;&lt;li&gt;&lt;a href=|http://nasb.scripturetext.com/jeremiah/42.htm| title=|New American Standard Bible| target=|_top|&gt;NAS&lt;/a&gt;</v>
      </c>
      <c r="P787" t="str">
        <f t="shared" si="3144"/>
        <v>&lt;/li&gt;&lt;li&gt;&lt;a href=|http://gwt.scripturetext.com/jeremiah/42.htm| title=|God's Word Translation| target=|_top|&gt;GWT&lt;/a&gt;</v>
      </c>
      <c r="Q787" t="str">
        <f t="shared" si="3144"/>
        <v>&lt;/li&gt;&lt;li&gt;&lt;a href=|http://kingjbible.com/jeremiah/42.htm| title=|King James Bible| target=|_top|&gt;KJV&lt;/a&gt;</v>
      </c>
      <c r="R787" t="str">
        <f t="shared" si="3144"/>
        <v>&lt;/li&gt;&lt;li&gt;&lt;a href=|http://asvbible.com/jeremiah/42.htm| title=|American Standard Version| target=|_top|&gt;ASV&lt;/a&gt;</v>
      </c>
      <c r="S787" t="str">
        <f t="shared" si="3144"/>
        <v>&lt;/li&gt;&lt;li&gt;&lt;a href=|http://drb.scripturetext.com/jeremiah/42.htm| title=|Douay-Rheims Bible| target=|_top|&gt;DRB&lt;/a&gt;</v>
      </c>
      <c r="T787" t="str">
        <f t="shared" si="3144"/>
        <v>&lt;/li&gt;&lt;li&gt;&lt;a href=|http://erv.scripturetext.com/jeremiah/42.htm| title=|English Revised Version| target=|_top|&gt;ERV&lt;/a&gt;</v>
      </c>
      <c r="V787" t="str">
        <f>CONCATENATE("&lt;/li&gt;&lt;li&gt;&lt;a href=|http://",V1191,"/jeremiah/42.htm","| ","title=|",V1190,"| target=|_top|&gt;",V1192,"&lt;/a&gt;")</f>
        <v>&lt;/li&gt;&lt;li&gt;&lt;a href=|http://study.interlinearbible.org/jeremiah/42.htm| title=|Hebrew Study Bible| target=|_top|&gt;Heb Study&lt;/a&gt;</v>
      </c>
      <c r="W787" t="str">
        <f t="shared" si="3144"/>
        <v>&lt;/li&gt;&lt;li&gt;&lt;a href=|http://apostolic.interlinearbible.org/jeremiah/42.htm| title=|Apostolic Bible Polyglot Interlinear| target=|_top|&gt;Polyglot&lt;/a&gt;</v>
      </c>
      <c r="X787" t="str">
        <f t="shared" si="3144"/>
        <v>&lt;/li&gt;&lt;li&gt;&lt;a href=|http://interlinearbible.org/jeremiah/42.htm| title=|Interlinear Bible| target=|_top|&gt;Interlin&lt;/a&gt;</v>
      </c>
      <c r="Y787" t="str">
        <f t="shared" ref="Y787" si="3145">CONCATENATE("&lt;/li&gt;&lt;li&gt;&lt;a href=|http://",Y1191,"/jeremiah/42.htm","| ","title=|",Y1190,"| target=|_top|&gt;",Y1192,"&lt;/a&gt;")</f>
        <v>&lt;/li&gt;&lt;li&gt;&lt;a href=|http://bibleoutline.org/jeremiah/42.htm| title=|Outline with People and Places List| target=|_top|&gt;Outline&lt;/a&gt;</v>
      </c>
      <c r="Z787" t="str">
        <f t="shared" si="3144"/>
        <v>&lt;/li&gt;&lt;li&gt;&lt;a href=|http://kjvs.scripturetext.com/jeremiah/42.htm| title=|King James Bible with Strong's Numbers| target=|_top|&gt;Strong's&lt;/a&gt;</v>
      </c>
      <c r="AA787" t="str">
        <f t="shared" si="3144"/>
        <v>&lt;/li&gt;&lt;li&gt;&lt;a href=|http://childrensbibleonline.com/jeremiah/42.htm| title=|The Children's Bible| target=|_top|&gt;Children's&lt;/a&gt;</v>
      </c>
      <c r="AB787" s="2" t="str">
        <f t="shared" si="3144"/>
        <v>&lt;/li&gt;&lt;li&gt;&lt;a href=|http://tsk.scripturetext.com/jeremiah/42.htm| title=|Treasury of Scripture Knowledge| target=|_top|&gt;TSK&lt;/a&gt;</v>
      </c>
      <c r="AC787" t="str">
        <f>CONCATENATE("&lt;a href=|http://",AC1191,"/jeremiah/42.htm","| ","title=|",AC1190,"| target=|_top|&gt;",AC1192,"&lt;/a&gt;")</f>
        <v>&lt;a href=|http://parallelbible.com/jeremiah/42.htm| title=|Parallel Chapters| target=|_top|&gt;PAR&lt;/a&gt;</v>
      </c>
      <c r="AD787" s="2" t="str">
        <f t="shared" ref="AD787:AK787" si="3146">CONCATENATE("&lt;/li&gt;&lt;li&gt;&lt;a href=|http://",AD1191,"/jeremiah/42.htm","| ","title=|",AD1190,"| target=|_top|&gt;",AD1192,"&lt;/a&gt;")</f>
        <v>&lt;/li&gt;&lt;li&gt;&lt;a href=|http://gsb.biblecommenter.com/jeremiah/42.htm| title=|Geneva Study Bible| target=|_top|&gt;GSB&lt;/a&gt;</v>
      </c>
      <c r="AE787" s="2" t="str">
        <f t="shared" si="3146"/>
        <v>&lt;/li&gt;&lt;li&gt;&lt;a href=|http://jfb.biblecommenter.com/jeremiah/42.htm| title=|Jamieson-Fausset-Brown Bible Commentary| target=|_top|&gt;JFB&lt;/a&gt;</v>
      </c>
      <c r="AF787" s="2" t="str">
        <f t="shared" si="3146"/>
        <v>&lt;/li&gt;&lt;li&gt;&lt;a href=|http://kjt.biblecommenter.com/jeremiah/42.htm| title=|King James Translators' Notes| target=|_top|&gt;KJT&lt;/a&gt;</v>
      </c>
      <c r="AG787" s="2" t="str">
        <f t="shared" si="3146"/>
        <v>&lt;/li&gt;&lt;li&gt;&lt;a href=|http://mhc.biblecommenter.com/jeremiah/42.htm| title=|Matthew Henry's Concise Commentary| target=|_top|&gt;MHC&lt;/a&gt;</v>
      </c>
      <c r="AH787" s="2" t="str">
        <f t="shared" si="3146"/>
        <v>&lt;/li&gt;&lt;li&gt;&lt;a href=|http://sco.biblecommenter.com/jeremiah/42.htm| title=|Scofield Reference Notes| target=|_top|&gt;SCO&lt;/a&gt;</v>
      </c>
      <c r="AI787" s="2" t="str">
        <f t="shared" si="3146"/>
        <v>&lt;/li&gt;&lt;li&gt;&lt;a href=|http://wes.biblecommenter.com/jeremiah/42.htm| title=|Wesley's Notes on the Bible| target=|_top|&gt;WES&lt;/a&gt;</v>
      </c>
      <c r="AJ787" t="str">
        <f t="shared" si="3146"/>
        <v>&lt;/li&gt;&lt;li&gt;&lt;a href=|http://worldebible.com/jeremiah/42.htm| title=|World English Bible| target=|_top|&gt;WEB&lt;/a&gt;</v>
      </c>
      <c r="AK787" t="str">
        <f t="shared" si="3146"/>
        <v>&lt;/li&gt;&lt;li&gt;&lt;a href=|http://yltbible.com/jeremiah/42.htm| title=|Young's Literal Translation| target=|_top|&gt;YLT&lt;/a&gt;</v>
      </c>
      <c r="AL787" t="str">
        <f>CONCATENATE("&lt;a href=|http://",AL1191,"/jeremiah/42.htm","| ","title=|",AL1190,"| target=|_top|&gt;",AL1192,"&lt;/a&gt;")</f>
        <v>&lt;a href=|http://kjv.us/jeremiah/42.htm| title=|American King James Version| target=|_top|&gt;AKJ&lt;/a&gt;</v>
      </c>
      <c r="AM787" t="str">
        <f t="shared" ref="AM787:AN787" si="3147">CONCATENATE("&lt;/li&gt;&lt;li&gt;&lt;a href=|http://",AM1191,"/jeremiah/42.htm","| ","title=|",AM1190,"| target=|_top|&gt;",AM1192,"&lt;/a&gt;")</f>
        <v>&lt;/li&gt;&lt;li&gt;&lt;a href=|http://basicenglishbible.com/jeremiah/42.htm| title=|Bible in Basic English| target=|_top|&gt;BBE&lt;/a&gt;</v>
      </c>
      <c r="AN787" t="str">
        <f t="shared" si="3147"/>
        <v>&lt;/li&gt;&lt;li&gt;&lt;a href=|http://darbybible.com/jeremiah/42.htm| title=|Darby Bible Translation| target=|_top|&gt;DBY&lt;/a&gt;</v>
      </c>
      <c r="AO78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8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8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87" t="str">
        <f>CONCATENATE("&lt;/li&gt;&lt;li&gt;&lt;a href=|http://",AR1191,"/jeremiah/42.htm","| ","title=|",AR1190,"| target=|_top|&gt;",AR1192,"&lt;/a&gt;")</f>
        <v>&lt;/li&gt;&lt;li&gt;&lt;a href=|http://websterbible.com/jeremiah/42.htm| title=|Webster's Bible Translation| target=|_top|&gt;WBS&lt;/a&gt;</v>
      </c>
      <c r="AS78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87" t="str">
        <f>CONCATENATE("&lt;/li&gt;&lt;li&gt;&lt;a href=|http://",AT1191,"/jeremiah/42-1.htm","| ","title=|",AT1190,"| target=|_top|&gt;",AT1192,"&lt;/a&gt;")</f>
        <v>&lt;/li&gt;&lt;li&gt;&lt;a href=|http://biblebrowser.com/jeremiah/42-1.htm| title=|Split View| target=|_top|&gt;Split&lt;/a&gt;</v>
      </c>
      <c r="AU787" s="2" t="s">
        <v>1276</v>
      </c>
      <c r="AV787" t="s">
        <v>64</v>
      </c>
    </row>
    <row r="788" spans="1:48">
      <c r="A788" t="s">
        <v>622</v>
      </c>
      <c r="B788" t="s">
        <v>829</v>
      </c>
      <c r="C788" t="s">
        <v>624</v>
      </c>
      <c r="D788" t="s">
        <v>1268</v>
      </c>
      <c r="E788" t="s">
        <v>1277</v>
      </c>
      <c r="F788" t="s">
        <v>1304</v>
      </c>
      <c r="G788" t="s">
        <v>1266</v>
      </c>
      <c r="H788" t="s">
        <v>1305</v>
      </c>
      <c r="I788" t="s">
        <v>1303</v>
      </c>
      <c r="J788" t="s">
        <v>1267</v>
      </c>
      <c r="K788" t="s">
        <v>1275</v>
      </c>
      <c r="L788" s="2" t="s">
        <v>1274</v>
      </c>
      <c r="M788" t="str">
        <f t="shared" ref="M788:AB788" si="3148">CONCATENATE("&lt;/li&gt;&lt;li&gt;&lt;a href=|http://",M1191,"/jeremiah/43.htm","| ","title=|",M1190,"| target=|_top|&gt;",M1192,"&lt;/a&gt;")</f>
        <v>&lt;/li&gt;&lt;li&gt;&lt;a href=|http://niv.scripturetext.com/jeremiah/43.htm| title=|New International Version| target=|_top|&gt;NIV&lt;/a&gt;</v>
      </c>
      <c r="N788" t="str">
        <f t="shared" si="3148"/>
        <v>&lt;/li&gt;&lt;li&gt;&lt;a href=|http://nlt.scripturetext.com/jeremiah/43.htm| title=|New Living Translation| target=|_top|&gt;NLT&lt;/a&gt;</v>
      </c>
      <c r="O788" t="str">
        <f t="shared" si="3148"/>
        <v>&lt;/li&gt;&lt;li&gt;&lt;a href=|http://nasb.scripturetext.com/jeremiah/43.htm| title=|New American Standard Bible| target=|_top|&gt;NAS&lt;/a&gt;</v>
      </c>
      <c r="P788" t="str">
        <f t="shared" si="3148"/>
        <v>&lt;/li&gt;&lt;li&gt;&lt;a href=|http://gwt.scripturetext.com/jeremiah/43.htm| title=|God's Word Translation| target=|_top|&gt;GWT&lt;/a&gt;</v>
      </c>
      <c r="Q788" t="str">
        <f t="shared" si="3148"/>
        <v>&lt;/li&gt;&lt;li&gt;&lt;a href=|http://kingjbible.com/jeremiah/43.htm| title=|King James Bible| target=|_top|&gt;KJV&lt;/a&gt;</v>
      </c>
      <c r="R788" t="str">
        <f t="shared" si="3148"/>
        <v>&lt;/li&gt;&lt;li&gt;&lt;a href=|http://asvbible.com/jeremiah/43.htm| title=|American Standard Version| target=|_top|&gt;ASV&lt;/a&gt;</v>
      </c>
      <c r="S788" t="str">
        <f t="shared" si="3148"/>
        <v>&lt;/li&gt;&lt;li&gt;&lt;a href=|http://drb.scripturetext.com/jeremiah/43.htm| title=|Douay-Rheims Bible| target=|_top|&gt;DRB&lt;/a&gt;</v>
      </c>
      <c r="T788" t="str">
        <f t="shared" si="3148"/>
        <v>&lt;/li&gt;&lt;li&gt;&lt;a href=|http://erv.scripturetext.com/jeremiah/43.htm| title=|English Revised Version| target=|_top|&gt;ERV&lt;/a&gt;</v>
      </c>
      <c r="V788" t="str">
        <f>CONCATENATE("&lt;/li&gt;&lt;li&gt;&lt;a href=|http://",V1191,"/jeremiah/43.htm","| ","title=|",V1190,"| target=|_top|&gt;",V1192,"&lt;/a&gt;")</f>
        <v>&lt;/li&gt;&lt;li&gt;&lt;a href=|http://study.interlinearbible.org/jeremiah/43.htm| title=|Hebrew Study Bible| target=|_top|&gt;Heb Study&lt;/a&gt;</v>
      </c>
      <c r="W788" t="str">
        <f t="shared" si="3148"/>
        <v>&lt;/li&gt;&lt;li&gt;&lt;a href=|http://apostolic.interlinearbible.org/jeremiah/43.htm| title=|Apostolic Bible Polyglot Interlinear| target=|_top|&gt;Polyglot&lt;/a&gt;</v>
      </c>
      <c r="X788" t="str">
        <f t="shared" si="3148"/>
        <v>&lt;/li&gt;&lt;li&gt;&lt;a href=|http://interlinearbible.org/jeremiah/43.htm| title=|Interlinear Bible| target=|_top|&gt;Interlin&lt;/a&gt;</v>
      </c>
      <c r="Y788" t="str">
        <f t="shared" ref="Y788" si="3149">CONCATENATE("&lt;/li&gt;&lt;li&gt;&lt;a href=|http://",Y1191,"/jeremiah/43.htm","| ","title=|",Y1190,"| target=|_top|&gt;",Y1192,"&lt;/a&gt;")</f>
        <v>&lt;/li&gt;&lt;li&gt;&lt;a href=|http://bibleoutline.org/jeremiah/43.htm| title=|Outline with People and Places List| target=|_top|&gt;Outline&lt;/a&gt;</v>
      </c>
      <c r="Z788" t="str">
        <f t="shared" si="3148"/>
        <v>&lt;/li&gt;&lt;li&gt;&lt;a href=|http://kjvs.scripturetext.com/jeremiah/43.htm| title=|King James Bible with Strong's Numbers| target=|_top|&gt;Strong's&lt;/a&gt;</v>
      </c>
      <c r="AA788" t="str">
        <f t="shared" si="3148"/>
        <v>&lt;/li&gt;&lt;li&gt;&lt;a href=|http://childrensbibleonline.com/jeremiah/43.htm| title=|The Children's Bible| target=|_top|&gt;Children's&lt;/a&gt;</v>
      </c>
      <c r="AB788" s="2" t="str">
        <f t="shared" si="3148"/>
        <v>&lt;/li&gt;&lt;li&gt;&lt;a href=|http://tsk.scripturetext.com/jeremiah/43.htm| title=|Treasury of Scripture Knowledge| target=|_top|&gt;TSK&lt;/a&gt;</v>
      </c>
      <c r="AC788" t="str">
        <f>CONCATENATE("&lt;a href=|http://",AC1191,"/jeremiah/43.htm","| ","title=|",AC1190,"| target=|_top|&gt;",AC1192,"&lt;/a&gt;")</f>
        <v>&lt;a href=|http://parallelbible.com/jeremiah/43.htm| title=|Parallel Chapters| target=|_top|&gt;PAR&lt;/a&gt;</v>
      </c>
      <c r="AD788" s="2" t="str">
        <f t="shared" ref="AD788:AK788" si="3150">CONCATENATE("&lt;/li&gt;&lt;li&gt;&lt;a href=|http://",AD1191,"/jeremiah/43.htm","| ","title=|",AD1190,"| target=|_top|&gt;",AD1192,"&lt;/a&gt;")</f>
        <v>&lt;/li&gt;&lt;li&gt;&lt;a href=|http://gsb.biblecommenter.com/jeremiah/43.htm| title=|Geneva Study Bible| target=|_top|&gt;GSB&lt;/a&gt;</v>
      </c>
      <c r="AE788" s="2" t="str">
        <f t="shared" si="3150"/>
        <v>&lt;/li&gt;&lt;li&gt;&lt;a href=|http://jfb.biblecommenter.com/jeremiah/43.htm| title=|Jamieson-Fausset-Brown Bible Commentary| target=|_top|&gt;JFB&lt;/a&gt;</v>
      </c>
      <c r="AF788" s="2" t="str">
        <f t="shared" si="3150"/>
        <v>&lt;/li&gt;&lt;li&gt;&lt;a href=|http://kjt.biblecommenter.com/jeremiah/43.htm| title=|King James Translators' Notes| target=|_top|&gt;KJT&lt;/a&gt;</v>
      </c>
      <c r="AG788" s="2" t="str">
        <f t="shared" si="3150"/>
        <v>&lt;/li&gt;&lt;li&gt;&lt;a href=|http://mhc.biblecommenter.com/jeremiah/43.htm| title=|Matthew Henry's Concise Commentary| target=|_top|&gt;MHC&lt;/a&gt;</v>
      </c>
      <c r="AH788" s="2" t="str">
        <f t="shared" si="3150"/>
        <v>&lt;/li&gt;&lt;li&gt;&lt;a href=|http://sco.biblecommenter.com/jeremiah/43.htm| title=|Scofield Reference Notes| target=|_top|&gt;SCO&lt;/a&gt;</v>
      </c>
      <c r="AI788" s="2" t="str">
        <f t="shared" si="3150"/>
        <v>&lt;/li&gt;&lt;li&gt;&lt;a href=|http://wes.biblecommenter.com/jeremiah/43.htm| title=|Wesley's Notes on the Bible| target=|_top|&gt;WES&lt;/a&gt;</v>
      </c>
      <c r="AJ788" t="str">
        <f t="shared" si="3150"/>
        <v>&lt;/li&gt;&lt;li&gt;&lt;a href=|http://worldebible.com/jeremiah/43.htm| title=|World English Bible| target=|_top|&gt;WEB&lt;/a&gt;</v>
      </c>
      <c r="AK788" t="str">
        <f t="shared" si="3150"/>
        <v>&lt;/li&gt;&lt;li&gt;&lt;a href=|http://yltbible.com/jeremiah/43.htm| title=|Young's Literal Translation| target=|_top|&gt;YLT&lt;/a&gt;</v>
      </c>
      <c r="AL788" t="str">
        <f>CONCATENATE("&lt;a href=|http://",AL1191,"/jeremiah/43.htm","| ","title=|",AL1190,"| target=|_top|&gt;",AL1192,"&lt;/a&gt;")</f>
        <v>&lt;a href=|http://kjv.us/jeremiah/43.htm| title=|American King James Version| target=|_top|&gt;AKJ&lt;/a&gt;</v>
      </c>
      <c r="AM788" t="str">
        <f t="shared" ref="AM788:AN788" si="3151">CONCATENATE("&lt;/li&gt;&lt;li&gt;&lt;a href=|http://",AM1191,"/jeremiah/43.htm","| ","title=|",AM1190,"| target=|_top|&gt;",AM1192,"&lt;/a&gt;")</f>
        <v>&lt;/li&gt;&lt;li&gt;&lt;a href=|http://basicenglishbible.com/jeremiah/43.htm| title=|Bible in Basic English| target=|_top|&gt;BBE&lt;/a&gt;</v>
      </c>
      <c r="AN788" t="str">
        <f t="shared" si="3151"/>
        <v>&lt;/li&gt;&lt;li&gt;&lt;a href=|http://darbybible.com/jeremiah/43.htm| title=|Darby Bible Translation| target=|_top|&gt;DBY&lt;/a&gt;</v>
      </c>
      <c r="AO78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8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8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88" t="str">
        <f>CONCATENATE("&lt;/li&gt;&lt;li&gt;&lt;a href=|http://",AR1191,"/jeremiah/43.htm","| ","title=|",AR1190,"| target=|_top|&gt;",AR1192,"&lt;/a&gt;")</f>
        <v>&lt;/li&gt;&lt;li&gt;&lt;a href=|http://websterbible.com/jeremiah/43.htm| title=|Webster's Bible Translation| target=|_top|&gt;WBS&lt;/a&gt;</v>
      </c>
      <c r="AS78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88" t="str">
        <f>CONCATENATE("&lt;/li&gt;&lt;li&gt;&lt;a href=|http://",AT1191,"/jeremiah/43-1.htm","| ","title=|",AT1190,"| target=|_top|&gt;",AT1192,"&lt;/a&gt;")</f>
        <v>&lt;/li&gt;&lt;li&gt;&lt;a href=|http://biblebrowser.com/jeremiah/43-1.htm| title=|Split View| target=|_top|&gt;Split&lt;/a&gt;</v>
      </c>
      <c r="AU788" s="2" t="s">
        <v>1276</v>
      </c>
      <c r="AV788" t="s">
        <v>64</v>
      </c>
    </row>
    <row r="789" spans="1:48">
      <c r="A789" t="s">
        <v>622</v>
      </c>
      <c r="B789" t="s">
        <v>830</v>
      </c>
      <c r="C789" t="s">
        <v>624</v>
      </c>
      <c r="D789" t="s">
        <v>1268</v>
      </c>
      <c r="E789" t="s">
        <v>1277</v>
      </c>
      <c r="F789" t="s">
        <v>1304</v>
      </c>
      <c r="G789" t="s">
        <v>1266</v>
      </c>
      <c r="H789" t="s">
        <v>1305</v>
      </c>
      <c r="I789" t="s">
        <v>1303</v>
      </c>
      <c r="J789" t="s">
        <v>1267</v>
      </c>
      <c r="K789" t="s">
        <v>1275</v>
      </c>
      <c r="L789" s="2" t="s">
        <v>1274</v>
      </c>
      <c r="M789" t="str">
        <f t="shared" ref="M789:AB789" si="3152">CONCATENATE("&lt;/li&gt;&lt;li&gt;&lt;a href=|http://",M1191,"/jeremiah/44.htm","| ","title=|",M1190,"| target=|_top|&gt;",M1192,"&lt;/a&gt;")</f>
        <v>&lt;/li&gt;&lt;li&gt;&lt;a href=|http://niv.scripturetext.com/jeremiah/44.htm| title=|New International Version| target=|_top|&gt;NIV&lt;/a&gt;</v>
      </c>
      <c r="N789" t="str">
        <f t="shared" si="3152"/>
        <v>&lt;/li&gt;&lt;li&gt;&lt;a href=|http://nlt.scripturetext.com/jeremiah/44.htm| title=|New Living Translation| target=|_top|&gt;NLT&lt;/a&gt;</v>
      </c>
      <c r="O789" t="str">
        <f t="shared" si="3152"/>
        <v>&lt;/li&gt;&lt;li&gt;&lt;a href=|http://nasb.scripturetext.com/jeremiah/44.htm| title=|New American Standard Bible| target=|_top|&gt;NAS&lt;/a&gt;</v>
      </c>
      <c r="P789" t="str">
        <f t="shared" si="3152"/>
        <v>&lt;/li&gt;&lt;li&gt;&lt;a href=|http://gwt.scripturetext.com/jeremiah/44.htm| title=|God's Word Translation| target=|_top|&gt;GWT&lt;/a&gt;</v>
      </c>
      <c r="Q789" t="str">
        <f t="shared" si="3152"/>
        <v>&lt;/li&gt;&lt;li&gt;&lt;a href=|http://kingjbible.com/jeremiah/44.htm| title=|King James Bible| target=|_top|&gt;KJV&lt;/a&gt;</v>
      </c>
      <c r="R789" t="str">
        <f t="shared" si="3152"/>
        <v>&lt;/li&gt;&lt;li&gt;&lt;a href=|http://asvbible.com/jeremiah/44.htm| title=|American Standard Version| target=|_top|&gt;ASV&lt;/a&gt;</v>
      </c>
      <c r="S789" t="str">
        <f t="shared" si="3152"/>
        <v>&lt;/li&gt;&lt;li&gt;&lt;a href=|http://drb.scripturetext.com/jeremiah/44.htm| title=|Douay-Rheims Bible| target=|_top|&gt;DRB&lt;/a&gt;</v>
      </c>
      <c r="T789" t="str">
        <f t="shared" si="3152"/>
        <v>&lt;/li&gt;&lt;li&gt;&lt;a href=|http://erv.scripturetext.com/jeremiah/44.htm| title=|English Revised Version| target=|_top|&gt;ERV&lt;/a&gt;</v>
      </c>
      <c r="V789" t="str">
        <f>CONCATENATE("&lt;/li&gt;&lt;li&gt;&lt;a href=|http://",V1191,"/jeremiah/44.htm","| ","title=|",V1190,"| target=|_top|&gt;",V1192,"&lt;/a&gt;")</f>
        <v>&lt;/li&gt;&lt;li&gt;&lt;a href=|http://study.interlinearbible.org/jeremiah/44.htm| title=|Hebrew Study Bible| target=|_top|&gt;Heb Study&lt;/a&gt;</v>
      </c>
      <c r="W789" t="str">
        <f t="shared" si="3152"/>
        <v>&lt;/li&gt;&lt;li&gt;&lt;a href=|http://apostolic.interlinearbible.org/jeremiah/44.htm| title=|Apostolic Bible Polyglot Interlinear| target=|_top|&gt;Polyglot&lt;/a&gt;</v>
      </c>
      <c r="X789" t="str">
        <f t="shared" si="3152"/>
        <v>&lt;/li&gt;&lt;li&gt;&lt;a href=|http://interlinearbible.org/jeremiah/44.htm| title=|Interlinear Bible| target=|_top|&gt;Interlin&lt;/a&gt;</v>
      </c>
      <c r="Y789" t="str">
        <f t="shared" ref="Y789" si="3153">CONCATENATE("&lt;/li&gt;&lt;li&gt;&lt;a href=|http://",Y1191,"/jeremiah/44.htm","| ","title=|",Y1190,"| target=|_top|&gt;",Y1192,"&lt;/a&gt;")</f>
        <v>&lt;/li&gt;&lt;li&gt;&lt;a href=|http://bibleoutline.org/jeremiah/44.htm| title=|Outline with People and Places List| target=|_top|&gt;Outline&lt;/a&gt;</v>
      </c>
      <c r="Z789" t="str">
        <f t="shared" si="3152"/>
        <v>&lt;/li&gt;&lt;li&gt;&lt;a href=|http://kjvs.scripturetext.com/jeremiah/44.htm| title=|King James Bible with Strong's Numbers| target=|_top|&gt;Strong's&lt;/a&gt;</v>
      </c>
      <c r="AA789" t="str">
        <f t="shared" si="3152"/>
        <v>&lt;/li&gt;&lt;li&gt;&lt;a href=|http://childrensbibleonline.com/jeremiah/44.htm| title=|The Children's Bible| target=|_top|&gt;Children's&lt;/a&gt;</v>
      </c>
      <c r="AB789" s="2" t="str">
        <f t="shared" si="3152"/>
        <v>&lt;/li&gt;&lt;li&gt;&lt;a href=|http://tsk.scripturetext.com/jeremiah/44.htm| title=|Treasury of Scripture Knowledge| target=|_top|&gt;TSK&lt;/a&gt;</v>
      </c>
      <c r="AC789" t="str">
        <f>CONCATENATE("&lt;a href=|http://",AC1191,"/jeremiah/44.htm","| ","title=|",AC1190,"| target=|_top|&gt;",AC1192,"&lt;/a&gt;")</f>
        <v>&lt;a href=|http://parallelbible.com/jeremiah/44.htm| title=|Parallel Chapters| target=|_top|&gt;PAR&lt;/a&gt;</v>
      </c>
      <c r="AD789" s="2" t="str">
        <f t="shared" ref="AD789:AK789" si="3154">CONCATENATE("&lt;/li&gt;&lt;li&gt;&lt;a href=|http://",AD1191,"/jeremiah/44.htm","| ","title=|",AD1190,"| target=|_top|&gt;",AD1192,"&lt;/a&gt;")</f>
        <v>&lt;/li&gt;&lt;li&gt;&lt;a href=|http://gsb.biblecommenter.com/jeremiah/44.htm| title=|Geneva Study Bible| target=|_top|&gt;GSB&lt;/a&gt;</v>
      </c>
      <c r="AE789" s="2" t="str">
        <f t="shared" si="3154"/>
        <v>&lt;/li&gt;&lt;li&gt;&lt;a href=|http://jfb.biblecommenter.com/jeremiah/44.htm| title=|Jamieson-Fausset-Brown Bible Commentary| target=|_top|&gt;JFB&lt;/a&gt;</v>
      </c>
      <c r="AF789" s="2" t="str">
        <f t="shared" si="3154"/>
        <v>&lt;/li&gt;&lt;li&gt;&lt;a href=|http://kjt.biblecommenter.com/jeremiah/44.htm| title=|King James Translators' Notes| target=|_top|&gt;KJT&lt;/a&gt;</v>
      </c>
      <c r="AG789" s="2" t="str">
        <f t="shared" si="3154"/>
        <v>&lt;/li&gt;&lt;li&gt;&lt;a href=|http://mhc.biblecommenter.com/jeremiah/44.htm| title=|Matthew Henry's Concise Commentary| target=|_top|&gt;MHC&lt;/a&gt;</v>
      </c>
      <c r="AH789" s="2" t="str">
        <f t="shared" si="3154"/>
        <v>&lt;/li&gt;&lt;li&gt;&lt;a href=|http://sco.biblecommenter.com/jeremiah/44.htm| title=|Scofield Reference Notes| target=|_top|&gt;SCO&lt;/a&gt;</v>
      </c>
      <c r="AI789" s="2" t="str">
        <f t="shared" si="3154"/>
        <v>&lt;/li&gt;&lt;li&gt;&lt;a href=|http://wes.biblecommenter.com/jeremiah/44.htm| title=|Wesley's Notes on the Bible| target=|_top|&gt;WES&lt;/a&gt;</v>
      </c>
      <c r="AJ789" t="str">
        <f t="shared" si="3154"/>
        <v>&lt;/li&gt;&lt;li&gt;&lt;a href=|http://worldebible.com/jeremiah/44.htm| title=|World English Bible| target=|_top|&gt;WEB&lt;/a&gt;</v>
      </c>
      <c r="AK789" t="str">
        <f t="shared" si="3154"/>
        <v>&lt;/li&gt;&lt;li&gt;&lt;a href=|http://yltbible.com/jeremiah/44.htm| title=|Young's Literal Translation| target=|_top|&gt;YLT&lt;/a&gt;</v>
      </c>
      <c r="AL789" t="str">
        <f>CONCATENATE("&lt;a href=|http://",AL1191,"/jeremiah/44.htm","| ","title=|",AL1190,"| target=|_top|&gt;",AL1192,"&lt;/a&gt;")</f>
        <v>&lt;a href=|http://kjv.us/jeremiah/44.htm| title=|American King James Version| target=|_top|&gt;AKJ&lt;/a&gt;</v>
      </c>
      <c r="AM789" t="str">
        <f t="shared" ref="AM789:AN789" si="3155">CONCATENATE("&lt;/li&gt;&lt;li&gt;&lt;a href=|http://",AM1191,"/jeremiah/44.htm","| ","title=|",AM1190,"| target=|_top|&gt;",AM1192,"&lt;/a&gt;")</f>
        <v>&lt;/li&gt;&lt;li&gt;&lt;a href=|http://basicenglishbible.com/jeremiah/44.htm| title=|Bible in Basic English| target=|_top|&gt;BBE&lt;/a&gt;</v>
      </c>
      <c r="AN789" t="str">
        <f t="shared" si="3155"/>
        <v>&lt;/li&gt;&lt;li&gt;&lt;a href=|http://darbybible.com/jeremiah/44.htm| title=|Darby Bible Translation| target=|_top|&gt;DBY&lt;/a&gt;</v>
      </c>
      <c r="AO78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8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8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89" t="str">
        <f>CONCATENATE("&lt;/li&gt;&lt;li&gt;&lt;a href=|http://",AR1191,"/jeremiah/44.htm","| ","title=|",AR1190,"| target=|_top|&gt;",AR1192,"&lt;/a&gt;")</f>
        <v>&lt;/li&gt;&lt;li&gt;&lt;a href=|http://websterbible.com/jeremiah/44.htm| title=|Webster's Bible Translation| target=|_top|&gt;WBS&lt;/a&gt;</v>
      </c>
      <c r="AS78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89" t="str">
        <f>CONCATENATE("&lt;/li&gt;&lt;li&gt;&lt;a href=|http://",AT1191,"/jeremiah/44-1.htm","| ","title=|",AT1190,"| target=|_top|&gt;",AT1192,"&lt;/a&gt;")</f>
        <v>&lt;/li&gt;&lt;li&gt;&lt;a href=|http://biblebrowser.com/jeremiah/44-1.htm| title=|Split View| target=|_top|&gt;Split&lt;/a&gt;</v>
      </c>
      <c r="AU789" s="2" t="s">
        <v>1276</v>
      </c>
      <c r="AV789" t="s">
        <v>64</v>
      </c>
    </row>
    <row r="790" spans="1:48">
      <c r="A790" t="s">
        <v>622</v>
      </c>
      <c r="B790" t="s">
        <v>831</v>
      </c>
      <c r="C790" t="s">
        <v>624</v>
      </c>
      <c r="D790" t="s">
        <v>1268</v>
      </c>
      <c r="E790" t="s">
        <v>1277</v>
      </c>
      <c r="F790" t="s">
        <v>1304</v>
      </c>
      <c r="G790" t="s">
        <v>1266</v>
      </c>
      <c r="H790" t="s">
        <v>1305</v>
      </c>
      <c r="I790" t="s">
        <v>1303</v>
      </c>
      <c r="J790" t="s">
        <v>1267</v>
      </c>
      <c r="K790" t="s">
        <v>1275</v>
      </c>
      <c r="L790" s="2" t="s">
        <v>1274</v>
      </c>
      <c r="M790" t="str">
        <f t="shared" ref="M790:AB790" si="3156">CONCATENATE("&lt;/li&gt;&lt;li&gt;&lt;a href=|http://",M1191,"/jeremiah/45.htm","| ","title=|",M1190,"| target=|_top|&gt;",M1192,"&lt;/a&gt;")</f>
        <v>&lt;/li&gt;&lt;li&gt;&lt;a href=|http://niv.scripturetext.com/jeremiah/45.htm| title=|New International Version| target=|_top|&gt;NIV&lt;/a&gt;</v>
      </c>
      <c r="N790" t="str">
        <f t="shared" si="3156"/>
        <v>&lt;/li&gt;&lt;li&gt;&lt;a href=|http://nlt.scripturetext.com/jeremiah/45.htm| title=|New Living Translation| target=|_top|&gt;NLT&lt;/a&gt;</v>
      </c>
      <c r="O790" t="str">
        <f t="shared" si="3156"/>
        <v>&lt;/li&gt;&lt;li&gt;&lt;a href=|http://nasb.scripturetext.com/jeremiah/45.htm| title=|New American Standard Bible| target=|_top|&gt;NAS&lt;/a&gt;</v>
      </c>
      <c r="P790" t="str">
        <f t="shared" si="3156"/>
        <v>&lt;/li&gt;&lt;li&gt;&lt;a href=|http://gwt.scripturetext.com/jeremiah/45.htm| title=|God's Word Translation| target=|_top|&gt;GWT&lt;/a&gt;</v>
      </c>
      <c r="Q790" t="str">
        <f t="shared" si="3156"/>
        <v>&lt;/li&gt;&lt;li&gt;&lt;a href=|http://kingjbible.com/jeremiah/45.htm| title=|King James Bible| target=|_top|&gt;KJV&lt;/a&gt;</v>
      </c>
      <c r="R790" t="str">
        <f t="shared" si="3156"/>
        <v>&lt;/li&gt;&lt;li&gt;&lt;a href=|http://asvbible.com/jeremiah/45.htm| title=|American Standard Version| target=|_top|&gt;ASV&lt;/a&gt;</v>
      </c>
      <c r="S790" t="str">
        <f t="shared" si="3156"/>
        <v>&lt;/li&gt;&lt;li&gt;&lt;a href=|http://drb.scripturetext.com/jeremiah/45.htm| title=|Douay-Rheims Bible| target=|_top|&gt;DRB&lt;/a&gt;</v>
      </c>
      <c r="T790" t="str">
        <f t="shared" si="3156"/>
        <v>&lt;/li&gt;&lt;li&gt;&lt;a href=|http://erv.scripturetext.com/jeremiah/45.htm| title=|English Revised Version| target=|_top|&gt;ERV&lt;/a&gt;</v>
      </c>
      <c r="V790" t="str">
        <f>CONCATENATE("&lt;/li&gt;&lt;li&gt;&lt;a href=|http://",V1191,"/jeremiah/45.htm","| ","title=|",V1190,"| target=|_top|&gt;",V1192,"&lt;/a&gt;")</f>
        <v>&lt;/li&gt;&lt;li&gt;&lt;a href=|http://study.interlinearbible.org/jeremiah/45.htm| title=|Hebrew Study Bible| target=|_top|&gt;Heb Study&lt;/a&gt;</v>
      </c>
      <c r="W790" t="str">
        <f t="shared" si="3156"/>
        <v>&lt;/li&gt;&lt;li&gt;&lt;a href=|http://apostolic.interlinearbible.org/jeremiah/45.htm| title=|Apostolic Bible Polyglot Interlinear| target=|_top|&gt;Polyglot&lt;/a&gt;</v>
      </c>
      <c r="X790" t="str">
        <f t="shared" si="3156"/>
        <v>&lt;/li&gt;&lt;li&gt;&lt;a href=|http://interlinearbible.org/jeremiah/45.htm| title=|Interlinear Bible| target=|_top|&gt;Interlin&lt;/a&gt;</v>
      </c>
      <c r="Y790" t="str">
        <f t="shared" ref="Y790" si="3157">CONCATENATE("&lt;/li&gt;&lt;li&gt;&lt;a href=|http://",Y1191,"/jeremiah/45.htm","| ","title=|",Y1190,"| target=|_top|&gt;",Y1192,"&lt;/a&gt;")</f>
        <v>&lt;/li&gt;&lt;li&gt;&lt;a href=|http://bibleoutline.org/jeremiah/45.htm| title=|Outline with People and Places List| target=|_top|&gt;Outline&lt;/a&gt;</v>
      </c>
      <c r="Z790" t="str">
        <f t="shared" si="3156"/>
        <v>&lt;/li&gt;&lt;li&gt;&lt;a href=|http://kjvs.scripturetext.com/jeremiah/45.htm| title=|King James Bible with Strong's Numbers| target=|_top|&gt;Strong's&lt;/a&gt;</v>
      </c>
      <c r="AA790" t="str">
        <f t="shared" si="3156"/>
        <v>&lt;/li&gt;&lt;li&gt;&lt;a href=|http://childrensbibleonline.com/jeremiah/45.htm| title=|The Children's Bible| target=|_top|&gt;Children's&lt;/a&gt;</v>
      </c>
      <c r="AB790" s="2" t="str">
        <f t="shared" si="3156"/>
        <v>&lt;/li&gt;&lt;li&gt;&lt;a href=|http://tsk.scripturetext.com/jeremiah/45.htm| title=|Treasury of Scripture Knowledge| target=|_top|&gt;TSK&lt;/a&gt;</v>
      </c>
      <c r="AC790" t="str">
        <f>CONCATENATE("&lt;a href=|http://",AC1191,"/jeremiah/45.htm","| ","title=|",AC1190,"| target=|_top|&gt;",AC1192,"&lt;/a&gt;")</f>
        <v>&lt;a href=|http://parallelbible.com/jeremiah/45.htm| title=|Parallel Chapters| target=|_top|&gt;PAR&lt;/a&gt;</v>
      </c>
      <c r="AD790" s="2" t="str">
        <f t="shared" ref="AD790:AK790" si="3158">CONCATENATE("&lt;/li&gt;&lt;li&gt;&lt;a href=|http://",AD1191,"/jeremiah/45.htm","| ","title=|",AD1190,"| target=|_top|&gt;",AD1192,"&lt;/a&gt;")</f>
        <v>&lt;/li&gt;&lt;li&gt;&lt;a href=|http://gsb.biblecommenter.com/jeremiah/45.htm| title=|Geneva Study Bible| target=|_top|&gt;GSB&lt;/a&gt;</v>
      </c>
      <c r="AE790" s="2" t="str">
        <f t="shared" si="3158"/>
        <v>&lt;/li&gt;&lt;li&gt;&lt;a href=|http://jfb.biblecommenter.com/jeremiah/45.htm| title=|Jamieson-Fausset-Brown Bible Commentary| target=|_top|&gt;JFB&lt;/a&gt;</v>
      </c>
      <c r="AF790" s="2" t="str">
        <f t="shared" si="3158"/>
        <v>&lt;/li&gt;&lt;li&gt;&lt;a href=|http://kjt.biblecommenter.com/jeremiah/45.htm| title=|King James Translators' Notes| target=|_top|&gt;KJT&lt;/a&gt;</v>
      </c>
      <c r="AG790" s="2" t="str">
        <f t="shared" si="3158"/>
        <v>&lt;/li&gt;&lt;li&gt;&lt;a href=|http://mhc.biblecommenter.com/jeremiah/45.htm| title=|Matthew Henry's Concise Commentary| target=|_top|&gt;MHC&lt;/a&gt;</v>
      </c>
      <c r="AH790" s="2" t="str">
        <f t="shared" si="3158"/>
        <v>&lt;/li&gt;&lt;li&gt;&lt;a href=|http://sco.biblecommenter.com/jeremiah/45.htm| title=|Scofield Reference Notes| target=|_top|&gt;SCO&lt;/a&gt;</v>
      </c>
      <c r="AI790" s="2" t="str">
        <f t="shared" si="3158"/>
        <v>&lt;/li&gt;&lt;li&gt;&lt;a href=|http://wes.biblecommenter.com/jeremiah/45.htm| title=|Wesley's Notes on the Bible| target=|_top|&gt;WES&lt;/a&gt;</v>
      </c>
      <c r="AJ790" t="str">
        <f t="shared" si="3158"/>
        <v>&lt;/li&gt;&lt;li&gt;&lt;a href=|http://worldebible.com/jeremiah/45.htm| title=|World English Bible| target=|_top|&gt;WEB&lt;/a&gt;</v>
      </c>
      <c r="AK790" t="str">
        <f t="shared" si="3158"/>
        <v>&lt;/li&gt;&lt;li&gt;&lt;a href=|http://yltbible.com/jeremiah/45.htm| title=|Young's Literal Translation| target=|_top|&gt;YLT&lt;/a&gt;</v>
      </c>
      <c r="AL790" t="str">
        <f>CONCATENATE("&lt;a href=|http://",AL1191,"/jeremiah/45.htm","| ","title=|",AL1190,"| target=|_top|&gt;",AL1192,"&lt;/a&gt;")</f>
        <v>&lt;a href=|http://kjv.us/jeremiah/45.htm| title=|American King James Version| target=|_top|&gt;AKJ&lt;/a&gt;</v>
      </c>
      <c r="AM790" t="str">
        <f t="shared" ref="AM790:AN790" si="3159">CONCATENATE("&lt;/li&gt;&lt;li&gt;&lt;a href=|http://",AM1191,"/jeremiah/45.htm","| ","title=|",AM1190,"| target=|_top|&gt;",AM1192,"&lt;/a&gt;")</f>
        <v>&lt;/li&gt;&lt;li&gt;&lt;a href=|http://basicenglishbible.com/jeremiah/45.htm| title=|Bible in Basic English| target=|_top|&gt;BBE&lt;/a&gt;</v>
      </c>
      <c r="AN790" t="str">
        <f t="shared" si="3159"/>
        <v>&lt;/li&gt;&lt;li&gt;&lt;a href=|http://darbybible.com/jeremiah/45.htm| title=|Darby Bible Translation| target=|_top|&gt;DBY&lt;/a&gt;</v>
      </c>
      <c r="AO79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9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9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90" t="str">
        <f>CONCATENATE("&lt;/li&gt;&lt;li&gt;&lt;a href=|http://",AR1191,"/jeremiah/45.htm","| ","title=|",AR1190,"| target=|_top|&gt;",AR1192,"&lt;/a&gt;")</f>
        <v>&lt;/li&gt;&lt;li&gt;&lt;a href=|http://websterbible.com/jeremiah/45.htm| title=|Webster's Bible Translation| target=|_top|&gt;WBS&lt;/a&gt;</v>
      </c>
      <c r="AS79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90" t="str">
        <f>CONCATENATE("&lt;/li&gt;&lt;li&gt;&lt;a href=|http://",AT1191,"/jeremiah/45-1.htm","| ","title=|",AT1190,"| target=|_top|&gt;",AT1192,"&lt;/a&gt;")</f>
        <v>&lt;/li&gt;&lt;li&gt;&lt;a href=|http://biblebrowser.com/jeremiah/45-1.htm| title=|Split View| target=|_top|&gt;Split&lt;/a&gt;</v>
      </c>
      <c r="AU790" s="2" t="s">
        <v>1276</v>
      </c>
      <c r="AV790" t="s">
        <v>64</v>
      </c>
    </row>
    <row r="791" spans="1:48">
      <c r="A791" t="s">
        <v>622</v>
      </c>
      <c r="B791" t="s">
        <v>832</v>
      </c>
      <c r="C791" t="s">
        <v>624</v>
      </c>
      <c r="D791" t="s">
        <v>1268</v>
      </c>
      <c r="E791" t="s">
        <v>1277</v>
      </c>
      <c r="F791" t="s">
        <v>1304</v>
      </c>
      <c r="G791" t="s">
        <v>1266</v>
      </c>
      <c r="H791" t="s">
        <v>1305</v>
      </c>
      <c r="I791" t="s">
        <v>1303</v>
      </c>
      <c r="J791" t="s">
        <v>1267</v>
      </c>
      <c r="K791" t="s">
        <v>1275</v>
      </c>
      <c r="L791" s="2" t="s">
        <v>1274</v>
      </c>
      <c r="M791" t="str">
        <f t="shared" ref="M791:AB791" si="3160">CONCATENATE("&lt;/li&gt;&lt;li&gt;&lt;a href=|http://",M1191,"/jeremiah/46.htm","| ","title=|",M1190,"| target=|_top|&gt;",M1192,"&lt;/a&gt;")</f>
        <v>&lt;/li&gt;&lt;li&gt;&lt;a href=|http://niv.scripturetext.com/jeremiah/46.htm| title=|New International Version| target=|_top|&gt;NIV&lt;/a&gt;</v>
      </c>
      <c r="N791" t="str">
        <f t="shared" si="3160"/>
        <v>&lt;/li&gt;&lt;li&gt;&lt;a href=|http://nlt.scripturetext.com/jeremiah/46.htm| title=|New Living Translation| target=|_top|&gt;NLT&lt;/a&gt;</v>
      </c>
      <c r="O791" t="str">
        <f t="shared" si="3160"/>
        <v>&lt;/li&gt;&lt;li&gt;&lt;a href=|http://nasb.scripturetext.com/jeremiah/46.htm| title=|New American Standard Bible| target=|_top|&gt;NAS&lt;/a&gt;</v>
      </c>
      <c r="P791" t="str">
        <f t="shared" si="3160"/>
        <v>&lt;/li&gt;&lt;li&gt;&lt;a href=|http://gwt.scripturetext.com/jeremiah/46.htm| title=|God's Word Translation| target=|_top|&gt;GWT&lt;/a&gt;</v>
      </c>
      <c r="Q791" t="str">
        <f t="shared" si="3160"/>
        <v>&lt;/li&gt;&lt;li&gt;&lt;a href=|http://kingjbible.com/jeremiah/46.htm| title=|King James Bible| target=|_top|&gt;KJV&lt;/a&gt;</v>
      </c>
      <c r="R791" t="str">
        <f t="shared" si="3160"/>
        <v>&lt;/li&gt;&lt;li&gt;&lt;a href=|http://asvbible.com/jeremiah/46.htm| title=|American Standard Version| target=|_top|&gt;ASV&lt;/a&gt;</v>
      </c>
      <c r="S791" t="str">
        <f t="shared" si="3160"/>
        <v>&lt;/li&gt;&lt;li&gt;&lt;a href=|http://drb.scripturetext.com/jeremiah/46.htm| title=|Douay-Rheims Bible| target=|_top|&gt;DRB&lt;/a&gt;</v>
      </c>
      <c r="T791" t="str">
        <f t="shared" si="3160"/>
        <v>&lt;/li&gt;&lt;li&gt;&lt;a href=|http://erv.scripturetext.com/jeremiah/46.htm| title=|English Revised Version| target=|_top|&gt;ERV&lt;/a&gt;</v>
      </c>
      <c r="V791" t="str">
        <f>CONCATENATE("&lt;/li&gt;&lt;li&gt;&lt;a href=|http://",V1191,"/jeremiah/46.htm","| ","title=|",V1190,"| target=|_top|&gt;",V1192,"&lt;/a&gt;")</f>
        <v>&lt;/li&gt;&lt;li&gt;&lt;a href=|http://study.interlinearbible.org/jeremiah/46.htm| title=|Hebrew Study Bible| target=|_top|&gt;Heb Study&lt;/a&gt;</v>
      </c>
      <c r="W791" t="str">
        <f t="shared" si="3160"/>
        <v>&lt;/li&gt;&lt;li&gt;&lt;a href=|http://apostolic.interlinearbible.org/jeremiah/46.htm| title=|Apostolic Bible Polyglot Interlinear| target=|_top|&gt;Polyglot&lt;/a&gt;</v>
      </c>
      <c r="X791" t="str">
        <f t="shared" si="3160"/>
        <v>&lt;/li&gt;&lt;li&gt;&lt;a href=|http://interlinearbible.org/jeremiah/46.htm| title=|Interlinear Bible| target=|_top|&gt;Interlin&lt;/a&gt;</v>
      </c>
      <c r="Y791" t="str">
        <f t="shared" ref="Y791" si="3161">CONCATENATE("&lt;/li&gt;&lt;li&gt;&lt;a href=|http://",Y1191,"/jeremiah/46.htm","| ","title=|",Y1190,"| target=|_top|&gt;",Y1192,"&lt;/a&gt;")</f>
        <v>&lt;/li&gt;&lt;li&gt;&lt;a href=|http://bibleoutline.org/jeremiah/46.htm| title=|Outline with People and Places List| target=|_top|&gt;Outline&lt;/a&gt;</v>
      </c>
      <c r="Z791" t="str">
        <f t="shared" si="3160"/>
        <v>&lt;/li&gt;&lt;li&gt;&lt;a href=|http://kjvs.scripturetext.com/jeremiah/46.htm| title=|King James Bible with Strong's Numbers| target=|_top|&gt;Strong's&lt;/a&gt;</v>
      </c>
      <c r="AA791" t="str">
        <f t="shared" si="3160"/>
        <v>&lt;/li&gt;&lt;li&gt;&lt;a href=|http://childrensbibleonline.com/jeremiah/46.htm| title=|The Children's Bible| target=|_top|&gt;Children's&lt;/a&gt;</v>
      </c>
      <c r="AB791" s="2" t="str">
        <f t="shared" si="3160"/>
        <v>&lt;/li&gt;&lt;li&gt;&lt;a href=|http://tsk.scripturetext.com/jeremiah/46.htm| title=|Treasury of Scripture Knowledge| target=|_top|&gt;TSK&lt;/a&gt;</v>
      </c>
      <c r="AC791" t="str">
        <f>CONCATENATE("&lt;a href=|http://",AC1191,"/jeremiah/46.htm","| ","title=|",AC1190,"| target=|_top|&gt;",AC1192,"&lt;/a&gt;")</f>
        <v>&lt;a href=|http://parallelbible.com/jeremiah/46.htm| title=|Parallel Chapters| target=|_top|&gt;PAR&lt;/a&gt;</v>
      </c>
      <c r="AD791" s="2" t="str">
        <f t="shared" ref="AD791:AK791" si="3162">CONCATENATE("&lt;/li&gt;&lt;li&gt;&lt;a href=|http://",AD1191,"/jeremiah/46.htm","| ","title=|",AD1190,"| target=|_top|&gt;",AD1192,"&lt;/a&gt;")</f>
        <v>&lt;/li&gt;&lt;li&gt;&lt;a href=|http://gsb.biblecommenter.com/jeremiah/46.htm| title=|Geneva Study Bible| target=|_top|&gt;GSB&lt;/a&gt;</v>
      </c>
      <c r="AE791" s="2" t="str">
        <f t="shared" si="3162"/>
        <v>&lt;/li&gt;&lt;li&gt;&lt;a href=|http://jfb.biblecommenter.com/jeremiah/46.htm| title=|Jamieson-Fausset-Brown Bible Commentary| target=|_top|&gt;JFB&lt;/a&gt;</v>
      </c>
      <c r="AF791" s="2" t="str">
        <f t="shared" si="3162"/>
        <v>&lt;/li&gt;&lt;li&gt;&lt;a href=|http://kjt.biblecommenter.com/jeremiah/46.htm| title=|King James Translators' Notes| target=|_top|&gt;KJT&lt;/a&gt;</v>
      </c>
      <c r="AG791" s="2" t="str">
        <f t="shared" si="3162"/>
        <v>&lt;/li&gt;&lt;li&gt;&lt;a href=|http://mhc.biblecommenter.com/jeremiah/46.htm| title=|Matthew Henry's Concise Commentary| target=|_top|&gt;MHC&lt;/a&gt;</v>
      </c>
      <c r="AH791" s="2" t="str">
        <f t="shared" si="3162"/>
        <v>&lt;/li&gt;&lt;li&gt;&lt;a href=|http://sco.biblecommenter.com/jeremiah/46.htm| title=|Scofield Reference Notes| target=|_top|&gt;SCO&lt;/a&gt;</v>
      </c>
      <c r="AI791" s="2" t="str">
        <f t="shared" si="3162"/>
        <v>&lt;/li&gt;&lt;li&gt;&lt;a href=|http://wes.biblecommenter.com/jeremiah/46.htm| title=|Wesley's Notes on the Bible| target=|_top|&gt;WES&lt;/a&gt;</v>
      </c>
      <c r="AJ791" t="str">
        <f t="shared" si="3162"/>
        <v>&lt;/li&gt;&lt;li&gt;&lt;a href=|http://worldebible.com/jeremiah/46.htm| title=|World English Bible| target=|_top|&gt;WEB&lt;/a&gt;</v>
      </c>
      <c r="AK791" t="str">
        <f t="shared" si="3162"/>
        <v>&lt;/li&gt;&lt;li&gt;&lt;a href=|http://yltbible.com/jeremiah/46.htm| title=|Young's Literal Translation| target=|_top|&gt;YLT&lt;/a&gt;</v>
      </c>
      <c r="AL791" t="str">
        <f>CONCATENATE("&lt;a href=|http://",AL1191,"/jeremiah/46.htm","| ","title=|",AL1190,"| target=|_top|&gt;",AL1192,"&lt;/a&gt;")</f>
        <v>&lt;a href=|http://kjv.us/jeremiah/46.htm| title=|American King James Version| target=|_top|&gt;AKJ&lt;/a&gt;</v>
      </c>
      <c r="AM791" t="str">
        <f t="shared" ref="AM791:AN791" si="3163">CONCATENATE("&lt;/li&gt;&lt;li&gt;&lt;a href=|http://",AM1191,"/jeremiah/46.htm","| ","title=|",AM1190,"| target=|_top|&gt;",AM1192,"&lt;/a&gt;")</f>
        <v>&lt;/li&gt;&lt;li&gt;&lt;a href=|http://basicenglishbible.com/jeremiah/46.htm| title=|Bible in Basic English| target=|_top|&gt;BBE&lt;/a&gt;</v>
      </c>
      <c r="AN791" t="str">
        <f t="shared" si="3163"/>
        <v>&lt;/li&gt;&lt;li&gt;&lt;a href=|http://darbybible.com/jeremiah/46.htm| title=|Darby Bible Translation| target=|_top|&gt;DBY&lt;/a&gt;</v>
      </c>
      <c r="AO79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9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9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91" t="str">
        <f>CONCATENATE("&lt;/li&gt;&lt;li&gt;&lt;a href=|http://",AR1191,"/jeremiah/46.htm","| ","title=|",AR1190,"| target=|_top|&gt;",AR1192,"&lt;/a&gt;")</f>
        <v>&lt;/li&gt;&lt;li&gt;&lt;a href=|http://websterbible.com/jeremiah/46.htm| title=|Webster's Bible Translation| target=|_top|&gt;WBS&lt;/a&gt;</v>
      </c>
      <c r="AS79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91" t="str">
        <f>CONCATENATE("&lt;/li&gt;&lt;li&gt;&lt;a href=|http://",AT1191,"/jeremiah/46-1.htm","| ","title=|",AT1190,"| target=|_top|&gt;",AT1192,"&lt;/a&gt;")</f>
        <v>&lt;/li&gt;&lt;li&gt;&lt;a href=|http://biblebrowser.com/jeremiah/46-1.htm| title=|Split View| target=|_top|&gt;Split&lt;/a&gt;</v>
      </c>
      <c r="AU791" s="2" t="s">
        <v>1276</v>
      </c>
      <c r="AV791" t="s">
        <v>64</v>
      </c>
    </row>
    <row r="792" spans="1:48">
      <c r="A792" t="s">
        <v>622</v>
      </c>
      <c r="B792" t="s">
        <v>833</v>
      </c>
      <c r="C792" t="s">
        <v>624</v>
      </c>
      <c r="D792" t="s">
        <v>1268</v>
      </c>
      <c r="E792" t="s">
        <v>1277</v>
      </c>
      <c r="F792" t="s">
        <v>1304</v>
      </c>
      <c r="G792" t="s">
        <v>1266</v>
      </c>
      <c r="H792" t="s">
        <v>1305</v>
      </c>
      <c r="I792" t="s">
        <v>1303</v>
      </c>
      <c r="J792" t="s">
        <v>1267</v>
      </c>
      <c r="K792" t="s">
        <v>1275</v>
      </c>
      <c r="L792" s="2" t="s">
        <v>1274</v>
      </c>
      <c r="M792" t="str">
        <f t="shared" ref="M792:AB792" si="3164">CONCATENATE("&lt;/li&gt;&lt;li&gt;&lt;a href=|http://",M1191,"/jeremiah/47.htm","| ","title=|",M1190,"| target=|_top|&gt;",M1192,"&lt;/a&gt;")</f>
        <v>&lt;/li&gt;&lt;li&gt;&lt;a href=|http://niv.scripturetext.com/jeremiah/47.htm| title=|New International Version| target=|_top|&gt;NIV&lt;/a&gt;</v>
      </c>
      <c r="N792" t="str">
        <f t="shared" si="3164"/>
        <v>&lt;/li&gt;&lt;li&gt;&lt;a href=|http://nlt.scripturetext.com/jeremiah/47.htm| title=|New Living Translation| target=|_top|&gt;NLT&lt;/a&gt;</v>
      </c>
      <c r="O792" t="str">
        <f t="shared" si="3164"/>
        <v>&lt;/li&gt;&lt;li&gt;&lt;a href=|http://nasb.scripturetext.com/jeremiah/47.htm| title=|New American Standard Bible| target=|_top|&gt;NAS&lt;/a&gt;</v>
      </c>
      <c r="P792" t="str">
        <f t="shared" si="3164"/>
        <v>&lt;/li&gt;&lt;li&gt;&lt;a href=|http://gwt.scripturetext.com/jeremiah/47.htm| title=|God's Word Translation| target=|_top|&gt;GWT&lt;/a&gt;</v>
      </c>
      <c r="Q792" t="str">
        <f t="shared" si="3164"/>
        <v>&lt;/li&gt;&lt;li&gt;&lt;a href=|http://kingjbible.com/jeremiah/47.htm| title=|King James Bible| target=|_top|&gt;KJV&lt;/a&gt;</v>
      </c>
      <c r="R792" t="str">
        <f t="shared" si="3164"/>
        <v>&lt;/li&gt;&lt;li&gt;&lt;a href=|http://asvbible.com/jeremiah/47.htm| title=|American Standard Version| target=|_top|&gt;ASV&lt;/a&gt;</v>
      </c>
      <c r="S792" t="str">
        <f t="shared" si="3164"/>
        <v>&lt;/li&gt;&lt;li&gt;&lt;a href=|http://drb.scripturetext.com/jeremiah/47.htm| title=|Douay-Rheims Bible| target=|_top|&gt;DRB&lt;/a&gt;</v>
      </c>
      <c r="T792" t="str">
        <f t="shared" si="3164"/>
        <v>&lt;/li&gt;&lt;li&gt;&lt;a href=|http://erv.scripturetext.com/jeremiah/47.htm| title=|English Revised Version| target=|_top|&gt;ERV&lt;/a&gt;</v>
      </c>
      <c r="V792" t="str">
        <f>CONCATENATE("&lt;/li&gt;&lt;li&gt;&lt;a href=|http://",V1191,"/jeremiah/47.htm","| ","title=|",V1190,"| target=|_top|&gt;",V1192,"&lt;/a&gt;")</f>
        <v>&lt;/li&gt;&lt;li&gt;&lt;a href=|http://study.interlinearbible.org/jeremiah/47.htm| title=|Hebrew Study Bible| target=|_top|&gt;Heb Study&lt;/a&gt;</v>
      </c>
      <c r="W792" t="str">
        <f t="shared" si="3164"/>
        <v>&lt;/li&gt;&lt;li&gt;&lt;a href=|http://apostolic.interlinearbible.org/jeremiah/47.htm| title=|Apostolic Bible Polyglot Interlinear| target=|_top|&gt;Polyglot&lt;/a&gt;</v>
      </c>
      <c r="X792" t="str">
        <f t="shared" si="3164"/>
        <v>&lt;/li&gt;&lt;li&gt;&lt;a href=|http://interlinearbible.org/jeremiah/47.htm| title=|Interlinear Bible| target=|_top|&gt;Interlin&lt;/a&gt;</v>
      </c>
      <c r="Y792" t="str">
        <f t="shared" ref="Y792" si="3165">CONCATENATE("&lt;/li&gt;&lt;li&gt;&lt;a href=|http://",Y1191,"/jeremiah/47.htm","| ","title=|",Y1190,"| target=|_top|&gt;",Y1192,"&lt;/a&gt;")</f>
        <v>&lt;/li&gt;&lt;li&gt;&lt;a href=|http://bibleoutline.org/jeremiah/47.htm| title=|Outline with People and Places List| target=|_top|&gt;Outline&lt;/a&gt;</v>
      </c>
      <c r="Z792" t="str">
        <f t="shared" si="3164"/>
        <v>&lt;/li&gt;&lt;li&gt;&lt;a href=|http://kjvs.scripturetext.com/jeremiah/47.htm| title=|King James Bible with Strong's Numbers| target=|_top|&gt;Strong's&lt;/a&gt;</v>
      </c>
      <c r="AA792" t="str">
        <f t="shared" si="3164"/>
        <v>&lt;/li&gt;&lt;li&gt;&lt;a href=|http://childrensbibleonline.com/jeremiah/47.htm| title=|The Children's Bible| target=|_top|&gt;Children's&lt;/a&gt;</v>
      </c>
      <c r="AB792" s="2" t="str">
        <f t="shared" si="3164"/>
        <v>&lt;/li&gt;&lt;li&gt;&lt;a href=|http://tsk.scripturetext.com/jeremiah/47.htm| title=|Treasury of Scripture Knowledge| target=|_top|&gt;TSK&lt;/a&gt;</v>
      </c>
      <c r="AC792" t="str">
        <f>CONCATENATE("&lt;a href=|http://",AC1191,"/jeremiah/47.htm","| ","title=|",AC1190,"| target=|_top|&gt;",AC1192,"&lt;/a&gt;")</f>
        <v>&lt;a href=|http://parallelbible.com/jeremiah/47.htm| title=|Parallel Chapters| target=|_top|&gt;PAR&lt;/a&gt;</v>
      </c>
      <c r="AD792" s="2" t="str">
        <f t="shared" ref="AD792:AK792" si="3166">CONCATENATE("&lt;/li&gt;&lt;li&gt;&lt;a href=|http://",AD1191,"/jeremiah/47.htm","| ","title=|",AD1190,"| target=|_top|&gt;",AD1192,"&lt;/a&gt;")</f>
        <v>&lt;/li&gt;&lt;li&gt;&lt;a href=|http://gsb.biblecommenter.com/jeremiah/47.htm| title=|Geneva Study Bible| target=|_top|&gt;GSB&lt;/a&gt;</v>
      </c>
      <c r="AE792" s="2" t="str">
        <f t="shared" si="3166"/>
        <v>&lt;/li&gt;&lt;li&gt;&lt;a href=|http://jfb.biblecommenter.com/jeremiah/47.htm| title=|Jamieson-Fausset-Brown Bible Commentary| target=|_top|&gt;JFB&lt;/a&gt;</v>
      </c>
      <c r="AF792" s="2" t="str">
        <f t="shared" si="3166"/>
        <v>&lt;/li&gt;&lt;li&gt;&lt;a href=|http://kjt.biblecommenter.com/jeremiah/47.htm| title=|King James Translators' Notes| target=|_top|&gt;KJT&lt;/a&gt;</v>
      </c>
      <c r="AG792" s="2" t="str">
        <f t="shared" si="3166"/>
        <v>&lt;/li&gt;&lt;li&gt;&lt;a href=|http://mhc.biblecommenter.com/jeremiah/47.htm| title=|Matthew Henry's Concise Commentary| target=|_top|&gt;MHC&lt;/a&gt;</v>
      </c>
      <c r="AH792" s="2" t="str">
        <f t="shared" si="3166"/>
        <v>&lt;/li&gt;&lt;li&gt;&lt;a href=|http://sco.biblecommenter.com/jeremiah/47.htm| title=|Scofield Reference Notes| target=|_top|&gt;SCO&lt;/a&gt;</v>
      </c>
      <c r="AI792" s="2" t="str">
        <f t="shared" si="3166"/>
        <v>&lt;/li&gt;&lt;li&gt;&lt;a href=|http://wes.biblecommenter.com/jeremiah/47.htm| title=|Wesley's Notes on the Bible| target=|_top|&gt;WES&lt;/a&gt;</v>
      </c>
      <c r="AJ792" t="str">
        <f t="shared" si="3166"/>
        <v>&lt;/li&gt;&lt;li&gt;&lt;a href=|http://worldebible.com/jeremiah/47.htm| title=|World English Bible| target=|_top|&gt;WEB&lt;/a&gt;</v>
      </c>
      <c r="AK792" t="str">
        <f t="shared" si="3166"/>
        <v>&lt;/li&gt;&lt;li&gt;&lt;a href=|http://yltbible.com/jeremiah/47.htm| title=|Young's Literal Translation| target=|_top|&gt;YLT&lt;/a&gt;</v>
      </c>
      <c r="AL792" t="str">
        <f>CONCATENATE("&lt;a href=|http://",AL1191,"/jeremiah/47.htm","| ","title=|",AL1190,"| target=|_top|&gt;",AL1192,"&lt;/a&gt;")</f>
        <v>&lt;a href=|http://kjv.us/jeremiah/47.htm| title=|American King James Version| target=|_top|&gt;AKJ&lt;/a&gt;</v>
      </c>
      <c r="AM792" t="str">
        <f t="shared" ref="AM792:AN792" si="3167">CONCATENATE("&lt;/li&gt;&lt;li&gt;&lt;a href=|http://",AM1191,"/jeremiah/47.htm","| ","title=|",AM1190,"| target=|_top|&gt;",AM1192,"&lt;/a&gt;")</f>
        <v>&lt;/li&gt;&lt;li&gt;&lt;a href=|http://basicenglishbible.com/jeremiah/47.htm| title=|Bible in Basic English| target=|_top|&gt;BBE&lt;/a&gt;</v>
      </c>
      <c r="AN792" t="str">
        <f t="shared" si="3167"/>
        <v>&lt;/li&gt;&lt;li&gt;&lt;a href=|http://darbybible.com/jeremiah/47.htm| title=|Darby Bible Translation| target=|_top|&gt;DBY&lt;/a&gt;</v>
      </c>
      <c r="AO79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9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9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92" t="str">
        <f>CONCATENATE("&lt;/li&gt;&lt;li&gt;&lt;a href=|http://",AR1191,"/jeremiah/47.htm","| ","title=|",AR1190,"| target=|_top|&gt;",AR1192,"&lt;/a&gt;")</f>
        <v>&lt;/li&gt;&lt;li&gt;&lt;a href=|http://websterbible.com/jeremiah/47.htm| title=|Webster's Bible Translation| target=|_top|&gt;WBS&lt;/a&gt;</v>
      </c>
      <c r="AS79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92" t="str">
        <f>CONCATENATE("&lt;/li&gt;&lt;li&gt;&lt;a href=|http://",AT1191,"/jeremiah/47-1.htm","| ","title=|",AT1190,"| target=|_top|&gt;",AT1192,"&lt;/a&gt;")</f>
        <v>&lt;/li&gt;&lt;li&gt;&lt;a href=|http://biblebrowser.com/jeremiah/47-1.htm| title=|Split View| target=|_top|&gt;Split&lt;/a&gt;</v>
      </c>
      <c r="AU792" s="2" t="s">
        <v>1276</v>
      </c>
      <c r="AV792" t="s">
        <v>64</v>
      </c>
    </row>
    <row r="793" spans="1:48">
      <c r="A793" t="s">
        <v>622</v>
      </c>
      <c r="B793" t="s">
        <v>834</v>
      </c>
      <c r="C793" t="s">
        <v>624</v>
      </c>
      <c r="D793" t="s">
        <v>1268</v>
      </c>
      <c r="E793" t="s">
        <v>1277</v>
      </c>
      <c r="F793" t="s">
        <v>1304</v>
      </c>
      <c r="G793" t="s">
        <v>1266</v>
      </c>
      <c r="H793" t="s">
        <v>1305</v>
      </c>
      <c r="I793" t="s">
        <v>1303</v>
      </c>
      <c r="J793" t="s">
        <v>1267</v>
      </c>
      <c r="K793" t="s">
        <v>1275</v>
      </c>
      <c r="L793" s="2" t="s">
        <v>1274</v>
      </c>
      <c r="M793" t="str">
        <f t="shared" ref="M793:AB793" si="3168">CONCATENATE("&lt;/li&gt;&lt;li&gt;&lt;a href=|http://",M1191,"/jeremiah/48.htm","| ","title=|",M1190,"| target=|_top|&gt;",M1192,"&lt;/a&gt;")</f>
        <v>&lt;/li&gt;&lt;li&gt;&lt;a href=|http://niv.scripturetext.com/jeremiah/48.htm| title=|New International Version| target=|_top|&gt;NIV&lt;/a&gt;</v>
      </c>
      <c r="N793" t="str">
        <f t="shared" si="3168"/>
        <v>&lt;/li&gt;&lt;li&gt;&lt;a href=|http://nlt.scripturetext.com/jeremiah/48.htm| title=|New Living Translation| target=|_top|&gt;NLT&lt;/a&gt;</v>
      </c>
      <c r="O793" t="str">
        <f t="shared" si="3168"/>
        <v>&lt;/li&gt;&lt;li&gt;&lt;a href=|http://nasb.scripturetext.com/jeremiah/48.htm| title=|New American Standard Bible| target=|_top|&gt;NAS&lt;/a&gt;</v>
      </c>
      <c r="P793" t="str">
        <f t="shared" si="3168"/>
        <v>&lt;/li&gt;&lt;li&gt;&lt;a href=|http://gwt.scripturetext.com/jeremiah/48.htm| title=|God's Word Translation| target=|_top|&gt;GWT&lt;/a&gt;</v>
      </c>
      <c r="Q793" t="str">
        <f t="shared" si="3168"/>
        <v>&lt;/li&gt;&lt;li&gt;&lt;a href=|http://kingjbible.com/jeremiah/48.htm| title=|King James Bible| target=|_top|&gt;KJV&lt;/a&gt;</v>
      </c>
      <c r="R793" t="str">
        <f t="shared" si="3168"/>
        <v>&lt;/li&gt;&lt;li&gt;&lt;a href=|http://asvbible.com/jeremiah/48.htm| title=|American Standard Version| target=|_top|&gt;ASV&lt;/a&gt;</v>
      </c>
      <c r="S793" t="str">
        <f t="shared" si="3168"/>
        <v>&lt;/li&gt;&lt;li&gt;&lt;a href=|http://drb.scripturetext.com/jeremiah/48.htm| title=|Douay-Rheims Bible| target=|_top|&gt;DRB&lt;/a&gt;</v>
      </c>
      <c r="T793" t="str">
        <f t="shared" si="3168"/>
        <v>&lt;/li&gt;&lt;li&gt;&lt;a href=|http://erv.scripturetext.com/jeremiah/48.htm| title=|English Revised Version| target=|_top|&gt;ERV&lt;/a&gt;</v>
      </c>
      <c r="V793" t="str">
        <f>CONCATENATE("&lt;/li&gt;&lt;li&gt;&lt;a href=|http://",V1191,"/jeremiah/48.htm","| ","title=|",V1190,"| target=|_top|&gt;",V1192,"&lt;/a&gt;")</f>
        <v>&lt;/li&gt;&lt;li&gt;&lt;a href=|http://study.interlinearbible.org/jeremiah/48.htm| title=|Hebrew Study Bible| target=|_top|&gt;Heb Study&lt;/a&gt;</v>
      </c>
      <c r="W793" t="str">
        <f t="shared" si="3168"/>
        <v>&lt;/li&gt;&lt;li&gt;&lt;a href=|http://apostolic.interlinearbible.org/jeremiah/48.htm| title=|Apostolic Bible Polyglot Interlinear| target=|_top|&gt;Polyglot&lt;/a&gt;</v>
      </c>
      <c r="X793" t="str">
        <f t="shared" si="3168"/>
        <v>&lt;/li&gt;&lt;li&gt;&lt;a href=|http://interlinearbible.org/jeremiah/48.htm| title=|Interlinear Bible| target=|_top|&gt;Interlin&lt;/a&gt;</v>
      </c>
      <c r="Y793" t="str">
        <f t="shared" ref="Y793" si="3169">CONCATENATE("&lt;/li&gt;&lt;li&gt;&lt;a href=|http://",Y1191,"/jeremiah/48.htm","| ","title=|",Y1190,"| target=|_top|&gt;",Y1192,"&lt;/a&gt;")</f>
        <v>&lt;/li&gt;&lt;li&gt;&lt;a href=|http://bibleoutline.org/jeremiah/48.htm| title=|Outline with People and Places List| target=|_top|&gt;Outline&lt;/a&gt;</v>
      </c>
      <c r="Z793" t="str">
        <f t="shared" si="3168"/>
        <v>&lt;/li&gt;&lt;li&gt;&lt;a href=|http://kjvs.scripturetext.com/jeremiah/48.htm| title=|King James Bible with Strong's Numbers| target=|_top|&gt;Strong's&lt;/a&gt;</v>
      </c>
      <c r="AA793" t="str">
        <f t="shared" si="3168"/>
        <v>&lt;/li&gt;&lt;li&gt;&lt;a href=|http://childrensbibleonline.com/jeremiah/48.htm| title=|The Children's Bible| target=|_top|&gt;Children's&lt;/a&gt;</v>
      </c>
      <c r="AB793" s="2" t="str">
        <f t="shared" si="3168"/>
        <v>&lt;/li&gt;&lt;li&gt;&lt;a href=|http://tsk.scripturetext.com/jeremiah/48.htm| title=|Treasury of Scripture Knowledge| target=|_top|&gt;TSK&lt;/a&gt;</v>
      </c>
      <c r="AC793" t="str">
        <f>CONCATENATE("&lt;a href=|http://",AC1191,"/jeremiah/48.htm","| ","title=|",AC1190,"| target=|_top|&gt;",AC1192,"&lt;/a&gt;")</f>
        <v>&lt;a href=|http://parallelbible.com/jeremiah/48.htm| title=|Parallel Chapters| target=|_top|&gt;PAR&lt;/a&gt;</v>
      </c>
      <c r="AD793" s="2" t="str">
        <f t="shared" ref="AD793:AK793" si="3170">CONCATENATE("&lt;/li&gt;&lt;li&gt;&lt;a href=|http://",AD1191,"/jeremiah/48.htm","| ","title=|",AD1190,"| target=|_top|&gt;",AD1192,"&lt;/a&gt;")</f>
        <v>&lt;/li&gt;&lt;li&gt;&lt;a href=|http://gsb.biblecommenter.com/jeremiah/48.htm| title=|Geneva Study Bible| target=|_top|&gt;GSB&lt;/a&gt;</v>
      </c>
      <c r="AE793" s="2" t="str">
        <f t="shared" si="3170"/>
        <v>&lt;/li&gt;&lt;li&gt;&lt;a href=|http://jfb.biblecommenter.com/jeremiah/48.htm| title=|Jamieson-Fausset-Brown Bible Commentary| target=|_top|&gt;JFB&lt;/a&gt;</v>
      </c>
      <c r="AF793" s="2" t="str">
        <f t="shared" si="3170"/>
        <v>&lt;/li&gt;&lt;li&gt;&lt;a href=|http://kjt.biblecommenter.com/jeremiah/48.htm| title=|King James Translators' Notes| target=|_top|&gt;KJT&lt;/a&gt;</v>
      </c>
      <c r="AG793" s="2" t="str">
        <f t="shared" si="3170"/>
        <v>&lt;/li&gt;&lt;li&gt;&lt;a href=|http://mhc.biblecommenter.com/jeremiah/48.htm| title=|Matthew Henry's Concise Commentary| target=|_top|&gt;MHC&lt;/a&gt;</v>
      </c>
      <c r="AH793" s="2" t="str">
        <f t="shared" si="3170"/>
        <v>&lt;/li&gt;&lt;li&gt;&lt;a href=|http://sco.biblecommenter.com/jeremiah/48.htm| title=|Scofield Reference Notes| target=|_top|&gt;SCO&lt;/a&gt;</v>
      </c>
      <c r="AI793" s="2" t="str">
        <f t="shared" si="3170"/>
        <v>&lt;/li&gt;&lt;li&gt;&lt;a href=|http://wes.biblecommenter.com/jeremiah/48.htm| title=|Wesley's Notes on the Bible| target=|_top|&gt;WES&lt;/a&gt;</v>
      </c>
      <c r="AJ793" t="str">
        <f t="shared" si="3170"/>
        <v>&lt;/li&gt;&lt;li&gt;&lt;a href=|http://worldebible.com/jeremiah/48.htm| title=|World English Bible| target=|_top|&gt;WEB&lt;/a&gt;</v>
      </c>
      <c r="AK793" t="str">
        <f t="shared" si="3170"/>
        <v>&lt;/li&gt;&lt;li&gt;&lt;a href=|http://yltbible.com/jeremiah/48.htm| title=|Young's Literal Translation| target=|_top|&gt;YLT&lt;/a&gt;</v>
      </c>
      <c r="AL793" t="str">
        <f>CONCATENATE("&lt;a href=|http://",AL1191,"/jeremiah/48.htm","| ","title=|",AL1190,"| target=|_top|&gt;",AL1192,"&lt;/a&gt;")</f>
        <v>&lt;a href=|http://kjv.us/jeremiah/48.htm| title=|American King James Version| target=|_top|&gt;AKJ&lt;/a&gt;</v>
      </c>
      <c r="AM793" t="str">
        <f t="shared" ref="AM793:AN793" si="3171">CONCATENATE("&lt;/li&gt;&lt;li&gt;&lt;a href=|http://",AM1191,"/jeremiah/48.htm","| ","title=|",AM1190,"| target=|_top|&gt;",AM1192,"&lt;/a&gt;")</f>
        <v>&lt;/li&gt;&lt;li&gt;&lt;a href=|http://basicenglishbible.com/jeremiah/48.htm| title=|Bible in Basic English| target=|_top|&gt;BBE&lt;/a&gt;</v>
      </c>
      <c r="AN793" t="str">
        <f t="shared" si="3171"/>
        <v>&lt;/li&gt;&lt;li&gt;&lt;a href=|http://darbybible.com/jeremiah/48.htm| title=|Darby Bible Translation| target=|_top|&gt;DBY&lt;/a&gt;</v>
      </c>
      <c r="AO79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9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9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93" t="str">
        <f>CONCATENATE("&lt;/li&gt;&lt;li&gt;&lt;a href=|http://",AR1191,"/jeremiah/48.htm","| ","title=|",AR1190,"| target=|_top|&gt;",AR1192,"&lt;/a&gt;")</f>
        <v>&lt;/li&gt;&lt;li&gt;&lt;a href=|http://websterbible.com/jeremiah/48.htm| title=|Webster's Bible Translation| target=|_top|&gt;WBS&lt;/a&gt;</v>
      </c>
      <c r="AS79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93" t="str">
        <f>CONCATENATE("&lt;/li&gt;&lt;li&gt;&lt;a href=|http://",AT1191,"/jeremiah/48-1.htm","| ","title=|",AT1190,"| target=|_top|&gt;",AT1192,"&lt;/a&gt;")</f>
        <v>&lt;/li&gt;&lt;li&gt;&lt;a href=|http://biblebrowser.com/jeremiah/48-1.htm| title=|Split View| target=|_top|&gt;Split&lt;/a&gt;</v>
      </c>
      <c r="AU793" s="2" t="s">
        <v>1276</v>
      </c>
      <c r="AV793" t="s">
        <v>64</v>
      </c>
    </row>
    <row r="794" spans="1:48">
      <c r="A794" t="s">
        <v>622</v>
      </c>
      <c r="B794" t="s">
        <v>835</v>
      </c>
      <c r="C794" t="s">
        <v>624</v>
      </c>
      <c r="D794" t="s">
        <v>1268</v>
      </c>
      <c r="E794" t="s">
        <v>1277</v>
      </c>
      <c r="F794" t="s">
        <v>1304</v>
      </c>
      <c r="G794" t="s">
        <v>1266</v>
      </c>
      <c r="H794" t="s">
        <v>1305</v>
      </c>
      <c r="I794" t="s">
        <v>1303</v>
      </c>
      <c r="J794" t="s">
        <v>1267</v>
      </c>
      <c r="K794" t="s">
        <v>1275</v>
      </c>
      <c r="L794" s="2" t="s">
        <v>1274</v>
      </c>
      <c r="M794" t="str">
        <f t="shared" ref="M794:AB794" si="3172">CONCATENATE("&lt;/li&gt;&lt;li&gt;&lt;a href=|http://",M1191,"/jeremiah/49.htm","| ","title=|",M1190,"| target=|_top|&gt;",M1192,"&lt;/a&gt;")</f>
        <v>&lt;/li&gt;&lt;li&gt;&lt;a href=|http://niv.scripturetext.com/jeremiah/49.htm| title=|New International Version| target=|_top|&gt;NIV&lt;/a&gt;</v>
      </c>
      <c r="N794" t="str">
        <f t="shared" si="3172"/>
        <v>&lt;/li&gt;&lt;li&gt;&lt;a href=|http://nlt.scripturetext.com/jeremiah/49.htm| title=|New Living Translation| target=|_top|&gt;NLT&lt;/a&gt;</v>
      </c>
      <c r="O794" t="str">
        <f t="shared" si="3172"/>
        <v>&lt;/li&gt;&lt;li&gt;&lt;a href=|http://nasb.scripturetext.com/jeremiah/49.htm| title=|New American Standard Bible| target=|_top|&gt;NAS&lt;/a&gt;</v>
      </c>
      <c r="P794" t="str">
        <f t="shared" si="3172"/>
        <v>&lt;/li&gt;&lt;li&gt;&lt;a href=|http://gwt.scripturetext.com/jeremiah/49.htm| title=|God's Word Translation| target=|_top|&gt;GWT&lt;/a&gt;</v>
      </c>
      <c r="Q794" t="str">
        <f t="shared" si="3172"/>
        <v>&lt;/li&gt;&lt;li&gt;&lt;a href=|http://kingjbible.com/jeremiah/49.htm| title=|King James Bible| target=|_top|&gt;KJV&lt;/a&gt;</v>
      </c>
      <c r="R794" t="str">
        <f t="shared" si="3172"/>
        <v>&lt;/li&gt;&lt;li&gt;&lt;a href=|http://asvbible.com/jeremiah/49.htm| title=|American Standard Version| target=|_top|&gt;ASV&lt;/a&gt;</v>
      </c>
      <c r="S794" t="str">
        <f t="shared" si="3172"/>
        <v>&lt;/li&gt;&lt;li&gt;&lt;a href=|http://drb.scripturetext.com/jeremiah/49.htm| title=|Douay-Rheims Bible| target=|_top|&gt;DRB&lt;/a&gt;</v>
      </c>
      <c r="T794" t="str">
        <f t="shared" si="3172"/>
        <v>&lt;/li&gt;&lt;li&gt;&lt;a href=|http://erv.scripturetext.com/jeremiah/49.htm| title=|English Revised Version| target=|_top|&gt;ERV&lt;/a&gt;</v>
      </c>
      <c r="V794" t="str">
        <f>CONCATENATE("&lt;/li&gt;&lt;li&gt;&lt;a href=|http://",V1191,"/jeremiah/49.htm","| ","title=|",V1190,"| target=|_top|&gt;",V1192,"&lt;/a&gt;")</f>
        <v>&lt;/li&gt;&lt;li&gt;&lt;a href=|http://study.interlinearbible.org/jeremiah/49.htm| title=|Hebrew Study Bible| target=|_top|&gt;Heb Study&lt;/a&gt;</v>
      </c>
      <c r="W794" t="str">
        <f t="shared" si="3172"/>
        <v>&lt;/li&gt;&lt;li&gt;&lt;a href=|http://apostolic.interlinearbible.org/jeremiah/49.htm| title=|Apostolic Bible Polyglot Interlinear| target=|_top|&gt;Polyglot&lt;/a&gt;</v>
      </c>
      <c r="X794" t="str">
        <f t="shared" si="3172"/>
        <v>&lt;/li&gt;&lt;li&gt;&lt;a href=|http://interlinearbible.org/jeremiah/49.htm| title=|Interlinear Bible| target=|_top|&gt;Interlin&lt;/a&gt;</v>
      </c>
      <c r="Y794" t="str">
        <f t="shared" ref="Y794" si="3173">CONCATENATE("&lt;/li&gt;&lt;li&gt;&lt;a href=|http://",Y1191,"/jeremiah/49.htm","| ","title=|",Y1190,"| target=|_top|&gt;",Y1192,"&lt;/a&gt;")</f>
        <v>&lt;/li&gt;&lt;li&gt;&lt;a href=|http://bibleoutline.org/jeremiah/49.htm| title=|Outline with People and Places List| target=|_top|&gt;Outline&lt;/a&gt;</v>
      </c>
      <c r="Z794" t="str">
        <f t="shared" si="3172"/>
        <v>&lt;/li&gt;&lt;li&gt;&lt;a href=|http://kjvs.scripturetext.com/jeremiah/49.htm| title=|King James Bible with Strong's Numbers| target=|_top|&gt;Strong's&lt;/a&gt;</v>
      </c>
      <c r="AA794" t="str">
        <f t="shared" si="3172"/>
        <v>&lt;/li&gt;&lt;li&gt;&lt;a href=|http://childrensbibleonline.com/jeremiah/49.htm| title=|The Children's Bible| target=|_top|&gt;Children's&lt;/a&gt;</v>
      </c>
      <c r="AB794" s="2" t="str">
        <f t="shared" si="3172"/>
        <v>&lt;/li&gt;&lt;li&gt;&lt;a href=|http://tsk.scripturetext.com/jeremiah/49.htm| title=|Treasury of Scripture Knowledge| target=|_top|&gt;TSK&lt;/a&gt;</v>
      </c>
      <c r="AC794" t="str">
        <f>CONCATENATE("&lt;a href=|http://",AC1191,"/jeremiah/49.htm","| ","title=|",AC1190,"| target=|_top|&gt;",AC1192,"&lt;/a&gt;")</f>
        <v>&lt;a href=|http://parallelbible.com/jeremiah/49.htm| title=|Parallel Chapters| target=|_top|&gt;PAR&lt;/a&gt;</v>
      </c>
      <c r="AD794" s="2" t="str">
        <f t="shared" ref="AD794:AK794" si="3174">CONCATENATE("&lt;/li&gt;&lt;li&gt;&lt;a href=|http://",AD1191,"/jeremiah/49.htm","| ","title=|",AD1190,"| target=|_top|&gt;",AD1192,"&lt;/a&gt;")</f>
        <v>&lt;/li&gt;&lt;li&gt;&lt;a href=|http://gsb.biblecommenter.com/jeremiah/49.htm| title=|Geneva Study Bible| target=|_top|&gt;GSB&lt;/a&gt;</v>
      </c>
      <c r="AE794" s="2" t="str">
        <f t="shared" si="3174"/>
        <v>&lt;/li&gt;&lt;li&gt;&lt;a href=|http://jfb.biblecommenter.com/jeremiah/49.htm| title=|Jamieson-Fausset-Brown Bible Commentary| target=|_top|&gt;JFB&lt;/a&gt;</v>
      </c>
      <c r="AF794" s="2" t="str">
        <f t="shared" si="3174"/>
        <v>&lt;/li&gt;&lt;li&gt;&lt;a href=|http://kjt.biblecommenter.com/jeremiah/49.htm| title=|King James Translators' Notes| target=|_top|&gt;KJT&lt;/a&gt;</v>
      </c>
      <c r="AG794" s="2" t="str">
        <f t="shared" si="3174"/>
        <v>&lt;/li&gt;&lt;li&gt;&lt;a href=|http://mhc.biblecommenter.com/jeremiah/49.htm| title=|Matthew Henry's Concise Commentary| target=|_top|&gt;MHC&lt;/a&gt;</v>
      </c>
      <c r="AH794" s="2" t="str">
        <f t="shared" si="3174"/>
        <v>&lt;/li&gt;&lt;li&gt;&lt;a href=|http://sco.biblecommenter.com/jeremiah/49.htm| title=|Scofield Reference Notes| target=|_top|&gt;SCO&lt;/a&gt;</v>
      </c>
      <c r="AI794" s="2" t="str">
        <f t="shared" si="3174"/>
        <v>&lt;/li&gt;&lt;li&gt;&lt;a href=|http://wes.biblecommenter.com/jeremiah/49.htm| title=|Wesley's Notes on the Bible| target=|_top|&gt;WES&lt;/a&gt;</v>
      </c>
      <c r="AJ794" t="str">
        <f t="shared" si="3174"/>
        <v>&lt;/li&gt;&lt;li&gt;&lt;a href=|http://worldebible.com/jeremiah/49.htm| title=|World English Bible| target=|_top|&gt;WEB&lt;/a&gt;</v>
      </c>
      <c r="AK794" t="str">
        <f t="shared" si="3174"/>
        <v>&lt;/li&gt;&lt;li&gt;&lt;a href=|http://yltbible.com/jeremiah/49.htm| title=|Young's Literal Translation| target=|_top|&gt;YLT&lt;/a&gt;</v>
      </c>
      <c r="AL794" t="str">
        <f>CONCATENATE("&lt;a href=|http://",AL1191,"/jeremiah/49.htm","| ","title=|",AL1190,"| target=|_top|&gt;",AL1192,"&lt;/a&gt;")</f>
        <v>&lt;a href=|http://kjv.us/jeremiah/49.htm| title=|American King James Version| target=|_top|&gt;AKJ&lt;/a&gt;</v>
      </c>
      <c r="AM794" t="str">
        <f t="shared" ref="AM794:AN794" si="3175">CONCATENATE("&lt;/li&gt;&lt;li&gt;&lt;a href=|http://",AM1191,"/jeremiah/49.htm","| ","title=|",AM1190,"| target=|_top|&gt;",AM1192,"&lt;/a&gt;")</f>
        <v>&lt;/li&gt;&lt;li&gt;&lt;a href=|http://basicenglishbible.com/jeremiah/49.htm| title=|Bible in Basic English| target=|_top|&gt;BBE&lt;/a&gt;</v>
      </c>
      <c r="AN794" t="str">
        <f t="shared" si="3175"/>
        <v>&lt;/li&gt;&lt;li&gt;&lt;a href=|http://darbybible.com/jeremiah/49.htm| title=|Darby Bible Translation| target=|_top|&gt;DBY&lt;/a&gt;</v>
      </c>
      <c r="AO79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9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9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94" t="str">
        <f>CONCATENATE("&lt;/li&gt;&lt;li&gt;&lt;a href=|http://",AR1191,"/jeremiah/49.htm","| ","title=|",AR1190,"| target=|_top|&gt;",AR1192,"&lt;/a&gt;")</f>
        <v>&lt;/li&gt;&lt;li&gt;&lt;a href=|http://websterbible.com/jeremiah/49.htm| title=|Webster's Bible Translation| target=|_top|&gt;WBS&lt;/a&gt;</v>
      </c>
      <c r="AS79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94" t="str">
        <f>CONCATENATE("&lt;/li&gt;&lt;li&gt;&lt;a href=|http://",AT1191,"/jeremiah/49-1.htm","| ","title=|",AT1190,"| target=|_top|&gt;",AT1192,"&lt;/a&gt;")</f>
        <v>&lt;/li&gt;&lt;li&gt;&lt;a href=|http://biblebrowser.com/jeremiah/49-1.htm| title=|Split View| target=|_top|&gt;Split&lt;/a&gt;</v>
      </c>
      <c r="AU794" s="2" t="s">
        <v>1276</v>
      </c>
      <c r="AV794" t="s">
        <v>64</v>
      </c>
    </row>
    <row r="795" spans="1:48">
      <c r="A795" t="s">
        <v>622</v>
      </c>
      <c r="B795" t="s">
        <v>836</v>
      </c>
      <c r="C795" t="s">
        <v>624</v>
      </c>
      <c r="D795" t="s">
        <v>1268</v>
      </c>
      <c r="E795" t="s">
        <v>1277</v>
      </c>
      <c r="F795" t="s">
        <v>1304</v>
      </c>
      <c r="G795" t="s">
        <v>1266</v>
      </c>
      <c r="H795" t="s">
        <v>1305</v>
      </c>
      <c r="I795" t="s">
        <v>1303</v>
      </c>
      <c r="J795" t="s">
        <v>1267</v>
      </c>
      <c r="K795" t="s">
        <v>1275</v>
      </c>
      <c r="L795" s="2" t="s">
        <v>1274</v>
      </c>
      <c r="M795" t="str">
        <f t="shared" ref="M795:AB795" si="3176">CONCATENATE("&lt;/li&gt;&lt;li&gt;&lt;a href=|http://",M1191,"/jeremiah/50.htm","| ","title=|",M1190,"| target=|_top|&gt;",M1192,"&lt;/a&gt;")</f>
        <v>&lt;/li&gt;&lt;li&gt;&lt;a href=|http://niv.scripturetext.com/jeremiah/50.htm| title=|New International Version| target=|_top|&gt;NIV&lt;/a&gt;</v>
      </c>
      <c r="N795" t="str">
        <f t="shared" si="3176"/>
        <v>&lt;/li&gt;&lt;li&gt;&lt;a href=|http://nlt.scripturetext.com/jeremiah/50.htm| title=|New Living Translation| target=|_top|&gt;NLT&lt;/a&gt;</v>
      </c>
      <c r="O795" t="str">
        <f t="shared" si="3176"/>
        <v>&lt;/li&gt;&lt;li&gt;&lt;a href=|http://nasb.scripturetext.com/jeremiah/50.htm| title=|New American Standard Bible| target=|_top|&gt;NAS&lt;/a&gt;</v>
      </c>
      <c r="P795" t="str">
        <f t="shared" si="3176"/>
        <v>&lt;/li&gt;&lt;li&gt;&lt;a href=|http://gwt.scripturetext.com/jeremiah/50.htm| title=|God's Word Translation| target=|_top|&gt;GWT&lt;/a&gt;</v>
      </c>
      <c r="Q795" t="str">
        <f t="shared" si="3176"/>
        <v>&lt;/li&gt;&lt;li&gt;&lt;a href=|http://kingjbible.com/jeremiah/50.htm| title=|King James Bible| target=|_top|&gt;KJV&lt;/a&gt;</v>
      </c>
      <c r="R795" t="str">
        <f t="shared" si="3176"/>
        <v>&lt;/li&gt;&lt;li&gt;&lt;a href=|http://asvbible.com/jeremiah/50.htm| title=|American Standard Version| target=|_top|&gt;ASV&lt;/a&gt;</v>
      </c>
      <c r="S795" t="str">
        <f t="shared" si="3176"/>
        <v>&lt;/li&gt;&lt;li&gt;&lt;a href=|http://drb.scripturetext.com/jeremiah/50.htm| title=|Douay-Rheims Bible| target=|_top|&gt;DRB&lt;/a&gt;</v>
      </c>
      <c r="T795" t="str">
        <f t="shared" si="3176"/>
        <v>&lt;/li&gt;&lt;li&gt;&lt;a href=|http://erv.scripturetext.com/jeremiah/50.htm| title=|English Revised Version| target=|_top|&gt;ERV&lt;/a&gt;</v>
      </c>
      <c r="V795" t="str">
        <f>CONCATENATE("&lt;/li&gt;&lt;li&gt;&lt;a href=|http://",V1191,"/jeremiah/50.htm","| ","title=|",V1190,"| target=|_top|&gt;",V1192,"&lt;/a&gt;")</f>
        <v>&lt;/li&gt;&lt;li&gt;&lt;a href=|http://study.interlinearbible.org/jeremiah/50.htm| title=|Hebrew Study Bible| target=|_top|&gt;Heb Study&lt;/a&gt;</v>
      </c>
      <c r="W795" t="str">
        <f t="shared" si="3176"/>
        <v>&lt;/li&gt;&lt;li&gt;&lt;a href=|http://apostolic.interlinearbible.org/jeremiah/50.htm| title=|Apostolic Bible Polyglot Interlinear| target=|_top|&gt;Polyglot&lt;/a&gt;</v>
      </c>
      <c r="X795" t="str">
        <f t="shared" si="3176"/>
        <v>&lt;/li&gt;&lt;li&gt;&lt;a href=|http://interlinearbible.org/jeremiah/50.htm| title=|Interlinear Bible| target=|_top|&gt;Interlin&lt;/a&gt;</v>
      </c>
      <c r="Y795" t="str">
        <f t="shared" ref="Y795" si="3177">CONCATENATE("&lt;/li&gt;&lt;li&gt;&lt;a href=|http://",Y1191,"/jeremiah/50.htm","| ","title=|",Y1190,"| target=|_top|&gt;",Y1192,"&lt;/a&gt;")</f>
        <v>&lt;/li&gt;&lt;li&gt;&lt;a href=|http://bibleoutline.org/jeremiah/50.htm| title=|Outline with People and Places List| target=|_top|&gt;Outline&lt;/a&gt;</v>
      </c>
      <c r="Z795" t="str">
        <f t="shared" si="3176"/>
        <v>&lt;/li&gt;&lt;li&gt;&lt;a href=|http://kjvs.scripturetext.com/jeremiah/50.htm| title=|King James Bible with Strong's Numbers| target=|_top|&gt;Strong's&lt;/a&gt;</v>
      </c>
      <c r="AA795" t="str">
        <f t="shared" si="3176"/>
        <v>&lt;/li&gt;&lt;li&gt;&lt;a href=|http://childrensbibleonline.com/jeremiah/50.htm| title=|The Children's Bible| target=|_top|&gt;Children's&lt;/a&gt;</v>
      </c>
      <c r="AB795" s="2" t="str">
        <f t="shared" si="3176"/>
        <v>&lt;/li&gt;&lt;li&gt;&lt;a href=|http://tsk.scripturetext.com/jeremiah/50.htm| title=|Treasury of Scripture Knowledge| target=|_top|&gt;TSK&lt;/a&gt;</v>
      </c>
      <c r="AC795" t="str">
        <f>CONCATENATE("&lt;a href=|http://",AC1191,"/jeremiah/50.htm","| ","title=|",AC1190,"| target=|_top|&gt;",AC1192,"&lt;/a&gt;")</f>
        <v>&lt;a href=|http://parallelbible.com/jeremiah/50.htm| title=|Parallel Chapters| target=|_top|&gt;PAR&lt;/a&gt;</v>
      </c>
      <c r="AD795" s="2" t="str">
        <f t="shared" ref="AD795:AK795" si="3178">CONCATENATE("&lt;/li&gt;&lt;li&gt;&lt;a href=|http://",AD1191,"/jeremiah/50.htm","| ","title=|",AD1190,"| target=|_top|&gt;",AD1192,"&lt;/a&gt;")</f>
        <v>&lt;/li&gt;&lt;li&gt;&lt;a href=|http://gsb.biblecommenter.com/jeremiah/50.htm| title=|Geneva Study Bible| target=|_top|&gt;GSB&lt;/a&gt;</v>
      </c>
      <c r="AE795" s="2" t="str">
        <f t="shared" si="3178"/>
        <v>&lt;/li&gt;&lt;li&gt;&lt;a href=|http://jfb.biblecommenter.com/jeremiah/50.htm| title=|Jamieson-Fausset-Brown Bible Commentary| target=|_top|&gt;JFB&lt;/a&gt;</v>
      </c>
      <c r="AF795" s="2" t="str">
        <f t="shared" si="3178"/>
        <v>&lt;/li&gt;&lt;li&gt;&lt;a href=|http://kjt.biblecommenter.com/jeremiah/50.htm| title=|King James Translators' Notes| target=|_top|&gt;KJT&lt;/a&gt;</v>
      </c>
      <c r="AG795" s="2" t="str">
        <f t="shared" si="3178"/>
        <v>&lt;/li&gt;&lt;li&gt;&lt;a href=|http://mhc.biblecommenter.com/jeremiah/50.htm| title=|Matthew Henry's Concise Commentary| target=|_top|&gt;MHC&lt;/a&gt;</v>
      </c>
      <c r="AH795" s="2" t="str">
        <f t="shared" si="3178"/>
        <v>&lt;/li&gt;&lt;li&gt;&lt;a href=|http://sco.biblecommenter.com/jeremiah/50.htm| title=|Scofield Reference Notes| target=|_top|&gt;SCO&lt;/a&gt;</v>
      </c>
      <c r="AI795" s="2" t="str">
        <f t="shared" si="3178"/>
        <v>&lt;/li&gt;&lt;li&gt;&lt;a href=|http://wes.biblecommenter.com/jeremiah/50.htm| title=|Wesley's Notes on the Bible| target=|_top|&gt;WES&lt;/a&gt;</v>
      </c>
      <c r="AJ795" t="str">
        <f t="shared" si="3178"/>
        <v>&lt;/li&gt;&lt;li&gt;&lt;a href=|http://worldebible.com/jeremiah/50.htm| title=|World English Bible| target=|_top|&gt;WEB&lt;/a&gt;</v>
      </c>
      <c r="AK795" t="str">
        <f t="shared" si="3178"/>
        <v>&lt;/li&gt;&lt;li&gt;&lt;a href=|http://yltbible.com/jeremiah/50.htm| title=|Young's Literal Translation| target=|_top|&gt;YLT&lt;/a&gt;</v>
      </c>
      <c r="AL795" t="str">
        <f>CONCATENATE("&lt;a href=|http://",AL1191,"/jeremiah/50.htm","| ","title=|",AL1190,"| target=|_top|&gt;",AL1192,"&lt;/a&gt;")</f>
        <v>&lt;a href=|http://kjv.us/jeremiah/50.htm| title=|American King James Version| target=|_top|&gt;AKJ&lt;/a&gt;</v>
      </c>
      <c r="AM795" t="str">
        <f t="shared" ref="AM795:AN795" si="3179">CONCATENATE("&lt;/li&gt;&lt;li&gt;&lt;a href=|http://",AM1191,"/jeremiah/50.htm","| ","title=|",AM1190,"| target=|_top|&gt;",AM1192,"&lt;/a&gt;")</f>
        <v>&lt;/li&gt;&lt;li&gt;&lt;a href=|http://basicenglishbible.com/jeremiah/50.htm| title=|Bible in Basic English| target=|_top|&gt;BBE&lt;/a&gt;</v>
      </c>
      <c r="AN795" t="str">
        <f t="shared" si="3179"/>
        <v>&lt;/li&gt;&lt;li&gt;&lt;a href=|http://darbybible.com/jeremiah/50.htm| title=|Darby Bible Translation| target=|_top|&gt;DBY&lt;/a&gt;</v>
      </c>
      <c r="AO79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9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9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95" t="str">
        <f>CONCATENATE("&lt;/li&gt;&lt;li&gt;&lt;a href=|http://",AR1191,"/jeremiah/50.htm","| ","title=|",AR1190,"| target=|_top|&gt;",AR1192,"&lt;/a&gt;")</f>
        <v>&lt;/li&gt;&lt;li&gt;&lt;a href=|http://websterbible.com/jeremiah/50.htm| title=|Webster's Bible Translation| target=|_top|&gt;WBS&lt;/a&gt;</v>
      </c>
      <c r="AS79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95" t="str">
        <f>CONCATENATE("&lt;/li&gt;&lt;li&gt;&lt;a href=|http://",AT1191,"/jeremiah/50-1.htm","| ","title=|",AT1190,"| target=|_top|&gt;",AT1192,"&lt;/a&gt;")</f>
        <v>&lt;/li&gt;&lt;li&gt;&lt;a href=|http://biblebrowser.com/jeremiah/50-1.htm| title=|Split View| target=|_top|&gt;Split&lt;/a&gt;</v>
      </c>
      <c r="AU795" s="2" t="s">
        <v>1276</v>
      </c>
      <c r="AV795" t="s">
        <v>64</v>
      </c>
    </row>
    <row r="796" spans="1:48">
      <c r="A796" t="s">
        <v>622</v>
      </c>
      <c r="B796" t="s">
        <v>837</v>
      </c>
      <c r="C796" t="s">
        <v>624</v>
      </c>
      <c r="D796" t="s">
        <v>1268</v>
      </c>
      <c r="E796" t="s">
        <v>1277</v>
      </c>
      <c r="F796" t="s">
        <v>1304</v>
      </c>
      <c r="G796" t="s">
        <v>1266</v>
      </c>
      <c r="H796" t="s">
        <v>1305</v>
      </c>
      <c r="I796" t="s">
        <v>1303</v>
      </c>
      <c r="J796" t="s">
        <v>1267</v>
      </c>
      <c r="K796" t="s">
        <v>1275</v>
      </c>
      <c r="L796" s="2" t="s">
        <v>1274</v>
      </c>
      <c r="M796" t="str">
        <f t="shared" ref="M796:AB796" si="3180">CONCATENATE("&lt;/li&gt;&lt;li&gt;&lt;a href=|http://",M1191,"/jeremiah/51.htm","| ","title=|",M1190,"| target=|_top|&gt;",M1192,"&lt;/a&gt;")</f>
        <v>&lt;/li&gt;&lt;li&gt;&lt;a href=|http://niv.scripturetext.com/jeremiah/51.htm| title=|New International Version| target=|_top|&gt;NIV&lt;/a&gt;</v>
      </c>
      <c r="N796" t="str">
        <f t="shared" si="3180"/>
        <v>&lt;/li&gt;&lt;li&gt;&lt;a href=|http://nlt.scripturetext.com/jeremiah/51.htm| title=|New Living Translation| target=|_top|&gt;NLT&lt;/a&gt;</v>
      </c>
      <c r="O796" t="str">
        <f t="shared" si="3180"/>
        <v>&lt;/li&gt;&lt;li&gt;&lt;a href=|http://nasb.scripturetext.com/jeremiah/51.htm| title=|New American Standard Bible| target=|_top|&gt;NAS&lt;/a&gt;</v>
      </c>
      <c r="P796" t="str">
        <f t="shared" si="3180"/>
        <v>&lt;/li&gt;&lt;li&gt;&lt;a href=|http://gwt.scripturetext.com/jeremiah/51.htm| title=|God's Word Translation| target=|_top|&gt;GWT&lt;/a&gt;</v>
      </c>
      <c r="Q796" t="str">
        <f t="shared" si="3180"/>
        <v>&lt;/li&gt;&lt;li&gt;&lt;a href=|http://kingjbible.com/jeremiah/51.htm| title=|King James Bible| target=|_top|&gt;KJV&lt;/a&gt;</v>
      </c>
      <c r="R796" t="str">
        <f t="shared" si="3180"/>
        <v>&lt;/li&gt;&lt;li&gt;&lt;a href=|http://asvbible.com/jeremiah/51.htm| title=|American Standard Version| target=|_top|&gt;ASV&lt;/a&gt;</v>
      </c>
      <c r="S796" t="str">
        <f t="shared" si="3180"/>
        <v>&lt;/li&gt;&lt;li&gt;&lt;a href=|http://drb.scripturetext.com/jeremiah/51.htm| title=|Douay-Rheims Bible| target=|_top|&gt;DRB&lt;/a&gt;</v>
      </c>
      <c r="T796" t="str">
        <f t="shared" si="3180"/>
        <v>&lt;/li&gt;&lt;li&gt;&lt;a href=|http://erv.scripturetext.com/jeremiah/51.htm| title=|English Revised Version| target=|_top|&gt;ERV&lt;/a&gt;</v>
      </c>
      <c r="V796" t="str">
        <f>CONCATENATE("&lt;/li&gt;&lt;li&gt;&lt;a href=|http://",V1191,"/jeremiah/51.htm","| ","title=|",V1190,"| target=|_top|&gt;",V1192,"&lt;/a&gt;")</f>
        <v>&lt;/li&gt;&lt;li&gt;&lt;a href=|http://study.interlinearbible.org/jeremiah/51.htm| title=|Hebrew Study Bible| target=|_top|&gt;Heb Study&lt;/a&gt;</v>
      </c>
      <c r="W796" t="str">
        <f t="shared" si="3180"/>
        <v>&lt;/li&gt;&lt;li&gt;&lt;a href=|http://apostolic.interlinearbible.org/jeremiah/51.htm| title=|Apostolic Bible Polyglot Interlinear| target=|_top|&gt;Polyglot&lt;/a&gt;</v>
      </c>
      <c r="X796" t="str">
        <f t="shared" si="3180"/>
        <v>&lt;/li&gt;&lt;li&gt;&lt;a href=|http://interlinearbible.org/jeremiah/51.htm| title=|Interlinear Bible| target=|_top|&gt;Interlin&lt;/a&gt;</v>
      </c>
      <c r="Y796" t="str">
        <f t="shared" ref="Y796" si="3181">CONCATENATE("&lt;/li&gt;&lt;li&gt;&lt;a href=|http://",Y1191,"/jeremiah/51.htm","| ","title=|",Y1190,"| target=|_top|&gt;",Y1192,"&lt;/a&gt;")</f>
        <v>&lt;/li&gt;&lt;li&gt;&lt;a href=|http://bibleoutline.org/jeremiah/51.htm| title=|Outline with People and Places List| target=|_top|&gt;Outline&lt;/a&gt;</v>
      </c>
      <c r="Z796" t="str">
        <f t="shared" si="3180"/>
        <v>&lt;/li&gt;&lt;li&gt;&lt;a href=|http://kjvs.scripturetext.com/jeremiah/51.htm| title=|King James Bible with Strong's Numbers| target=|_top|&gt;Strong's&lt;/a&gt;</v>
      </c>
      <c r="AA796" t="str">
        <f t="shared" si="3180"/>
        <v>&lt;/li&gt;&lt;li&gt;&lt;a href=|http://childrensbibleonline.com/jeremiah/51.htm| title=|The Children's Bible| target=|_top|&gt;Children's&lt;/a&gt;</v>
      </c>
      <c r="AB796" s="2" t="str">
        <f t="shared" si="3180"/>
        <v>&lt;/li&gt;&lt;li&gt;&lt;a href=|http://tsk.scripturetext.com/jeremiah/51.htm| title=|Treasury of Scripture Knowledge| target=|_top|&gt;TSK&lt;/a&gt;</v>
      </c>
      <c r="AC796" t="str">
        <f>CONCATENATE("&lt;a href=|http://",AC1191,"/jeremiah/51.htm","| ","title=|",AC1190,"| target=|_top|&gt;",AC1192,"&lt;/a&gt;")</f>
        <v>&lt;a href=|http://parallelbible.com/jeremiah/51.htm| title=|Parallel Chapters| target=|_top|&gt;PAR&lt;/a&gt;</v>
      </c>
      <c r="AD796" s="2" t="str">
        <f t="shared" ref="AD796:AK796" si="3182">CONCATENATE("&lt;/li&gt;&lt;li&gt;&lt;a href=|http://",AD1191,"/jeremiah/51.htm","| ","title=|",AD1190,"| target=|_top|&gt;",AD1192,"&lt;/a&gt;")</f>
        <v>&lt;/li&gt;&lt;li&gt;&lt;a href=|http://gsb.biblecommenter.com/jeremiah/51.htm| title=|Geneva Study Bible| target=|_top|&gt;GSB&lt;/a&gt;</v>
      </c>
      <c r="AE796" s="2" t="str">
        <f t="shared" si="3182"/>
        <v>&lt;/li&gt;&lt;li&gt;&lt;a href=|http://jfb.biblecommenter.com/jeremiah/51.htm| title=|Jamieson-Fausset-Brown Bible Commentary| target=|_top|&gt;JFB&lt;/a&gt;</v>
      </c>
      <c r="AF796" s="2" t="str">
        <f t="shared" si="3182"/>
        <v>&lt;/li&gt;&lt;li&gt;&lt;a href=|http://kjt.biblecommenter.com/jeremiah/51.htm| title=|King James Translators' Notes| target=|_top|&gt;KJT&lt;/a&gt;</v>
      </c>
      <c r="AG796" s="2" t="str">
        <f t="shared" si="3182"/>
        <v>&lt;/li&gt;&lt;li&gt;&lt;a href=|http://mhc.biblecommenter.com/jeremiah/51.htm| title=|Matthew Henry's Concise Commentary| target=|_top|&gt;MHC&lt;/a&gt;</v>
      </c>
      <c r="AH796" s="2" t="str">
        <f t="shared" si="3182"/>
        <v>&lt;/li&gt;&lt;li&gt;&lt;a href=|http://sco.biblecommenter.com/jeremiah/51.htm| title=|Scofield Reference Notes| target=|_top|&gt;SCO&lt;/a&gt;</v>
      </c>
      <c r="AI796" s="2" t="str">
        <f t="shared" si="3182"/>
        <v>&lt;/li&gt;&lt;li&gt;&lt;a href=|http://wes.biblecommenter.com/jeremiah/51.htm| title=|Wesley's Notes on the Bible| target=|_top|&gt;WES&lt;/a&gt;</v>
      </c>
      <c r="AJ796" t="str">
        <f t="shared" si="3182"/>
        <v>&lt;/li&gt;&lt;li&gt;&lt;a href=|http://worldebible.com/jeremiah/51.htm| title=|World English Bible| target=|_top|&gt;WEB&lt;/a&gt;</v>
      </c>
      <c r="AK796" t="str">
        <f t="shared" si="3182"/>
        <v>&lt;/li&gt;&lt;li&gt;&lt;a href=|http://yltbible.com/jeremiah/51.htm| title=|Young's Literal Translation| target=|_top|&gt;YLT&lt;/a&gt;</v>
      </c>
      <c r="AL796" t="str">
        <f>CONCATENATE("&lt;a href=|http://",AL1191,"/jeremiah/51.htm","| ","title=|",AL1190,"| target=|_top|&gt;",AL1192,"&lt;/a&gt;")</f>
        <v>&lt;a href=|http://kjv.us/jeremiah/51.htm| title=|American King James Version| target=|_top|&gt;AKJ&lt;/a&gt;</v>
      </c>
      <c r="AM796" t="str">
        <f t="shared" ref="AM796:AN796" si="3183">CONCATENATE("&lt;/li&gt;&lt;li&gt;&lt;a href=|http://",AM1191,"/jeremiah/51.htm","| ","title=|",AM1190,"| target=|_top|&gt;",AM1192,"&lt;/a&gt;")</f>
        <v>&lt;/li&gt;&lt;li&gt;&lt;a href=|http://basicenglishbible.com/jeremiah/51.htm| title=|Bible in Basic English| target=|_top|&gt;BBE&lt;/a&gt;</v>
      </c>
      <c r="AN796" t="str">
        <f t="shared" si="3183"/>
        <v>&lt;/li&gt;&lt;li&gt;&lt;a href=|http://darbybible.com/jeremiah/51.htm| title=|Darby Bible Translation| target=|_top|&gt;DBY&lt;/a&gt;</v>
      </c>
      <c r="AO79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9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9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96" t="str">
        <f>CONCATENATE("&lt;/li&gt;&lt;li&gt;&lt;a href=|http://",AR1191,"/jeremiah/51.htm","| ","title=|",AR1190,"| target=|_top|&gt;",AR1192,"&lt;/a&gt;")</f>
        <v>&lt;/li&gt;&lt;li&gt;&lt;a href=|http://websterbible.com/jeremiah/51.htm| title=|Webster's Bible Translation| target=|_top|&gt;WBS&lt;/a&gt;</v>
      </c>
      <c r="AS79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96" t="str">
        <f>CONCATENATE("&lt;/li&gt;&lt;li&gt;&lt;a href=|http://",AT1191,"/jeremiah/51-1.htm","| ","title=|",AT1190,"| target=|_top|&gt;",AT1192,"&lt;/a&gt;")</f>
        <v>&lt;/li&gt;&lt;li&gt;&lt;a href=|http://biblebrowser.com/jeremiah/51-1.htm| title=|Split View| target=|_top|&gt;Split&lt;/a&gt;</v>
      </c>
      <c r="AU796" s="2" t="s">
        <v>1276</v>
      </c>
      <c r="AV796" t="s">
        <v>64</v>
      </c>
    </row>
    <row r="797" spans="1:48">
      <c r="A797" t="s">
        <v>622</v>
      </c>
      <c r="B797" t="s">
        <v>838</v>
      </c>
      <c r="C797" t="s">
        <v>624</v>
      </c>
      <c r="D797" t="s">
        <v>1268</v>
      </c>
      <c r="E797" t="s">
        <v>1277</v>
      </c>
      <c r="F797" t="s">
        <v>1304</v>
      </c>
      <c r="G797" t="s">
        <v>1266</v>
      </c>
      <c r="H797" t="s">
        <v>1305</v>
      </c>
      <c r="I797" t="s">
        <v>1303</v>
      </c>
      <c r="J797" t="s">
        <v>1267</v>
      </c>
      <c r="K797" t="s">
        <v>1275</v>
      </c>
      <c r="L797" s="2" t="s">
        <v>1274</v>
      </c>
      <c r="M797" t="str">
        <f t="shared" ref="M797:AB797" si="3184">CONCATENATE("&lt;/li&gt;&lt;li&gt;&lt;a href=|http://",M1191,"/jeremiah/52.htm","| ","title=|",M1190,"| target=|_top|&gt;",M1192,"&lt;/a&gt;")</f>
        <v>&lt;/li&gt;&lt;li&gt;&lt;a href=|http://niv.scripturetext.com/jeremiah/52.htm| title=|New International Version| target=|_top|&gt;NIV&lt;/a&gt;</v>
      </c>
      <c r="N797" t="str">
        <f t="shared" si="3184"/>
        <v>&lt;/li&gt;&lt;li&gt;&lt;a href=|http://nlt.scripturetext.com/jeremiah/52.htm| title=|New Living Translation| target=|_top|&gt;NLT&lt;/a&gt;</v>
      </c>
      <c r="O797" t="str">
        <f t="shared" si="3184"/>
        <v>&lt;/li&gt;&lt;li&gt;&lt;a href=|http://nasb.scripturetext.com/jeremiah/52.htm| title=|New American Standard Bible| target=|_top|&gt;NAS&lt;/a&gt;</v>
      </c>
      <c r="P797" t="str">
        <f t="shared" si="3184"/>
        <v>&lt;/li&gt;&lt;li&gt;&lt;a href=|http://gwt.scripturetext.com/jeremiah/52.htm| title=|God's Word Translation| target=|_top|&gt;GWT&lt;/a&gt;</v>
      </c>
      <c r="Q797" t="str">
        <f t="shared" si="3184"/>
        <v>&lt;/li&gt;&lt;li&gt;&lt;a href=|http://kingjbible.com/jeremiah/52.htm| title=|King James Bible| target=|_top|&gt;KJV&lt;/a&gt;</v>
      </c>
      <c r="R797" t="str">
        <f t="shared" si="3184"/>
        <v>&lt;/li&gt;&lt;li&gt;&lt;a href=|http://asvbible.com/jeremiah/52.htm| title=|American Standard Version| target=|_top|&gt;ASV&lt;/a&gt;</v>
      </c>
      <c r="S797" t="str">
        <f t="shared" si="3184"/>
        <v>&lt;/li&gt;&lt;li&gt;&lt;a href=|http://drb.scripturetext.com/jeremiah/52.htm| title=|Douay-Rheims Bible| target=|_top|&gt;DRB&lt;/a&gt;</v>
      </c>
      <c r="T797" t="str">
        <f t="shared" si="3184"/>
        <v>&lt;/li&gt;&lt;li&gt;&lt;a href=|http://erv.scripturetext.com/jeremiah/52.htm| title=|English Revised Version| target=|_top|&gt;ERV&lt;/a&gt;</v>
      </c>
      <c r="V797" t="str">
        <f>CONCATENATE("&lt;/li&gt;&lt;li&gt;&lt;a href=|http://",V1191,"/jeremiah/52.htm","| ","title=|",V1190,"| target=|_top|&gt;",V1192,"&lt;/a&gt;")</f>
        <v>&lt;/li&gt;&lt;li&gt;&lt;a href=|http://study.interlinearbible.org/jeremiah/52.htm| title=|Hebrew Study Bible| target=|_top|&gt;Heb Study&lt;/a&gt;</v>
      </c>
      <c r="W797" t="str">
        <f t="shared" si="3184"/>
        <v>&lt;/li&gt;&lt;li&gt;&lt;a href=|http://apostolic.interlinearbible.org/jeremiah/52.htm| title=|Apostolic Bible Polyglot Interlinear| target=|_top|&gt;Polyglot&lt;/a&gt;</v>
      </c>
      <c r="X797" t="str">
        <f t="shared" si="3184"/>
        <v>&lt;/li&gt;&lt;li&gt;&lt;a href=|http://interlinearbible.org/jeremiah/52.htm| title=|Interlinear Bible| target=|_top|&gt;Interlin&lt;/a&gt;</v>
      </c>
      <c r="Y797" t="str">
        <f t="shared" ref="Y797" si="3185">CONCATENATE("&lt;/li&gt;&lt;li&gt;&lt;a href=|http://",Y1191,"/jeremiah/52.htm","| ","title=|",Y1190,"| target=|_top|&gt;",Y1192,"&lt;/a&gt;")</f>
        <v>&lt;/li&gt;&lt;li&gt;&lt;a href=|http://bibleoutline.org/jeremiah/52.htm| title=|Outline with People and Places List| target=|_top|&gt;Outline&lt;/a&gt;</v>
      </c>
      <c r="Z797" t="str">
        <f t="shared" si="3184"/>
        <v>&lt;/li&gt;&lt;li&gt;&lt;a href=|http://kjvs.scripturetext.com/jeremiah/52.htm| title=|King James Bible with Strong's Numbers| target=|_top|&gt;Strong's&lt;/a&gt;</v>
      </c>
      <c r="AA797" t="str">
        <f t="shared" si="3184"/>
        <v>&lt;/li&gt;&lt;li&gt;&lt;a href=|http://childrensbibleonline.com/jeremiah/52.htm| title=|The Children's Bible| target=|_top|&gt;Children's&lt;/a&gt;</v>
      </c>
      <c r="AB797" s="2" t="str">
        <f t="shared" si="3184"/>
        <v>&lt;/li&gt;&lt;li&gt;&lt;a href=|http://tsk.scripturetext.com/jeremiah/52.htm| title=|Treasury of Scripture Knowledge| target=|_top|&gt;TSK&lt;/a&gt;</v>
      </c>
      <c r="AC797" t="str">
        <f>CONCATENATE("&lt;a href=|http://",AC1191,"/jeremiah/52.htm","| ","title=|",AC1190,"| target=|_top|&gt;",AC1192,"&lt;/a&gt;")</f>
        <v>&lt;a href=|http://parallelbible.com/jeremiah/52.htm| title=|Parallel Chapters| target=|_top|&gt;PAR&lt;/a&gt;</v>
      </c>
      <c r="AD797" s="2" t="str">
        <f t="shared" ref="AD797:AK797" si="3186">CONCATENATE("&lt;/li&gt;&lt;li&gt;&lt;a href=|http://",AD1191,"/jeremiah/52.htm","| ","title=|",AD1190,"| target=|_top|&gt;",AD1192,"&lt;/a&gt;")</f>
        <v>&lt;/li&gt;&lt;li&gt;&lt;a href=|http://gsb.biblecommenter.com/jeremiah/52.htm| title=|Geneva Study Bible| target=|_top|&gt;GSB&lt;/a&gt;</v>
      </c>
      <c r="AE797" s="2" t="str">
        <f t="shared" si="3186"/>
        <v>&lt;/li&gt;&lt;li&gt;&lt;a href=|http://jfb.biblecommenter.com/jeremiah/52.htm| title=|Jamieson-Fausset-Brown Bible Commentary| target=|_top|&gt;JFB&lt;/a&gt;</v>
      </c>
      <c r="AF797" s="2" t="str">
        <f t="shared" si="3186"/>
        <v>&lt;/li&gt;&lt;li&gt;&lt;a href=|http://kjt.biblecommenter.com/jeremiah/52.htm| title=|King James Translators' Notes| target=|_top|&gt;KJT&lt;/a&gt;</v>
      </c>
      <c r="AG797" s="2" t="str">
        <f t="shared" si="3186"/>
        <v>&lt;/li&gt;&lt;li&gt;&lt;a href=|http://mhc.biblecommenter.com/jeremiah/52.htm| title=|Matthew Henry's Concise Commentary| target=|_top|&gt;MHC&lt;/a&gt;</v>
      </c>
      <c r="AH797" s="2" t="str">
        <f t="shared" si="3186"/>
        <v>&lt;/li&gt;&lt;li&gt;&lt;a href=|http://sco.biblecommenter.com/jeremiah/52.htm| title=|Scofield Reference Notes| target=|_top|&gt;SCO&lt;/a&gt;</v>
      </c>
      <c r="AI797" s="2" t="str">
        <f t="shared" si="3186"/>
        <v>&lt;/li&gt;&lt;li&gt;&lt;a href=|http://wes.biblecommenter.com/jeremiah/52.htm| title=|Wesley's Notes on the Bible| target=|_top|&gt;WES&lt;/a&gt;</v>
      </c>
      <c r="AJ797" t="str">
        <f t="shared" si="3186"/>
        <v>&lt;/li&gt;&lt;li&gt;&lt;a href=|http://worldebible.com/jeremiah/52.htm| title=|World English Bible| target=|_top|&gt;WEB&lt;/a&gt;</v>
      </c>
      <c r="AK797" t="str">
        <f t="shared" si="3186"/>
        <v>&lt;/li&gt;&lt;li&gt;&lt;a href=|http://yltbible.com/jeremiah/52.htm| title=|Young's Literal Translation| target=|_top|&gt;YLT&lt;/a&gt;</v>
      </c>
      <c r="AL797" t="str">
        <f>CONCATENATE("&lt;a href=|http://",AL1191,"/jeremiah/52.htm","| ","title=|",AL1190,"| target=|_top|&gt;",AL1192,"&lt;/a&gt;")</f>
        <v>&lt;a href=|http://kjv.us/jeremiah/52.htm| title=|American King James Version| target=|_top|&gt;AKJ&lt;/a&gt;</v>
      </c>
      <c r="AM797" t="str">
        <f t="shared" ref="AM797:AN797" si="3187">CONCATENATE("&lt;/li&gt;&lt;li&gt;&lt;a href=|http://",AM1191,"/jeremiah/52.htm","| ","title=|",AM1190,"| target=|_top|&gt;",AM1192,"&lt;/a&gt;")</f>
        <v>&lt;/li&gt;&lt;li&gt;&lt;a href=|http://basicenglishbible.com/jeremiah/52.htm| title=|Bible in Basic English| target=|_top|&gt;BBE&lt;/a&gt;</v>
      </c>
      <c r="AN797" t="str">
        <f t="shared" si="3187"/>
        <v>&lt;/li&gt;&lt;li&gt;&lt;a href=|http://darbybible.com/jeremiah/52.htm| title=|Darby Bible Translation| target=|_top|&gt;DBY&lt;/a&gt;</v>
      </c>
      <c r="AO79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9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9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97" t="str">
        <f>CONCATENATE("&lt;/li&gt;&lt;li&gt;&lt;a href=|http://",AR1191,"/jeremiah/52.htm","| ","title=|",AR1190,"| target=|_top|&gt;",AR1192,"&lt;/a&gt;")</f>
        <v>&lt;/li&gt;&lt;li&gt;&lt;a href=|http://websterbible.com/jeremiah/52.htm| title=|Webster's Bible Translation| target=|_top|&gt;WBS&lt;/a&gt;</v>
      </c>
      <c r="AS79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97" t="str">
        <f>CONCATENATE("&lt;/li&gt;&lt;li&gt;&lt;a href=|http://",AT1191,"/jeremiah/52-1.htm","| ","title=|",AT1190,"| target=|_top|&gt;",AT1192,"&lt;/a&gt;")</f>
        <v>&lt;/li&gt;&lt;li&gt;&lt;a href=|http://biblebrowser.com/jeremiah/52-1.htm| title=|Split View| target=|_top|&gt;Split&lt;/a&gt;</v>
      </c>
      <c r="AU797" s="2" t="s">
        <v>1276</v>
      </c>
      <c r="AV797" t="s">
        <v>64</v>
      </c>
    </row>
    <row r="798" spans="1:48">
      <c r="A798" t="s">
        <v>622</v>
      </c>
      <c r="B798" t="s">
        <v>839</v>
      </c>
      <c r="C798" t="s">
        <v>624</v>
      </c>
      <c r="D798" t="s">
        <v>1268</v>
      </c>
      <c r="E798" t="s">
        <v>1277</v>
      </c>
      <c r="F798" t="s">
        <v>1304</v>
      </c>
      <c r="G798" t="s">
        <v>1266</v>
      </c>
      <c r="H798" t="s">
        <v>1305</v>
      </c>
      <c r="I798" t="s">
        <v>1303</v>
      </c>
      <c r="J798" t="s">
        <v>1267</v>
      </c>
      <c r="K798" t="s">
        <v>1275</v>
      </c>
      <c r="L798" s="2" t="s">
        <v>1274</v>
      </c>
      <c r="M798" t="str">
        <f t="shared" ref="M798:AB798" si="3188">CONCATENATE("&lt;/li&gt;&lt;li&gt;&lt;a href=|http://",M1191,"/lamentations/1.htm","| ","title=|",M1190,"| target=|_top|&gt;",M1192,"&lt;/a&gt;")</f>
        <v>&lt;/li&gt;&lt;li&gt;&lt;a href=|http://niv.scripturetext.com/lamentations/1.htm| title=|New International Version| target=|_top|&gt;NIV&lt;/a&gt;</v>
      </c>
      <c r="N798" t="str">
        <f t="shared" si="3188"/>
        <v>&lt;/li&gt;&lt;li&gt;&lt;a href=|http://nlt.scripturetext.com/lamentations/1.htm| title=|New Living Translation| target=|_top|&gt;NLT&lt;/a&gt;</v>
      </c>
      <c r="O798" t="str">
        <f t="shared" si="3188"/>
        <v>&lt;/li&gt;&lt;li&gt;&lt;a href=|http://nasb.scripturetext.com/lamentations/1.htm| title=|New American Standard Bible| target=|_top|&gt;NAS&lt;/a&gt;</v>
      </c>
      <c r="P798" t="str">
        <f t="shared" si="3188"/>
        <v>&lt;/li&gt;&lt;li&gt;&lt;a href=|http://gwt.scripturetext.com/lamentations/1.htm| title=|God's Word Translation| target=|_top|&gt;GWT&lt;/a&gt;</v>
      </c>
      <c r="Q798" t="str">
        <f t="shared" si="3188"/>
        <v>&lt;/li&gt;&lt;li&gt;&lt;a href=|http://kingjbible.com/lamentations/1.htm| title=|King James Bible| target=|_top|&gt;KJV&lt;/a&gt;</v>
      </c>
      <c r="R798" t="str">
        <f t="shared" si="3188"/>
        <v>&lt;/li&gt;&lt;li&gt;&lt;a href=|http://asvbible.com/lamentations/1.htm| title=|American Standard Version| target=|_top|&gt;ASV&lt;/a&gt;</v>
      </c>
      <c r="S798" t="str">
        <f t="shared" si="3188"/>
        <v>&lt;/li&gt;&lt;li&gt;&lt;a href=|http://drb.scripturetext.com/lamentations/1.htm| title=|Douay-Rheims Bible| target=|_top|&gt;DRB&lt;/a&gt;</v>
      </c>
      <c r="T798" t="str">
        <f t="shared" si="3188"/>
        <v>&lt;/li&gt;&lt;li&gt;&lt;a href=|http://erv.scripturetext.com/lamentations/1.htm| title=|English Revised Version| target=|_top|&gt;ERV&lt;/a&gt;</v>
      </c>
      <c r="V798" t="str">
        <f>CONCATENATE("&lt;/li&gt;&lt;li&gt;&lt;a href=|http://",V1191,"/lamentations/1.htm","| ","title=|",V1190,"| target=|_top|&gt;",V1192,"&lt;/a&gt;")</f>
        <v>&lt;/li&gt;&lt;li&gt;&lt;a href=|http://study.interlinearbible.org/lamentations/1.htm| title=|Hebrew Study Bible| target=|_top|&gt;Heb Study&lt;/a&gt;</v>
      </c>
      <c r="W798" t="str">
        <f t="shared" si="3188"/>
        <v>&lt;/li&gt;&lt;li&gt;&lt;a href=|http://apostolic.interlinearbible.org/lamentations/1.htm| title=|Apostolic Bible Polyglot Interlinear| target=|_top|&gt;Polyglot&lt;/a&gt;</v>
      </c>
      <c r="X798" t="str">
        <f t="shared" si="3188"/>
        <v>&lt;/li&gt;&lt;li&gt;&lt;a href=|http://interlinearbible.org/lamentations/1.htm| title=|Interlinear Bible| target=|_top|&gt;Interlin&lt;/a&gt;</v>
      </c>
      <c r="Y798" t="str">
        <f t="shared" ref="Y798" si="3189">CONCATENATE("&lt;/li&gt;&lt;li&gt;&lt;a href=|http://",Y1191,"/lamentations/1.htm","| ","title=|",Y1190,"| target=|_top|&gt;",Y1192,"&lt;/a&gt;")</f>
        <v>&lt;/li&gt;&lt;li&gt;&lt;a href=|http://bibleoutline.org/lamentations/1.htm| title=|Outline with People and Places List| target=|_top|&gt;Outline&lt;/a&gt;</v>
      </c>
      <c r="Z798" t="str">
        <f t="shared" si="3188"/>
        <v>&lt;/li&gt;&lt;li&gt;&lt;a href=|http://kjvs.scripturetext.com/lamentations/1.htm| title=|King James Bible with Strong's Numbers| target=|_top|&gt;Strong's&lt;/a&gt;</v>
      </c>
      <c r="AA798" t="str">
        <f t="shared" si="3188"/>
        <v>&lt;/li&gt;&lt;li&gt;&lt;a href=|http://childrensbibleonline.com/lamentations/1.htm| title=|The Children's Bible| target=|_top|&gt;Children's&lt;/a&gt;</v>
      </c>
      <c r="AB798" s="2" t="str">
        <f t="shared" si="3188"/>
        <v>&lt;/li&gt;&lt;li&gt;&lt;a href=|http://tsk.scripturetext.com/lamentations/1.htm| title=|Treasury of Scripture Knowledge| target=|_top|&gt;TSK&lt;/a&gt;</v>
      </c>
      <c r="AC798" t="str">
        <f>CONCATENATE("&lt;a href=|http://",AC1191,"/lamentations/1.htm","| ","title=|",AC1190,"| target=|_top|&gt;",AC1192,"&lt;/a&gt;")</f>
        <v>&lt;a href=|http://parallelbible.com/lamentations/1.htm| title=|Parallel Chapters| target=|_top|&gt;PAR&lt;/a&gt;</v>
      </c>
      <c r="AD798" s="2" t="str">
        <f t="shared" ref="AD798:AK798" si="3190">CONCATENATE("&lt;/li&gt;&lt;li&gt;&lt;a href=|http://",AD1191,"/lamentations/1.htm","| ","title=|",AD1190,"| target=|_top|&gt;",AD1192,"&lt;/a&gt;")</f>
        <v>&lt;/li&gt;&lt;li&gt;&lt;a href=|http://gsb.biblecommenter.com/lamentations/1.htm| title=|Geneva Study Bible| target=|_top|&gt;GSB&lt;/a&gt;</v>
      </c>
      <c r="AE798" s="2" t="str">
        <f t="shared" si="3190"/>
        <v>&lt;/li&gt;&lt;li&gt;&lt;a href=|http://jfb.biblecommenter.com/lamentations/1.htm| title=|Jamieson-Fausset-Brown Bible Commentary| target=|_top|&gt;JFB&lt;/a&gt;</v>
      </c>
      <c r="AF798" s="2" t="str">
        <f t="shared" si="3190"/>
        <v>&lt;/li&gt;&lt;li&gt;&lt;a href=|http://kjt.biblecommenter.com/lamentations/1.htm| title=|King James Translators' Notes| target=|_top|&gt;KJT&lt;/a&gt;</v>
      </c>
      <c r="AG798" s="2" t="str">
        <f t="shared" si="3190"/>
        <v>&lt;/li&gt;&lt;li&gt;&lt;a href=|http://mhc.biblecommenter.com/lamentations/1.htm| title=|Matthew Henry's Concise Commentary| target=|_top|&gt;MHC&lt;/a&gt;</v>
      </c>
      <c r="AH798" s="2" t="str">
        <f t="shared" si="3190"/>
        <v>&lt;/li&gt;&lt;li&gt;&lt;a href=|http://sco.biblecommenter.com/lamentations/1.htm| title=|Scofield Reference Notes| target=|_top|&gt;SCO&lt;/a&gt;</v>
      </c>
      <c r="AI798" s="2" t="str">
        <f t="shared" si="3190"/>
        <v>&lt;/li&gt;&lt;li&gt;&lt;a href=|http://wes.biblecommenter.com/lamentations/1.htm| title=|Wesley's Notes on the Bible| target=|_top|&gt;WES&lt;/a&gt;</v>
      </c>
      <c r="AJ798" t="str">
        <f t="shared" si="3190"/>
        <v>&lt;/li&gt;&lt;li&gt;&lt;a href=|http://worldebible.com/lamentations/1.htm| title=|World English Bible| target=|_top|&gt;WEB&lt;/a&gt;</v>
      </c>
      <c r="AK798" t="str">
        <f t="shared" si="3190"/>
        <v>&lt;/li&gt;&lt;li&gt;&lt;a href=|http://yltbible.com/lamentations/1.htm| title=|Young's Literal Translation| target=|_top|&gt;YLT&lt;/a&gt;</v>
      </c>
      <c r="AL798" t="str">
        <f>CONCATENATE("&lt;a href=|http://",AL1191,"/lamentations/1.htm","| ","title=|",AL1190,"| target=|_top|&gt;",AL1192,"&lt;/a&gt;")</f>
        <v>&lt;a href=|http://kjv.us/lamentations/1.htm| title=|American King James Version| target=|_top|&gt;AKJ&lt;/a&gt;</v>
      </c>
      <c r="AM798" t="str">
        <f t="shared" ref="AM798:AN798" si="3191">CONCATENATE("&lt;/li&gt;&lt;li&gt;&lt;a href=|http://",AM1191,"/lamentations/1.htm","| ","title=|",AM1190,"| target=|_top|&gt;",AM1192,"&lt;/a&gt;")</f>
        <v>&lt;/li&gt;&lt;li&gt;&lt;a href=|http://basicenglishbible.com/lamentations/1.htm| title=|Bible in Basic English| target=|_top|&gt;BBE&lt;/a&gt;</v>
      </c>
      <c r="AN798" t="str">
        <f t="shared" si="3191"/>
        <v>&lt;/li&gt;&lt;li&gt;&lt;a href=|http://darbybible.com/lamentations/1.htm| title=|Darby Bible Translation| target=|_top|&gt;DBY&lt;/a&gt;</v>
      </c>
      <c r="AO79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9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9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98" t="str">
        <f>CONCATENATE("&lt;/li&gt;&lt;li&gt;&lt;a href=|http://",AR1191,"/lamentations/1.htm","| ","title=|",AR1190,"| target=|_top|&gt;",AR1192,"&lt;/a&gt;")</f>
        <v>&lt;/li&gt;&lt;li&gt;&lt;a href=|http://websterbible.com/lamentations/1.htm| title=|Webster's Bible Translation| target=|_top|&gt;WBS&lt;/a&gt;</v>
      </c>
      <c r="AS79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98" t="str">
        <f>CONCATENATE("&lt;/li&gt;&lt;li&gt;&lt;a href=|http://",AT1191,"/lamentations/1-1.htm","| ","title=|",AT1190,"| target=|_top|&gt;",AT1192,"&lt;/a&gt;")</f>
        <v>&lt;/li&gt;&lt;li&gt;&lt;a href=|http://biblebrowser.com/lamentations/1-1.htm| title=|Split View| target=|_top|&gt;Split&lt;/a&gt;</v>
      </c>
      <c r="AU798" s="2" t="s">
        <v>1276</v>
      </c>
      <c r="AV798" t="s">
        <v>64</v>
      </c>
    </row>
    <row r="799" spans="1:48">
      <c r="A799" t="s">
        <v>622</v>
      </c>
      <c r="B799" t="s">
        <v>840</v>
      </c>
      <c r="C799" t="s">
        <v>624</v>
      </c>
      <c r="D799" t="s">
        <v>1268</v>
      </c>
      <c r="E799" t="s">
        <v>1277</v>
      </c>
      <c r="F799" t="s">
        <v>1304</v>
      </c>
      <c r="G799" t="s">
        <v>1266</v>
      </c>
      <c r="H799" t="s">
        <v>1305</v>
      </c>
      <c r="I799" t="s">
        <v>1303</v>
      </c>
      <c r="J799" t="s">
        <v>1267</v>
      </c>
      <c r="K799" t="s">
        <v>1275</v>
      </c>
      <c r="L799" s="2" t="s">
        <v>1274</v>
      </c>
      <c r="M799" t="str">
        <f t="shared" ref="M799:AB799" si="3192">CONCATENATE("&lt;/li&gt;&lt;li&gt;&lt;a href=|http://",M1191,"/lamentations/2.htm","| ","title=|",M1190,"| target=|_top|&gt;",M1192,"&lt;/a&gt;")</f>
        <v>&lt;/li&gt;&lt;li&gt;&lt;a href=|http://niv.scripturetext.com/lamentations/2.htm| title=|New International Version| target=|_top|&gt;NIV&lt;/a&gt;</v>
      </c>
      <c r="N799" t="str">
        <f t="shared" si="3192"/>
        <v>&lt;/li&gt;&lt;li&gt;&lt;a href=|http://nlt.scripturetext.com/lamentations/2.htm| title=|New Living Translation| target=|_top|&gt;NLT&lt;/a&gt;</v>
      </c>
      <c r="O799" t="str">
        <f t="shared" si="3192"/>
        <v>&lt;/li&gt;&lt;li&gt;&lt;a href=|http://nasb.scripturetext.com/lamentations/2.htm| title=|New American Standard Bible| target=|_top|&gt;NAS&lt;/a&gt;</v>
      </c>
      <c r="P799" t="str">
        <f t="shared" si="3192"/>
        <v>&lt;/li&gt;&lt;li&gt;&lt;a href=|http://gwt.scripturetext.com/lamentations/2.htm| title=|God's Word Translation| target=|_top|&gt;GWT&lt;/a&gt;</v>
      </c>
      <c r="Q799" t="str">
        <f t="shared" si="3192"/>
        <v>&lt;/li&gt;&lt;li&gt;&lt;a href=|http://kingjbible.com/lamentations/2.htm| title=|King James Bible| target=|_top|&gt;KJV&lt;/a&gt;</v>
      </c>
      <c r="R799" t="str">
        <f t="shared" si="3192"/>
        <v>&lt;/li&gt;&lt;li&gt;&lt;a href=|http://asvbible.com/lamentations/2.htm| title=|American Standard Version| target=|_top|&gt;ASV&lt;/a&gt;</v>
      </c>
      <c r="S799" t="str">
        <f t="shared" si="3192"/>
        <v>&lt;/li&gt;&lt;li&gt;&lt;a href=|http://drb.scripturetext.com/lamentations/2.htm| title=|Douay-Rheims Bible| target=|_top|&gt;DRB&lt;/a&gt;</v>
      </c>
      <c r="T799" t="str">
        <f t="shared" si="3192"/>
        <v>&lt;/li&gt;&lt;li&gt;&lt;a href=|http://erv.scripturetext.com/lamentations/2.htm| title=|English Revised Version| target=|_top|&gt;ERV&lt;/a&gt;</v>
      </c>
      <c r="V799" t="str">
        <f>CONCATENATE("&lt;/li&gt;&lt;li&gt;&lt;a href=|http://",V1191,"/lamentations/2.htm","| ","title=|",V1190,"| target=|_top|&gt;",V1192,"&lt;/a&gt;")</f>
        <v>&lt;/li&gt;&lt;li&gt;&lt;a href=|http://study.interlinearbible.org/lamentations/2.htm| title=|Hebrew Study Bible| target=|_top|&gt;Heb Study&lt;/a&gt;</v>
      </c>
      <c r="W799" t="str">
        <f t="shared" si="3192"/>
        <v>&lt;/li&gt;&lt;li&gt;&lt;a href=|http://apostolic.interlinearbible.org/lamentations/2.htm| title=|Apostolic Bible Polyglot Interlinear| target=|_top|&gt;Polyglot&lt;/a&gt;</v>
      </c>
      <c r="X799" t="str">
        <f t="shared" si="3192"/>
        <v>&lt;/li&gt;&lt;li&gt;&lt;a href=|http://interlinearbible.org/lamentations/2.htm| title=|Interlinear Bible| target=|_top|&gt;Interlin&lt;/a&gt;</v>
      </c>
      <c r="Y799" t="str">
        <f t="shared" ref="Y799" si="3193">CONCATENATE("&lt;/li&gt;&lt;li&gt;&lt;a href=|http://",Y1191,"/lamentations/2.htm","| ","title=|",Y1190,"| target=|_top|&gt;",Y1192,"&lt;/a&gt;")</f>
        <v>&lt;/li&gt;&lt;li&gt;&lt;a href=|http://bibleoutline.org/lamentations/2.htm| title=|Outline with People and Places List| target=|_top|&gt;Outline&lt;/a&gt;</v>
      </c>
      <c r="Z799" t="str">
        <f t="shared" si="3192"/>
        <v>&lt;/li&gt;&lt;li&gt;&lt;a href=|http://kjvs.scripturetext.com/lamentations/2.htm| title=|King James Bible with Strong's Numbers| target=|_top|&gt;Strong's&lt;/a&gt;</v>
      </c>
      <c r="AA799" t="str">
        <f t="shared" si="3192"/>
        <v>&lt;/li&gt;&lt;li&gt;&lt;a href=|http://childrensbibleonline.com/lamentations/2.htm| title=|The Children's Bible| target=|_top|&gt;Children's&lt;/a&gt;</v>
      </c>
      <c r="AB799" s="2" t="str">
        <f t="shared" si="3192"/>
        <v>&lt;/li&gt;&lt;li&gt;&lt;a href=|http://tsk.scripturetext.com/lamentations/2.htm| title=|Treasury of Scripture Knowledge| target=|_top|&gt;TSK&lt;/a&gt;</v>
      </c>
      <c r="AC799" t="str">
        <f>CONCATENATE("&lt;a href=|http://",AC1191,"/lamentations/2.htm","| ","title=|",AC1190,"| target=|_top|&gt;",AC1192,"&lt;/a&gt;")</f>
        <v>&lt;a href=|http://parallelbible.com/lamentations/2.htm| title=|Parallel Chapters| target=|_top|&gt;PAR&lt;/a&gt;</v>
      </c>
      <c r="AD799" s="2" t="str">
        <f t="shared" ref="AD799:AK799" si="3194">CONCATENATE("&lt;/li&gt;&lt;li&gt;&lt;a href=|http://",AD1191,"/lamentations/2.htm","| ","title=|",AD1190,"| target=|_top|&gt;",AD1192,"&lt;/a&gt;")</f>
        <v>&lt;/li&gt;&lt;li&gt;&lt;a href=|http://gsb.biblecommenter.com/lamentations/2.htm| title=|Geneva Study Bible| target=|_top|&gt;GSB&lt;/a&gt;</v>
      </c>
      <c r="AE799" s="2" t="str">
        <f t="shared" si="3194"/>
        <v>&lt;/li&gt;&lt;li&gt;&lt;a href=|http://jfb.biblecommenter.com/lamentations/2.htm| title=|Jamieson-Fausset-Brown Bible Commentary| target=|_top|&gt;JFB&lt;/a&gt;</v>
      </c>
      <c r="AF799" s="2" t="str">
        <f t="shared" si="3194"/>
        <v>&lt;/li&gt;&lt;li&gt;&lt;a href=|http://kjt.biblecommenter.com/lamentations/2.htm| title=|King James Translators' Notes| target=|_top|&gt;KJT&lt;/a&gt;</v>
      </c>
      <c r="AG799" s="2" t="str">
        <f t="shared" si="3194"/>
        <v>&lt;/li&gt;&lt;li&gt;&lt;a href=|http://mhc.biblecommenter.com/lamentations/2.htm| title=|Matthew Henry's Concise Commentary| target=|_top|&gt;MHC&lt;/a&gt;</v>
      </c>
      <c r="AH799" s="2" t="str">
        <f t="shared" si="3194"/>
        <v>&lt;/li&gt;&lt;li&gt;&lt;a href=|http://sco.biblecommenter.com/lamentations/2.htm| title=|Scofield Reference Notes| target=|_top|&gt;SCO&lt;/a&gt;</v>
      </c>
      <c r="AI799" s="2" t="str">
        <f t="shared" si="3194"/>
        <v>&lt;/li&gt;&lt;li&gt;&lt;a href=|http://wes.biblecommenter.com/lamentations/2.htm| title=|Wesley's Notes on the Bible| target=|_top|&gt;WES&lt;/a&gt;</v>
      </c>
      <c r="AJ799" t="str">
        <f t="shared" si="3194"/>
        <v>&lt;/li&gt;&lt;li&gt;&lt;a href=|http://worldebible.com/lamentations/2.htm| title=|World English Bible| target=|_top|&gt;WEB&lt;/a&gt;</v>
      </c>
      <c r="AK799" t="str">
        <f t="shared" si="3194"/>
        <v>&lt;/li&gt;&lt;li&gt;&lt;a href=|http://yltbible.com/lamentations/2.htm| title=|Young's Literal Translation| target=|_top|&gt;YLT&lt;/a&gt;</v>
      </c>
      <c r="AL799" t="str">
        <f>CONCATENATE("&lt;a href=|http://",AL1191,"/lamentations/2.htm","| ","title=|",AL1190,"| target=|_top|&gt;",AL1192,"&lt;/a&gt;")</f>
        <v>&lt;a href=|http://kjv.us/lamentations/2.htm| title=|American King James Version| target=|_top|&gt;AKJ&lt;/a&gt;</v>
      </c>
      <c r="AM799" t="str">
        <f t="shared" ref="AM799:AN799" si="3195">CONCATENATE("&lt;/li&gt;&lt;li&gt;&lt;a href=|http://",AM1191,"/lamentations/2.htm","| ","title=|",AM1190,"| target=|_top|&gt;",AM1192,"&lt;/a&gt;")</f>
        <v>&lt;/li&gt;&lt;li&gt;&lt;a href=|http://basicenglishbible.com/lamentations/2.htm| title=|Bible in Basic English| target=|_top|&gt;BBE&lt;/a&gt;</v>
      </c>
      <c r="AN799" t="str">
        <f t="shared" si="3195"/>
        <v>&lt;/li&gt;&lt;li&gt;&lt;a href=|http://darbybible.com/lamentations/2.htm| title=|Darby Bible Translation| target=|_top|&gt;DBY&lt;/a&gt;</v>
      </c>
      <c r="AO79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79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79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799" t="str">
        <f>CONCATENATE("&lt;/li&gt;&lt;li&gt;&lt;a href=|http://",AR1191,"/lamentations/2.htm","| ","title=|",AR1190,"| target=|_top|&gt;",AR1192,"&lt;/a&gt;")</f>
        <v>&lt;/li&gt;&lt;li&gt;&lt;a href=|http://websterbible.com/lamentations/2.htm| title=|Webster's Bible Translation| target=|_top|&gt;WBS&lt;/a&gt;</v>
      </c>
      <c r="AS79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799" t="str">
        <f>CONCATENATE("&lt;/li&gt;&lt;li&gt;&lt;a href=|http://",AT1191,"/lamentations/2-1.htm","| ","title=|",AT1190,"| target=|_top|&gt;",AT1192,"&lt;/a&gt;")</f>
        <v>&lt;/li&gt;&lt;li&gt;&lt;a href=|http://biblebrowser.com/lamentations/2-1.htm| title=|Split View| target=|_top|&gt;Split&lt;/a&gt;</v>
      </c>
      <c r="AU799" s="2" t="s">
        <v>1276</v>
      </c>
      <c r="AV799" t="s">
        <v>64</v>
      </c>
    </row>
    <row r="800" spans="1:48">
      <c r="A800" t="s">
        <v>622</v>
      </c>
      <c r="B800" t="s">
        <v>841</v>
      </c>
      <c r="C800" t="s">
        <v>624</v>
      </c>
      <c r="D800" t="s">
        <v>1268</v>
      </c>
      <c r="E800" t="s">
        <v>1277</v>
      </c>
      <c r="F800" t="s">
        <v>1304</v>
      </c>
      <c r="G800" t="s">
        <v>1266</v>
      </c>
      <c r="H800" t="s">
        <v>1305</v>
      </c>
      <c r="I800" t="s">
        <v>1303</v>
      </c>
      <c r="J800" t="s">
        <v>1267</v>
      </c>
      <c r="K800" t="s">
        <v>1275</v>
      </c>
      <c r="L800" s="2" t="s">
        <v>1274</v>
      </c>
      <c r="M800" t="str">
        <f t="shared" ref="M800:AB800" si="3196">CONCATENATE("&lt;/li&gt;&lt;li&gt;&lt;a href=|http://",M1191,"/lamentations/3.htm","| ","title=|",M1190,"| target=|_top|&gt;",M1192,"&lt;/a&gt;")</f>
        <v>&lt;/li&gt;&lt;li&gt;&lt;a href=|http://niv.scripturetext.com/lamentations/3.htm| title=|New International Version| target=|_top|&gt;NIV&lt;/a&gt;</v>
      </c>
      <c r="N800" t="str">
        <f t="shared" si="3196"/>
        <v>&lt;/li&gt;&lt;li&gt;&lt;a href=|http://nlt.scripturetext.com/lamentations/3.htm| title=|New Living Translation| target=|_top|&gt;NLT&lt;/a&gt;</v>
      </c>
      <c r="O800" t="str">
        <f t="shared" si="3196"/>
        <v>&lt;/li&gt;&lt;li&gt;&lt;a href=|http://nasb.scripturetext.com/lamentations/3.htm| title=|New American Standard Bible| target=|_top|&gt;NAS&lt;/a&gt;</v>
      </c>
      <c r="P800" t="str">
        <f t="shared" si="3196"/>
        <v>&lt;/li&gt;&lt;li&gt;&lt;a href=|http://gwt.scripturetext.com/lamentations/3.htm| title=|God's Word Translation| target=|_top|&gt;GWT&lt;/a&gt;</v>
      </c>
      <c r="Q800" t="str">
        <f t="shared" si="3196"/>
        <v>&lt;/li&gt;&lt;li&gt;&lt;a href=|http://kingjbible.com/lamentations/3.htm| title=|King James Bible| target=|_top|&gt;KJV&lt;/a&gt;</v>
      </c>
      <c r="R800" t="str">
        <f t="shared" si="3196"/>
        <v>&lt;/li&gt;&lt;li&gt;&lt;a href=|http://asvbible.com/lamentations/3.htm| title=|American Standard Version| target=|_top|&gt;ASV&lt;/a&gt;</v>
      </c>
      <c r="S800" t="str">
        <f t="shared" si="3196"/>
        <v>&lt;/li&gt;&lt;li&gt;&lt;a href=|http://drb.scripturetext.com/lamentations/3.htm| title=|Douay-Rheims Bible| target=|_top|&gt;DRB&lt;/a&gt;</v>
      </c>
      <c r="T800" t="str">
        <f t="shared" si="3196"/>
        <v>&lt;/li&gt;&lt;li&gt;&lt;a href=|http://erv.scripturetext.com/lamentations/3.htm| title=|English Revised Version| target=|_top|&gt;ERV&lt;/a&gt;</v>
      </c>
      <c r="V800" t="str">
        <f>CONCATENATE("&lt;/li&gt;&lt;li&gt;&lt;a href=|http://",V1191,"/lamentations/3.htm","| ","title=|",V1190,"| target=|_top|&gt;",V1192,"&lt;/a&gt;")</f>
        <v>&lt;/li&gt;&lt;li&gt;&lt;a href=|http://study.interlinearbible.org/lamentations/3.htm| title=|Hebrew Study Bible| target=|_top|&gt;Heb Study&lt;/a&gt;</v>
      </c>
      <c r="W800" t="str">
        <f t="shared" si="3196"/>
        <v>&lt;/li&gt;&lt;li&gt;&lt;a href=|http://apostolic.interlinearbible.org/lamentations/3.htm| title=|Apostolic Bible Polyglot Interlinear| target=|_top|&gt;Polyglot&lt;/a&gt;</v>
      </c>
      <c r="X800" t="str">
        <f t="shared" si="3196"/>
        <v>&lt;/li&gt;&lt;li&gt;&lt;a href=|http://interlinearbible.org/lamentations/3.htm| title=|Interlinear Bible| target=|_top|&gt;Interlin&lt;/a&gt;</v>
      </c>
      <c r="Y800" t="str">
        <f t="shared" ref="Y800" si="3197">CONCATENATE("&lt;/li&gt;&lt;li&gt;&lt;a href=|http://",Y1191,"/lamentations/3.htm","| ","title=|",Y1190,"| target=|_top|&gt;",Y1192,"&lt;/a&gt;")</f>
        <v>&lt;/li&gt;&lt;li&gt;&lt;a href=|http://bibleoutline.org/lamentations/3.htm| title=|Outline with People and Places List| target=|_top|&gt;Outline&lt;/a&gt;</v>
      </c>
      <c r="Z800" t="str">
        <f t="shared" si="3196"/>
        <v>&lt;/li&gt;&lt;li&gt;&lt;a href=|http://kjvs.scripturetext.com/lamentations/3.htm| title=|King James Bible with Strong's Numbers| target=|_top|&gt;Strong's&lt;/a&gt;</v>
      </c>
      <c r="AA800" t="str">
        <f t="shared" si="3196"/>
        <v>&lt;/li&gt;&lt;li&gt;&lt;a href=|http://childrensbibleonline.com/lamentations/3.htm| title=|The Children's Bible| target=|_top|&gt;Children's&lt;/a&gt;</v>
      </c>
      <c r="AB800" s="2" t="str">
        <f t="shared" si="3196"/>
        <v>&lt;/li&gt;&lt;li&gt;&lt;a href=|http://tsk.scripturetext.com/lamentations/3.htm| title=|Treasury of Scripture Knowledge| target=|_top|&gt;TSK&lt;/a&gt;</v>
      </c>
      <c r="AC800" t="str">
        <f>CONCATENATE("&lt;a href=|http://",AC1191,"/lamentations/3.htm","| ","title=|",AC1190,"| target=|_top|&gt;",AC1192,"&lt;/a&gt;")</f>
        <v>&lt;a href=|http://parallelbible.com/lamentations/3.htm| title=|Parallel Chapters| target=|_top|&gt;PAR&lt;/a&gt;</v>
      </c>
      <c r="AD800" s="2" t="str">
        <f t="shared" ref="AD800:AK800" si="3198">CONCATENATE("&lt;/li&gt;&lt;li&gt;&lt;a href=|http://",AD1191,"/lamentations/3.htm","| ","title=|",AD1190,"| target=|_top|&gt;",AD1192,"&lt;/a&gt;")</f>
        <v>&lt;/li&gt;&lt;li&gt;&lt;a href=|http://gsb.biblecommenter.com/lamentations/3.htm| title=|Geneva Study Bible| target=|_top|&gt;GSB&lt;/a&gt;</v>
      </c>
      <c r="AE800" s="2" t="str">
        <f t="shared" si="3198"/>
        <v>&lt;/li&gt;&lt;li&gt;&lt;a href=|http://jfb.biblecommenter.com/lamentations/3.htm| title=|Jamieson-Fausset-Brown Bible Commentary| target=|_top|&gt;JFB&lt;/a&gt;</v>
      </c>
      <c r="AF800" s="2" t="str">
        <f t="shared" si="3198"/>
        <v>&lt;/li&gt;&lt;li&gt;&lt;a href=|http://kjt.biblecommenter.com/lamentations/3.htm| title=|King James Translators' Notes| target=|_top|&gt;KJT&lt;/a&gt;</v>
      </c>
      <c r="AG800" s="2" t="str">
        <f t="shared" si="3198"/>
        <v>&lt;/li&gt;&lt;li&gt;&lt;a href=|http://mhc.biblecommenter.com/lamentations/3.htm| title=|Matthew Henry's Concise Commentary| target=|_top|&gt;MHC&lt;/a&gt;</v>
      </c>
      <c r="AH800" s="2" t="str">
        <f t="shared" si="3198"/>
        <v>&lt;/li&gt;&lt;li&gt;&lt;a href=|http://sco.biblecommenter.com/lamentations/3.htm| title=|Scofield Reference Notes| target=|_top|&gt;SCO&lt;/a&gt;</v>
      </c>
      <c r="AI800" s="2" t="str">
        <f t="shared" si="3198"/>
        <v>&lt;/li&gt;&lt;li&gt;&lt;a href=|http://wes.biblecommenter.com/lamentations/3.htm| title=|Wesley's Notes on the Bible| target=|_top|&gt;WES&lt;/a&gt;</v>
      </c>
      <c r="AJ800" t="str">
        <f t="shared" si="3198"/>
        <v>&lt;/li&gt;&lt;li&gt;&lt;a href=|http://worldebible.com/lamentations/3.htm| title=|World English Bible| target=|_top|&gt;WEB&lt;/a&gt;</v>
      </c>
      <c r="AK800" t="str">
        <f t="shared" si="3198"/>
        <v>&lt;/li&gt;&lt;li&gt;&lt;a href=|http://yltbible.com/lamentations/3.htm| title=|Young's Literal Translation| target=|_top|&gt;YLT&lt;/a&gt;</v>
      </c>
      <c r="AL800" t="str">
        <f>CONCATENATE("&lt;a href=|http://",AL1191,"/lamentations/3.htm","| ","title=|",AL1190,"| target=|_top|&gt;",AL1192,"&lt;/a&gt;")</f>
        <v>&lt;a href=|http://kjv.us/lamentations/3.htm| title=|American King James Version| target=|_top|&gt;AKJ&lt;/a&gt;</v>
      </c>
      <c r="AM800" t="str">
        <f t="shared" ref="AM800:AN800" si="3199">CONCATENATE("&lt;/li&gt;&lt;li&gt;&lt;a href=|http://",AM1191,"/lamentations/3.htm","| ","title=|",AM1190,"| target=|_top|&gt;",AM1192,"&lt;/a&gt;")</f>
        <v>&lt;/li&gt;&lt;li&gt;&lt;a href=|http://basicenglishbible.com/lamentations/3.htm| title=|Bible in Basic English| target=|_top|&gt;BBE&lt;/a&gt;</v>
      </c>
      <c r="AN800" t="str">
        <f t="shared" si="3199"/>
        <v>&lt;/li&gt;&lt;li&gt;&lt;a href=|http://darbybible.com/lamentations/3.htm| title=|Darby Bible Translation| target=|_top|&gt;DBY&lt;/a&gt;</v>
      </c>
      <c r="AO80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0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0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00" t="str">
        <f>CONCATENATE("&lt;/li&gt;&lt;li&gt;&lt;a href=|http://",AR1191,"/lamentations/3.htm","| ","title=|",AR1190,"| target=|_top|&gt;",AR1192,"&lt;/a&gt;")</f>
        <v>&lt;/li&gt;&lt;li&gt;&lt;a href=|http://websterbible.com/lamentations/3.htm| title=|Webster's Bible Translation| target=|_top|&gt;WBS&lt;/a&gt;</v>
      </c>
      <c r="AS80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00" t="str">
        <f>CONCATENATE("&lt;/li&gt;&lt;li&gt;&lt;a href=|http://",AT1191,"/lamentations/3-1.htm","| ","title=|",AT1190,"| target=|_top|&gt;",AT1192,"&lt;/a&gt;")</f>
        <v>&lt;/li&gt;&lt;li&gt;&lt;a href=|http://biblebrowser.com/lamentations/3-1.htm| title=|Split View| target=|_top|&gt;Split&lt;/a&gt;</v>
      </c>
      <c r="AU800" s="2" t="s">
        <v>1276</v>
      </c>
      <c r="AV800" t="s">
        <v>64</v>
      </c>
    </row>
    <row r="801" spans="1:48">
      <c r="A801" t="s">
        <v>622</v>
      </c>
      <c r="B801" t="s">
        <v>842</v>
      </c>
      <c r="C801" t="s">
        <v>624</v>
      </c>
      <c r="D801" t="s">
        <v>1268</v>
      </c>
      <c r="E801" t="s">
        <v>1277</v>
      </c>
      <c r="F801" t="s">
        <v>1304</v>
      </c>
      <c r="G801" t="s">
        <v>1266</v>
      </c>
      <c r="H801" t="s">
        <v>1305</v>
      </c>
      <c r="I801" t="s">
        <v>1303</v>
      </c>
      <c r="J801" t="s">
        <v>1267</v>
      </c>
      <c r="K801" t="s">
        <v>1275</v>
      </c>
      <c r="L801" s="2" t="s">
        <v>1274</v>
      </c>
      <c r="M801" t="str">
        <f t="shared" ref="M801:AB801" si="3200">CONCATENATE("&lt;/li&gt;&lt;li&gt;&lt;a href=|http://",M1191,"/lamentations/4.htm","| ","title=|",M1190,"| target=|_top|&gt;",M1192,"&lt;/a&gt;")</f>
        <v>&lt;/li&gt;&lt;li&gt;&lt;a href=|http://niv.scripturetext.com/lamentations/4.htm| title=|New International Version| target=|_top|&gt;NIV&lt;/a&gt;</v>
      </c>
      <c r="N801" t="str">
        <f t="shared" si="3200"/>
        <v>&lt;/li&gt;&lt;li&gt;&lt;a href=|http://nlt.scripturetext.com/lamentations/4.htm| title=|New Living Translation| target=|_top|&gt;NLT&lt;/a&gt;</v>
      </c>
      <c r="O801" t="str">
        <f t="shared" si="3200"/>
        <v>&lt;/li&gt;&lt;li&gt;&lt;a href=|http://nasb.scripturetext.com/lamentations/4.htm| title=|New American Standard Bible| target=|_top|&gt;NAS&lt;/a&gt;</v>
      </c>
      <c r="P801" t="str">
        <f t="shared" si="3200"/>
        <v>&lt;/li&gt;&lt;li&gt;&lt;a href=|http://gwt.scripturetext.com/lamentations/4.htm| title=|God's Word Translation| target=|_top|&gt;GWT&lt;/a&gt;</v>
      </c>
      <c r="Q801" t="str">
        <f t="shared" si="3200"/>
        <v>&lt;/li&gt;&lt;li&gt;&lt;a href=|http://kingjbible.com/lamentations/4.htm| title=|King James Bible| target=|_top|&gt;KJV&lt;/a&gt;</v>
      </c>
      <c r="R801" t="str">
        <f t="shared" si="3200"/>
        <v>&lt;/li&gt;&lt;li&gt;&lt;a href=|http://asvbible.com/lamentations/4.htm| title=|American Standard Version| target=|_top|&gt;ASV&lt;/a&gt;</v>
      </c>
      <c r="S801" t="str">
        <f t="shared" si="3200"/>
        <v>&lt;/li&gt;&lt;li&gt;&lt;a href=|http://drb.scripturetext.com/lamentations/4.htm| title=|Douay-Rheims Bible| target=|_top|&gt;DRB&lt;/a&gt;</v>
      </c>
      <c r="T801" t="str">
        <f t="shared" si="3200"/>
        <v>&lt;/li&gt;&lt;li&gt;&lt;a href=|http://erv.scripturetext.com/lamentations/4.htm| title=|English Revised Version| target=|_top|&gt;ERV&lt;/a&gt;</v>
      </c>
      <c r="V801" t="str">
        <f>CONCATENATE("&lt;/li&gt;&lt;li&gt;&lt;a href=|http://",V1191,"/lamentations/4.htm","| ","title=|",V1190,"| target=|_top|&gt;",V1192,"&lt;/a&gt;")</f>
        <v>&lt;/li&gt;&lt;li&gt;&lt;a href=|http://study.interlinearbible.org/lamentations/4.htm| title=|Hebrew Study Bible| target=|_top|&gt;Heb Study&lt;/a&gt;</v>
      </c>
      <c r="W801" t="str">
        <f t="shared" si="3200"/>
        <v>&lt;/li&gt;&lt;li&gt;&lt;a href=|http://apostolic.interlinearbible.org/lamentations/4.htm| title=|Apostolic Bible Polyglot Interlinear| target=|_top|&gt;Polyglot&lt;/a&gt;</v>
      </c>
      <c r="X801" t="str">
        <f t="shared" si="3200"/>
        <v>&lt;/li&gt;&lt;li&gt;&lt;a href=|http://interlinearbible.org/lamentations/4.htm| title=|Interlinear Bible| target=|_top|&gt;Interlin&lt;/a&gt;</v>
      </c>
      <c r="Y801" t="str">
        <f t="shared" ref="Y801" si="3201">CONCATENATE("&lt;/li&gt;&lt;li&gt;&lt;a href=|http://",Y1191,"/lamentations/4.htm","| ","title=|",Y1190,"| target=|_top|&gt;",Y1192,"&lt;/a&gt;")</f>
        <v>&lt;/li&gt;&lt;li&gt;&lt;a href=|http://bibleoutline.org/lamentations/4.htm| title=|Outline with People and Places List| target=|_top|&gt;Outline&lt;/a&gt;</v>
      </c>
      <c r="Z801" t="str">
        <f t="shared" si="3200"/>
        <v>&lt;/li&gt;&lt;li&gt;&lt;a href=|http://kjvs.scripturetext.com/lamentations/4.htm| title=|King James Bible with Strong's Numbers| target=|_top|&gt;Strong's&lt;/a&gt;</v>
      </c>
      <c r="AA801" t="str">
        <f t="shared" si="3200"/>
        <v>&lt;/li&gt;&lt;li&gt;&lt;a href=|http://childrensbibleonline.com/lamentations/4.htm| title=|The Children's Bible| target=|_top|&gt;Children's&lt;/a&gt;</v>
      </c>
      <c r="AB801" s="2" t="str">
        <f t="shared" si="3200"/>
        <v>&lt;/li&gt;&lt;li&gt;&lt;a href=|http://tsk.scripturetext.com/lamentations/4.htm| title=|Treasury of Scripture Knowledge| target=|_top|&gt;TSK&lt;/a&gt;</v>
      </c>
      <c r="AC801" t="str">
        <f>CONCATENATE("&lt;a href=|http://",AC1191,"/lamentations/4.htm","| ","title=|",AC1190,"| target=|_top|&gt;",AC1192,"&lt;/a&gt;")</f>
        <v>&lt;a href=|http://parallelbible.com/lamentations/4.htm| title=|Parallel Chapters| target=|_top|&gt;PAR&lt;/a&gt;</v>
      </c>
      <c r="AD801" s="2" t="str">
        <f t="shared" ref="AD801:AK801" si="3202">CONCATENATE("&lt;/li&gt;&lt;li&gt;&lt;a href=|http://",AD1191,"/lamentations/4.htm","| ","title=|",AD1190,"| target=|_top|&gt;",AD1192,"&lt;/a&gt;")</f>
        <v>&lt;/li&gt;&lt;li&gt;&lt;a href=|http://gsb.biblecommenter.com/lamentations/4.htm| title=|Geneva Study Bible| target=|_top|&gt;GSB&lt;/a&gt;</v>
      </c>
      <c r="AE801" s="2" t="str">
        <f t="shared" si="3202"/>
        <v>&lt;/li&gt;&lt;li&gt;&lt;a href=|http://jfb.biblecommenter.com/lamentations/4.htm| title=|Jamieson-Fausset-Brown Bible Commentary| target=|_top|&gt;JFB&lt;/a&gt;</v>
      </c>
      <c r="AF801" s="2" t="str">
        <f t="shared" si="3202"/>
        <v>&lt;/li&gt;&lt;li&gt;&lt;a href=|http://kjt.biblecommenter.com/lamentations/4.htm| title=|King James Translators' Notes| target=|_top|&gt;KJT&lt;/a&gt;</v>
      </c>
      <c r="AG801" s="2" t="str">
        <f t="shared" si="3202"/>
        <v>&lt;/li&gt;&lt;li&gt;&lt;a href=|http://mhc.biblecommenter.com/lamentations/4.htm| title=|Matthew Henry's Concise Commentary| target=|_top|&gt;MHC&lt;/a&gt;</v>
      </c>
      <c r="AH801" s="2" t="str">
        <f t="shared" si="3202"/>
        <v>&lt;/li&gt;&lt;li&gt;&lt;a href=|http://sco.biblecommenter.com/lamentations/4.htm| title=|Scofield Reference Notes| target=|_top|&gt;SCO&lt;/a&gt;</v>
      </c>
      <c r="AI801" s="2" t="str">
        <f t="shared" si="3202"/>
        <v>&lt;/li&gt;&lt;li&gt;&lt;a href=|http://wes.biblecommenter.com/lamentations/4.htm| title=|Wesley's Notes on the Bible| target=|_top|&gt;WES&lt;/a&gt;</v>
      </c>
      <c r="AJ801" t="str">
        <f t="shared" si="3202"/>
        <v>&lt;/li&gt;&lt;li&gt;&lt;a href=|http://worldebible.com/lamentations/4.htm| title=|World English Bible| target=|_top|&gt;WEB&lt;/a&gt;</v>
      </c>
      <c r="AK801" t="str">
        <f t="shared" si="3202"/>
        <v>&lt;/li&gt;&lt;li&gt;&lt;a href=|http://yltbible.com/lamentations/4.htm| title=|Young's Literal Translation| target=|_top|&gt;YLT&lt;/a&gt;</v>
      </c>
      <c r="AL801" t="str">
        <f>CONCATENATE("&lt;a href=|http://",AL1191,"/lamentations/4.htm","| ","title=|",AL1190,"| target=|_top|&gt;",AL1192,"&lt;/a&gt;")</f>
        <v>&lt;a href=|http://kjv.us/lamentations/4.htm| title=|American King James Version| target=|_top|&gt;AKJ&lt;/a&gt;</v>
      </c>
      <c r="AM801" t="str">
        <f t="shared" ref="AM801:AN801" si="3203">CONCATENATE("&lt;/li&gt;&lt;li&gt;&lt;a href=|http://",AM1191,"/lamentations/4.htm","| ","title=|",AM1190,"| target=|_top|&gt;",AM1192,"&lt;/a&gt;")</f>
        <v>&lt;/li&gt;&lt;li&gt;&lt;a href=|http://basicenglishbible.com/lamentations/4.htm| title=|Bible in Basic English| target=|_top|&gt;BBE&lt;/a&gt;</v>
      </c>
      <c r="AN801" t="str">
        <f t="shared" si="3203"/>
        <v>&lt;/li&gt;&lt;li&gt;&lt;a href=|http://darbybible.com/lamentations/4.htm| title=|Darby Bible Translation| target=|_top|&gt;DBY&lt;/a&gt;</v>
      </c>
      <c r="AO80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0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0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01" t="str">
        <f>CONCATENATE("&lt;/li&gt;&lt;li&gt;&lt;a href=|http://",AR1191,"/lamentations/4.htm","| ","title=|",AR1190,"| target=|_top|&gt;",AR1192,"&lt;/a&gt;")</f>
        <v>&lt;/li&gt;&lt;li&gt;&lt;a href=|http://websterbible.com/lamentations/4.htm| title=|Webster's Bible Translation| target=|_top|&gt;WBS&lt;/a&gt;</v>
      </c>
      <c r="AS80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01" t="str">
        <f>CONCATENATE("&lt;/li&gt;&lt;li&gt;&lt;a href=|http://",AT1191,"/lamentations/4-1.htm","| ","title=|",AT1190,"| target=|_top|&gt;",AT1192,"&lt;/a&gt;")</f>
        <v>&lt;/li&gt;&lt;li&gt;&lt;a href=|http://biblebrowser.com/lamentations/4-1.htm| title=|Split View| target=|_top|&gt;Split&lt;/a&gt;</v>
      </c>
      <c r="AU801" s="2" t="s">
        <v>1276</v>
      </c>
      <c r="AV801" t="s">
        <v>64</v>
      </c>
    </row>
    <row r="802" spans="1:48">
      <c r="A802" t="s">
        <v>622</v>
      </c>
      <c r="B802" t="s">
        <v>843</v>
      </c>
      <c r="C802" t="s">
        <v>624</v>
      </c>
      <c r="D802" t="s">
        <v>1268</v>
      </c>
      <c r="E802" t="s">
        <v>1277</v>
      </c>
      <c r="F802" t="s">
        <v>1304</v>
      </c>
      <c r="G802" t="s">
        <v>1266</v>
      </c>
      <c r="H802" t="s">
        <v>1305</v>
      </c>
      <c r="I802" t="s">
        <v>1303</v>
      </c>
      <c r="J802" t="s">
        <v>1267</v>
      </c>
      <c r="K802" t="s">
        <v>1275</v>
      </c>
      <c r="L802" s="2" t="s">
        <v>1274</v>
      </c>
      <c r="M802" t="str">
        <f t="shared" ref="M802:AB802" si="3204">CONCATENATE("&lt;/li&gt;&lt;li&gt;&lt;a href=|http://",M1191,"/lamentations/5.htm","| ","title=|",M1190,"| target=|_top|&gt;",M1192,"&lt;/a&gt;")</f>
        <v>&lt;/li&gt;&lt;li&gt;&lt;a href=|http://niv.scripturetext.com/lamentations/5.htm| title=|New International Version| target=|_top|&gt;NIV&lt;/a&gt;</v>
      </c>
      <c r="N802" t="str">
        <f t="shared" si="3204"/>
        <v>&lt;/li&gt;&lt;li&gt;&lt;a href=|http://nlt.scripturetext.com/lamentations/5.htm| title=|New Living Translation| target=|_top|&gt;NLT&lt;/a&gt;</v>
      </c>
      <c r="O802" t="str">
        <f t="shared" si="3204"/>
        <v>&lt;/li&gt;&lt;li&gt;&lt;a href=|http://nasb.scripturetext.com/lamentations/5.htm| title=|New American Standard Bible| target=|_top|&gt;NAS&lt;/a&gt;</v>
      </c>
      <c r="P802" t="str">
        <f t="shared" si="3204"/>
        <v>&lt;/li&gt;&lt;li&gt;&lt;a href=|http://gwt.scripturetext.com/lamentations/5.htm| title=|God's Word Translation| target=|_top|&gt;GWT&lt;/a&gt;</v>
      </c>
      <c r="Q802" t="str">
        <f t="shared" si="3204"/>
        <v>&lt;/li&gt;&lt;li&gt;&lt;a href=|http://kingjbible.com/lamentations/5.htm| title=|King James Bible| target=|_top|&gt;KJV&lt;/a&gt;</v>
      </c>
      <c r="R802" t="str">
        <f t="shared" si="3204"/>
        <v>&lt;/li&gt;&lt;li&gt;&lt;a href=|http://asvbible.com/lamentations/5.htm| title=|American Standard Version| target=|_top|&gt;ASV&lt;/a&gt;</v>
      </c>
      <c r="S802" t="str">
        <f t="shared" si="3204"/>
        <v>&lt;/li&gt;&lt;li&gt;&lt;a href=|http://drb.scripturetext.com/lamentations/5.htm| title=|Douay-Rheims Bible| target=|_top|&gt;DRB&lt;/a&gt;</v>
      </c>
      <c r="T802" t="str">
        <f t="shared" si="3204"/>
        <v>&lt;/li&gt;&lt;li&gt;&lt;a href=|http://erv.scripturetext.com/lamentations/5.htm| title=|English Revised Version| target=|_top|&gt;ERV&lt;/a&gt;</v>
      </c>
      <c r="V802" t="str">
        <f>CONCATENATE("&lt;/li&gt;&lt;li&gt;&lt;a href=|http://",V1191,"/lamentations/5.htm","| ","title=|",V1190,"| target=|_top|&gt;",V1192,"&lt;/a&gt;")</f>
        <v>&lt;/li&gt;&lt;li&gt;&lt;a href=|http://study.interlinearbible.org/lamentations/5.htm| title=|Hebrew Study Bible| target=|_top|&gt;Heb Study&lt;/a&gt;</v>
      </c>
      <c r="W802" t="str">
        <f t="shared" si="3204"/>
        <v>&lt;/li&gt;&lt;li&gt;&lt;a href=|http://apostolic.interlinearbible.org/lamentations/5.htm| title=|Apostolic Bible Polyglot Interlinear| target=|_top|&gt;Polyglot&lt;/a&gt;</v>
      </c>
      <c r="X802" t="str">
        <f t="shared" si="3204"/>
        <v>&lt;/li&gt;&lt;li&gt;&lt;a href=|http://interlinearbible.org/lamentations/5.htm| title=|Interlinear Bible| target=|_top|&gt;Interlin&lt;/a&gt;</v>
      </c>
      <c r="Y802" t="str">
        <f t="shared" ref="Y802" si="3205">CONCATENATE("&lt;/li&gt;&lt;li&gt;&lt;a href=|http://",Y1191,"/lamentations/5.htm","| ","title=|",Y1190,"| target=|_top|&gt;",Y1192,"&lt;/a&gt;")</f>
        <v>&lt;/li&gt;&lt;li&gt;&lt;a href=|http://bibleoutline.org/lamentations/5.htm| title=|Outline with People and Places List| target=|_top|&gt;Outline&lt;/a&gt;</v>
      </c>
      <c r="Z802" t="str">
        <f t="shared" si="3204"/>
        <v>&lt;/li&gt;&lt;li&gt;&lt;a href=|http://kjvs.scripturetext.com/lamentations/5.htm| title=|King James Bible with Strong's Numbers| target=|_top|&gt;Strong's&lt;/a&gt;</v>
      </c>
      <c r="AA802" t="str">
        <f t="shared" si="3204"/>
        <v>&lt;/li&gt;&lt;li&gt;&lt;a href=|http://childrensbibleonline.com/lamentations/5.htm| title=|The Children's Bible| target=|_top|&gt;Children's&lt;/a&gt;</v>
      </c>
      <c r="AB802" s="2" t="str">
        <f t="shared" si="3204"/>
        <v>&lt;/li&gt;&lt;li&gt;&lt;a href=|http://tsk.scripturetext.com/lamentations/5.htm| title=|Treasury of Scripture Knowledge| target=|_top|&gt;TSK&lt;/a&gt;</v>
      </c>
      <c r="AC802" t="str">
        <f>CONCATENATE("&lt;a href=|http://",AC1191,"/lamentations/5.htm","| ","title=|",AC1190,"| target=|_top|&gt;",AC1192,"&lt;/a&gt;")</f>
        <v>&lt;a href=|http://parallelbible.com/lamentations/5.htm| title=|Parallel Chapters| target=|_top|&gt;PAR&lt;/a&gt;</v>
      </c>
      <c r="AD802" s="2" t="str">
        <f t="shared" ref="AD802:AK802" si="3206">CONCATENATE("&lt;/li&gt;&lt;li&gt;&lt;a href=|http://",AD1191,"/lamentations/5.htm","| ","title=|",AD1190,"| target=|_top|&gt;",AD1192,"&lt;/a&gt;")</f>
        <v>&lt;/li&gt;&lt;li&gt;&lt;a href=|http://gsb.biblecommenter.com/lamentations/5.htm| title=|Geneva Study Bible| target=|_top|&gt;GSB&lt;/a&gt;</v>
      </c>
      <c r="AE802" s="2" t="str">
        <f t="shared" si="3206"/>
        <v>&lt;/li&gt;&lt;li&gt;&lt;a href=|http://jfb.biblecommenter.com/lamentations/5.htm| title=|Jamieson-Fausset-Brown Bible Commentary| target=|_top|&gt;JFB&lt;/a&gt;</v>
      </c>
      <c r="AF802" s="2" t="str">
        <f t="shared" si="3206"/>
        <v>&lt;/li&gt;&lt;li&gt;&lt;a href=|http://kjt.biblecommenter.com/lamentations/5.htm| title=|King James Translators' Notes| target=|_top|&gt;KJT&lt;/a&gt;</v>
      </c>
      <c r="AG802" s="2" t="str">
        <f t="shared" si="3206"/>
        <v>&lt;/li&gt;&lt;li&gt;&lt;a href=|http://mhc.biblecommenter.com/lamentations/5.htm| title=|Matthew Henry's Concise Commentary| target=|_top|&gt;MHC&lt;/a&gt;</v>
      </c>
      <c r="AH802" s="2" t="str">
        <f t="shared" si="3206"/>
        <v>&lt;/li&gt;&lt;li&gt;&lt;a href=|http://sco.biblecommenter.com/lamentations/5.htm| title=|Scofield Reference Notes| target=|_top|&gt;SCO&lt;/a&gt;</v>
      </c>
      <c r="AI802" s="2" t="str">
        <f t="shared" si="3206"/>
        <v>&lt;/li&gt;&lt;li&gt;&lt;a href=|http://wes.biblecommenter.com/lamentations/5.htm| title=|Wesley's Notes on the Bible| target=|_top|&gt;WES&lt;/a&gt;</v>
      </c>
      <c r="AJ802" t="str">
        <f t="shared" si="3206"/>
        <v>&lt;/li&gt;&lt;li&gt;&lt;a href=|http://worldebible.com/lamentations/5.htm| title=|World English Bible| target=|_top|&gt;WEB&lt;/a&gt;</v>
      </c>
      <c r="AK802" t="str">
        <f t="shared" si="3206"/>
        <v>&lt;/li&gt;&lt;li&gt;&lt;a href=|http://yltbible.com/lamentations/5.htm| title=|Young's Literal Translation| target=|_top|&gt;YLT&lt;/a&gt;</v>
      </c>
      <c r="AL802" t="str">
        <f>CONCATENATE("&lt;a href=|http://",AL1191,"/lamentations/5.htm","| ","title=|",AL1190,"| target=|_top|&gt;",AL1192,"&lt;/a&gt;")</f>
        <v>&lt;a href=|http://kjv.us/lamentations/5.htm| title=|American King James Version| target=|_top|&gt;AKJ&lt;/a&gt;</v>
      </c>
      <c r="AM802" t="str">
        <f t="shared" ref="AM802:AN802" si="3207">CONCATENATE("&lt;/li&gt;&lt;li&gt;&lt;a href=|http://",AM1191,"/lamentations/5.htm","| ","title=|",AM1190,"| target=|_top|&gt;",AM1192,"&lt;/a&gt;")</f>
        <v>&lt;/li&gt;&lt;li&gt;&lt;a href=|http://basicenglishbible.com/lamentations/5.htm| title=|Bible in Basic English| target=|_top|&gt;BBE&lt;/a&gt;</v>
      </c>
      <c r="AN802" t="str">
        <f t="shared" si="3207"/>
        <v>&lt;/li&gt;&lt;li&gt;&lt;a href=|http://darbybible.com/lamentations/5.htm| title=|Darby Bible Translation| target=|_top|&gt;DBY&lt;/a&gt;</v>
      </c>
      <c r="AO80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0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0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02" t="str">
        <f>CONCATENATE("&lt;/li&gt;&lt;li&gt;&lt;a href=|http://",AR1191,"/lamentations/5.htm","| ","title=|",AR1190,"| target=|_top|&gt;",AR1192,"&lt;/a&gt;")</f>
        <v>&lt;/li&gt;&lt;li&gt;&lt;a href=|http://websterbible.com/lamentations/5.htm| title=|Webster's Bible Translation| target=|_top|&gt;WBS&lt;/a&gt;</v>
      </c>
      <c r="AS80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02" t="str">
        <f>CONCATENATE("&lt;/li&gt;&lt;li&gt;&lt;a href=|http://",AT1191,"/lamentations/5-1.htm","| ","title=|",AT1190,"| target=|_top|&gt;",AT1192,"&lt;/a&gt;")</f>
        <v>&lt;/li&gt;&lt;li&gt;&lt;a href=|http://biblebrowser.com/lamentations/5-1.htm| title=|Split View| target=|_top|&gt;Split&lt;/a&gt;</v>
      </c>
      <c r="AU802" s="2" t="s">
        <v>1276</v>
      </c>
      <c r="AV802" t="s">
        <v>64</v>
      </c>
    </row>
    <row r="803" spans="1:48">
      <c r="A803" t="s">
        <v>622</v>
      </c>
      <c r="B803" t="s">
        <v>844</v>
      </c>
      <c r="C803" t="s">
        <v>624</v>
      </c>
      <c r="D803" t="s">
        <v>1268</v>
      </c>
      <c r="E803" t="s">
        <v>1277</v>
      </c>
      <c r="F803" t="s">
        <v>1304</v>
      </c>
      <c r="G803" t="s">
        <v>1266</v>
      </c>
      <c r="H803" t="s">
        <v>1305</v>
      </c>
      <c r="I803" t="s">
        <v>1303</v>
      </c>
      <c r="J803" t="s">
        <v>1267</v>
      </c>
      <c r="K803" t="s">
        <v>1275</v>
      </c>
      <c r="L803" s="2" t="s">
        <v>1274</v>
      </c>
      <c r="M803" t="str">
        <f t="shared" ref="M803:AB803" si="3208">CONCATENATE("&lt;/li&gt;&lt;li&gt;&lt;a href=|http://",M1191,"/ezekiel/1.htm","| ","title=|",M1190,"| target=|_top|&gt;",M1192,"&lt;/a&gt;")</f>
        <v>&lt;/li&gt;&lt;li&gt;&lt;a href=|http://niv.scripturetext.com/ezekiel/1.htm| title=|New International Version| target=|_top|&gt;NIV&lt;/a&gt;</v>
      </c>
      <c r="N803" t="str">
        <f t="shared" si="3208"/>
        <v>&lt;/li&gt;&lt;li&gt;&lt;a href=|http://nlt.scripturetext.com/ezekiel/1.htm| title=|New Living Translation| target=|_top|&gt;NLT&lt;/a&gt;</v>
      </c>
      <c r="O803" t="str">
        <f t="shared" si="3208"/>
        <v>&lt;/li&gt;&lt;li&gt;&lt;a href=|http://nasb.scripturetext.com/ezekiel/1.htm| title=|New American Standard Bible| target=|_top|&gt;NAS&lt;/a&gt;</v>
      </c>
      <c r="P803" t="str">
        <f t="shared" si="3208"/>
        <v>&lt;/li&gt;&lt;li&gt;&lt;a href=|http://gwt.scripturetext.com/ezekiel/1.htm| title=|God's Word Translation| target=|_top|&gt;GWT&lt;/a&gt;</v>
      </c>
      <c r="Q803" t="str">
        <f t="shared" si="3208"/>
        <v>&lt;/li&gt;&lt;li&gt;&lt;a href=|http://kingjbible.com/ezekiel/1.htm| title=|King James Bible| target=|_top|&gt;KJV&lt;/a&gt;</v>
      </c>
      <c r="R803" t="str">
        <f t="shared" si="3208"/>
        <v>&lt;/li&gt;&lt;li&gt;&lt;a href=|http://asvbible.com/ezekiel/1.htm| title=|American Standard Version| target=|_top|&gt;ASV&lt;/a&gt;</v>
      </c>
      <c r="S803" t="str">
        <f t="shared" si="3208"/>
        <v>&lt;/li&gt;&lt;li&gt;&lt;a href=|http://drb.scripturetext.com/ezekiel/1.htm| title=|Douay-Rheims Bible| target=|_top|&gt;DRB&lt;/a&gt;</v>
      </c>
      <c r="T803" t="str">
        <f t="shared" si="3208"/>
        <v>&lt;/li&gt;&lt;li&gt;&lt;a href=|http://erv.scripturetext.com/ezekiel/1.htm| title=|English Revised Version| target=|_top|&gt;ERV&lt;/a&gt;</v>
      </c>
      <c r="V803" t="str">
        <f>CONCATENATE("&lt;/li&gt;&lt;li&gt;&lt;a href=|http://",V1191,"/ezekiel/1.htm","| ","title=|",V1190,"| target=|_top|&gt;",V1192,"&lt;/a&gt;")</f>
        <v>&lt;/li&gt;&lt;li&gt;&lt;a href=|http://study.interlinearbible.org/ezekiel/1.htm| title=|Hebrew Study Bible| target=|_top|&gt;Heb Study&lt;/a&gt;</v>
      </c>
      <c r="W803" t="str">
        <f t="shared" si="3208"/>
        <v>&lt;/li&gt;&lt;li&gt;&lt;a href=|http://apostolic.interlinearbible.org/ezekiel/1.htm| title=|Apostolic Bible Polyglot Interlinear| target=|_top|&gt;Polyglot&lt;/a&gt;</v>
      </c>
      <c r="X803" t="str">
        <f t="shared" si="3208"/>
        <v>&lt;/li&gt;&lt;li&gt;&lt;a href=|http://interlinearbible.org/ezekiel/1.htm| title=|Interlinear Bible| target=|_top|&gt;Interlin&lt;/a&gt;</v>
      </c>
      <c r="Y803" t="str">
        <f t="shared" ref="Y803" si="3209">CONCATENATE("&lt;/li&gt;&lt;li&gt;&lt;a href=|http://",Y1191,"/ezekiel/1.htm","| ","title=|",Y1190,"| target=|_top|&gt;",Y1192,"&lt;/a&gt;")</f>
        <v>&lt;/li&gt;&lt;li&gt;&lt;a href=|http://bibleoutline.org/ezekiel/1.htm| title=|Outline with People and Places List| target=|_top|&gt;Outline&lt;/a&gt;</v>
      </c>
      <c r="Z803" t="str">
        <f t="shared" si="3208"/>
        <v>&lt;/li&gt;&lt;li&gt;&lt;a href=|http://kjvs.scripturetext.com/ezekiel/1.htm| title=|King James Bible with Strong's Numbers| target=|_top|&gt;Strong's&lt;/a&gt;</v>
      </c>
      <c r="AA803" t="str">
        <f t="shared" si="3208"/>
        <v>&lt;/li&gt;&lt;li&gt;&lt;a href=|http://childrensbibleonline.com/ezekiel/1.htm| title=|The Children's Bible| target=|_top|&gt;Children's&lt;/a&gt;</v>
      </c>
      <c r="AB803" s="2" t="str">
        <f t="shared" si="3208"/>
        <v>&lt;/li&gt;&lt;li&gt;&lt;a href=|http://tsk.scripturetext.com/ezekiel/1.htm| title=|Treasury of Scripture Knowledge| target=|_top|&gt;TSK&lt;/a&gt;</v>
      </c>
      <c r="AC803" t="str">
        <f>CONCATENATE("&lt;a href=|http://",AC1191,"/ezekiel/1.htm","| ","title=|",AC1190,"| target=|_top|&gt;",AC1192,"&lt;/a&gt;")</f>
        <v>&lt;a href=|http://parallelbible.com/ezekiel/1.htm| title=|Parallel Chapters| target=|_top|&gt;PAR&lt;/a&gt;</v>
      </c>
      <c r="AD803" s="2" t="str">
        <f t="shared" ref="AD803:AK803" si="3210">CONCATENATE("&lt;/li&gt;&lt;li&gt;&lt;a href=|http://",AD1191,"/ezekiel/1.htm","| ","title=|",AD1190,"| target=|_top|&gt;",AD1192,"&lt;/a&gt;")</f>
        <v>&lt;/li&gt;&lt;li&gt;&lt;a href=|http://gsb.biblecommenter.com/ezekiel/1.htm| title=|Geneva Study Bible| target=|_top|&gt;GSB&lt;/a&gt;</v>
      </c>
      <c r="AE803" s="2" t="str">
        <f t="shared" si="3210"/>
        <v>&lt;/li&gt;&lt;li&gt;&lt;a href=|http://jfb.biblecommenter.com/ezekiel/1.htm| title=|Jamieson-Fausset-Brown Bible Commentary| target=|_top|&gt;JFB&lt;/a&gt;</v>
      </c>
      <c r="AF803" s="2" t="str">
        <f t="shared" si="3210"/>
        <v>&lt;/li&gt;&lt;li&gt;&lt;a href=|http://kjt.biblecommenter.com/ezekiel/1.htm| title=|King James Translators' Notes| target=|_top|&gt;KJT&lt;/a&gt;</v>
      </c>
      <c r="AG803" s="2" t="str">
        <f t="shared" si="3210"/>
        <v>&lt;/li&gt;&lt;li&gt;&lt;a href=|http://mhc.biblecommenter.com/ezekiel/1.htm| title=|Matthew Henry's Concise Commentary| target=|_top|&gt;MHC&lt;/a&gt;</v>
      </c>
      <c r="AH803" s="2" t="str">
        <f t="shared" si="3210"/>
        <v>&lt;/li&gt;&lt;li&gt;&lt;a href=|http://sco.biblecommenter.com/ezekiel/1.htm| title=|Scofield Reference Notes| target=|_top|&gt;SCO&lt;/a&gt;</v>
      </c>
      <c r="AI803" s="2" t="str">
        <f t="shared" si="3210"/>
        <v>&lt;/li&gt;&lt;li&gt;&lt;a href=|http://wes.biblecommenter.com/ezekiel/1.htm| title=|Wesley's Notes on the Bible| target=|_top|&gt;WES&lt;/a&gt;</v>
      </c>
      <c r="AJ803" t="str">
        <f t="shared" si="3210"/>
        <v>&lt;/li&gt;&lt;li&gt;&lt;a href=|http://worldebible.com/ezekiel/1.htm| title=|World English Bible| target=|_top|&gt;WEB&lt;/a&gt;</v>
      </c>
      <c r="AK803" t="str">
        <f t="shared" si="3210"/>
        <v>&lt;/li&gt;&lt;li&gt;&lt;a href=|http://yltbible.com/ezekiel/1.htm| title=|Young's Literal Translation| target=|_top|&gt;YLT&lt;/a&gt;</v>
      </c>
      <c r="AL803" t="str">
        <f>CONCATENATE("&lt;a href=|http://",AL1191,"/ezekiel/1.htm","| ","title=|",AL1190,"| target=|_top|&gt;",AL1192,"&lt;/a&gt;")</f>
        <v>&lt;a href=|http://kjv.us/ezekiel/1.htm| title=|American King James Version| target=|_top|&gt;AKJ&lt;/a&gt;</v>
      </c>
      <c r="AM803" t="str">
        <f t="shared" ref="AM803:AN803" si="3211">CONCATENATE("&lt;/li&gt;&lt;li&gt;&lt;a href=|http://",AM1191,"/ezekiel/1.htm","| ","title=|",AM1190,"| target=|_top|&gt;",AM1192,"&lt;/a&gt;")</f>
        <v>&lt;/li&gt;&lt;li&gt;&lt;a href=|http://basicenglishbible.com/ezekiel/1.htm| title=|Bible in Basic English| target=|_top|&gt;BBE&lt;/a&gt;</v>
      </c>
      <c r="AN803" t="str">
        <f t="shared" si="3211"/>
        <v>&lt;/li&gt;&lt;li&gt;&lt;a href=|http://darbybible.com/ezekiel/1.htm| title=|Darby Bible Translation| target=|_top|&gt;DBY&lt;/a&gt;</v>
      </c>
      <c r="AO80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0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0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03" t="str">
        <f>CONCATENATE("&lt;/li&gt;&lt;li&gt;&lt;a href=|http://",AR1191,"/ezekiel/1.htm","| ","title=|",AR1190,"| target=|_top|&gt;",AR1192,"&lt;/a&gt;")</f>
        <v>&lt;/li&gt;&lt;li&gt;&lt;a href=|http://websterbible.com/ezekiel/1.htm| title=|Webster's Bible Translation| target=|_top|&gt;WBS&lt;/a&gt;</v>
      </c>
      <c r="AS80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03" t="str">
        <f>CONCATENATE("&lt;/li&gt;&lt;li&gt;&lt;a href=|http://",AT1191,"/ezekiel/1-1.htm","| ","title=|",AT1190,"| target=|_top|&gt;",AT1192,"&lt;/a&gt;")</f>
        <v>&lt;/li&gt;&lt;li&gt;&lt;a href=|http://biblebrowser.com/ezekiel/1-1.htm| title=|Split View| target=|_top|&gt;Split&lt;/a&gt;</v>
      </c>
      <c r="AU803" s="2" t="s">
        <v>1276</v>
      </c>
      <c r="AV803" t="s">
        <v>64</v>
      </c>
    </row>
    <row r="804" spans="1:48">
      <c r="A804" t="s">
        <v>622</v>
      </c>
      <c r="B804" t="s">
        <v>845</v>
      </c>
      <c r="C804" t="s">
        <v>624</v>
      </c>
      <c r="D804" t="s">
        <v>1268</v>
      </c>
      <c r="E804" t="s">
        <v>1277</v>
      </c>
      <c r="F804" t="s">
        <v>1304</v>
      </c>
      <c r="G804" t="s">
        <v>1266</v>
      </c>
      <c r="H804" t="s">
        <v>1305</v>
      </c>
      <c r="I804" t="s">
        <v>1303</v>
      </c>
      <c r="J804" t="s">
        <v>1267</v>
      </c>
      <c r="K804" t="s">
        <v>1275</v>
      </c>
      <c r="L804" s="2" t="s">
        <v>1274</v>
      </c>
      <c r="M804" t="str">
        <f t="shared" ref="M804:AB804" si="3212">CONCATENATE("&lt;/li&gt;&lt;li&gt;&lt;a href=|http://",M1191,"/ezekiel/2.htm","| ","title=|",M1190,"| target=|_top|&gt;",M1192,"&lt;/a&gt;")</f>
        <v>&lt;/li&gt;&lt;li&gt;&lt;a href=|http://niv.scripturetext.com/ezekiel/2.htm| title=|New International Version| target=|_top|&gt;NIV&lt;/a&gt;</v>
      </c>
      <c r="N804" t="str">
        <f t="shared" si="3212"/>
        <v>&lt;/li&gt;&lt;li&gt;&lt;a href=|http://nlt.scripturetext.com/ezekiel/2.htm| title=|New Living Translation| target=|_top|&gt;NLT&lt;/a&gt;</v>
      </c>
      <c r="O804" t="str">
        <f t="shared" si="3212"/>
        <v>&lt;/li&gt;&lt;li&gt;&lt;a href=|http://nasb.scripturetext.com/ezekiel/2.htm| title=|New American Standard Bible| target=|_top|&gt;NAS&lt;/a&gt;</v>
      </c>
      <c r="P804" t="str">
        <f t="shared" si="3212"/>
        <v>&lt;/li&gt;&lt;li&gt;&lt;a href=|http://gwt.scripturetext.com/ezekiel/2.htm| title=|God's Word Translation| target=|_top|&gt;GWT&lt;/a&gt;</v>
      </c>
      <c r="Q804" t="str">
        <f t="shared" si="3212"/>
        <v>&lt;/li&gt;&lt;li&gt;&lt;a href=|http://kingjbible.com/ezekiel/2.htm| title=|King James Bible| target=|_top|&gt;KJV&lt;/a&gt;</v>
      </c>
      <c r="R804" t="str">
        <f t="shared" si="3212"/>
        <v>&lt;/li&gt;&lt;li&gt;&lt;a href=|http://asvbible.com/ezekiel/2.htm| title=|American Standard Version| target=|_top|&gt;ASV&lt;/a&gt;</v>
      </c>
      <c r="S804" t="str">
        <f t="shared" si="3212"/>
        <v>&lt;/li&gt;&lt;li&gt;&lt;a href=|http://drb.scripturetext.com/ezekiel/2.htm| title=|Douay-Rheims Bible| target=|_top|&gt;DRB&lt;/a&gt;</v>
      </c>
      <c r="T804" t="str">
        <f t="shared" si="3212"/>
        <v>&lt;/li&gt;&lt;li&gt;&lt;a href=|http://erv.scripturetext.com/ezekiel/2.htm| title=|English Revised Version| target=|_top|&gt;ERV&lt;/a&gt;</v>
      </c>
      <c r="V804" t="str">
        <f>CONCATENATE("&lt;/li&gt;&lt;li&gt;&lt;a href=|http://",V1191,"/ezekiel/2.htm","| ","title=|",V1190,"| target=|_top|&gt;",V1192,"&lt;/a&gt;")</f>
        <v>&lt;/li&gt;&lt;li&gt;&lt;a href=|http://study.interlinearbible.org/ezekiel/2.htm| title=|Hebrew Study Bible| target=|_top|&gt;Heb Study&lt;/a&gt;</v>
      </c>
      <c r="W804" t="str">
        <f t="shared" si="3212"/>
        <v>&lt;/li&gt;&lt;li&gt;&lt;a href=|http://apostolic.interlinearbible.org/ezekiel/2.htm| title=|Apostolic Bible Polyglot Interlinear| target=|_top|&gt;Polyglot&lt;/a&gt;</v>
      </c>
      <c r="X804" t="str">
        <f t="shared" si="3212"/>
        <v>&lt;/li&gt;&lt;li&gt;&lt;a href=|http://interlinearbible.org/ezekiel/2.htm| title=|Interlinear Bible| target=|_top|&gt;Interlin&lt;/a&gt;</v>
      </c>
      <c r="Y804" t="str">
        <f t="shared" ref="Y804" si="3213">CONCATENATE("&lt;/li&gt;&lt;li&gt;&lt;a href=|http://",Y1191,"/ezekiel/2.htm","| ","title=|",Y1190,"| target=|_top|&gt;",Y1192,"&lt;/a&gt;")</f>
        <v>&lt;/li&gt;&lt;li&gt;&lt;a href=|http://bibleoutline.org/ezekiel/2.htm| title=|Outline with People and Places List| target=|_top|&gt;Outline&lt;/a&gt;</v>
      </c>
      <c r="Z804" t="str">
        <f t="shared" si="3212"/>
        <v>&lt;/li&gt;&lt;li&gt;&lt;a href=|http://kjvs.scripturetext.com/ezekiel/2.htm| title=|King James Bible with Strong's Numbers| target=|_top|&gt;Strong's&lt;/a&gt;</v>
      </c>
      <c r="AA804" t="str">
        <f t="shared" si="3212"/>
        <v>&lt;/li&gt;&lt;li&gt;&lt;a href=|http://childrensbibleonline.com/ezekiel/2.htm| title=|The Children's Bible| target=|_top|&gt;Children's&lt;/a&gt;</v>
      </c>
      <c r="AB804" s="2" t="str">
        <f t="shared" si="3212"/>
        <v>&lt;/li&gt;&lt;li&gt;&lt;a href=|http://tsk.scripturetext.com/ezekiel/2.htm| title=|Treasury of Scripture Knowledge| target=|_top|&gt;TSK&lt;/a&gt;</v>
      </c>
      <c r="AC804" t="str">
        <f>CONCATENATE("&lt;a href=|http://",AC1191,"/ezekiel/2.htm","| ","title=|",AC1190,"| target=|_top|&gt;",AC1192,"&lt;/a&gt;")</f>
        <v>&lt;a href=|http://parallelbible.com/ezekiel/2.htm| title=|Parallel Chapters| target=|_top|&gt;PAR&lt;/a&gt;</v>
      </c>
      <c r="AD804" s="2" t="str">
        <f t="shared" ref="AD804:AK804" si="3214">CONCATENATE("&lt;/li&gt;&lt;li&gt;&lt;a href=|http://",AD1191,"/ezekiel/2.htm","| ","title=|",AD1190,"| target=|_top|&gt;",AD1192,"&lt;/a&gt;")</f>
        <v>&lt;/li&gt;&lt;li&gt;&lt;a href=|http://gsb.biblecommenter.com/ezekiel/2.htm| title=|Geneva Study Bible| target=|_top|&gt;GSB&lt;/a&gt;</v>
      </c>
      <c r="AE804" s="2" t="str">
        <f t="shared" si="3214"/>
        <v>&lt;/li&gt;&lt;li&gt;&lt;a href=|http://jfb.biblecommenter.com/ezekiel/2.htm| title=|Jamieson-Fausset-Brown Bible Commentary| target=|_top|&gt;JFB&lt;/a&gt;</v>
      </c>
      <c r="AF804" s="2" t="str">
        <f t="shared" si="3214"/>
        <v>&lt;/li&gt;&lt;li&gt;&lt;a href=|http://kjt.biblecommenter.com/ezekiel/2.htm| title=|King James Translators' Notes| target=|_top|&gt;KJT&lt;/a&gt;</v>
      </c>
      <c r="AG804" s="2" t="str">
        <f t="shared" si="3214"/>
        <v>&lt;/li&gt;&lt;li&gt;&lt;a href=|http://mhc.biblecommenter.com/ezekiel/2.htm| title=|Matthew Henry's Concise Commentary| target=|_top|&gt;MHC&lt;/a&gt;</v>
      </c>
      <c r="AH804" s="2" t="str">
        <f t="shared" si="3214"/>
        <v>&lt;/li&gt;&lt;li&gt;&lt;a href=|http://sco.biblecommenter.com/ezekiel/2.htm| title=|Scofield Reference Notes| target=|_top|&gt;SCO&lt;/a&gt;</v>
      </c>
      <c r="AI804" s="2" t="str">
        <f t="shared" si="3214"/>
        <v>&lt;/li&gt;&lt;li&gt;&lt;a href=|http://wes.biblecommenter.com/ezekiel/2.htm| title=|Wesley's Notes on the Bible| target=|_top|&gt;WES&lt;/a&gt;</v>
      </c>
      <c r="AJ804" t="str">
        <f t="shared" si="3214"/>
        <v>&lt;/li&gt;&lt;li&gt;&lt;a href=|http://worldebible.com/ezekiel/2.htm| title=|World English Bible| target=|_top|&gt;WEB&lt;/a&gt;</v>
      </c>
      <c r="AK804" t="str">
        <f t="shared" si="3214"/>
        <v>&lt;/li&gt;&lt;li&gt;&lt;a href=|http://yltbible.com/ezekiel/2.htm| title=|Young's Literal Translation| target=|_top|&gt;YLT&lt;/a&gt;</v>
      </c>
      <c r="AL804" t="str">
        <f>CONCATENATE("&lt;a href=|http://",AL1191,"/ezekiel/2.htm","| ","title=|",AL1190,"| target=|_top|&gt;",AL1192,"&lt;/a&gt;")</f>
        <v>&lt;a href=|http://kjv.us/ezekiel/2.htm| title=|American King James Version| target=|_top|&gt;AKJ&lt;/a&gt;</v>
      </c>
      <c r="AM804" t="str">
        <f t="shared" ref="AM804:AN804" si="3215">CONCATENATE("&lt;/li&gt;&lt;li&gt;&lt;a href=|http://",AM1191,"/ezekiel/2.htm","| ","title=|",AM1190,"| target=|_top|&gt;",AM1192,"&lt;/a&gt;")</f>
        <v>&lt;/li&gt;&lt;li&gt;&lt;a href=|http://basicenglishbible.com/ezekiel/2.htm| title=|Bible in Basic English| target=|_top|&gt;BBE&lt;/a&gt;</v>
      </c>
      <c r="AN804" t="str">
        <f t="shared" si="3215"/>
        <v>&lt;/li&gt;&lt;li&gt;&lt;a href=|http://darbybible.com/ezekiel/2.htm| title=|Darby Bible Translation| target=|_top|&gt;DBY&lt;/a&gt;</v>
      </c>
      <c r="AO80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0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0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04" t="str">
        <f>CONCATENATE("&lt;/li&gt;&lt;li&gt;&lt;a href=|http://",AR1191,"/ezekiel/2.htm","| ","title=|",AR1190,"| target=|_top|&gt;",AR1192,"&lt;/a&gt;")</f>
        <v>&lt;/li&gt;&lt;li&gt;&lt;a href=|http://websterbible.com/ezekiel/2.htm| title=|Webster's Bible Translation| target=|_top|&gt;WBS&lt;/a&gt;</v>
      </c>
      <c r="AS80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04" t="str">
        <f>CONCATENATE("&lt;/li&gt;&lt;li&gt;&lt;a href=|http://",AT1191,"/ezekiel/2-1.htm","| ","title=|",AT1190,"| target=|_top|&gt;",AT1192,"&lt;/a&gt;")</f>
        <v>&lt;/li&gt;&lt;li&gt;&lt;a href=|http://biblebrowser.com/ezekiel/2-1.htm| title=|Split View| target=|_top|&gt;Split&lt;/a&gt;</v>
      </c>
      <c r="AU804" s="2" t="s">
        <v>1276</v>
      </c>
      <c r="AV804" t="s">
        <v>64</v>
      </c>
    </row>
    <row r="805" spans="1:48">
      <c r="A805" t="s">
        <v>622</v>
      </c>
      <c r="B805" t="s">
        <v>846</v>
      </c>
      <c r="C805" t="s">
        <v>624</v>
      </c>
      <c r="D805" t="s">
        <v>1268</v>
      </c>
      <c r="E805" t="s">
        <v>1277</v>
      </c>
      <c r="F805" t="s">
        <v>1304</v>
      </c>
      <c r="G805" t="s">
        <v>1266</v>
      </c>
      <c r="H805" t="s">
        <v>1305</v>
      </c>
      <c r="I805" t="s">
        <v>1303</v>
      </c>
      <c r="J805" t="s">
        <v>1267</v>
      </c>
      <c r="K805" t="s">
        <v>1275</v>
      </c>
      <c r="L805" s="2" t="s">
        <v>1274</v>
      </c>
      <c r="M805" t="str">
        <f t="shared" ref="M805:AB805" si="3216">CONCATENATE("&lt;/li&gt;&lt;li&gt;&lt;a href=|http://",M1191,"/ezekiel/3.htm","| ","title=|",M1190,"| target=|_top|&gt;",M1192,"&lt;/a&gt;")</f>
        <v>&lt;/li&gt;&lt;li&gt;&lt;a href=|http://niv.scripturetext.com/ezekiel/3.htm| title=|New International Version| target=|_top|&gt;NIV&lt;/a&gt;</v>
      </c>
      <c r="N805" t="str">
        <f t="shared" si="3216"/>
        <v>&lt;/li&gt;&lt;li&gt;&lt;a href=|http://nlt.scripturetext.com/ezekiel/3.htm| title=|New Living Translation| target=|_top|&gt;NLT&lt;/a&gt;</v>
      </c>
      <c r="O805" t="str">
        <f t="shared" si="3216"/>
        <v>&lt;/li&gt;&lt;li&gt;&lt;a href=|http://nasb.scripturetext.com/ezekiel/3.htm| title=|New American Standard Bible| target=|_top|&gt;NAS&lt;/a&gt;</v>
      </c>
      <c r="P805" t="str">
        <f t="shared" si="3216"/>
        <v>&lt;/li&gt;&lt;li&gt;&lt;a href=|http://gwt.scripturetext.com/ezekiel/3.htm| title=|God's Word Translation| target=|_top|&gt;GWT&lt;/a&gt;</v>
      </c>
      <c r="Q805" t="str">
        <f t="shared" si="3216"/>
        <v>&lt;/li&gt;&lt;li&gt;&lt;a href=|http://kingjbible.com/ezekiel/3.htm| title=|King James Bible| target=|_top|&gt;KJV&lt;/a&gt;</v>
      </c>
      <c r="R805" t="str">
        <f t="shared" si="3216"/>
        <v>&lt;/li&gt;&lt;li&gt;&lt;a href=|http://asvbible.com/ezekiel/3.htm| title=|American Standard Version| target=|_top|&gt;ASV&lt;/a&gt;</v>
      </c>
      <c r="S805" t="str">
        <f t="shared" si="3216"/>
        <v>&lt;/li&gt;&lt;li&gt;&lt;a href=|http://drb.scripturetext.com/ezekiel/3.htm| title=|Douay-Rheims Bible| target=|_top|&gt;DRB&lt;/a&gt;</v>
      </c>
      <c r="T805" t="str">
        <f t="shared" si="3216"/>
        <v>&lt;/li&gt;&lt;li&gt;&lt;a href=|http://erv.scripturetext.com/ezekiel/3.htm| title=|English Revised Version| target=|_top|&gt;ERV&lt;/a&gt;</v>
      </c>
      <c r="V805" t="str">
        <f>CONCATENATE("&lt;/li&gt;&lt;li&gt;&lt;a href=|http://",V1191,"/ezekiel/3.htm","| ","title=|",V1190,"| target=|_top|&gt;",V1192,"&lt;/a&gt;")</f>
        <v>&lt;/li&gt;&lt;li&gt;&lt;a href=|http://study.interlinearbible.org/ezekiel/3.htm| title=|Hebrew Study Bible| target=|_top|&gt;Heb Study&lt;/a&gt;</v>
      </c>
      <c r="W805" t="str">
        <f t="shared" si="3216"/>
        <v>&lt;/li&gt;&lt;li&gt;&lt;a href=|http://apostolic.interlinearbible.org/ezekiel/3.htm| title=|Apostolic Bible Polyglot Interlinear| target=|_top|&gt;Polyglot&lt;/a&gt;</v>
      </c>
      <c r="X805" t="str">
        <f t="shared" si="3216"/>
        <v>&lt;/li&gt;&lt;li&gt;&lt;a href=|http://interlinearbible.org/ezekiel/3.htm| title=|Interlinear Bible| target=|_top|&gt;Interlin&lt;/a&gt;</v>
      </c>
      <c r="Y805" t="str">
        <f t="shared" ref="Y805" si="3217">CONCATENATE("&lt;/li&gt;&lt;li&gt;&lt;a href=|http://",Y1191,"/ezekiel/3.htm","| ","title=|",Y1190,"| target=|_top|&gt;",Y1192,"&lt;/a&gt;")</f>
        <v>&lt;/li&gt;&lt;li&gt;&lt;a href=|http://bibleoutline.org/ezekiel/3.htm| title=|Outline with People and Places List| target=|_top|&gt;Outline&lt;/a&gt;</v>
      </c>
      <c r="Z805" t="str">
        <f t="shared" si="3216"/>
        <v>&lt;/li&gt;&lt;li&gt;&lt;a href=|http://kjvs.scripturetext.com/ezekiel/3.htm| title=|King James Bible with Strong's Numbers| target=|_top|&gt;Strong's&lt;/a&gt;</v>
      </c>
      <c r="AA805" t="str">
        <f t="shared" si="3216"/>
        <v>&lt;/li&gt;&lt;li&gt;&lt;a href=|http://childrensbibleonline.com/ezekiel/3.htm| title=|The Children's Bible| target=|_top|&gt;Children's&lt;/a&gt;</v>
      </c>
      <c r="AB805" s="2" t="str">
        <f t="shared" si="3216"/>
        <v>&lt;/li&gt;&lt;li&gt;&lt;a href=|http://tsk.scripturetext.com/ezekiel/3.htm| title=|Treasury of Scripture Knowledge| target=|_top|&gt;TSK&lt;/a&gt;</v>
      </c>
      <c r="AC805" t="str">
        <f>CONCATENATE("&lt;a href=|http://",AC1191,"/ezekiel/3.htm","| ","title=|",AC1190,"| target=|_top|&gt;",AC1192,"&lt;/a&gt;")</f>
        <v>&lt;a href=|http://parallelbible.com/ezekiel/3.htm| title=|Parallel Chapters| target=|_top|&gt;PAR&lt;/a&gt;</v>
      </c>
      <c r="AD805" s="2" t="str">
        <f t="shared" ref="AD805:AK805" si="3218">CONCATENATE("&lt;/li&gt;&lt;li&gt;&lt;a href=|http://",AD1191,"/ezekiel/3.htm","| ","title=|",AD1190,"| target=|_top|&gt;",AD1192,"&lt;/a&gt;")</f>
        <v>&lt;/li&gt;&lt;li&gt;&lt;a href=|http://gsb.biblecommenter.com/ezekiel/3.htm| title=|Geneva Study Bible| target=|_top|&gt;GSB&lt;/a&gt;</v>
      </c>
      <c r="AE805" s="2" t="str">
        <f t="shared" si="3218"/>
        <v>&lt;/li&gt;&lt;li&gt;&lt;a href=|http://jfb.biblecommenter.com/ezekiel/3.htm| title=|Jamieson-Fausset-Brown Bible Commentary| target=|_top|&gt;JFB&lt;/a&gt;</v>
      </c>
      <c r="AF805" s="2" t="str">
        <f t="shared" si="3218"/>
        <v>&lt;/li&gt;&lt;li&gt;&lt;a href=|http://kjt.biblecommenter.com/ezekiel/3.htm| title=|King James Translators' Notes| target=|_top|&gt;KJT&lt;/a&gt;</v>
      </c>
      <c r="AG805" s="2" t="str">
        <f t="shared" si="3218"/>
        <v>&lt;/li&gt;&lt;li&gt;&lt;a href=|http://mhc.biblecommenter.com/ezekiel/3.htm| title=|Matthew Henry's Concise Commentary| target=|_top|&gt;MHC&lt;/a&gt;</v>
      </c>
      <c r="AH805" s="2" t="str">
        <f t="shared" si="3218"/>
        <v>&lt;/li&gt;&lt;li&gt;&lt;a href=|http://sco.biblecommenter.com/ezekiel/3.htm| title=|Scofield Reference Notes| target=|_top|&gt;SCO&lt;/a&gt;</v>
      </c>
      <c r="AI805" s="2" t="str">
        <f t="shared" si="3218"/>
        <v>&lt;/li&gt;&lt;li&gt;&lt;a href=|http://wes.biblecommenter.com/ezekiel/3.htm| title=|Wesley's Notes on the Bible| target=|_top|&gt;WES&lt;/a&gt;</v>
      </c>
      <c r="AJ805" t="str">
        <f t="shared" si="3218"/>
        <v>&lt;/li&gt;&lt;li&gt;&lt;a href=|http://worldebible.com/ezekiel/3.htm| title=|World English Bible| target=|_top|&gt;WEB&lt;/a&gt;</v>
      </c>
      <c r="AK805" t="str">
        <f t="shared" si="3218"/>
        <v>&lt;/li&gt;&lt;li&gt;&lt;a href=|http://yltbible.com/ezekiel/3.htm| title=|Young's Literal Translation| target=|_top|&gt;YLT&lt;/a&gt;</v>
      </c>
      <c r="AL805" t="str">
        <f>CONCATENATE("&lt;a href=|http://",AL1191,"/ezekiel/3.htm","| ","title=|",AL1190,"| target=|_top|&gt;",AL1192,"&lt;/a&gt;")</f>
        <v>&lt;a href=|http://kjv.us/ezekiel/3.htm| title=|American King James Version| target=|_top|&gt;AKJ&lt;/a&gt;</v>
      </c>
      <c r="AM805" t="str">
        <f t="shared" ref="AM805:AN805" si="3219">CONCATENATE("&lt;/li&gt;&lt;li&gt;&lt;a href=|http://",AM1191,"/ezekiel/3.htm","| ","title=|",AM1190,"| target=|_top|&gt;",AM1192,"&lt;/a&gt;")</f>
        <v>&lt;/li&gt;&lt;li&gt;&lt;a href=|http://basicenglishbible.com/ezekiel/3.htm| title=|Bible in Basic English| target=|_top|&gt;BBE&lt;/a&gt;</v>
      </c>
      <c r="AN805" t="str">
        <f t="shared" si="3219"/>
        <v>&lt;/li&gt;&lt;li&gt;&lt;a href=|http://darbybible.com/ezekiel/3.htm| title=|Darby Bible Translation| target=|_top|&gt;DBY&lt;/a&gt;</v>
      </c>
      <c r="AO80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0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0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05" t="str">
        <f>CONCATENATE("&lt;/li&gt;&lt;li&gt;&lt;a href=|http://",AR1191,"/ezekiel/3.htm","| ","title=|",AR1190,"| target=|_top|&gt;",AR1192,"&lt;/a&gt;")</f>
        <v>&lt;/li&gt;&lt;li&gt;&lt;a href=|http://websterbible.com/ezekiel/3.htm| title=|Webster's Bible Translation| target=|_top|&gt;WBS&lt;/a&gt;</v>
      </c>
      <c r="AS80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05" t="str">
        <f>CONCATENATE("&lt;/li&gt;&lt;li&gt;&lt;a href=|http://",AT1191,"/ezekiel/3-1.htm","| ","title=|",AT1190,"| target=|_top|&gt;",AT1192,"&lt;/a&gt;")</f>
        <v>&lt;/li&gt;&lt;li&gt;&lt;a href=|http://biblebrowser.com/ezekiel/3-1.htm| title=|Split View| target=|_top|&gt;Split&lt;/a&gt;</v>
      </c>
      <c r="AU805" s="2" t="s">
        <v>1276</v>
      </c>
      <c r="AV805" t="s">
        <v>64</v>
      </c>
    </row>
    <row r="806" spans="1:48">
      <c r="A806" t="s">
        <v>622</v>
      </c>
      <c r="B806" t="s">
        <v>847</v>
      </c>
      <c r="C806" t="s">
        <v>624</v>
      </c>
      <c r="D806" t="s">
        <v>1268</v>
      </c>
      <c r="E806" t="s">
        <v>1277</v>
      </c>
      <c r="F806" t="s">
        <v>1304</v>
      </c>
      <c r="G806" t="s">
        <v>1266</v>
      </c>
      <c r="H806" t="s">
        <v>1305</v>
      </c>
      <c r="I806" t="s">
        <v>1303</v>
      </c>
      <c r="J806" t="s">
        <v>1267</v>
      </c>
      <c r="K806" t="s">
        <v>1275</v>
      </c>
      <c r="L806" s="2" t="s">
        <v>1274</v>
      </c>
      <c r="M806" t="str">
        <f t="shared" ref="M806:AB806" si="3220">CONCATENATE("&lt;/li&gt;&lt;li&gt;&lt;a href=|http://",M1191,"/ezekiel/4.htm","| ","title=|",M1190,"| target=|_top|&gt;",M1192,"&lt;/a&gt;")</f>
        <v>&lt;/li&gt;&lt;li&gt;&lt;a href=|http://niv.scripturetext.com/ezekiel/4.htm| title=|New International Version| target=|_top|&gt;NIV&lt;/a&gt;</v>
      </c>
      <c r="N806" t="str">
        <f t="shared" si="3220"/>
        <v>&lt;/li&gt;&lt;li&gt;&lt;a href=|http://nlt.scripturetext.com/ezekiel/4.htm| title=|New Living Translation| target=|_top|&gt;NLT&lt;/a&gt;</v>
      </c>
      <c r="O806" t="str">
        <f t="shared" si="3220"/>
        <v>&lt;/li&gt;&lt;li&gt;&lt;a href=|http://nasb.scripturetext.com/ezekiel/4.htm| title=|New American Standard Bible| target=|_top|&gt;NAS&lt;/a&gt;</v>
      </c>
      <c r="P806" t="str">
        <f t="shared" si="3220"/>
        <v>&lt;/li&gt;&lt;li&gt;&lt;a href=|http://gwt.scripturetext.com/ezekiel/4.htm| title=|God's Word Translation| target=|_top|&gt;GWT&lt;/a&gt;</v>
      </c>
      <c r="Q806" t="str">
        <f t="shared" si="3220"/>
        <v>&lt;/li&gt;&lt;li&gt;&lt;a href=|http://kingjbible.com/ezekiel/4.htm| title=|King James Bible| target=|_top|&gt;KJV&lt;/a&gt;</v>
      </c>
      <c r="R806" t="str">
        <f t="shared" si="3220"/>
        <v>&lt;/li&gt;&lt;li&gt;&lt;a href=|http://asvbible.com/ezekiel/4.htm| title=|American Standard Version| target=|_top|&gt;ASV&lt;/a&gt;</v>
      </c>
      <c r="S806" t="str">
        <f t="shared" si="3220"/>
        <v>&lt;/li&gt;&lt;li&gt;&lt;a href=|http://drb.scripturetext.com/ezekiel/4.htm| title=|Douay-Rheims Bible| target=|_top|&gt;DRB&lt;/a&gt;</v>
      </c>
      <c r="T806" t="str">
        <f t="shared" si="3220"/>
        <v>&lt;/li&gt;&lt;li&gt;&lt;a href=|http://erv.scripturetext.com/ezekiel/4.htm| title=|English Revised Version| target=|_top|&gt;ERV&lt;/a&gt;</v>
      </c>
      <c r="V806" t="str">
        <f>CONCATENATE("&lt;/li&gt;&lt;li&gt;&lt;a href=|http://",V1191,"/ezekiel/4.htm","| ","title=|",V1190,"| target=|_top|&gt;",V1192,"&lt;/a&gt;")</f>
        <v>&lt;/li&gt;&lt;li&gt;&lt;a href=|http://study.interlinearbible.org/ezekiel/4.htm| title=|Hebrew Study Bible| target=|_top|&gt;Heb Study&lt;/a&gt;</v>
      </c>
      <c r="W806" t="str">
        <f t="shared" si="3220"/>
        <v>&lt;/li&gt;&lt;li&gt;&lt;a href=|http://apostolic.interlinearbible.org/ezekiel/4.htm| title=|Apostolic Bible Polyglot Interlinear| target=|_top|&gt;Polyglot&lt;/a&gt;</v>
      </c>
      <c r="X806" t="str">
        <f t="shared" si="3220"/>
        <v>&lt;/li&gt;&lt;li&gt;&lt;a href=|http://interlinearbible.org/ezekiel/4.htm| title=|Interlinear Bible| target=|_top|&gt;Interlin&lt;/a&gt;</v>
      </c>
      <c r="Y806" t="str">
        <f t="shared" ref="Y806" si="3221">CONCATENATE("&lt;/li&gt;&lt;li&gt;&lt;a href=|http://",Y1191,"/ezekiel/4.htm","| ","title=|",Y1190,"| target=|_top|&gt;",Y1192,"&lt;/a&gt;")</f>
        <v>&lt;/li&gt;&lt;li&gt;&lt;a href=|http://bibleoutline.org/ezekiel/4.htm| title=|Outline with People and Places List| target=|_top|&gt;Outline&lt;/a&gt;</v>
      </c>
      <c r="Z806" t="str">
        <f t="shared" si="3220"/>
        <v>&lt;/li&gt;&lt;li&gt;&lt;a href=|http://kjvs.scripturetext.com/ezekiel/4.htm| title=|King James Bible with Strong's Numbers| target=|_top|&gt;Strong's&lt;/a&gt;</v>
      </c>
      <c r="AA806" t="str">
        <f t="shared" si="3220"/>
        <v>&lt;/li&gt;&lt;li&gt;&lt;a href=|http://childrensbibleonline.com/ezekiel/4.htm| title=|The Children's Bible| target=|_top|&gt;Children's&lt;/a&gt;</v>
      </c>
      <c r="AB806" s="2" t="str">
        <f t="shared" si="3220"/>
        <v>&lt;/li&gt;&lt;li&gt;&lt;a href=|http://tsk.scripturetext.com/ezekiel/4.htm| title=|Treasury of Scripture Knowledge| target=|_top|&gt;TSK&lt;/a&gt;</v>
      </c>
      <c r="AC806" t="str">
        <f>CONCATENATE("&lt;a href=|http://",AC1191,"/ezekiel/4.htm","| ","title=|",AC1190,"| target=|_top|&gt;",AC1192,"&lt;/a&gt;")</f>
        <v>&lt;a href=|http://parallelbible.com/ezekiel/4.htm| title=|Parallel Chapters| target=|_top|&gt;PAR&lt;/a&gt;</v>
      </c>
      <c r="AD806" s="2" t="str">
        <f t="shared" ref="AD806:AK806" si="3222">CONCATENATE("&lt;/li&gt;&lt;li&gt;&lt;a href=|http://",AD1191,"/ezekiel/4.htm","| ","title=|",AD1190,"| target=|_top|&gt;",AD1192,"&lt;/a&gt;")</f>
        <v>&lt;/li&gt;&lt;li&gt;&lt;a href=|http://gsb.biblecommenter.com/ezekiel/4.htm| title=|Geneva Study Bible| target=|_top|&gt;GSB&lt;/a&gt;</v>
      </c>
      <c r="AE806" s="2" t="str">
        <f t="shared" si="3222"/>
        <v>&lt;/li&gt;&lt;li&gt;&lt;a href=|http://jfb.biblecommenter.com/ezekiel/4.htm| title=|Jamieson-Fausset-Brown Bible Commentary| target=|_top|&gt;JFB&lt;/a&gt;</v>
      </c>
      <c r="AF806" s="2" t="str">
        <f t="shared" si="3222"/>
        <v>&lt;/li&gt;&lt;li&gt;&lt;a href=|http://kjt.biblecommenter.com/ezekiel/4.htm| title=|King James Translators' Notes| target=|_top|&gt;KJT&lt;/a&gt;</v>
      </c>
      <c r="AG806" s="2" t="str">
        <f t="shared" si="3222"/>
        <v>&lt;/li&gt;&lt;li&gt;&lt;a href=|http://mhc.biblecommenter.com/ezekiel/4.htm| title=|Matthew Henry's Concise Commentary| target=|_top|&gt;MHC&lt;/a&gt;</v>
      </c>
      <c r="AH806" s="2" t="str">
        <f t="shared" si="3222"/>
        <v>&lt;/li&gt;&lt;li&gt;&lt;a href=|http://sco.biblecommenter.com/ezekiel/4.htm| title=|Scofield Reference Notes| target=|_top|&gt;SCO&lt;/a&gt;</v>
      </c>
      <c r="AI806" s="2" t="str">
        <f t="shared" si="3222"/>
        <v>&lt;/li&gt;&lt;li&gt;&lt;a href=|http://wes.biblecommenter.com/ezekiel/4.htm| title=|Wesley's Notes on the Bible| target=|_top|&gt;WES&lt;/a&gt;</v>
      </c>
      <c r="AJ806" t="str">
        <f t="shared" si="3222"/>
        <v>&lt;/li&gt;&lt;li&gt;&lt;a href=|http://worldebible.com/ezekiel/4.htm| title=|World English Bible| target=|_top|&gt;WEB&lt;/a&gt;</v>
      </c>
      <c r="AK806" t="str">
        <f t="shared" si="3222"/>
        <v>&lt;/li&gt;&lt;li&gt;&lt;a href=|http://yltbible.com/ezekiel/4.htm| title=|Young's Literal Translation| target=|_top|&gt;YLT&lt;/a&gt;</v>
      </c>
      <c r="AL806" t="str">
        <f>CONCATENATE("&lt;a href=|http://",AL1191,"/ezekiel/4.htm","| ","title=|",AL1190,"| target=|_top|&gt;",AL1192,"&lt;/a&gt;")</f>
        <v>&lt;a href=|http://kjv.us/ezekiel/4.htm| title=|American King James Version| target=|_top|&gt;AKJ&lt;/a&gt;</v>
      </c>
      <c r="AM806" t="str">
        <f t="shared" ref="AM806:AN806" si="3223">CONCATENATE("&lt;/li&gt;&lt;li&gt;&lt;a href=|http://",AM1191,"/ezekiel/4.htm","| ","title=|",AM1190,"| target=|_top|&gt;",AM1192,"&lt;/a&gt;")</f>
        <v>&lt;/li&gt;&lt;li&gt;&lt;a href=|http://basicenglishbible.com/ezekiel/4.htm| title=|Bible in Basic English| target=|_top|&gt;BBE&lt;/a&gt;</v>
      </c>
      <c r="AN806" t="str">
        <f t="shared" si="3223"/>
        <v>&lt;/li&gt;&lt;li&gt;&lt;a href=|http://darbybible.com/ezekiel/4.htm| title=|Darby Bible Translation| target=|_top|&gt;DBY&lt;/a&gt;</v>
      </c>
      <c r="AO80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0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0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06" t="str">
        <f>CONCATENATE("&lt;/li&gt;&lt;li&gt;&lt;a href=|http://",AR1191,"/ezekiel/4.htm","| ","title=|",AR1190,"| target=|_top|&gt;",AR1192,"&lt;/a&gt;")</f>
        <v>&lt;/li&gt;&lt;li&gt;&lt;a href=|http://websterbible.com/ezekiel/4.htm| title=|Webster's Bible Translation| target=|_top|&gt;WBS&lt;/a&gt;</v>
      </c>
      <c r="AS80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06" t="str">
        <f>CONCATENATE("&lt;/li&gt;&lt;li&gt;&lt;a href=|http://",AT1191,"/ezekiel/4-1.htm","| ","title=|",AT1190,"| target=|_top|&gt;",AT1192,"&lt;/a&gt;")</f>
        <v>&lt;/li&gt;&lt;li&gt;&lt;a href=|http://biblebrowser.com/ezekiel/4-1.htm| title=|Split View| target=|_top|&gt;Split&lt;/a&gt;</v>
      </c>
      <c r="AU806" s="2" t="s">
        <v>1276</v>
      </c>
      <c r="AV806" t="s">
        <v>64</v>
      </c>
    </row>
    <row r="807" spans="1:48">
      <c r="A807" t="s">
        <v>622</v>
      </c>
      <c r="B807" t="s">
        <v>848</v>
      </c>
      <c r="C807" t="s">
        <v>624</v>
      </c>
      <c r="D807" t="s">
        <v>1268</v>
      </c>
      <c r="E807" t="s">
        <v>1277</v>
      </c>
      <c r="F807" t="s">
        <v>1304</v>
      </c>
      <c r="G807" t="s">
        <v>1266</v>
      </c>
      <c r="H807" t="s">
        <v>1305</v>
      </c>
      <c r="I807" t="s">
        <v>1303</v>
      </c>
      <c r="J807" t="s">
        <v>1267</v>
      </c>
      <c r="K807" t="s">
        <v>1275</v>
      </c>
      <c r="L807" s="2" t="s">
        <v>1274</v>
      </c>
      <c r="M807" t="str">
        <f t="shared" ref="M807:AB807" si="3224">CONCATENATE("&lt;/li&gt;&lt;li&gt;&lt;a href=|http://",M1191,"/ezekiel/5.htm","| ","title=|",M1190,"| target=|_top|&gt;",M1192,"&lt;/a&gt;")</f>
        <v>&lt;/li&gt;&lt;li&gt;&lt;a href=|http://niv.scripturetext.com/ezekiel/5.htm| title=|New International Version| target=|_top|&gt;NIV&lt;/a&gt;</v>
      </c>
      <c r="N807" t="str">
        <f t="shared" si="3224"/>
        <v>&lt;/li&gt;&lt;li&gt;&lt;a href=|http://nlt.scripturetext.com/ezekiel/5.htm| title=|New Living Translation| target=|_top|&gt;NLT&lt;/a&gt;</v>
      </c>
      <c r="O807" t="str">
        <f t="shared" si="3224"/>
        <v>&lt;/li&gt;&lt;li&gt;&lt;a href=|http://nasb.scripturetext.com/ezekiel/5.htm| title=|New American Standard Bible| target=|_top|&gt;NAS&lt;/a&gt;</v>
      </c>
      <c r="P807" t="str">
        <f t="shared" si="3224"/>
        <v>&lt;/li&gt;&lt;li&gt;&lt;a href=|http://gwt.scripturetext.com/ezekiel/5.htm| title=|God's Word Translation| target=|_top|&gt;GWT&lt;/a&gt;</v>
      </c>
      <c r="Q807" t="str">
        <f t="shared" si="3224"/>
        <v>&lt;/li&gt;&lt;li&gt;&lt;a href=|http://kingjbible.com/ezekiel/5.htm| title=|King James Bible| target=|_top|&gt;KJV&lt;/a&gt;</v>
      </c>
      <c r="R807" t="str">
        <f t="shared" si="3224"/>
        <v>&lt;/li&gt;&lt;li&gt;&lt;a href=|http://asvbible.com/ezekiel/5.htm| title=|American Standard Version| target=|_top|&gt;ASV&lt;/a&gt;</v>
      </c>
      <c r="S807" t="str">
        <f t="shared" si="3224"/>
        <v>&lt;/li&gt;&lt;li&gt;&lt;a href=|http://drb.scripturetext.com/ezekiel/5.htm| title=|Douay-Rheims Bible| target=|_top|&gt;DRB&lt;/a&gt;</v>
      </c>
      <c r="T807" t="str">
        <f t="shared" si="3224"/>
        <v>&lt;/li&gt;&lt;li&gt;&lt;a href=|http://erv.scripturetext.com/ezekiel/5.htm| title=|English Revised Version| target=|_top|&gt;ERV&lt;/a&gt;</v>
      </c>
      <c r="V807" t="str">
        <f>CONCATENATE("&lt;/li&gt;&lt;li&gt;&lt;a href=|http://",V1191,"/ezekiel/5.htm","| ","title=|",V1190,"| target=|_top|&gt;",V1192,"&lt;/a&gt;")</f>
        <v>&lt;/li&gt;&lt;li&gt;&lt;a href=|http://study.interlinearbible.org/ezekiel/5.htm| title=|Hebrew Study Bible| target=|_top|&gt;Heb Study&lt;/a&gt;</v>
      </c>
      <c r="W807" t="str">
        <f t="shared" si="3224"/>
        <v>&lt;/li&gt;&lt;li&gt;&lt;a href=|http://apostolic.interlinearbible.org/ezekiel/5.htm| title=|Apostolic Bible Polyglot Interlinear| target=|_top|&gt;Polyglot&lt;/a&gt;</v>
      </c>
      <c r="X807" t="str">
        <f t="shared" si="3224"/>
        <v>&lt;/li&gt;&lt;li&gt;&lt;a href=|http://interlinearbible.org/ezekiel/5.htm| title=|Interlinear Bible| target=|_top|&gt;Interlin&lt;/a&gt;</v>
      </c>
      <c r="Y807" t="str">
        <f t="shared" ref="Y807" si="3225">CONCATENATE("&lt;/li&gt;&lt;li&gt;&lt;a href=|http://",Y1191,"/ezekiel/5.htm","| ","title=|",Y1190,"| target=|_top|&gt;",Y1192,"&lt;/a&gt;")</f>
        <v>&lt;/li&gt;&lt;li&gt;&lt;a href=|http://bibleoutline.org/ezekiel/5.htm| title=|Outline with People and Places List| target=|_top|&gt;Outline&lt;/a&gt;</v>
      </c>
      <c r="Z807" t="str">
        <f t="shared" si="3224"/>
        <v>&lt;/li&gt;&lt;li&gt;&lt;a href=|http://kjvs.scripturetext.com/ezekiel/5.htm| title=|King James Bible with Strong's Numbers| target=|_top|&gt;Strong's&lt;/a&gt;</v>
      </c>
      <c r="AA807" t="str">
        <f t="shared" si="3224"/>
        <v>&lt;/li&gt;&lt;li&gt;&lt;a href=|http://childrensbibleonline.com/ezekiel/5.htm| title=|The Children's Bible| target=|_top|&gt;Children's&lt;/a&gt;</v>
      </c>
      <c r="AB807" s="2" t="str">
        <f t="shared" si="3224"/>
        <v>&lt;/li&gt;&lt;li&gt;&lt;a href=|http://tsk.scripturetext.com/ezekiel/5.htm| title=|Treasury of Scripture Knowledge| target=|_top|&gt;TSK&lt;/a&gt;</v>
      </c>
      <c r="AC807" t="str">
        <f>CONCATENATE("&lt;a href=|http://",AC1191,"/ezekiel/5.htm","| ","title=|",AC1190,"| target=|_top|&gt;",AC1192,"&lt;/a&gt;")</f>
        <v>&lt;a href=|http://parallelbible.com/ezekiel/5.htm| title=|Parallel Chapters| target=|_top|&gt;PAR&lt;/a&gt;</v>
      </c>
      <c r="AD807" s="2" t="str">
        <f t="shared" ref="AD807:AK807" si="3226">CONCATENATE("&lt;/li&gt;&lt;li&gt;&lt;a href=|http://",AD1191,"/ezekiel/5.htm","| ","title=|",AD1190,"| target=|_top|&gt;",AD1192,"&lt;/a&gt;")</f>
        <v>&lt;/li&gt;&lt;li&gt;&lt;a href=|http://gsb.biblecommenter.com/ezekiel/5.htm| title=|Geneva Study Bible| target=|_top|&gt;GSB&lt;/a&gt;</v>
      </c>
      <c r="AE807" s="2" t="str">
        <f t="shared" si="3226"/>
        <v>&lt;/li&gt;&lt;li&gt;&lt;a href=|http://jfb.biblecommenter.com/ezekiel/5.htm| title=|Jamieson-Fausset-Brown Bible Commentary| target=|_top|&gt;JFB&lt;/a&gt;</v>
      </c>
      <c r="AF807" s="2" t="str">
        <f t="shared" si="3226"/>
        <v>&lt;/li&gt;&lt;li&gt;&lt;a href=|http://kjt.biblecommenter.com/ezekiel/5.htm| title=|King James Translators' Notes| target=|_top|&gt;KJT&lt;/a&gt;</v>
      </c>
      <c r="AG807" s="2" t="str">
        <f t="shared" si="3226"/>
        <v>&lt;/li&gt;&lt;li&gt;&lt;a href=|http://mhc.biblecommenter.com/ezekiel/5.htm| title=|Matthew Henry's Concise Commentary| target=|_top|&gt;MHC&lt;/a&gt;</v>
      </c>
      <c r="AH807" s="2" t="str">
        <f t="shared" si="3226"/>
        <v>&lt;/li&gt;&lt;li&gt;&lt;a href=|http://sco.biblecommenter.com/ezekiel/5.htm| title=|Scofield Reference Notes| target=|_top|&gt;SCO&lt;/a&gt;</v>
      </c>
      <c r="AI807" s="2" t="str">
        <f t="shared" si="3226"/>
        <v>&lt;/li&gt;&lt;li&gt;&lt;a href=|http://wes.biblecommenter.com/ezekiel/5.htm| title=|Wesley's Notes on the Bible| target=|_top|&gt;WES&lt;/a&gt;</v>
      </c>
      <c r="AJ807" t="str">
        <f t="shared" si="3226"/>
        <v>&lt;/li&gt;&lt;li&gt;&lt;a href=|http://worldebible.com/ezekiel/5.htm| title=|World English Bible| target=|_top|&gt;WEB&lt;/a&gt;</v>
      </c>
      <c r="AK807" t="str">
        <f t="shared" si="3226"/>
        <v>&lt;/li&gt;&lt;li&gt;&lt;a href=|http://yltbible.com/ezekiel/5.htm| title=|Young's Literal Translation| target=|_top|&gt;YLT&lt;/a&gt;</v>
      </c>
      <c r="AL807" t="str">
        <f>CONCATENATE("&lt;a href=|http://",AL1191,"/ezekiel/5.htm","| ","title=|",AL1190,"| target=|_top|&gt;",AL1192,"&lt;/a&gt;")</f>
        <v>&lt;a href=|http://kjv.us/ezekiel/5.htm| title=|American King James Version| target=|_top|&gt;AKJ&lt;/a&gt;</v>
      </c>
      <c r="AM807" t="str">
        <f t="shared" ref="AM807:AN807" si="3227">CONCATENATE("&lt;/li&gt;&lt;li&gt;&lt;a href=|http://",AM1191,"/ezekiel/5.htm","| ","title=|",AM1190,"| target=|_top|&gt;",AM1192,"&lt;/a&gt;")</f>
        <v>&lt;/li&gt;&lt;li&gt;&lt;a href=|http://basicenglishbible.com/ezekiel/5.htm| title=|Bible in Basic English| target=|_top|&gt;BBE&lt;/a&gt;</v>
      </c>
      <c r="AN807" t="str">
        <f t="shared" si="3227"/>
        <v>&lt;/li&gt;&lt;li&gt;&lt;a href=|http://darbybible.com/ezekiel/5.htm| title=|Darby Bible Translation| target=|_top|&gt;DBY&lt;/a&gt;</v>
      </c>
      <c r="AO80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0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0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07" t="str">
        <f>CONCATENATE("&lt;/li&gt;&lt;li&gt;&lt;a href=|http://",AR1191,"/ezekiel/5.htm","| ","title=|",AR1190,"| target=|_top|&gt;",AR1192,"&lt;/a&gt;")</f>
        <v>&lt;/li&gt;&lt;li&gt;&lt;a href=|http://websterbible.com/ezekiel/5.htm| title=|Webster's Bible Translation| target=|_top|&gt;WBS&lt;/a&gt;</v>
      </c>
      <c r="AS80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07" t="str">
        <f>CONCATENATE("&lt;/li&gt;&lt;li&gt;&lt;a href=|http://",AT1191,"/ezekiel/5-1.htm","| ","title=|",AT1190,"| target=|_top|&gt;",AT1192,"&lt;/a&gt;")</f>
        <v>&lt;/li&gt;&lt;li&gt;&lt;a href=|http://biblebrowser.com/ezekiel/5-1.htm| title=|Split View| target=|_top|&gt;Split&lt;/a&gt;</v>
      </c>
      <c r="AU807" s="2" t="s">
        <v>1276</v>
      </c>
      <c r="AV807" t="s">
        <v>64</v>
      </c>
    </row>
    <row r="808" spans="1:48">
      <c r="A808" t="s">
        <v>622</v>
      </c>
      <c r="B808" t="s">
        <v>849</v>
      </c>
      <c r="C808" t="s">
        <v>624</v>
      </c>
      <c r="D808" t="s">
        <v>1268</v>
      </c>
      <c r="E808" t="s">
        <v>1277</v>
      </c>
      <c r="F808" t="s">
        <v>1304</v>
      </c>
      <c r="G808" t="s">
        <v>1266</v>
      </c>
      <c r="H808" t="s">
        <v>1305</v>
      </c>
      <c r="I808" t="s">
        <v>1303</v>
      </c>
      <c r="J808" t="s">
        <v>1267</v>
      </c>
      <c r="K808" t="s">
        <v>1275</v>
      </c>
      <c r="L808" s="2" t="s">
        <v>1274</v>
      </c>
      <c r="M808" t="str">
        <f t="shared" ref="M808:AB808" si="3228">CONCATENATE("&lt;/li&gt;&lt;li&gt;&lt;a href=|http://",M1191,"/ezekiel/6.htm","| ","title=|",M1190,"| target=|_top|&gt;",M1192,"&lt;/a&gt;")</f>
        <v>&lt;/li&gt;&lt;li&gt;&lt;a href=|http://niv.scripturetext.com/ezekiel/6.htm| title=|New International Version| target=|_top|&gt;NIV&lt;/a&gt;</v>
      </c>
      <c r="N808" t="str">
        <f t="shared" si="3228"/>
        <v>&lt;/li&gt;&lt;li&gt;&lt;a href=|http://nlt.scripturetext.com/ezekiel/6.htm| title=|New Living Translation| target=|_top|&gt;NLT&lt;/a&gt;</v>
      </c>
      <c r="O808" t="str">
        <f t="shared" si="3228"/>
        <v>&lt;/li&gt;&lt;li&gt;&lt;a href=|http://nasb.scripturetext.com/ezekiel/6.htm| title=|New American Standard Bible| target=|_top|&gt;NAS&lt;/a&gt;</v>
      </c>
      <c r="P808" t="str">
        <f t="shared" si="3228"/>
        <v>&lt;/li&gt;&lt;li&gt;&lt;a href=|http://gwt.scripturetext.com/ezekiel/6.htm| title=|God's Word Translation| target=|_top|&gt;GWT&lt;/a&gt;</v>
      </c>
      <c r="Q808" t="str">
        <f t="shared" si="3228"/>
        <v>&lt;/li&gt;&lt;li&gt;&lt;a href=|http://kingjbible.com/ezekiel/6.htm| title=|King James Bible| target=|_top|&gt;KJV&lt;/a&gt;</v>
      </c>
      <c r="R808" t="str">
        <f t="shared" si="3228"/>
        <v>&lt;/li&gt;&lt;li&gt;&lt;a href=|http://asvbible.com/ezekiel/6.htm| title=|American Standard Version| target=|_top|&gt;ASV&lt;/a&gt;</v>
      </c>
      <c r="S808" t="str">
        <f t="shared" si="3228"/>
        <v>&lt;/li&gt;&lt;li&gt;&lt;a href=|http://drb.scripturetext.com/ezekiel/6.htm| title=|Douay-Rheims Bible| target=|_top|&gt;DRB&lt;/a&gt;</v>
      </c>
      <c r="T808" t="str">
        <f t="shared" si="3228"/>
        <v>&lt;/li&gt;&lt;li&gt;&lt;a href=|http://erv.scripturetext.com/ezekiel/6.htm| title=|English Revised Version| target=|_top|&gt;ERV&lt;/a&gt;</v>
      </c>
      <c r="V808" t="str">
        <f>CONCATENATE("&lt;/li&gt;&lt;li&gt;&lt;a href=|http://",V1191,"/ezekiel/6.htm","| ","title=|",V1190,"| target=|_top|&gt;",V1192,"&lt;/a&gt;")</f>
        <v>&lt;/li&gt;&lt;li&gt;&lt;a href=|http://study.interlinearbible.org/ezekiel/6.htm| title=|Hebrew Study Bible| target=|_top|&gt;Heb Study&lt;/a&gt;</v>
      </c>
      <c r="W808" t="str">
        <f t="shared" si="3228"/>
        <v>&lt;/li&gt;&lt;li&gt;&lt;a href=|http://apostolic.interlinearbible.org/ezekiel/6.htm| title=|Apostolic Bible Polyglot Interlinear| target=|_top|&gt;Polyglot&lt;/a&gt;</v>
      </c>
      <c r="X808" t="str">
        <f t="shared" si="3228"/>
        <v>&lt;/li&gt;&lt;li&gt;&lt;a href=|http://interlinearbible.org/ezekiel/6.htm| title=|Interlinear Bible| target=|_top|&gt;Interlin&lt;/a&gt;</v>
      </c>
      <c r="Y808" t="str">
        <f t="shared" ref="Y808" si="3229">CONCATENATE("&lt;/li&gt;&lt;li&gt;&lt;a href=|http://",Y1191,"/ezekiel/6.htm","| ","title=|",Y1190,"| target=|_top|&gt;",Y1192,"&lt;/a&gt;")</f>
        <v>&lt;/li&gt;&lt;li&gt;&lt;a href=|http://bibleoutline.org/ezekiel/6.htm| title=|Outline with People and Places List| target=|_top|&gt;Outline&lt;/a&gt;</v>
      </c>
      <c r="Z808" t="str">
        <f t="shared" si="3228"/>
        <v>&lt;/li&gt;&lt;li&gt;&lt;a href=|http://kjvs.scripturetext.com/ezekiel/6.htm| title=|King James Bible with Strong's Numbers| target=|_top|&gt;Strong's&lt;/a&gt;</v>
      </c>
      <c r="AA808" t="str">
        <f t="shared" si="3228"/>
        <v>&lt;/li&gt;&lt;li&gt;&lt;a href=|http://childrensbibleonline.com/ezekiel/6.htm| title=|The Children's Bible| target=|_top|&gt;Children's&lt;/a&gt;</v>
      </c>
      <c r="AB808" s="2" t="str">
        <f t="shared" si="3228"/>
        <v>&lt;/li&gt;&lt;li&gt;&lt;a href=|http://tsk.scripturetext.com/ezekiel/6.htm| title=|Treasury of Scripture Knowledge| target=|_top|&gt;TSK&lt;/a&gt;</v>
      </c>
      <c r="AC808" t="str">
        <f>CONCATENATE("&lt;a href=|http://",AC1191,"/ezekiel/6.htm","| ","title=|",AC1190,"| target=|_top|&gt;",AC1192,"&lt;/a&gt;")</f>
        <v>&lt;a href=|http://parallelbible.com/ezekiel/6.htm| title=|Parallel Chapters| target=|_top|&gt;PAR&lt;/a&gt;</v>
      </c>
      <c r="AD808" s="2" t="str">
        <f t="shared" ref="AD808:AK808" si="3230">CONCATENATE("&lt;/li&gt;&lt;li&gt;&lt;a href=|http://",AD1191,"/ezekiel/6.htm","| ","title=|",AD1190,"| target=|_top|&gt;",AD1192,"&lt;/a&gt;")</f>
        <v>&lt;/li&gt;&lt;li&gt;&lt;a href=|http://gsb.biblecommenter.com/ezekiel/6.htm| title=|Geneva Study Bible| target=|_top|&gt;GSB&lt;/a&gt;</v>
      </c>
      <c r="AE808" s="2" t="str">
        <f t="shared" si="3230"/>
        <v>&lt;/li&gt;&lt;li&gt;&lt;a href=|http://jfb.biblecommenter.com/ezekiel/6.htm| title=|Jamieson-Fausset-Brown Bible Commentary| target=|_top|&gt;JFB&lt;/a&gt;</v>
      </c>
      <c r="AF808" s="2" t="str">
        <f t="shared" si="3230"/>
        <v>&lt;/li&gt;&lt;li&gt;&lt;a href=|http://kjt.biblecommenter.com/ezekiel/6.htm| title=|King James Translators' Notes| target=|_top|&gt;KJT&lt;/a&gt;</v>
      </c>
      <c r="AG808" s="2" t="str">
        <f t="shared" si="3230"/>
        <v>&lt;/li&gt;&lt;li&gt;&lt;a href=|http://mhc.biblecommenter.com/ezekiel/6.htm| title=|Matthew Henry's Concise Commentary| target=|_top|&gt;MHC&lt;/a&gt;</v>
      </c>
      <c r="AH808" s="2" t="str">
        <f t="shared" si="3230"/>
        <v>&lt;/li&gt;&lt;li&gt;&lt;a href=|http://sco.biblecommenter.com/ezekiel/6.htm| title=|Scofield Reference Notes| target=|_top|&gt;SCO&lt;/a&gt;</v>
      </c>
      <c r="AI808" s="2" t="str">
        <f t="shared" si="3230"/>
        <v>&lt;/li&gt;&lt;li&gt;&lt;a href=|http://wes.biblecommenter.com/ezekiel/6.htm| title=|Wesley's Notes on the Bible| target=|_top|&gt;WES&lt;/a&gt;</v>
      </c>
      <c r="AJ808" t="str">
        <f t="shared" si="3230"/>
        <v>&lt;/li&gt;&lt;li&gt;&lt;a href=|http://worldebible.com/ezekiel/6.htm| title=|World English Bible| target=|_top|&gt;WEB&lt;/a&gt;</v>
      </c>
      <c r="AK808" t="str">
        <f t="shared" si="3230"/>
        <v>&lt;/li&gt;&lt;li&gt;&lt;a href=|http://yltbible.com/ezekiel/6.htm| title=|Young's Literal Translation| target=|_top|&gt;YLT&lt;/a&gt;</v>
      </c>
      <c r="AL808" t="str">
        <f>CONCATENATE("&lt;a href=|http://",AL1191,"/ezekiel/6.htm","| ","title=|",AL1190,"| target=|_top|&gt;",AL1192,"&lt;/a&gt;")</f>
        <v>&lt;a href=|http://kjv.us/ezekiel/6.htm| title=|American King James Version| target=|_top|&gt;AKJ&lt;/a&gt;</v>
      </c>
      <c r="AM808" t="str">
        <f t="shared" ref="AM808:AN808" si="3231">CONCATENATE("&lt;/li&gt;&lt;li&gt;&lt;a href=|http://",AM1191,"/ezekiel/6.htm","| ","title=|",AM1190,"| target=|_top|&gt;",AM1192,"&lt;/a&gt;")</f>
        <v>&lt;/li&gt;&lt;li&gt;&lt;a href=|http://basicenglishbible.com/ezekiel/6.htm| title=|Bible in Basic English| target=|_top|&gt;BBE&lt;/a&gt;</v>
      </c>
      <c r="AN808" t="str">
        <f t="shared" si="3231"/>
        <v>&lt;/li&gt;&lt;li&gt;&lt;a href=|http://darbybible.com/ezekiel/6.htm| title=|Darby Bible Translation| target=|_top|&gt;DBY&lt;/a&gt;</v>
      </c>
      <c r="AO80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0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0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08" t="str">
        <f>CONCATENATE("&lt;/li&gt;&lt;li&gt;&lt;a href=|http://",AR1191,"/ezekiel/6.htm","| ","title=|",AR1190,"| target=|_top|&gt;",AR1192,"&lt;/a&gt;")</f>
        <v>&lt;/li&gt;&lt;li&gt;&lt;a href=|http://websterbible.com/ezekiel/6.htm| title=|Webster's Bible Translation| target=|_top|&gt;WBS&lt;/a&gt;</v>
      </c>
      <c r="AS80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08" t="str">
        <f>CONCATENATE("&lt;/li&gt;&lt;li&gt;&lt;a href=|http://",AT1191,"/ezekiel/6-1.htm","| ","title=|",AT1190,"| target=|_top|&gt;",AT1192,"&lt;/a&gt;")</f>
        <v>&lt;/li&gt;&lt;li&gt;&lt;a href=|http://biblebrowser.com/ezekiel/6-1.htm| title=|Split View| target=|_top|&gt;Split&lt;/a&gt;</v>
      </c>
      <c r="AU808" s="2" t="s">
        <v>1276</v>
      </c>
      <c r="AV808" t="s">
        <v>64</v>
      </c>
    </row>
    <row r="809" spans="1:48">
      <c r="A809" t="s">
        <v>622</v>
      </c>
      <c r="B809" t="s">
        <v>850</v>
      </c>
      <c r="C809" t="s">
        <v>624</v>
      </c>
      <c r="D809" t="s">
        <v>1268</v>
      </c>
      <c r="E809" t="s">
        <v>1277</v>
      </c>
      <c r="F809" t="s">
        <v>1304</v>
      </c>
      <c r="G809" t="s">
        <v>1266</v>
      </c>
      <c r="H809" t="s">
        <v>1305</v>
      </c>
      <c r="I809" t="s">
        <v>1303</v>
      </c>
      <c r="J809" t="s">
        <v>1267</v>
      </c>
      <c r="K809" t="s">
        <v>1275</v>
      </c>
      <c r="L809" s="2" t="s">
        <v>1274</v>
      </c>
      <c r="M809" t="str">
        <f t="shared" ref="M809:AB809" si="3232">CONCATENATE("&lt;/li&gt;&lt;li&gt;&lt;a href=|http://",M1191,"/ezekiel/7.htm","| ","title=|",M1190,"| target=|_top|&gt;",M1192,"&lt;/a&gt;")</f>
        <v>&lt;/li&gt;&lt;li&gt;&lt;a href=|http://niv.scripturetext.com/ezekiel/7.htm| title=|New International Version| target=|_top|&gt;NIV&lt;/a&gt;</v>
      </c>
      <c r="N809" t="str">
        <f t="shared" si="3232"/>
        <v>&lt;/li&gt;&lt;li&gt;&lt;a href=|http://nlt.scripturetext.com/ezekiel/7.htm| title=|New Living Translation| target=|_top|&gt;NLT&lt;/a&gt;</v>
      </c>
      <c r="O809" t="str">
        <f t="shared" si="3232"/>
        <v>&lt;/li&gt;&lt;li&gt;&lt;a href=|http://nasb.scripturetext.com/ezekiel/7.htm| title=|New American Standard Bible| target=|_top|&gt;NAS&lt;/a&gt;</v>
      </c>
      <c r="P809" t="str">
        <f t="shared" si="3232"/>
        <v>&lt;/li&gt;&lt;li&gt;&lt;a href=|http://gwt.scripturetext.com/ezekiel/7.htm| title=|God's Word Translation| target=|_top|&gt;GWT&lt;/a&gt;</v>
      </c>
      <c r="Q809" t="str">
        <f t="shared" si="3232"/>
        <v>&lt;/li&gt;&lt;li&gt;&lt;a href=|http://kingjbible.com/ezekiel/7.htm| title=|King James Bible| target=|_top|&gt;KJV&lt;/a&gt;</v>
      </c>
      <c r="R809" t="str">
        <f t="shared" si="3232"/>
        <v>&lt;/li&gt;&lt;li&gt;&lt;a href=|http://asvbible.com/ezekiel/7.htm| title=|American Standard Version| target=|_top|&gt;ASV&lt;/a&gt;</v>
      </c>
      <c r="S809" t="str">
        <f t="shared" si="3232"/>
        <v>&lt;/li&gt;&lt;li&gt;&lt;a href=|http://drb.scripturetext.com/ezekiel/7.htm| title=|Douay-Rheims Bible| target=|_top|&gt;DRB&lt;/a&gt;</v>
      </c>
      <c r="T809" t="str">
        <f t="shared" si="3232"/>
        <v>&lt;/li&gt;&lt;li&gt;&lt;a href=|http://erv.scripturetext.com/ezekiel/7.htm| title=|English Revised Version| target=|_top|&gt;ERV&lt;/a&gt;</v>
      </c>
      <c r="V809" t="str">
        <f>CONCATENATE("&lt;/li&gt;&lt;li&gt;&lt;a href=|http://",V1191,"/ezekiel/7.htm","| ","title=|",V1190,"| target=|_top|&gt;",V1192,"&lt;/a&gt;")</f>
        <v>&lt;/li&gt;&lt;li&gt;&lt;a href=|http://study.interlinearbible.org/ezekiel/7.htm| title=|Hebrew Study Bible| target=|_top|&gt;Heb Study&lt;/a&gt;</v>
      </c>
      <c r="W809" t="str">
        <f t="shared" si="3232"/>
        <v>&lt;/li&gt;&lt;li&gt;&lt;a href=|http://apostolic.interlinearbible.org/ezekiel/7.htm| title=|Apostolic Bible Polyglot Interlinear| target=|_top|&gt;Polyglot&lt;/a&gt;</v>
      </c>
      <c r="X809" t="str">
        <f t="shared" si="3232"/>
        <v>&lt;/li&gt;&lt;li&gt;&lt;a href=|http://interlinearbible.org/ezekiel/7.htm| title=|Interlinear Bible| target=|_top|&gt;Interlin&lt;/a&gt;</v>
      </c>
      <c r="Y809" t="str">
        <f t="shared" ref="Y809" si="3233">CONCATENATE("&lt;/li&gt;&lt;li&gt;&lt;a href=|http://",Y1191,"/ezekiel/7.htm","| ","title=|",Y1190,"| target=|_top|&gt;",Y1192,"&lt;/a&gt;")</f>
        <v>&lt;/li&gt;&lt;li&gt;&lt;a href=|http://bibleoutline.org/ezekiel/7.htm| title=|Outline with People and Places List| target=|_top|&gt;Outline&lt;/a&gt;</v>
      </c>
      <c r="Z809" t="str">
        <f t="shared" si="3232"/>
        <v>&lt;/li&gt;&lt;li&gt;&lt;a href=|http://kjvs.scripturetext.com/ezekiel/7.htm| title=|King James Bible with Strong's Numbers| target=|_top|&gt;Strong's&lt;/a&gt;</v>
      </c>
      <c r="AA809" t="str">
        <f t="shared" si="3232"/>
        <v>&lt;/li&gt;&lt;li&gt;&lt;a href=|http://childrensbibleonline.com/ezekiel/7.htm| title=|The Children's Bible| target=|_top|&gt;Children's&lt;/a&gt;</v>
      </c>
      <c r="AB809" s="2" t="str">
        <f t="shared" si="3232"/>
        <v>&lt;/li&gt;&lt;li&gt;&lt;a href=|http://tsk.scripturetext.com/ezekiel/7.htm| title=|Treasury of Scripture Knowledge| target=|_top|&gt;TSK&lt;/a&gt;</v>
      </c>
      <c r="AC809" t="str">
        <f>CONCATENATE("&lt;a href=|http://",AC1191,"/ezekiel/7.htm","| ","title=|",AC1190,"| target=|_top|&gt;",AC1192,"&lt;/a&gt;")</f>
        <v>&lt;a href=|http://parallelbible.com/ezekiel/7.htm| title=|Parallel Chapters| target=|_top|&gt;PAR&lt;/a&gt;</v>
      </c>
      <c r="AD809" s="2" t="str">
        <f t="shared" ref="AD809:AK809" si="3234">CONCATENATE("&lt;/li&gt;&lt;li&gt;&lt;a href=|http://",AD1191,"/ezekiel/7.htm","| ","title=|",AD1190,"| target=|_top|&gt;",AD1192,"&lt;/a&gt;")</f>
        <v>&lt;/li&gt;&lt;li&gt;&lt;a href=|http://gsb.biblecommenter.com/ezekiel/7.htm| title=|Geneva Study Bible| target=|_top|&gt;GSB&lt;/a&gt;</v>
      </c>
      <c r="AE809" s="2" t="str">
        <f t="shared" si="3234"/>
        <v>&lt;/li&gt;&lt;li&gt;&lt;a href=|http://jfb.biblecommenter.com/ezekiel/7.htm| title=|Jamieson-Fausset-Brown Bible Commentary| target=|_top|&gt;JFB&lt;/a&gt;</v>
      </c>
      <c r="AF809" s="2" t="str">
        <f t="shared" si="3234"/>
        <v>&lt;/li&gt;&lt;li&gt;&lt;a href=|http://kjt.biblecommenter.com/ezekiel/7.htm| title=|King James Translators' Notes| target=|_top|&gt;KJT&lt;/a&gt;</v>
      </c>
      <c r="AG809" s="2" t="str">
        <f t="shared" si="3234"/>
        <v>&lt;/li&gt;&lt;li&gt;&lt;a href=|http://mhc.biblecommenter.com/ezekiel/7.htm| title=|Matthew Henry's Concise Commentary| target=|_top|&gt;MHC&lt;/a&gt;</v>
      </c>
      <c r="AH809" s="2" t="str">
        <f t="shared" si="3234"/>
        <v>&lt;/li&gt;&lt;li&gt;&lt;a href=|http://sco.biblecommenter.com/ezekiel/7.htm| title=|Scofield Reference Notes| target=|_top|&gt;SCO&lt;/a&gt;</v>
      </c>
      <c r="AI809" s="2" t="str">
        <f t="shared" si="3234"/>
        <v>&lt;/li&gt;&lt;li&gt;&lt;a href=|http://wes.biblecommenter.com/ezekiel/7.htm| title=|Wesley's Notes on the Bible| target=|_top|&gt;WES&lt;/a&gt;</v>
      </c>
      <c r="AJ809" t="str">
        <f t="shared" si="3234"/>
        <v>&lt;/li&gt;&lt;li&gt;&lt;a href=|http://worldebible.com/ezekiel/7.htm| title=|World English Bible| target=|_top|&gt;WEB&lt;/a&gt;</v>
      </c>
      <c r="AK809" t="str">
        <f t="shared" si="3234"/>
        <v>&lt;/li&gt;&lt;li&gt;&lt;a href=|http://yltbible.com/ezekiel/7.htm| title=|Young's Literal Translation| target=|_top|&gt;YLT&lt;/a&gt;</v>
      </c>
      <c r="AL809" t="str">
        <f>CONCATENATE("&lt;a href=|http://",AL1191,"/ezekiel/7.htm","| ","title=|",AL1190,"| target=|_top|&gt;",AL1192,"&lt;/a&gt;")</f>
        <v>&lt;a href=|http://kjv.us/ezekiel/7.htm| title=|American King James Version| target=|_top|&gt;AKJ&lt;/a&gt;</v>
      </c>
      <c r="AM809" t="str">
        <f t="shared" ref="AM809:AN809" si="3235">CONCATENATE("&lt;/li&gt;&lt;li&gt;&lt;a href=|http://",AM1191,"/ezekiel/7.htm","| ","title=|",AM1190,"| target=|_top|&gt;",AM1192,"&lt;/a&gt;")</f>
        <v>&lt;/li&gt;&lt;li&gt;&lt;a href=|http://basicenglishbible.com/ezekiel/7.htm| title=|Bible in Basic English| target=|_top|&gt;BBE&lt;/a&gt;</v>
      </c>
      <c r="AN809" t="str">
        <f t="shared" si="3235"/>
        <v>&lt;/li&gt;&lt;li&gt;&lt;a href=|http://darbybible.com/ezekiel/7.htm| title=|Darby Bible Translation| target=|_top|&gt;DBY&lt;/a&gt;</v>
      </c>
      <c r="AO80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0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0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09" t="str">
        <f>CONCATENATE("&lt;/li&gt;&lt;li&gt;&lt;a href=|http://",AR1191,"/ezekiel/7.htm","| ","title=|",AR1190,"| target=|_top|&gt;",AR1192,"&lt;/a&gt;")</f>
        <v>&lt;/li&gt;&lt;li&gt;&lt;a href=|http://websterbible.com/ezekiel/7.htm| title=|Webster's Bible Translation| target=|_top|&gt;WBS&lt;/a&gt;</v>
      </c>
      <c r="AS80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09" t="str">
        <f>CONCATENATE("&lt;/li&gt;&lt;li&gt;&lt;a href=|http://",AT1191,"/ezekiel/7-1.htm","| ","title=|",AT1190,"| target=|_top|&gt;",AT1192,"&lt;/a&gt;")</f>
        <v>&lt;/li&gt;&lt;li&gt;&lt;a href=|http://biblebrowser.com/ezekiel/7-1.htm| title=|Split View| target=|_top|&gt;Split&lt;/a&gt;</v>
      </c>
      <c r="AU809" s="2" t="s">
        <v>1276</v>
      </c>
      <c r="AV809" t="s">
        <v>64</v>
      </c>
    </row>
    <row r="810" spans="1:48">
      <c r="A810" t="s">
        <v>622</v>
      </c>
      <c r="B810" t="s">
        <v>851</v>
      </c>
      <c r="C810" t="s">
        <v>624</v>
      </c>
      <c r="D810" t="s">
        <v>1268</v>
      </c>
      <c r="E810" t="s">
        <v>1277</v>
      </c>
      <c r="F810" t="s">
        <v>1304</v>
      </c>
      <c r="G810" t="s">
        <v>1266</v>
      </c>
      <c r="H810" t="s">
        <v>1305</v>
      </c>
      <c r="I810" t="s">
        <v>1303</v>
      </c>
      <c r="J810" t="s">
        <v>1267</v>
      </c>
      <c r="K810" t="s">
        <v>1275</v>
      </c>
      <c r="L810" s="2" t="s">
        <v>1274</v>
      </c>
      <c r="M810" t="str">
        <f t="shared" ref="M810:AB810" si="3236">CONCATENATE("&lt;/li&gt;&lt;li&gt;&lt;a href=|http://",M1191,"/ezekiel/8.htm","| ","title=|",M1190,"| target=|_top|&gt;",M1192,"&lt;/a&gt;")</f>
        <v>&lt;/li&gt;&lt;li&gt;&lt;a href=|http://niv.scripturetext.com/ezekiel/8.htm| title=|New International Version| target=|_top|&gt;NIV&lt;/a&gt;</v>
      </c>
      <c r="N810" t="str">
        <f t="shared" si="3236"/>
        <v>&lt;/li&gt;&lt;li&gt;&lt;a href=|http://nlt.scripturetext.com/ezekiel/8.htm| title=|New Living Translation| target=|_top|&gt;NLT&lt;/a&gt;</v>
      </c>
      <c r="O810" t="str">
        <f t="shared" si="3236"/>
        <v>&lt;/li&gt;&lt;li&gt;&lt;a href=|http://nasb.scripturetext.com/ezekiel/8.htm| title=|New American Standard Bible| target=|_top|&gt;NAS&lt;/a&gt;</v>
      </c>
      <c r="P810" t="str">
        <f t="shared" si="3236"/>
        <v>&lt;/li&gt;&lt;li&gt;&lt;a href=|http://gwt.scripturetext.com/ezekiel/8.htm| title=|God's Word Translation| target=|_top|&gt;GWT&lt;/a&gt;</v>
      </c>
      <c r="Q810" t="str">
        <f t="shared" si="3236"/>
        <v>&lt;/li&gt;&lt;li&gt;&lt;a href=|http://kingjbible.com/ezekiel/8.htm| title=|King James Bible| target=|_top|&gt;KJV&lt;/a&gt;</v>
      </c>
      <c r="R810" t="str">
        <f t="shared" si="3236"/>
        <v>&lt;/li&gt;&lt;li&gt;&lt;a href=|http://asvbible.com/ezekiel/8.htm| title=|American Standard Version| target=|_top|&gt;ASV&lt;/a&gt;</v>
      </c>
      <c r="S810" t="str">
        <f t="shared" si="3236"/>
        <v>&lt;/li&gt;&lt;li&gt;&lt;a href=|http://drb.scripturetext.com/ezekiel/8.htm| title=|Douay-Rheims Bible| target=|_top|&gt;DRB&lt;/a&gt;</v>
      </c>
      <c r="T810" t="str">
        <f t="shared" si="3236"/>
        <v>&lt;/li&gt;&lt;li&gt;&lt;a href=|http://erv.scripturetext.com/ezekiel/8.htm| title=|English Revised Version| target=|_top|&gt;ERV&lt;/a&gt;</v>
      </c>
      <c r="V810" t="str">
        <f>CONCATENATE("&lt;/li&gt;&lt;li&gt;&lt;a href=|http://",V1191,"/ezekiel/8.htm","| ","title=|",V1190,"| target=|_top|&gt;",V1192,"&lt;/a&gt;")</f>
        <v>&lt;/li&gt;&lt;li&gt;&lt;a href=|http://study.interlinearbible.org/ezekiel/8.htm| title=|Hebrew Study Bible| target=|_top|&gt;Heb Study&lt;/a&gt;</v>
      </c>
      <c r="W810" t="str">
        <f t="shared" si="3236"/>
        <v>&lt;/li&gt;&lt;li&gt;&lt;a href=|http://apostolic.interlinearbible.org/ezekiel/8.htm| title=|Apostolic Bible Polyglot Interlinear| target=|_top|&gt;Polyglot&lt;/a&gt;</v>
      </c>
      <c r="X810" t="str">
        <f t="shared" si="3236"/>
        <v>&lt;/li&gt;&lt;li&gt;&lt;a href=|http://interlinearbible.org/ezekiel/8.htm| title=|Interlinear Bible| target=|_top|&gt;Interlin&lt;/a&gt;</v>
      </c>
      <c r="Y810" t="str">
        <f t="shared" ref="Y810" si="3237">CONCATENATE("&lt;/li&gt;&lt;li&gt;&lt;a href=|http://",Y1191,"/ezekiel/8.htm","| ","title=|",Y1190,"| target=|_top|&gt;",Y1192,"&lt;/a&gt;")</f>
        <v>&lt;/li&gt;&lt;li&gt;&lt;a href=|http://bibleoutline.org/ezekiel/8.htm| title=|Outline with People and Places List| target=|_top|&gt;Outline&lt;/a&gt;</v>
      </c>
      <c r="Z810" t="str">
        <f t="shared" si="3236"/>
        <v>&lt;/li&gt;&lt;li&gt;&lt;a href=|http://kjvs.scripturetext.com/ezekiel/8.htm| title=|King James Bible with Strong's Numbers| target=|_top|&gt;Strong's&lt;/a&gt;</v>
      </c>
      <c r="AA810" t="str">
        <f t="shared" si="3236"/>
        <v>&lt;/li&gt;&lt;li&gt;&lt;a href=|http://childrensbibleonline.com/ezekiel/8.htm| title=|The Children's Bible| target=|_top|&gt;Children's&lt;/a&gt;</v>
      </c>
      <c r="AB810" s="2" t="str">
        <f t="shared" si="3236"/>
        <v>&lt;/li&gt;&lt;li&gt;&lt;a href=|http://tsk.scripturetext.com/ezekiel/8.htm| title=|Treasury of Scripture Knowledge| target=|_top|&gt;TSK&lt;/a&gt;</v>
      </c>
      <c r="AC810" t="str">
        <f>CONCATENATE("&lt;a href=|http://",AC1191,"/ezekiel/8.htm","| ","title=|",AC1190,"| target=|_top|&gt;",AC1192,"&lt;/a&gt;")</f>
        <v>&lt;a href=|http://parallelbible.com/ezekiel/8.htm| title=|Parallel Chapters| target=|_top|&gt;PAR&lt;/a&gt;</v>
      </c>
      <c r="AD810" s="2" t="str">
        <f t="shared" ref="AD810:AK810" si="3238">CONCATENATE("&lt;/li&gt;&lt;li&gt;&lt;a href=|http://",AD1191,"/ezekiel/8.htm","| ","title=|",AD1190,"| target=|_top|&gt;",AD1192,"&lt;/a&gt;")</f>
        <v>&lt;/li&gt;&lt;li&gt;&lt;a href=|http://gsb.biblecommenter.com/ezekiel/8.htm| title=|Geneva Study Bible| target=|_top|&gt;GSB&lt;/a&gt;</v>
      </c>
      <c r="AE810" s="2" t="str">
        <f t="shared" si="3238"/>
        <v>&lt;/li&gt;&lt;li&gt;&lt;a href=|http://jfb.biblecommenter.com/ezekiel/8.htm| title=|Jamieson-Fausset-Brown Bible Commentary| target=|_top|&gt;JFB&lt;/a&gt;</v>
      </c>
      <c r="AF810" s="2" t="str">
        <f t="shared" si="3238"/>
        <v>&lt;/li&gt;&lt;li&gt;&lt;a href=|http://kjt.biblecommenter.com/ezekiel/8.htm| title=|King James Translators' Notes| target=|_top|&gt;KJT&lt;/a&gt;</v>
      </c>
      <c r="AG810" s="2" t="str">
        <f t="shared" si="3238"/>
        <v>&lt;/li&gt;&lt;li&gt;&lt;a href=|http://mhc.biblecommenter.com/ezekiel/8.htm| title=|Matthew Henry's Concise Commentary| target=|_top|&gt;MHC&lt;/a&gt;</v>
      </c>
      <c r="AH810" s="2" t="str">
        <f t="shared" si="3238"/>
        <v>&lt;/li&gt;&lt;li&gt;&lt;a href=|http://sco.biblecommenter.com/ezekiel/8.htm| title=|Scofield Reference Notes| target=|_top|&gt;SCO&lt;/a&gt;</v>
      </c>
      <c r="AI810" s="2" t="str">
        <f t="shared" si="3238"/>
        <v>&lt;/li&gt;&lt;li&gt;&lt;a href=|http://wes.biblecommenter.com/ezekiel/8.htm| title=|Wesley's Notes on the Bible| target=|_top|&gt;WES&lt;/a&gt;</v>
      </c>
      <c r="AJ810" t="str">
        <f t="shared" si="3238"/>
        <v>&lt;/li&gt;&lt;li&gt;&lt;a href=|http://worldebible.com/ezekiel/8.htm| title=|World English Bible| target=|_top|&gt;WEB&lt;/a&gt;</v>
      </c>
      <c r="AK810" t="str">
        <f t="shared" si="3238"/>
        <v>&lt;/li&gt;&lt;li&gt;&lt;a href=|http://yltbible.com/ezekiel/8.htm| title=|Young's Literal Translation| target=|_top|&gt;YLT&lt;/a&gt;</v>
      </c>
      <c r="AL810" t="str">
        <f>CONCATENATE("&lt;a href=|http://",AL1191,"/ezekiel/8.htm","| ","title=|",AL1190,"| target=|_top|&gt;",AL1192,"&lt;/a&gt;")</f>
        <v>&lt;a href=|http://kjv.us/ezekiel/8.htm| title=|American King James Version| target=|_top|&gt;AKJ&lt;/a&gt;</v>
      </c>
      <c r="AM810" t="str">
        <f t="shared" ref="AM810:AN810" si="3239">CONCATENATE("&lt;/li&gt;&lt;li&gt;&lt;a href=|http://",AM1191,"/ezekiel/8.htm","| ","title=|",AM1190,"| target=|_top|&gt;",AM1192,"&lt;/a&gt;")</f>
        <v>&lt;/li&gt;&lt;li&gt;&lt;a href=|http://basicenglishbible.com/ezekiel/8.htm| title=|Bible in Basic English| target=|_top|&gt;BBE&lt;/a&gt;</v>
      </c>
      <c r="AN810" t="str">
        <f t="shared" si="3239"/>
        <v>&lt;/li&gt;&lt;li&gt;&lt;a href=|http://darbybible.com/ezekiel/8.htm| title=|Darby Bible Translation| target=|_top|&gt;DBY&lt;/a&gt;</v>
      </c>
      <c r="AO81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1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1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10" t="str">
        <f>CONCATENATE("&lt;/li&gt;&lt;li&gt;&lt;a href=|http://",AR1191,"/ezekiel/8.htm","| ","title=|",AR1190,"| target=|_top|&gt;",AR1192,"&lt;/a&gt;")</f>
        <v>&lt;/li&gt;&lt;li&gt;&lt;a href=|http://websterbible.com/ezekiel/8.htm| title=|Webster's Bible Translation| target=|_top|&gt;WBS&lt;/a&gt;</v>
      </c>
      <c r="AS81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10" t="str">
        <f>CONCATENATE("&lt;/li&gt;&lt;li&gt;&lt;a href=|http://",AT1191,"/ezekiel/8-1.htm","| ","title=|",AT1190,"| target=|_top|&gt;",AT1192,"&lt;/a&gt;")</f>
        <v>&lt;/li&gt;&lt;li&gt;&lt;a href=|http://biblebrowser.com/ezekiel/8-1.htm| title=|Split View| target=|_top|&gt;Split&lt;/a&gt;</v>
      </c>
      <c r="AU810" s="2" t="s">
        <v>1276</v>
      </c>
      <c r="AV810" t="s">
        <v>64</v>
      </c>
    </row>
    <row r="811" spans="1:48">
      <c r="A811" t="s">
        <v>622</v>
      </c>
      <c r="B811" t="s">
        <v>852</v>
      </c>
      <c r="C811" t="s">
        <v>624</v>
      </c>
      <c r="D811" t="s">
        <v>1268</v>
      </c>
      <c r="E811" t="s">
        <v>1277</v>
      </c>
      <c r="F811" t="s">
        <v>1304</v>
      </c>
      <c r="G811" t="s">
        <v>1266</v>
      </c>
      <c r="H811" t="s">
        <v>1305</v>
      </c>
      <c r="I811" t="s">
        <v>1303</v>
      </c>
      <c r="J811" t="s">
        <v>1267</v>
      </c>
      <c r="K811" t="s">
        <v>1275</v>
      </c>
      <c r="L811" s="2" t="s">
        <v>1274</v>
      </c>
      <c r="M811" t="str">
        <f t="shared" ref="M811:AB811" si="3240">CONCATENATE("&lt;/li&gt;&lt;li&gt;&lt;a href=|http://",M1191,"/ezekiel/9.htm","| ","title=|",M1190,"| target=|_top|&gt;",M1192,"&lt;/a&gt;")</f>
        <v>&lt;/li&gt;&lt;li&gt;&lt;a href=|http://niv.scripturetext.com/ezekiel/9.htm| title=|New International Version| target=|_top|&gt;NIV&lt;/a&gt;</v>
      </c>
      <c r="N811" t="str">
        <f t="shared" si="3240"/>
        <v>&lt;/li&gt;&lt;li&gt;&lt;a href=|http://nlt.scripturetext.com/ezekiel/9.htm| title=|New Living Translation| target=|_top|&gt;NLT&lt;/a&gt;</v>
      </c>
      <c r="O811" t="str">
        <f t="shared" si="3240"/>
        <v>&lt;/li&gt;&lt;li&gt;&lt;a href=|http://nasb.scripturetext.com/ezekiel/9.htm| title=|New American Standard Bible| target=|_top|&gt;NAS&lt;/a&gt;</v>
      </c>
      <c r="P811" t="str">
        <f t="shared" si="3240"/>
        <v>&lt;/li&gt;&lt;li&gt;&lt;a href=|http://gwt.scripturetext.com/ezekiel/9.htm| title=|God's Word Translation| target=|_top|&gt;GWT&lt;/a&gt;</v>
      </c>
      <c r="Q811" t="str">
        <f t="shared" si="3240"/>
        <v>&lt;/li&gt;&lt;li&gt;&lt;a href=|http://kingjbible.com/ezekiel/9.htm| title=|King James Bible| target=|_top|&gt;KJV&lt;/a&gt;</v>
      </c>
      <c r="R811" t="str">
        <f t="shared" si="3240"/>
        <v>&lt;/li&gt;&lt;li&gt;&lt;a href=|http://asvbible.com/ezekiel/9.htm| title=|American Standard Version| target=|_top|&gt;ASV&lt;/a&gt;</v>
      </c>
      <c r="S811" t="str">
        <f t="shared" si="3240"/>
        <v>&lt;/li&gt;&lt;li&gt;&lt;a href=|http://drb.scripturetext.com/ezekiel/9.htm| title=|Douay-Rheims Bible| target=|_top|&gt;DRB&lt;/a&gt;</v>
      </c>
      <c r="T811" t="str">
        <f t="shared" si="3240"/>
        <v>&lt;/li&gt;&lt;li&gt;&lt;a href=|http://erv.scripturetext.com/ezekiel/9.htm| title=|English Revised Version| target=|_top|&gt;ERV&lt;/a&gt;</v>
      </c>
      <c r="V811" t="str">
        <f>CONCATENATE("&lt;/li&gt;&lt;li&gt;&lt;a href=|http://",V1191,"/ezekiel/9.htm","| ","title=|",V1190,"| target=|_top|&gt;",V1192,"&lt;/a&gt;")</f>
        <v>&lt;/li&gt;&lt;li&gt;&lt;a href=|http://study.interlinearbible.org/ezekiel/9.htm| title=|Hebrew Study Bible| target=|_top|&gt;Heb Study&lt;/a&gt;</v>
      </c>
      <c r="W811" t="str">
        <f t="shared" si="3240"/>
        <v>&lt;/li&gt;&lt;li&gt;&lt;a href=|http://apostolic.interlinearbible.org/ezekiel/9.htm| title=|Apostolic Bible Polyglot Interlinear| target=|_top|&gt;Polyglot&lt;/a&gt;</v>
      </c>
      <c r="X811" t="str">
        <f t="shared" si="3240"/>
        <v>&lt;/li&gt;&lt;li&gt;&lt;a href=|http://interlinearbible.org/ezekiel/9.htm| title=|Interlinear Bible| target=|_top|&gt;Interlin&lt;/a&gt;</v>
      </c>
      <c r="Y811" t="str">
        <f t="shared" ref="Y811" si="3241">CONCATENATE("&lt;/li&gt;&lt;li&gt;&lt;a href=|http://",Y1191,"/ezekiel/9.htm","| ","title=|",Y1190,"| target=|_top|&gt;",Y1192,"&lt;/a&gt;")</f>
        <v>&lt;/li&gt;&lt;li&gt;&lt;a href=|http://bibleoutline.org/ezekiel/9.htm| title=|Outline with People and Places List| target=|_top|&gt;Outline&lt;/a&gt;</v>
      </c>
      <c r="Z811" t="str">
        <f t="shared" si="3240"/>
        <v>&lt;/li&gt;&lt;li&gt;&lt;a href=|http://kjvs.scripturetext.com/ezekiel/9.htm| title=|King James Bible with Strong's Numbers| target=|_top|&gt;Strong's&lt;/a&gt;</v>
      </c>
      <c r="AA811" t="str">
        <f t="shared" si="3240"/>
        <v>&lt;/li&gt;&lt;li&gt;&lt;a href=|http://childrensbibleonline.com/ezekiel/9.htm| title=|The Children's Bible| target=|_top|&gt;Children's&lt;/a&gt;</v>
      </c>
      <c r="AB811" s="2" t="str">
        <f t="shared" si="3240"/>
        <v>&lt;/li&gt;&lt;li&gt;&lt;a href=|http://tsk.scripturetext.com/ezekiel/9.htm| title=|Treasury of Scripture Knowledge| target=|_top|&gt;TSK&lt;/a&gt;</v>
      </c>
      <c r="AC811" t="str">
        <f>CONCATENATE("&lt;a href=|http://",AC1191,"/ezekiel/9.htm","| ","title=|",AC1190,"| target=|_top|&gt;",AC1192,"&lt;/a&gt;")</f>
        <v>&lt;a href=|http://parallelbible.com/ezekiel/9.htm| title=|Parallel Chapters| target=|_top|&gt;PAR&lt;/a&gt;</v>
      </c>
      <c r="AD811" s="2" t="str">
        <f t="shared" ref="AD811:AK811" si="3242">CONCATENATE("&lt;/li&gt;&lt;li&gt;&lt;a href=|http://",AD1191,"/ezekiel/9.htm","| ","title=|",AD1190,"| target=|_top|&gt;",AD1192,"&lt;/a&gt;")</f>
        <v>&lt;/li&gt;&lt;li&gt;&lt;a href=|http://gsb.biblecommenter.com/ezekiel/9.htm| title=|Geneva Study Bible| target=|_top|&gt;GSB&lt;/a&gt;</v>
      </c>
      <c r="AE811" s="2" t="str">
        <f t="shared" si="3242"/>
        <v>&lt;/li&gt;&lt;li&gt;&lt;a href=|http://jfb.biblecommenter.com/ezekiel/9.htm| title=|Jamieson-Fausset-Brown Bible Commentary| target=|_top|&gt;JFB&lt;/a&gt;</v>
      </c>
      <c r="AF811" s="2" t="str">
        <f t="shared" si="3242"/>
        <v>&lt;/li&gt;&lt;li&gt;&lt;a href=|http://kjt.biblecommenter.com/ezekiel/9.htm| title=|King James Translators' Notes| target=|_top|&gt;KJT&lt;/a&gt;</v>
      </c>
      <c r="AG811" s="2" t="str">
        <f t="shared" si="3242"/>
        <v>&lt;/li&gt;&lt;li&gt;&lt;a href=|http://mhc.biblecommenter.com/ezekiel/9.htm| title=|Matthew Henry's Concise Commentary| target=|_top|&gt;MHC&lt;/a&gt;</v>
      </c>
      <c r="AH811" s="2" t="str">
        <f t="shared" si="3242"/>
        <v>&lt;/li&gt;&lt;li&gt;&lt;a href=|http://sco.biblecommenter.com/ezekiel/9.htm| title=|Scofield Reference Notes| target=|_top|&gt;SCO&lt;/a&gt;</v>
      </c>
      <c r="AI811" s="2" t="str">
        <f t="shared" si="3242"/>
        <v>&lt;/li&gt;&lt;li&gt;&lt;a href=|http://wes.biblecommenter.com/ezekiel/9.htm| title=|Wesley's Notes on the Bible| target=|_top|&gt;WES&lt;/a&gt;</v>
      </c>
      <c r="AJ811" t="str">
        <f t="shared" si="3242"/>
        <v>&lt;/li&gt;&lt;li&gt;&lt;a href=|http://worldebible.com/ezekiel/9.htm| title=|World English Bible| target=|_top|&gt;WEB&lt;/a&gt;</v>
      </c>
      <c r="AK811" t="str">
        <f t="shared" si="3242"/>
        <v>&lt;/li&gt;&lt;li&gt;&lt;a href=|http://yltbible.com/ezekiel/9.htm| title=|Young's Literal Translation| target=|_top|&gt;YLT&lt;/a&gt;</v>
      </c>
      <c r="AL811" t="str">
        <f>CONCATENATE("&lt;a href=|http://",AL1191,"/ezekiel/9.htm","| ","title=|",AL1190,"| target=|_top|&gt;",AL1192,"&lt;/a&gt;")</f>
        <v>&lt;a href=|http://kjv.us/ezekiel/9.htm| title=|American King James Version| target=|_top|&gt;AKJ&lt;/a&gt;</v>
      </c>
      <c r="AM811" t="str">
        <f t="shared" ref="AM811:AN811" si="3243">CONCATENATE("&lt;/li&gt;&lt;li&gt;&lt;a href=|http://",AM1191,"/ezekiel/9.htm","| ","title=|",AM1190,"| target=|_top|&gt;",AM1192,"&lt;/a&gt;")</f>
        <v>&lt;/li&gt;&lt;li&gt;&lt;a href=|http://basicenglishbible.com/ezekiel/9.htm| title=|Bible in Basic English| target=|_top|&gt;BBE&lt;/a&gt;</v>
      </c>
      <c r="AN811" t="str">
        <f t="shared" si="3243"/>
        <v>&lt;/li&gt;&lt;li&gt;&lt;a href=|http://darbybible.com/ezekiel/9.htm| title=|Darby Bible Translation| target=|_top|&gt;DBY&lt;/a&gt;</v>
      </c>
      <c r="AO81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1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1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11" t="str">
        <f>CONCATENATE("&lt;/li&gt;&lt;li&gt;&lt;a href=|http://",AR1191,"/ezekiel/9.htm","| ","title=|",AR1190,"| target=|_top|&gt;",AR1192,"&lt;/a&gt;")</f>
        <v>&lt;/li&gt;&lt;li&gt;&lt;a href=|http://websterbible.com/ezekiel/9.htm| title=|Webster's Bible Translation| target=|_top|&gt;WBS&lt;/a&gt;</v>
      </c>
      <c r="AS81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11" t="str">
        <f>CONCATENATE("&lt;/li&gt;&lt;li&gt;&lt;a href=|http://",AT1191,"/ezekiel/9-1.htm","| ","title=|",AT1190,"| target=|_top|&gt;",AT1192,"&lt;/a&gt;")</f>
        <v>&lt;/li&gt;&lt;li&gt;&lt;a href=|http://biblebrowser.com/ezekiel/9-1.htm| title=|Split View| target=|_top|&gt;Split&lt;/a&gt;</v>
      </c>
      <c r="AU811" s="2" t="s">
        <v>1276</v>
      </c>
      <c r="AV811" t="s">
        <v>64</v>
      </c>
    </row>
    <row r="812" spans="1:48">
      <c r="A812" t="s">
        <v>622</v>
      </c>
      <c r="B812" t="s">
        <v>853</v>
      </c>
      <c r="C812" t="s">
        <v>624</v>
      </c>
      <c r="D812" t="s">
        <v>1268</v>
      </c>
      <c r="E812" t="s">
        <v>1277</v>
      </c>
      <c r="F812" t="s">
        <v>1304</v>
      </c>
      <c r="G812" t="s">
        <v>1266</v>
      </c>
      <c r="H812" t="s">
        <v>1305</v>
      </c>
      <c r="I812" t="s">
        <v>1303</v>
      </c>
      <c r="J812" t="s">
        <v>1267</v>
      </c>
      <c r="K812" t="s">
        <v>1275</v>
      </c>
      <c r="L812" s="2" t="s">
        <v>1274</v>
      </c>
      <c r="M812" t="str">
        <f t="shared" ref="M812:AB812" si="3244">CONCATENATE("&lt;/li&gt;&lt;li&gt;&lt;a href=|http://",M1191,"/ezekiel/10.htm","| ","title=|",M1190,"| target=|_top|&gt;",M1192,"&lt;/a&gt;")</f>
        <v>&lt;/li&gt;&lt;li&gt;&lt;a href=|http://niv.scripturetext.com/ezekiel/10.htm| title=|New International Version| target=|_top|&gt;NIV&lt;/a&gt;</v>
      </c>
      <c r="N812" t="str">
        <f t="shared" si="3244"/>
        <v>&lt;/li&gt;&lt;li&gt;&lt;a href=|http://nlt.scripturetext.com/ezekiel/10.htm| title=|New Living Translation| target=|_top|&gt;NLT&lt;/a&gt;</v>
      </c>
      <c r="O812" t="str">
        <f t="shared" si="3244"/>
        <v>&lt;/li&gt;&lt;li&gt;&lt;a href=|http://nasb.scripturetext.com/ezekiel/10.htm| title=|New American Standard Bible| target=|_top|&gt;NAS&lt;/a&gt;</v>
      </c>
      <c r="P812" t="str">
        <f t="shared" si="3244"/>
        <v>&lt;/li&gt;&lt;li&gt;&lt;a href=|http://gwt.scripturetext.com/ezekiel/10.htm| title=|God's Word Translation| target=|_top|&gt;GWT&lt;/a&gt;</v>
      </c>
      <c r="Q812" t="str">
        <f t="shared" si="3244"/>
        <v>&lt;/li&gt;&lt;li&gt;&lt;a href=|http://kingjbible.com/ezekiel/10.htm| title=|King James Bible| target=|_top|&gt;KJV&lt;/a&gt;</v>
      </c>
      <c r="R812" t="str">
        <f t="shared" si="3244"/>
        <v>&lt;/li&gt;&lt;li&gt;&lt;a href=|http://asvbible.com/ezekiel/10.htm| title=|American Standard Version| target=|_top|&gt;ASV&lt;/a&gt;</v>
      </c>
      <c r="S812" t="str">
        <f t="shared" si="3244"/>
        <v>&lt;/li&gt;&lt;li&gt;&lt;a href=|http://drb.scripturetext.com/ezekiel/10.htm| title=|Douay-Rheims Bible| target=|_top|&gt;DRB&lt;/a&gt;</v>
      </c>
      <c r="T812" t="str">
        <f t="shared" si="3244"/>
        <v>&lt;/li&gt;&lt;li&gt;&lt;a href=|http://erv.scripturetext.com/ezekiel/10.htm| title=|English Revised Version| target=|_top|&gt;ERV&lt;/a&gt;</v>
      </c>
      <c r="V812" t="str">
        <f>CONCATENATE("&lt;/li&gt;&lt;li&gt;&lt;a href=|http://",V1191,"/ezekiel/10.htm","| ","title=|",V1190,"| target=|_top|&gt;",V1192,"&lt;/a&gt;")</f>
        <v>&lt;/li&gt;&lt;li&gt;&lt;a href=|http://study.interlinearbible.org/ezekiel/10.htm| title=|Hebrew Study Bible| target=|_top|&gt;Heb Study&lt;/a&gt;</v>
      </c>
      <c r="W812" t="str">
        <f t="shared" si="3244"/>
        <v>&lt;/li&gt;&lt;li&gt;&lt;a href=|http://apostolic.interlinearbible.org/ezekiel/10.htm| title=|Apostolic Bible Polyglot Interlinear| target=|_top|&gt;Polyglot&lt;/a&gt;</v>
      </c>
      <c r="X812" t="str">
        <f t="shared" si="3244"/>
        <v>&lt;/li&gt;&lt;li&gt;&lt;a href=|http://interlinearbible.org/ezekiel/10.htm| title=|Interlinear Bible| target=|_top|&gt;Interlin&lt;/a&gt;</v>
      </c>
      <c r="Y812" t="str">
        <f t="shared" ref="Y812" si="3245">CONCATENATE("&lt;/li&gt;&lt;li&gt;&lt;a href=|http://",Y1191,"/ezekiel/10.htm","| ","title=|",Y1190,"| target=|_top|&gt;",Y1192,"&lt;/a&gt;")</f>
        <v>&lt;/li&gt;&lt;li&gt;&lt;a href=|http://bibleoutline.org/ezekiel/10.htm| title=|Outline with People and Places List| target=|_top|&gt;Outline&lt;/a&gt;</v>
      </c>
      <c r="Z812" t="str">
        <f t="shared" si="3244"/>
        <v>&lt;/li&gt;&lt;li&gt;&lt;a href=|http://kjvs.scripturetext.com/ezekiel/10.htm| title=|King James Bible with Strong's Numbers| target=|_top|&gt;Strong's&lt;/a&gt;</v>
      </c>
      <c r="AA812" t="str">
        <f t="shared" si="3244"/>
        <v>&lt;/li&gt;&lt;li&gt;&lt;a href=|http://childrensbibleonline.com/ezekiel/10.htm| title=|The Children's Bible| target=|_top|&gt;Children's&lt;/a&gt;</v>
      </c>
      <c r="AB812" s="2" t="str">
        <f t="shared" si="3244"/>
        <v>&lt;/li&gt;&lt;li&gt;&lt;a href=|http://tsk.scripturetext.com/ezekiel/10.htm| title=|Treasury of Scripture Knowledge| target=|_top|&gt;TSK&lt;/a&gt;</v>
      </c>
      <c r="AC812" t="str">
        <f>CONCATENATE("&lt;a href=|http://",AC1191,"/ezekiel/10.htm","| ","title=|",AC1190,"| target=|_top|&gt;",AC1192,"&lt;/a&gt;")</f>
        <v>&lt;a href=|http://parallelbible.com/ezekiel/10.htm| title=|Parallel Chapters| target=|_top|&gt;PAR&lt;/a&gt;</v>
      </c>
      <c r="AD812" s="2" t="str">
        <f t="shared" ref="AD812:AK812" si="3246">CONCATENATE("&lt;/li&gt;&lt;li&gt;&lt;a href=|http://",AD1191,"/ezekiel/10.htm","| ","title=|",AD1190,"| target=|_top|&gt;",AD1192,"&lt;/a&gt;")</f>
        <v>&lt;/li&gt;&lt;li&gt;&lt;a href=|http://gsb.biblecommenter.com/ezekiel/10.htm| title=|Geneva Study Bible| target=|_top|&gt;GSB&lt;/a&gt;</v>
      </c>
      <c r="AE812" s="2" t="str">
        <f t="shared" si="3246"/>
        <v>&lt;/li&gt;&lt;li&gt;&lt;a href=|http://jfb.biblecommenter.com/ezekiel/10.htm| title=|Jamieson-Fausset-Brown Bible Commentary| target=|_top|&gt;JFB&lt;/a&gt;</v>
      </c>
      <c r="AF812" s="2" t="str">
        <f t="shared" si="3246"/>
        <v>&lt;/li&gt;&lt;li&gt;&lt;a href=|http://kjt.biblecommenter.com/ezekiel/10.htm| title=|King James Translators' Notes| target=|_top|&gt;KJT&lt;/a&gt;</v>
      </c>
      <c r="AG812" s="2" t="str">
        <f t="shared" si="3246"/>
        <v>&lt;/li&gt;&lt;li&gt;&lt;a href=|http://mhc.biblecommenter.com/ezekiel/10.htm| title=|Matthew Henry's Concise Commentary| target=|_top|&gt;MHC&lt;/a&gt;</v>
      </c>
      <c r="AH812" s="2" t="str">
        <f t="shared" si="3246"/>
        <v>&lt;/li&gt;&lt;li&gt;&lt;a href=|http://sco.biblecommenter.com/ezekiel/10.htm| title=|Scofield Reference Notes| target=|_top|&gt;SCO&lt;/a&gt;</v>
      </c>
      <c r="AI812" s="2" t="str">
        <f t="shared" si="3246"/>
        <v>&lt;/li&gt;&lt;li&gt;&lt;a href=|http://wes.biblecommenter.com/ezekiel/10.htm| title=|Wesley's Notes on the Bible| target=|_top|&gt;WES&lt;/a&gt;</v>
      </c>
      <c r="AJ812" t="str">
        <f t="shared" si="3246"/>
        <v>&lt;/li&gt;&lt;li&gt;&lt;a href=|http://worldebible.com/ezekiel/10.htm| title=|World English Bible| target=|_top|&gt;WEB&lt;/a&gt;</v>
      </c>
      <c r="AK812" t="str">
        <f t="shared" si="3246"/>
        <v>&lt;/li&gt;&lt;li&gt;&lt;a href=|http://yltbible.com/ezekiel/10.htm| title=|Young's Literal Translation| target=|_top|&gt;YLT&lt;/a&gt;</v>
      </c>
      <c r="AL812" t="str">
        <f>CONCATENATE("&lt;a href=|http://",AL1191,"/ezekiel/10.htm","| ","title=|",AL1190,"| target=|_top|&gt;",AL1192,"&lt;/a&gt;")</f>
        <v>&lt;a href=|http://kjv.us/ezekiel/10.htm| title=|American King James Version| target=|_top|&gt;AKJ&lt;/a&gt;</v>
      </c>
      <c r="AM812" t="str">
        <f t="shared" ref="AM812:AN812" si="3247">CONCATENATE("&lt;/li&gt;&lt;li&gt;&lt;a href=|http://",AM1191,"/ezekiel/10.htm","| ","title=|",AM1190,"| target=|_top|&gt;",AM1192,"&lt;/a&gt;")</f>
        <v>&lt;/li&gt;&lt;li&gt;&lt;a href=|http://basicenglishbible.com/ezekiel/10.htm| title=|Bible in Basic English| target=|_top|&gt;BBE&lt;/a&gt;</v>
      </c>
      <c r="AN812" t="str">
        <f t="shared" si="3247"/>
        <v>&lt;/li&gt;&lt;li&gt;&lt;a href=|http://darbybible.com/ezekiel/10.htm| title=|Darby Bible Translation| target=|_top|&gt;DBY&lt;/a&gt;</v>
      </c>
      <c r="AO81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1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1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12" t="str">
        <f>CONCATENATE("&lt;/li&gt;&lt;li&gt;&lt;a href=|http://",AR1191,"/ezekiel/10.htm","| ","title=|",AR1190,"| target=|_top|&gt;",AR1192,"&lt;/a&gt;")</f>
        <v>&lt;/li&gt;&lt;li&gt;&lt;a href=|http://websterbible.com/ezekiel/10.htm| title=|Webster's Bible Translation| target=|_top|&gt;WBS&lt;/a&gt;</v>
      </c>
      <c r="AS81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12" t="str">
        <f>CONCATENATE("&lt;/li&gt;&lt;li&gt;&lt;a href=|http://",AT1191,"/ezekiel/10-1.htm","| ","title=|",AT1190,"| target=|_top|&gt;",AT1192,"&lt;/a&gt;")</f>
        <v>&lt;/li&gt;&lt;li&gt;&lt;a href=|http://biblebrowser.com/ezekiel/10-1.htm| title=|Split View| target=|_top|&gt;Split&lt;/a&gt;</v>
      </c>
      <c r="AU812" s="2" t="s">
        <v>1276</v>
      </c>
      <c r="AV812" t="s">
        <v>64</v>
      </c>
    </row>
    <row r="813" spans="1:48">
      <c r="A813" t="s">
        <v>622</v>
      </c>
      <c r="B813" t="s">
        <v>854</v>
      </c>
      <c r="C813" t="s">
        <v>624</v>
      </c>
      <c r="D813" t="s">
        <v>1268</v>
      </c>
      <c r="E813" t="s">
        <v>1277</v>
      </c>
      <c r="F813" t="s">
        <v>1304</v>
      </c>
      <c r="G813" t="s">
        <v>1266</v>
      </c>
      <c r="H813" t="s">
        <v>1305</v>
      </c>
      <c r="I813" t="s">
        <v>1303</v>
      </c>
      <c r="J813" t="s">
        <v>1267</v>
      </c>
      <c r="K813" t="s">
        <v>1275</v>
      </c>
      <c r="L813" s="2" t="s">
        <v>1274</v>
      </c>
      <c r="M813" t="str">
        <f t="shared" ref="M813:AB813" si="3248">CONCATENATE("&lt;/li&gt;&lt;li&gt;&lt;a href=|http://",M1191,"/ezekiel/11.htm","| ","title=|",M1190,"| target=|_top|&gt;",M1192,"&lt;/a&gt;")</f>
        <v>&lt;/li&gt;&lt;li&gt;&lt;a href=|http://niv.scripturetext.com/ezekiel/11.htm| title=|New International Version| target=|_top|&gt;NIV&lt;/a&gt;</v>
      </c>
      <c r="N813" t="str">
        <f t="shared" si="3248"/>
        <v>&lt;/li&gt;&lt;li&gt;&lt;a href=|http://nlt.scripturetext.com/ezekiel/11.htm| title=|New Living Translation| target=|_top|&gt;NLT&lt;/a&gt;</v>
      </c>
      <c r="O813" t="str">
        <f t="shared" si="3248"/>
        <v>&lt;/li&gt;&lt;li&gt;&lt;a href=|http://nasb.scripturetext.com/ezekiel/11.htm| title=|New American Standard Bible| target=|_top|&gt;NAS&lt;/a&gt;</v>
      </c>
      <c r="P813" t="str">
        <f t="shared" si="3248"/>
        <v>&lt;/li&gt;&lt;li&gt;&lt;a href=|http://gwt.scripturetext.com/ezekiel/11.htm| title=|God's Word Translation| target=|_top|&gt;GWT&lt;/a&gt;</v>
      </c>
      <c r="Q813" t="str">
        <f t="shared" si="3248"/>
        <v>&lt;/li&gt;&lt;li&gt;&lt;a href=|http://kingjbible.com/ezekiel/11.htm| title=|King James Bible| target=|_top|&gt;KJV&lt;/a&gt;</v>
      </c>
      <c r="R813" t="str">
        <f t="shared" si="3248"/>
        <v>&lt;/li&gt;&lt;li&gt;&lt;a href=|http://asvbible.com/ezekiel/11.htm| title=|American Standard Version| target=|_top|&gt;ASV&lt;/a&gt;</v>
      </c>
      <c r="S813" t="str">
        <f t="shared" si="3248"/>
        <v>&lt;/li&gt;&lt;li&gt;&lt;a href=|http://drb.scripturetext.com/ezekiel/11.htm| title=|Douay-Rheims Bible| target=|_top|&gt;DRB&lt;/a&gt;</v>
      </c>
      <c r="T813" t="str">
        <f t="shared" si="3248"/>
        <v>&lt;/li&gt;&lt;li&gt;&lt;a href=|http://erv.scripturetext.com/ezekiel/11.htm| title=|English Revised Version| target=|_top|&gt;ERV&lt;/a&gt;</v>
      </c>
      <c r="V813" t="str">
        <f>CONCATENATE("&lt;/li&gt;&lt;li&gt;&lt;a href=|http://",V1191,"/ezekiel/11.htm","| ","title=|",V1190,"| target=|_top|&gt;",V1192,"&lt;/a&gt;")</f>
        <v>&lt;/li&gt;&lt;li&gt;&lt;a href=|http://study.interlinearbible.org/ezekiel/11.htm| title=|Hebrew Study Bible| target=|_top|&gt;Heb Study&lt;/a&gt;</v>
      </c>
      <c r="W813" t="str">
        <f t="shared" si="3248"/>
        <v>&lt;/li&gt;&lt;li&gt;&lt;a href=|http://apostolic.interlinearbible.org/ezekiel/11.htm| title=|Apostolic Bible Polyglot Interlinear| target=|_top|&gt;Polyglot&lt;/a&gt;</v>
      </c>
      <c r="X813" t="str">
        <f t="shared" si="3248"/>
        <v>&lt;/li&gt;&lt;li&gt;&lt;a href=|http://interlinearbible.org/ezekiel/11.htm| title=|Interlinear Bible| target=|_top|&gt;Interlin&lt;/a&gt;</v>
      </c>
      <c r="Y813" t="str">
        <f t="shared" ref="Y813" si="3249">CONCATENATE("&lt;/li&gt;&lt;li&gt;&lt;a href=|http://",Y1191,"/ezekiel/11.htm","| ","title=|",Y1190,"| target=|_top|&gt;",Y1192,"&lt;/a&gt;")</f>
        <v>&lt;/li&gt;&lt;li&gt;&lt;a href=|http://bibleoutline.org/ezekiel/11.htm| title=|Outline with People and Places List| target=|_top|&gt;Outline&lt;/a&gt;</v>
      </c>
      <c r="Z813" t="str">
        <f t="shared" si="3248"/>
        <v>&lt;/li&gt;&lt;li&gt;&lt;a href=|http://kjvs.scripturetext.com/ezekiel/11.htm| title=|King James Bible with Strong's Numbers| target=|_top|&gt;Strong's&lt;/a&gt;</v>
      </c>
      <c r="AA813" t="str">
        <f t="shared" si="3248"/>
        <v>&lt;/li&gt;&lt;li&gt;&lt;a href=|http://childrensbibleonline.com/ezekiel/11.htm| title=|The Children's Bible| target=|_top|&gt;Children's&lt;/a&gt;</v>
      </c>
      <c r="AB813" s="2" t="str">
        <f t="shared" si="3248"/>
        <v>&lt;/li&gt;&lt;li&gt;&lt;a href=|http://tsk.scripturetext.com/ezekiel/11.htm| title=|Treasury of Scripture Knowledge| target=|_top|&gt;TSK&lt;/a&gt;</v>
      </c>
      <c r="AC813" t="str">
        <f>CONCATENATE("&lt;a href=|http://",AC1191,"/ezekiel/11.htm","| ","title=|",AC1190,"| target=|_top|&gt;",AC1192,"&lt;/a&gt;")</f>
        <v>&lt;a href=|http://parallelbible.com/ezekiel/11.htm| title=|Parallel Chapters| target=|_top|&gt;PAR&lt;/a&gt;</v>
      </c>
      <c r="AD813" s="2" t="str">
        <f t="shared" ref="AD813:AK813" si="3250">CONCATENATE("&lt;/li&gt;&lt;li&gt;&lt;a href=|http://",AD1191,"/ezekiel/11.htm","| ","title=|",AD1190,"| target=|_top|&gt;",AD1192,"&lt;/a&gt;")</f>
        <v>&lt;/li&gt;&lt;li&gt;&lt;a href=|http://gsb.biblecommenter.com/ezekiel/11.htm| title=|Geneva Study Bible| target=|_top|&gt;GSB&lt;/a&gt;</v>
      </c>
      <c r="AE813" s="2" t="str">
        <f t="shared" si="3250"/>
        <v>&lt;/li&gt;&lt;li&gt;&lt;a href=|http://jfb.biblecommenter.com/ezekiel/11.htm| title=|Jamieson-Fausset-Brown Bible Commentary| target=|_top|&gt;JFB&lt;/a&gt;</v>
      </c>
      <c r="AF813" s="2" t="str">
        <f t="shared" si="3250"/>
        <v>&lt;/li&gt;&lt;li&gt;&lt;a href=|http://kjt.biblecommenter.com/ezekiel/11.htm| title=|King James Translators' Notes| target=|_top|&gt;KJT&lt;/a&gt;</v>
      </c>
      <c r="AG813" s="2" t="str">
        <f t="shared" si="3250"/>
        <v>&lt;/li&gt;&lt;li&gt;&lt;a href=|http://mhc.biblecommenter.com/ezekiel/11.htm| title=|Matthew Henry's Concise Commentary| target=|_top|&gt;MHC&lt;/a&gt;</v>
      </c>
      <c r="AH813" s="2" t="str">
        <f t="shared" si="3250"/>
        <v>&lt;/li&gt;&lt;li&gt;&lt;a href=|http://sco.biblecommenter.com/ezekiel/11.htm| title=|Scofield Reference Notes| target=|_top|&gt;SCO&lt;/a&gt;</v>
      </c>
      <c r="AI813" s="2" t="str">
        <f t="shared" si="3250"/>
        <v>&lt;/li&gt;&lt;li&gt;&lt;a href=|http://wes.biblecommenter.com/ezekiel/11.htm| title=|Wesley's Notes on the Bible| target=|_top|&gt;WES&lt;/a&gt;</v>
      </c>
      <c r="AJ813" t="str">
        <f t="shared" si="3250"/>
        <v>&lt;/li&gt;&lt;li&gt;&lt;a href=|http://worldebible.com/ezekiel/11.htm| title=|World English Bible| target=|_top|&gt;WEB&lt;/a&gt;</v>
      </c>
      <c r="AK813" t="str">
        <f t="shared" si="3250"/>
        <v>&lt;/li&gt;&lt;li&gt;&lt;a href=|http://yltbible.com/ezekiel/11.htm| title=|Young's Literal Translation| target=|_top|&gt;YLT&lt;/a&gt;</v>
      </c>
      <c r="AL813" t="str">
        <f>CONCATENATE("&lt;a href=|http://",AL1191,"/ezekiel/11.htm","| ","title=|",AL1190,"| target=|_top|&gt;",AL1192,"&lt;/a&gt;")</f>
        <v>&lt;a href=|http://kjv.us/ezekiel/11.htm| title=|American King James Version| target=|_top|&gt;AKJ&lt;/a&gt;</v>
      </c>
      <c r="AM813" t="str">
        <f t="shared" ref="AM813:AN813" si="3251">CONCATENATE("&lt;/li&gt;&lt;li&gt;&lt;a href=|http://",AM1191,"/ezekiel/11.htm","| ","title=|",AM1190,"| target=|_top|&gt;",AM1192,"&lt;/a&gt;")</f>
        <v>&lt;/li&gt;&lt;li&gt;&lt;a href=|http://basicenglishbible.com/ezekiel/11.htm| title=|Bible in Basic English| target=|_top|&gt;BBE&lt;/a&gt;</v>
      </c>
      <c r="AN813" t="str">
        <f t="shared" si="3251"/>
        <v>&lt;/li&gt;&lt;li&gt;&lt;a href=|http://darbybible.com/ezekiel/11.htm| title=|Darby Bible Translation| target=|_top|&gt;DBY&lt;/a&gt;</v>
      </c>
      <c r="AO81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1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1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13" t="str">
        <f>CONCATENATE("&lt;/li&gt;&lt;li&gt;&lt;a href=|http://",AR1191,"/ezekiel/11.htm","| ","title=|",AR1190,"| target=|_top|&gt;",AR1192,"&lt;/a&gt;")</f>
        <v>&lt;/li&gt;&lt;li&gt;&lt;a href=|http://websterbible.com/ezekiel/11.htm| title=|Webster's Bible Translation| target=|_top|&gt;WBS&lt;/a&gt;</v>
      </c>
      <c r="AS81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13" t="str">
        <f>CONCATENATE("&lt;/li&gt;&lt;li&gt;&lt;a href=|http://",AT1191,"/ezekiel/11-1.htm","| ","title=|",AT1190,"| target=|_top|&gt;",AT1192,"&lt;/a&gt;")</f>
        <v>&lt;/li&gt;&lt;li&gt;&lt;a href=|http://biblebrowser.com/ezekiel/11-1.htm| title=|Split View| target=|_top|&gt;Split&lt;/a&gt;</v>
      </c>
      <c r="AU813" s="2" t="s">
        <v>1276</v>
      </c>
      <c r="AV813" t="s">
        <v>64</v>
      </c>
    </row>
    <row r="814" spans="1:48">
      <c r="A814" t="s">
        <v>622</v>
      </c>
      <c r="B814" t="s">
        <v>855</v>
      </c>
      <c r="C814" t="s">
        <v>624</v>
      </c>
      <c r="D814" t="s">
        <v>1268</v>
      </c>
      <c r="E814" t="s">
        <v>1277</v>
      </c>
      <c r="F814" t="s">
        <v>1304</v>
      </c>
      <c r="G814" t="s">
        <v>1266</v>
      </c>
      <c r="H814" t="s">
        <v>1305</v>
      </c>
      <c r="I814" t="s">
        <v>1303</v>
      </c>
      <c r="J814" t="s">
        <v>1267</v>
      </c>
      <c r="K814" t="s">
        <v>1275</v>
      </c>
      <c r="L814" s="2" t="s">
        <v>1274</v>
      </c>
      <c r="M814" t="str">
        <f t="shared" ref="M814:AB814" si="3252">CONCATENATE("&lt;/li&gt;&lt;li&gt;&lt;a href=|http://",M1191,"/ezekiel/12.htm","| ","title=|",M1190,"| target=|_top|&gt;",M1192,"&lt;/a&gt;")</f>
        <v>&lt;/li&gt;&lt;li&gt;&lt;a href=|http://niv.scripturetext.com/ezekiel/12.htm| title=|New International Version| target=|_top|&gt;NIV&lt;/a&gt;</v>
      </c>
      <c r="N814" t="str">
        <f t="shared" si="3252"/>
        <v>&lt;/li&gt;&lt;li&gt;&lt;a href=|http://nlt.scripturetext.com/ezekiel/12.htm| title=|New Living Translation| target=|_top|&gt;NLT&lt;/a&gt;</v>
      </c>
      <c r="O814" t="str">
        <f t="shared" si="3252"/>
        <v>&lt;/li&gt;&lt;li&gt;&lt;a href=|http://nasb.scripturetext.com/ezekiel/12.htm| title=|New American Standard Bible| target=|_top|&gt;NAS&lt;/a&gt;</v>
      </c>
      <c r="P814" t="str">
        <f t="shared" si="3252"/>
        <v>&lt;/li&gt;&lt;li&gt;&lt;a href=|http://gwt.scripturetext.com/ezekiel/12.htm| title=|God's Word Translation| target=|_top|&gt;GWT&lt;/a&gt;</v>
      </c>
      <c r="Q814" t="str">
        <f t="shared" si="3252"/>
        <v>&lt;/li&gt;&lt;li&gt;&lt;a href=|http://kingjbible.com/ezekiel/12.htm| title=|King James Bible| target=|_top|&gt;KJV&lt;/a&gt;</v>
      </c>
      <c r="R814" t="str">
        <f t="shared" si="3252"/>
        <v>&lt;/li&gt;&lt;li&gt;&lt;a href=|http://asvbible.com/ezekiel/12.htm| title=|American Standard Version| target=|_top|&gt;ASV&lt;/a&gt;</v>
      </c>
      <c r="S814" t="str">
        <f t="shared" si="3252"/>
        <v>&lt;/li&gt;&lt;li&gt;&lt;a href=|http://drb.scripturetext.com/ezekiel/12.htm| title=|Douay-Rheims Bible| target=|_top|&gt;DRB&lt;/a&gt;</v>
      </c>
      <c r="T814" t="str">
        <f t="shared" si="3252"/>
        <v>&lt;/li&gt;&lt;li&gt;&lt;a href=|http://erv.scripturetext.com/ezekiel/12.htm| title=|English Revised Version| target=|_top|&gt;ERV&lt;/a&gt;</v>
      </c>
      <c r="V814" t="str">
        <f>CONCATENATE("&lt;/li&gt;&lt;li&gt;&lt;a href=|http://",V1191,"/ezekiel/12.htm","| ","title=|",V1190,"| target=|_top|&gt;",V1192,"&lt;/a&gt;")</f>
        <v>&lt;/li&gt;&lt;li&gt;&lt;a href=|http://study.interlinearbible.org/ezekiel/12.htm| title=|Hebrew Study Bible| target=|_top|&gt;Heb Study&lt;/a&gt;</v>
      </c>
      <c r="W814" t="str">
        <f t="shared" si="3252"/>
        <v>&lt;/li&gt;&lt;li&gt;&lt;a href=|http://apostolic.interlinearbible.org/ezekiel/12.htm| title=|Apostolic Bible Polyglot Interlinear| target=|_top|&gt;Polyglot&lt;/a&gt;</v>
      </c>
      <c r="X814" t="str">
        <f t="shared" si="3252"/>
        <v>&lt;/li&gt;&lt;li&gt;&lt;a href=|http://interlinearbible.org/ezekiel/12.htm| title=|Interlinear Bible| target=|_top|&gt;Interlin&lt;/a&gt;</v>
      </c>
      <c r="Y814" t="str">
        <f t="shared" ref="Y814" si="3253">CONCATENATE("&lt;/li&gt;&lt;li&gt;&lt;a href=|http://",Y1191,"/ezekiel/12.htm","| ","title=|",Y1190,"| target=|_top|&gt;",Y1192,"&lt;/a&gt;")</f>
        <v>&lt;/li&gt;&lt;li&gt;&lt;a href=|http://bibleoutline.org/ezekiel/12.htm| title=|Outline with People and Places List| target=|_top|&gt;Outline&lt;/a&gt;</v>
      </c>
      <c r="Z814" t="str">
        <f t="shared" si="3252"/>
        <v>&lt;/li&gt;&lt;li&gt;&lt;a href=|http://kjvs.scripturetext.com/ezekiel/12.htm| title=|King James Bible with Strong's Numbers| target=|_top|&gt;Strong's&lt;/a&gt;</v>
      </c>
      <c r="AA814" t="str">
        <f t="shared" si="3252"/>
        <v>&lt;/li&gt;&lt;li&gt;&lt;a href=|http://childrensbibleonline.com/ezekiel/12.htm| title=|The Children's Bible| target=|_top|&gt;Children's&lt;/a&gt;</v>
      </c>
      <c r="AB814" s="2" t="str">
        <f t="shared" si="3252"/>
        <v>&lt;/li&gt;&lt;li&gt;&lt;a href=|http://tsk.scripturetext.com/ezekiel/12.htm| title=|Treasury of Scripture Knowledge| target=|_top|&gt;TSK&lt;/a&gt;</v>
      </c>
      <c r="AC814" t="str">
        <f>CONCATENATE("&lt;a href=|http://",AC1191,"/ezekiel/12.htm","| ","title=|",AC1190,"| target=|_top|&gt;",AC1192,"&lt;/a&gt;")</f>
        <v>&lt;a href=|http://parallelbible.com/ezekiel/12.htm| title=|Parallel Chapters| target=|_top|&gt;PAR&lt;/a&gt;</v>
      </c>
      <c r="AD814" s="2" t="str">
        <f t="shared" ref="AD814:AK814" si="3254">CONCATENATE("&lt;/li&gt;&lt;li&gt;&lt;a href=|http://",AD1191,"/ezekiel/12.htm","| ","title=|",AD1190,"| target=|_top|&gt;",AD1192,"&lt;/a&gt;")</f>
        <v>&lt;/li&gt;&lt;li&gt;&lt;a href=|http://gsb.biblecommenter.com/ezekiel/12.htm| title=|Geneva Study Bible| target=|_top|&gt;GSB&lt;/a&gt;</v>
      </c>
      <c r="AE814" s="2" t="str">
        <f t="shared" si="3254"/>
        <v>&lt;/li&gt;&lt;li&gt;&lt;a href=|http://jfb.biblecommenter.com/ezekiel/12.htm| title=|Jamieson-Fausset-Brown Bible Commentary| target=|_top|&gt;JFB&lt;/a&gt;</v>
      </c>
      <c r="AF814" s="2" t="str">
        <f t="shared" si="3254"/>
        <v>&lt;/li&gt;&lt;li&gt;&lt;a href=|http://kjt.biblecommenter.com/ezekiel/12.htm| title=|King James Translators' Notes| target=|_top|&gt;KJT&lt;/a&gt;</v>
      </c>
      <c r="AG814" s="2" t="str">
        <f t="shared" si="3254"/>
        <v>&lt;/li&gt;&lt;li&gt;&lt;a href=|http://mhc.biblecommenter.com/ezekiel/12.htm| title=|Matthew Henry's Concise Commentary| target=|_top|&gt;MHC&lt;/a&gt;</v>
      </c>
      <c r="AH814" s="2" t="str">
        <f t="shared" si="3254"/>
        <v>&lt;/li&gt;&lt;li&gt;&lt;a href=|http://sco.biblecommenter.com/ezekiel/12.htm| title=|Scofield Reference Notes| target=|_top|&gt;SCO&lt;/a&gt;</v>
      </c>
      <c r="AI814" s="2" t="str">
        <f t="shared" si="3254"/>
        <v>&lt;/li&gt;&lt;li&gt;&lt;a href=|http://wes.biblecommenter.com/ezekiel/12.htm| title=|Wesley's Notes on the Bible| target=|_top|&gt;WES&lt;/a&gt;</v>
      </c>
      <c r="AJ814" t="str">
        <f t="shared" si="3254"/>
        <v>&lt;/li&gt;&lt;li&gt;&lt;a href=|http://worldebible.com/ezekiel/12.htm| title=|World English Bible| target=|_top|&gt;WEB&lt;/a&gt;</v>
      </c>
      <c r="AK814" t="str">
        <f t="shared" si="3254"/>
        <v>&lt;/li&gt;&lt;li&gt;&lt;a href=|http://yltbible.com/ezekiel/12.htm| title=|Young's Literal Translation| target=|_top|&gt;YLT&lt;/a&gt;</v>
      </c>
      <c r="AL814" t="str">
        <f>CONCATENATE("&lt;a href=|http://",AL1191,"/ezekiel/12.htm","| ","title=|",AL1190,"| target=|_top|&gt;",AL1192,"&lt;/a&gt;")</f>
        <v>&lt;a href=|http://kjv.us/ezekiel/12.htm| title=|American King James Version| target=|_top|&gt;AKJ&lt;/a&gt;</v>
      </c>
      <c r="AM814" t="str">
        <f t="shared" ref="AM814:AN814" si="3255">CONCATENATE("&lt;/li&gt;&lt;li&gt;&lt;a href=|http://",AM1191,"/ezekiel/12.htm","| ","title=|",AM1190,"| target=|_top|&gt;",AM1192,"&lt;/a&gt;")</f>
        <v>&lt;/li&gt;&lt;li&gt;&lt;a href=|http://basicenglishbible.com/ezekiel/12.htm| title=|Bible in Basic English| target=|_top|&gt;BBE&lt;/a&gt;</v>
      </c>
      <c r="AN814" t="str">
        <f t="shared" si="3255"/>
        <v>&lt;/li&gt;&lt;li&gt;&lt;a href=|http://darbybible.com/ezekiel/12.htm| title=|Darby Bible Translation| target=|_top|&gt;DBY&lt;/a&gt;</v>
      </c>
      <c r="AO81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1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1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14" t="str">
        <f>CONCATENATE("&lt;/li&gt;&lt;li&gt;&lt;a href=|http://",AR1191,"/ezekiel/12.htm","| ","title=|",AR1190,"| target=|_top|&gt;",AR1192,"&lt;/a&gt;")</f>
        <v>&lt;/li&gt;&lt;li&gt;&lt;a href=|http://websterbible.com/ezekiel/12.htm| title=|Webster's Bible Translation| target=|_top|&gt;WBS&lt;/a&gt;</v>
      </c>
      <c r="AS81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14" t="str">
        <f>CONCATENATE("&lt;/li&gt;&lt;li&gt;&lt;a href=|http://",AT1191,"/ezekiel/12-1.htm","| ","title=|",AT1190,"| target=|_top|&gt;",AT1192,"&lt;/a&gt;")</f>
        <v>&lt;/li&gt;&lt;li&gt;&lt;a href=|http://biblebrowser.com/ezekiel/12-1.htm| title=|Split View| target=|_top|&gt;Split&lt;/a&gt;</v>
      </c>
      <c r="AU814" s="2" t="s">
        <v>1276</v>
      </c>
      <c r="AV814" t="s">
        <v>64</v>
      </c>
    </row>
    <row r="815" spans="1:48">
      <c r="A815" t="s">
        <v>622</v>
      </c>
      <c r="B815" t="s">
        <v>856</v>
      </c>
      <c r="C815" t="s">
        <v>624</v>
      </c>
      <c r="D815" t="s">
        <v>1268</v>
      </c>
      <c r="E815" t="s">
        <v>1277</v>
      </c>
      <c r="F815" t="s">
        <v>1304</v>
      </c>
      <c r="G815" t="s">
        <v>1266</v>
      </c>
      <c r="H815" t="s">
        <v>1305</v>
      </c>
      <c r="I815" t="s">
        <v>1303</v>
      </c>
      <c r="J815" t="s">
        <v>1267</v>
      </c>
      <c r="K815" t="s">
        <v>1275</v>
      </c>
      <c r="L815" s="2" t="s">
        <v>1274</v>
      </c>
      <c r="M815" t="str">
        <f t="shared" ref="M815:AB815" si="3256">CONCATENATE("&lt;/li&gt;&lt;li&gt;&lt;a href=|http://",M1191,"/ezekiel/13.htm","| ","title=|",M1190,"| target=|_top|&gt;",M1192,"&lt;/a&gt;")</f>
        <v>&lt;/li&gt;&lt;li&gt;&lt;a href=|http://niv.scripturetext.com/ezekiel/13.htm| title=|New International Version| target=|_top|&gt;NIV&lt;/a&gt;</v>
      </c>
      <c r="N815" t="str">
        <f t="shared" si="3256"/>
        <v>&lt;/li&gt;&lt;li&gt;&lt;a href=|http://nlt.scripturetext.com/ezekiel/13.htm| title=|New Living Translation| target=|_top|&gt;NLT&lt;/a&gt;</v>
      </c>
      <c r="O815" t="str">
        <f t="shared" si="3256"/>
        <v>&lt;/li&gt;&lt;li&gt;&lt;a href=|http://nasb.scripturetext.com/ezekiel/13.htm| title=|New American Standard Bible| target=|_top|&gt;NAS&lt;/a&gt;</v>
      </c>
      <c r="P815" t="str">
        <f t="shared" si="3256"/>
        <v>&lt;/li&gt;&lt;li&gt;&lt;a href=|http://gwt.scripturetext.com/ezekiel/13.htm| title=|God's Word Translation| target=|_top|&gt;GWT&lt;/a&gt;</v>
      </c>
      <c r="Q815" t="str">
        <f t="shared" si="3256"/>
        <v>&lt;/li&gt;&lt;li&gt;&lt;a href=|http://kingjbible.com/ezekiel/13.htm| title=|King James Bible| target=|_top|&gt;KJV&lt;/a&gt;</v>
      </c>
      <c r="R815" t="str">
        <f t="shared" si="3256"/>
        <v>&lt;/li&gt;&lt;li&gt;&lt;a href=|http://asvbible.com/ezekiel/13.htm| title=|American Standard Version| target=|_top|&gt;ASV&lt;/a&gt;</v>
      </c>
      <c r="S815" t="str">
        <f t="shared" si="3256"/>
        <v>&lt;/li&gt;&lt;li&gt;&lt;a href=|http://drb.scripturetext.com/ezekiel/13.htm| title=|Douay-Rheims Bible| target=|_top|&gt;DRB&lt;/a&gt;</v>
      </c>
      <c r="T815" t="str">
        <f t="shared" si="3256"/>
        <v>&lt;/li&gt;&lt;li&gt;&lt;a href=|http://erv.scripturetext.com/ezekiel/13.htm| title=|English Revised Version| target=|_top|&gt;ERV&lt;/a&gt;</v>
      </c>
      <c r="V815" t="str">
        <f>CONCATENATE("&lt;/li&gt;&lt;li&gt;&lt;a href=|http://",V1191,"/ezekiel/13.htm","| ","title=|",V1190,"| target=|_top|&gt;",V1192,"&lt;/a&gt;")</f>
        <v>&lt;/li&gt;&lt;li&gt;&lt;a href=|http://study.interlinearbible.org/ezekiel/13.htm| title=|Hebrew Study Bible| target=|_top|&gt;Heb Study&lt;/a&gt;</v>
      </c>
      <c r="W815" t="str">
        <f t="shared" si="3256"/>
        <v>&lt;/li&gt;&lt;li&gt;&lt;a href=|http://apostolic.interlinearbible.org/ezekiel/13.htm| title=|Apostolic Bible Polyglot Interlinear| target=|_top|&gt;Polyglot&lt;/a&gt;</v>
      </c>
      <c r="X815" t="str">
        <f t="shared" si="3256"/>
        <v>&lt;/li&gt;&lt;li&gt;&lt;a href=|http://interlinearbible.org/ezekiel/13.htm| title=|Interlinear Bible| target=|_top|&gt;Interlin&lt;/a&gt;</v>
      </c>
      <c r="Y815" t="str">
        <f t="shared" ref="Y815" si="3257">CONCATENATE("&lt;/li&gt;&lt;li&gt;&lt;a href=|http://",Y1191,"/ezekiel/13.htm","| ","title=|",Y1190,"| target=|_top|&gt;",Y1192,"&lt;/a&gt;")</f>
        <v>&lt;/li&gt;&lt;li&gt;&lt;a href=|http://bibleoutline.org/ezekiel/13.htm| title=|Outline with People and Places List| target=|_top|&gt;Outline&lt;/a&gt;</v>
      </c>
      <c r="Z815" t="str">
        <f t="shared" si="3256"/>
        <v>&lt;/li&gt;&lt;li&gt;&lt;a href=|http://kjvs.scripturetext.com/ezekiel/13.htm| title=|King James Bible with Strong's Numbers| target=|_top|&gt;Strong's&lt;/a&gt;</v>
      </c>
      <c r="AA815" t="str">
        <f t="shared" si="3256"/>
        <v>&lt;/li&gt;&lt;li&gt;&lt;a href=|http://childrensbibleonline.com/ezekiel/13.htm| title=|The Children's Bible| target=|_top|&gt;Children's&lt;/a&gt;</v>
      </c>
      <c r="AB815" s="2" t="str">
        <f t="shared" si="3256"/>
        <v>&lt;/li&gt;&lt;li&gt;&lt;a href=|http://tsk.scripturetext.com/ezekiel/13.htm| title=|Treasury of Scripture Knowledge| target=|_top|&gt;TSK&lt;/a&gt;</v>
      </c>
      <c r="AC815" t="str">
        <f>CONCATENATE("&lt;a href=|http://",AC1191,"/ezekiel/13.htm","| ","title=|",AC1190,"| target=|_top|&gt;",AC1192,"&lt;/a&gt;")</f>
        <v>&lt;a href=|http://parallelbible.com/ezekiel/13.htm| title=|Parallel Chapters| target=|_top|&gt;PAR&lt;/a&gt;</v>
      </c>
      <c r="AD815" s="2" t="str">
        <f t="shared" ref="AD815:AK815" si="3258">CONCATENATE("&lt;/li&gt;&lt;li&gt;&lt;a href=|http://",AD1191,"/ezekiel/13.htm","| ","title=|",AD1190,"| target=|_top|&gt;",AD1192,"&lt;/a&gt;")</f>
        <v>&lt;/li&gt;&lt;li&gt;&lt;a href=|http://gsb.biblecommenter.com/ezekiel/13.htm| title=|Geneva Study Bible| target=|_top|&gt;GSB&lt;/a&gt;</v>
      </c>
      <c r="AE815" s="2" t="str">
        <f t="shared" si="3258"/>
        <v>&lt;/li&gt;&lt;li&gt;&lt;a href=|http://jfb.biblecommenter.com/ezekiel/13.htm| title=|Jamieson-Fausset-Brown Bible Commentary| target=|_top|&gt;JFB&lt;/a&gt;</v>
      </c>
      <c r="AF815" s="2" t="str">
        <f t="shared" si="3258"/>
        <v>&lt;/li&gt;&lt;li&gt;&lt;a href=|http://kjt.biblecommenter.com/ezekiel/13.htm| title=|King James Translators' Notes| target=|_top|&gt;KJT&lt;/a&gt;</v>
      </c>
      <c r="AG815" s="2" t="str">
        <f t="shared" si="3258"/>
        <v>&lt;/li&gt;&lt;li&gt;&lt;a href=|http://mhc.biblecommenter.com/ezekiel/13.htm| title=|Matthew Henry's Concise Commentary| target=|_top|&gt;MHC&lt;/a&gt;</v>
      </c>
      <c r="AH815" s="2" t="str">
        <f t="shared" si="3258"/>
        <v>&lt;/li&gt;&lt;li&gt;&lt;a href=|http://sco.biblecommenter.com/ezekiel/13.htm| title=|Scofield Reference Notes| target=|_top|&gt;SCO&lt;/a&gt;</v>
      </c>
      <c r="AI815" s="2" t="str">
        <f t="shared" si="3258"/>
        <v>&lt;/li&gt;&lt;li&gt;&lt;a href=|http://wes.biblecommenter.com/ezekiel/13.htm| title=|Wesley's Notes on the Bible| target=|_top|&gt;WES&lt;/a&gt;</v>
      </c>
      <c r="AJ815" t="str">
        <f t="shared" si="3258"/>
        <v>&lt;/li&gt;&lt;li&gt;&lt;a href=|http://worldebible.com/ezekiel/13.htm| title=|World English Bible| target=|_top|&gt;WEB&lt;/a&gt;</v>
      </c>
      <c r="AK815" t="str">
        <f t="shared" si="3258"/>
        <v>&lt;/li&gt;&lt;li&gt;&lt;a href=|http://yltbible.com/ezekiel/13.htm| title=|Young's Literal Translation| target=|_top|&gt;YLT&lt;/a&gt;</v>
      </c>
      <c r="AL815" t="str">
        <f>CONCATENATE("&lt;a href=|http://",AL1191,"/ezekiel/13.htm","| ","title=|",AL1190,"| target=|_top|&gt;",AL1192,"&lt;/a&gt;")</f>
        <v>&lt;a href=|http://kjv.us/ezekiel/13.htm| title=|American King James Version| target=|_top|&gt;AKJ&lt;/a&gt;</v>
      </c>
      <c r="AM815" t="str">
        <f t="shared" ref="AM815:AN815" si="3259">CONCATENATE("&lt;/li&gt;&lt;li&gt;&lt;a href=|http://",AM1191,"/ezekiel/13.htm","| ","title=|",AM1190,"| target=|_top|&gt;",AM1192,"&lt;/a&gt;")</f>
        <v>&lt;/li&gt;&lt;li&gt;&lt;a href=|http://basicenglishbible.com/ezekiel/13.htm| title=|Bible in Basic English| target=|_top|&gt;BBE&lt;/a&gt;</v>
      </c>
      <c r="AN815" t="str">
        <f t="shared" si="3259"/>
        <v>&lt;/li&gt;&lt;li&gt;&lt;a href=|http://darbybible.com/ezekiel/13.htm| title=|Darby Bible Translation| target=|_top|&gt;DBY&lt;/a&gt;</v>
      </c>
      <c r="AO81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1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1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15" t="str">
        <f>CONCATENATE("&lt;/li&gt;&lt;li&gt;&lt;a href=|http://",AR1191,"/ezekiel/13.htm","| ","title=|",AR1190,"| target=|_top|&gt;",AR1192,"&lt;/a&gt;")</f>
        <v>&lt;/li&gt;&lt;li&gt;&lt;a href=|http://websterbible.com/ezekiel/13.htm| title=|Webster's Bible Translation| target=|_top|&gt;WBS&lt;/a&gt;</v>
      </c>
      <c r="AS81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15" t="str">
        <f>CONCATENATE("&lt;/li&gt;&lt;li&gt;&lt;a href=|http://",AT1191,"/ezekiel/13-1.htm","| ","title=|",AT1190,"| target=|_top|&gt;",AT1192,"&lt;/a&gt;")</f>
        <v>&lt;/li&gt;&lt;li&gt;&lt;a href=|http://biblebrowser.com/ezekiel/13-1.htm| title=|Split View| target=|_top|&gt;Split&lt;/a&gt;</v>
      </c>
      <c r="AU815" s="2" t="s">
        <v>1276</v>
      </c>
      <c r="AV815" t="s">
        <v>64</v>
      </c>
    </row>
    <row r="816" spans="1:48">
      <c r="A816" t="s">
        <v>622</v>
      </c>
      <c r="B816" t="s">
        <v>857</v>
      </c>
      <c r="C816" t="s">
        <v>624</v>
      </c>
      <c r="D816" t="s">
        <v>1268</v>
      </c>
      <c r="E816" t="s">
        <v>1277</v>
      </c>
      <c r="F816" t="s">
        <v>1304</v>
      </c>
      <c r="G816" t="s">
        <v>1266</v>
      </c>
      <c r="H816" t="s">
        <v>1305</v>
      </c>
      <c r="I816" t="s">
        <v>1303</v>
      </c>
      <c r="J816" t="s">
        <v>1267</v>
      </c>
      <c r="K816" t="s">
        <v>1275</v>
      </c>
      <c r="L816" s="2" t="s">
        <v>1274</v>
      </c>
      <c r="M816" t="str">
        <f t="shared" ref="M816:AB816" si="3260">CONCATENATE("&lt;/li&gt;&lt;li&gt;&lt;a href=|http://",M1191,"/ezekiel/14.htm","| ","title=|",M1190,"| target=|_top|&gt;",M1192,"&lt;/a&gt;")</f>
        <v>&lt;/li&gt;&lt;li&gt;&lt;a href=|http://niv.scripturetext.com/ezekiel/14.htm| title=|New International Version| target=|_top|&gt;NIV&lt;/a&gt;</v>
      </c>
      <c r="N816" t="str">
        <f t="shared" si="3260"/>
        <v>&lt;/li&gt;&lt;li&gt;&lt;a href=|http://nlt.scripturetext.com/ezekiel/14.htm| title=|New Living Translation| target=|_top|&gt;NLT&lt;/a&gt;</v>
      </c>
      <c r="O816" t="str">
        <f t="shared" si="3260"/>
        <v>&lt;/li&gt;&lt;li&gt;&lt;a href=|http://nasb.scripturetext.com/ezekiel/14.htm| title=|New American Standard Bible| target=|_top|&gt;NAS&lt;/a&gt;</v>
      </c>
      <c r="P816" t="str">
        <f t="shared" si="3260"/>
        <v>&lt;/li&gt;&lt;li&gt;&lt;a href=|http://gwt.scripturetext.com/ezekiel/14.htm| title=|God's Word Translation| target=|_top|&gt;GWT&lt;/a&gt;</v>
      </c>
      <c r="Q816" t="str">
        <f t="shared" si="3260"/>
        <v>&lt;/li&gt;&lt;li&gt;&lt;a href=|http://kingjbible.com/ezekiel/14.htm| title=|King James Bible| target=|_top|&gt;KJV&lt;/a&gt;</v>
      </c>
      <c r="R816" t="str">
        <f t="shared" si="3260"/>
        <v>&lt;/li&gt;&lt;li&gt;&lt;a href=|http://asvbible.com/ezekiel/14.htm| title=|American Standard Version| target=|_top|&gt;ASV&lt;/a&gt;</v>
      </c>
      <c r="S816" t="str">
        <f t="shared" si="3260"/>
        <v>&lt;/li&gt;&lt;li&gt;&lt;a href=|http://drb.scripturetext.com/ezekiel/14.htm| title=|Douay-Rheims Bible| target=|_top|&gt;DRB&lt;/a&gt;</v>
      </c>
      <c r="T816" t="str">
        <f t="shared" si="3260"/>
        <v>&lt;/li&gt;&lt;li&gt;&lt;a href=|http://erv.scripturetext.com/ezekiel/14.htm| title=|English Revised Version| target=|_top|&gt;ERV&lt;/a&gt;</v>
      </c>
      <c r="V816" t="str">
        <f>CONCATENATE("&lt;/li&gt;&lt;li&gt;&lt;a href=|http://",V1191,"/ezekiel/14.htm","| ","title=|",V1190,"| target=|_top|&gt;",V1192,"&lt;/a&gt;")</f>
        <v>&lt;/li&gt;&lt;li&gt;&lt;a href=|http://study.interlinearbible.org/ezekiel/14.htm| title=|Hebrew Study Bible| target=|_top|&gt;Heb Study&lt;/a&gt;</v>
      </c>
      <c r="W816" t="str">
        <f t="shared" si="3260"/>
        <v>&lt;/li&gt;&lt;li&gt;&lt;a href=|http://apostolic.interlinearbible.org/ezekiel/14.htm| title=|Apostolic Bible Polyglot Interlinear| target=|_top|&gt;Polyglot&lt;/a&gt;</v>
      </c>
      <c r="X816" t="str">
        <f t="shared" si="3260"/>
        <v>&lt;/li&gt;&lt;li&gt;&lt;a href=|http://interlinearbible.org/ezekiel/14.htm| title=|Interlinear Bible| target=|_top|&gt;Interlin&lt;/a&gt;</v>
      </c>
      <c r="Y816" t="str">
        <f t="shared" ref="Y816" si="3261">CONCATENATE("&lt;/li&gt;&lt;li&gt;&lt;a href=|http://",Y1191,"/ezekiel/14.htm","| ","title=|",Y1190,"| target=|_top|&gt;",Y1192,"&lt;/a&gt;")</f>
        <v>&lt;/li&gt;&lt;li&gt;&lt;a href=|http://bibleoutline.org/ezekiel/14.htm| title=|Outline with People and Places List| target=|_top|&gt;Outline&lt;/a&gt;</v>
      </c>
      <c r="Z816" t="str">
        <f t="shared" si="3260"/>
        <v>&lt;/li&gt;&lt;li&gt;&lt;a href=|http://kjvs.scripturetext.com/ezekiel/14.htm| title=|King James Bible with Strong's Numbers| target=|_top|&gt;Strong's&lt;/a&gt;</v>
      </c>
      <c r="AA816" t="str">
        <f t="shared" si="3260"/>
        <v>&lt;/li&gt;&lt;li&gt;&lt;a href=|http://childrensbibleonline.com/ezekiel/14.htm| title=|The Children's Bible| target=|_top|&gt;Children's&lt;/a&gt;</v>
      </c>
      <c r="AB816" s="2" t="str">
        <f t="shared" si="3260"/>
        <v>&lt;/li&gt;&lt;li&gt;&lt;a href=|http://tsk.scripturetext.com/ezekiel/14.htm| title=|Treasury of Scripture Knowledge| target=|_top|&gt;TSK&lt;/a&gt;</v>
      </c>
      <c r="AC816" t="str">
        <f>CONCATENATE("&lt;a href=|http://",AC1191,"/ezekiel/14.htm","| ","title=|",AC1190,"| target=|_top|&gt;",AC1192,"&lt;/a&gt;")</f>
        <v>&lt;a href=|http://parallelbible.com/ezekiel/14.htm| title=|Parallel Chapters| target=|_top|&gt;PAR&lt;/a&gt;</v>
      </c>
      <c r="AD816" s="2" t="str">
        <f t="shared" ref="AD816:AK816" si="3262">CONCATENATE("&lt;/li&gt;&lt;li&gt;&lt;a href=|http://",AD1191,"/ezekiel/14.htm","| ","title=|",AD1190,"| target=|_top|&gt;",AD1192,"&lt;/a&gt;")</f>
        <v>&lt;/li&gt;&lt;li&gt;&lt;a href=|http://gsb.biblecommenter.com/ezekiel/14.htm| title=|Geneva Study Bible| target=|_top|&gt;GSB&lt;/a&gt;</v>
      </c>
      <c r="AE816" s="2" t="str">
        <f t="shared" si="3262"/>
        <v>&lt;/li&gt;&lt;li&gt;&lt;a href=|http://jfb.biblecommenter.com/ezekiel/14.htm| title=|Jamieson-Fausset-Brown Bible Commentary| target=|_top|&gt;JFB&lt;/a&gt;</v>
      </c>
      <c r="AF816" s="2" t="str">
        <f t="shared" si="3262"/>
        <v>&lt;/li&gt;&lt;li&gt;&lt;a href=|http://kjt.biblecommenter.com/ezekiel/14.htm| title=|King James Translators' Notes| target=|_top|&gt;KJT&lt;/a&gt;</v>
      </c>
      <c r="AG816" s="2" t="str">
        <f t="shared" si="3262"/>
        <v>&lt;/li&gt;&lt;li&gt;&lt;a href=|http://mhc.biblecommenter.com/ezekiel/14.htm| title=|Matthew Henry's Concise Commentary| target=|_top|&gt;MHC&lt;/a&gt;</v>
      </c>
      <c r="AH816" s="2" t="str">
        <f t="shared" si="3262"/>
        <v>&lt;/li&gt;&lt;li&gt;&lt;a href=|http://sco.biblecommenter.com/ezekiel/14.htm| title=|Scofield Reference Notes| target=|_top|&gt;SCO&lt;/a&gt;</v>
      </c>
      <c r="AI816" s="2" t="str">
        <f t="shared" si="3262"/>
        <v>&lt;/li&gt;&lt;li&gt;&lt;a href=|http://wes.biblecommenter.com/ezekiel/14.htm| title=|Wesley's Notes on the Bible| target=|_top|&gt;WES&lt;/a&gt;</v>
      </c>
      <c r="AJ816" t="str">
        <f t="shared" si="3262"/>
        <v>&lt;/li&gt;&lt;li&gt;&lt;a href=|http://worldebible.com/ezekiel/14.htm| title=|World English Bible| target=|_top|&gt;WEB&lt;/a&gt;</v>
      </c>
      <c r="AK816" t="str">
        <f t="shared" si="3262"/>
        <v>&lt;/li&gt;&lt;li&gt;&lt;a href=|http://yltbible.com/ezekiel/14.htm| title=|Young's Literal Translation| target=|_top|&gt;YLT&lt;/a&gt;</v>
      </c>
      <c r="AL816" t="str">
        <f>CONCATENATE("&lt;a href=|http://",AL1191,"/ezekiel/14.htm","| ","title=|",AL1190,"| target=|_top|&gt;",AL1192,"&lt;/a&gt;")</f>
        <v>&lt;a href=|http://kjv.us/ezekiel/14.htm| title=|American King James Version| target=|_top|&gt;AKJ&lt;/a&gt;</v>
      </c>
      <c r="AM816" t="str">
        <f t="shared" ref="AM816:AN816" si="3263">CONCATENATE("&lt;/li&gt;&lt;li&gt;&lt;a href=|http://",AM1191,"/ezekiel/14.htm","| ","title=|",AM1190,"| target=|_top|&gt;",AM1192,"&lt;/a&gt;")</f>
        <v>&lt;/li&gt;&lt;li&gt;&lt;a href=|http://basicenglishbible.com/ezekiel/14.htm| title=|Bible in Basic English| target=|_top|&gt;BBE&lt;/a&gt;</v>
      </c>
      <c r="AN816" t="str">
        <f t="shared" si="3263"/>
        <v>&lt;/li&gt;&lt;li&gt;&lt;a href=|http://darbybible.com/ezekiel/14.htm| title=|Darby Bible Translation| target=|_top|&gt;DBY&lt;/a&gt;</v>
      </c>
      <c r="AO81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1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1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16" t="str">
        <f>CONCATENATE("&lt;/li&gt;&lt;li&gt;&lt;a href=|http://",AR1191,"/ezekiel/14.htm","| ","title=|",AR1190,"| target=|_top|&gt;",AR1192,"&lt;/a&gt;")</f>
        <v>&lt;/li&gt;&lt;li&gt;&lt;a href=|http://websterbible.com/ezekiel/14.htm| title=|Webster's Bible Translation| target=|_top|&gt;WBS&lt;/a&gt;</v>
      </c>
      <c r="AS81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16" t="str">
        <f>CONCATENATE("&lt;/li&gt;&lt;li&gt;&lt;a href=|http://",AT1191,"/ezekiel/14-1.htm","| ","title=|",AT1190,"| target=|_top|&gt;",AT1192,"&lt;/a&gt;")</f>
        <v>&lt;/li&gt;&lt;li&gt;&lt;a href=|http://biblebrowser.com/ezekiel/14-1.htm| title=|Split View| target=|_top|&gt;Split&lt;/a&gt;</v>
      </c>
      <c r="AU816" s="2" t="s">
        <v>1276</v>
      </c>
      <c r="AV816" t="s">
        <v>64</v>
      </c>
    </row>
    <row r="817" spans="1:48">
      <c r="A817" t="s">
        <v>622</v>
      </c>
      <c r="B817" t="s">
        <v>858</v>
      </c>
      <c r="C817" t="s">
        <v>624</v>
      </c>
      <c r="D817" t="s">
        <v>1268</v>
      </c>
      <c r="E817" t="s">
        <v>1277</v>
      </c>
      <c r="F817" t="s">
        <v>1304</v>
      </c>
      <c r="G817" t="s">
        <v>1266</v>
      </c>
      <c r="H817" t="s">
        <v>1305</v>
      </c>
      <c r="I817" t="s">
        <v>1303</v>
      </c>
      <c r="J817" t="s">
        <v>1267</v>
      </c>
      <c r="K817" t="s">
        <v>1275</v>
      </c>
      <c r="L817" s="2" t="s">
        <v>1274</v>
      </c>
      <c r="M817" t="str">
        <f t="shared" ref="M817:AB817" si="3264">CONCATENATE("&lt;/li&gt;&lt;li&gt;&lt;a href=|http://",M1191,"/ezekiel/15.htm","| ","title=|",M1190,"| target=|_top|&gt;",M1192,"&lt;/a&gt;")</f>
        <v>&lt;/li&gt;&lt;li&gt;&lt;a href=|http://niv.scripturetext.com/ezekiel/15.htm| title=|New International Version| target=|_top|&gt;NIV&lt;/a&gt;</v>
      </c>
      <c r="N817" t="str">
        <f t="shared" si="3264"/>
        <v>&lt;/li&gt;&lt;li&gt;&lt;a href=|http://nlt.scripturetext.com/ezekiel/15.htm| title=|New Living Translation| target=|_top|&gt;NLT&lt;/a&gt;</v>
      </c>
      <c r="O817" t="str">
        <f t="shared" si="3264"/>
        <v>&lt;/li&gt;&lt;li&gt;&lt;a href=|http://nasb.scripturetext.com/ezekiel/15.htm| title=|New American Standard Bible| target=|_top|&gt;NAS&lt;/a&gt;</v>
      </c>
      <c r="P817" t="str">
        <f t="shared" si="3264"/>
        <v>&lt;/li&gt;&lt;li&gt;&lt;a href=|http://gwt.scripturetext.com/ezekiel/15.htm| title=|God's Word Translation| target=|_top|&gt;GWT&lt;/a&gt;</v>
      </c>
      <c r="Q817" t="str">
        <f t="shared" si="3264"/>
        <v>&lt;/li&gt;&lt;li&gt;&lt;a href=|http://kingjbible.com/ezekiel/15.htm| title=|King James Bible| target=|_top|&gt;KJV&lt;/a&gt;</v>
      </c>
      <c r="R817" t="str">
        <f t="shared" si="3264"/>
        <v>&lt;/li&gt;&lt;li&gt;&lt;a href=|http://asvbible.com/ezekiel/15.htm| title=|American Standard Version| target=|_top|&gt;ASV&lt;/a&gt;</v>
      </c>
      <c r="S817" t="str">
        <f t="shared" si="3264"/>
        <v>&lt;/li&gt;&lt;li&gt;&lt;a href=|http://drb.scripturetext.com/ezekiel/15.htm| title=|Douay-Rheims Bible| target=|_top|&gt;DRB&lt;/a&gt;</v>
      </c>
      <c r="T817" t="str">
        <f t="shared" si="3264"/>
        <v>&lt;/li&gt;&lt;li&gt;&lt;a href=|http://erv.scripturetext.com/ezekiel/15.htm| title=|English Revised Version| target=|_top|&gt;ERV&lt;/a&gt;</v>
      </c>
      <c r="V817" t="str">
        <f>CONCATENATE("&lt;/li&gt;&lt;li&gt;&lt;a href=|http://",V1191,"/ezekiel/15.htm","| ","title=|",V1190,"| target=|_top|&gt;",V1192,"&lt;/a&gt;")</f>
        <v>&lt;/li&gt;&lt;li&gt;&lt;a href=|http://study.interlinearbible.org/ezekiel/15.htm| title=|Hebrew Study Bible| target=|_top|&gt;Heb Study&lt;/a&gt;</v>
      </c>
      <c r="W817" t="str">
        <f t="shared" si="3264"/>
        <v>&lt;/li&gt;&lt;li&gt;&lt;a href=|http://apostolic.interlinearbible.org/ezekiel/15.htm| title=|Apostolic Bible Polyglot Interlinear| target=|_top|&gt;Polyglot&lt;/a&gt;</v>
      </c>
      <c r="X817" t="str">
        <f t="shared" si="3264"/>
        <v>&lt;/li&gt;&lt;li&gt;&lt;a href=|http://interlinearbible.org/ezekiel/15.htm| title=|Interlinear Bible| target=|_top|&gt;Interlin&lt;/a&gt;</v>
      </c>
      <c r="Y817" t="str">
        <f t="shared" ref="Y817" si="3265">CONCATENATE("&lt;/li&gt;&lt;li&gt;&lt;a href=|http://",Y1191,"/ezekiel/15.htm","| ","title=|",Y1190,"| target=|_top|&gt;",Y1192,"&lt;/a&gt;")</f>
        <v>&lt;/li&gt;&lt;li&gt;&lt;a href=|http://bibleoutline.org/ezekiel/15.htm| title=|Outline with People and Places List| target=|_top|&gt;Outline&lt;/a&gt;</v>
      </c>
      <c r="Z817" t="str">
        <f t="shared" si="3264"/>
        <v>&lt;/li&gt;&lt;li&gt;&lt;a href=|http://kjvs.scripturetext.com/ezekiel/15.htm| title=|King James Bible with Strong's Numbers| target=|_top|&gt;Strong's&lt;/a&gt;</v>
      </c>
      <c r="AA817" t="str">
        <f t="shared" si="3264"/>
        <v>&lt;/li&gt;&lt;li&gt;&lt;a href=|http://childrensbibleonline.com/ezekiel/15.htm| title=|The Children's Bible| target=|_top|&gt;Children's&lt;/a&gt;</v>
      </c>
      <c r="AB817" s="2" t="str">
        <f t="shared" si="3264"/>
        <v>&lt;/li&gt;&lt;li&gt;&lt;a href=|http://tsk.scripturetext.com/ezekiel/15.htm| title=|Treasury of Scripture Knowledge| target=|_top|&gt;TSK&lt;/a&gt;</v>
      </c>
      <c r="AC817" t="str">
        <f>CONCATENATE("&lt;a href=|http://",AC1191,"/ezekiel/15.htm","| ","title=|",AC1190,"| target=|_top|&gt;",AC1192,"&lt;/a&gt;")</f>
        <v>&lt;a href=|http://parallelbible.com/ezekiel/15.htm| title=|Parallel Chapters| target=|_top|&gt;PAR&lt;/a&gt;</v>
      </c>
      <c r="AD817" s="2" t="str">
        <f t="shared" ref="AD817:AK817" si="3266">CONCATENATE("&lt;/li&gt;&lt;li&gt;&lt;a href=|http://",AD1191,"/ezekiel/15.htm","| ","title=|",AD1190,"| target=|_top|&gt;",AD1192,"&lt;/a&gt;")</f>
        <v>&lt;/li&gt;&lt;li&gt;&lt;a href=|http://gsb.biblecommenter.com/ezekiel/15.htm| title=|Geneva Study Bible| target=|_top|&gt;GSB&lt;/a&gt;</v>
      </c>
      <c r="AE817" s="2" t="str">
        <f t="shared" si="3266"/>
        <v>&lt;/li&gt;&lt;li&gt;&lt;a href=|http://jfb.biblecommenter.com/ezekiel/15.htm| title=|Jamieson-Fausset-Brown Bible Commentary| target=|_top|&gt;JFB&lt;/a&gt;</v>
      </c>
      <c r="AF817" s="2" t="str">
        <f t="shared" si="3266"/>
        <v>&lt;/li&gt;&lt;li&gt;&lt;a href=|http://kjt.biblecommenter.com/ezekiel/15.htm| title=|King James Translators' Notes| target=|_top|&gt;KJT&lt;/a&gt;</v>
      </c>
      <c r="AG817" s="2" t="str">
        <f t="shared" si="3266"/>
        <v>&lt;/li&gt;&lt;li&gt;&lt;a href=|http://mhc.biblecommenter.com/ezekiel/15.htm| title=|Matthew Henry's Concise Commentary| target=|_top|&gt;MHC&lt;/a&gt;</v>
      </c>
      <c r="AH817" s="2" t="str">
        <f t="shared" si="3266"/>
        <v>&lt;/li&gt;&lt;li&gt;&lt;a href=|http://sco.biblecommenter.com/ezekiel/15.htm| title=|Scofield Reference Notes| target=|_top|&gt;SCO&lt;/a&gt;</v>
      </c>
      <c r="AI817" s="2" t="str">
        <f t="shared" si="3266"/>
        <v>&lt;/li&gt;&lt;li&gt;&lt;a href=|http://wes.biblecommenter.com/ezekiel/15.htm| title=|Wesley's Notes on the Bible| target=|_top|&gt;WES&lt;/a&gt;</v>
      </c>
      <c r="AJ817" t="str">
        <f t="shared" si="3266"/>
        <v>&lt;/li&gt;&lt;li&gt;&lt;a href=|http://worldebible.com/ezekiel/15.htm| title=|World English Bible| target=|_top|&gt;WEB&lt;/a&gt;</v>
      </c>
      <c r="AK817" t="str">
        <f t="shared" si="3266"/>
        <v>&lt;/li&gt;&lt;li&gt;&lt;a href=|http://yltbible.com/ezekiel/15.htm| title=|Young's Literal Translation| target=|_top|&gt;YLT&lt;/a&gt;</v>
      </c>
      <c r="AL817" t="str">
        <f>CONCATENATE("&lt;a href=|http://",AL1191,"/ezekiel/15.htm","| ","title=|",AL1190,"| target=|_top|&gt;",AL1192,"&lt;/a&gt;")</f>
        <v>&lt;a href=|http://kjv.us/ezekiel/15.htm| title=|American King James Version| target=|_top|&gt;AKJ&lt;/a&gt;</v>
      </c>
      <c r="AM817" t="str">
        <f t="shared" ref="AM817:AN817" si="3267">CONCATENATE("&lt;/li&gt;&lt;li&gt;&lt;a href=|http://",AM1191,"/ezekiel/15.htm","| ","title=|",AM1190,"| target=|_top|&gt;",AM1192,"&lt;/a&gt;")</f>
        <v>&lt;/li&gt;&lt;li&gt;&lt;a href=|http://basicenglishbible.com/ezekiel/15.htm| title=|Bible in Basic English| target=|_top|&gt;BBE&lt;/a&gt;</v>
      </c>
      <c r="AN817" t="str">
        <f t="shared" si="3267"/>
        <v>&lt;/li&gt;&lt;li&gt;&lt;a href=|http://darbybible.com/ezekiel/15.htm| title=|Darby Bible Translation| target=|_top|&gt;DBY&lt;/a&gt;</v>
      </c>
      <c r="AO81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1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1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17" t="str">
        <f>CONCATENATE("&lt;/li&gt;&lt;li&gt;&lt;a href=|http://",AR1191,"/ezekiel/15.htm","| ","title=|",AR1190,"| target=|_top|&gt;",AR1192,"&lt;/a&gt;")</f>
        <v>&lt;/li&gt;&lt;li&gt;&lt;a href=|http://websterbible.com/ezekiel/15.htm| title=|Webster's Bible Translation| target=|_top|&gt;WBS&lt;/a&gt;</v>
      </c>
      <c r="AS81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17" t="str">
        <f>CONCATENATE("&lt;/li&gt;&lt;li&gt;&lt;a href=|http://",AT1191,"/ezekiel/15-1.htm","| ","title=|",AT1190,"| target=|_top|&gt;",AT1192,"&lt;/a&gt;")</f>
        <v>&lt;/li&gt;&lt;li&gt;&lt;a href=|http://biblebrowser.com/ezekiel/15-1.htm| title=|Split View| target=|_top|&gt;Split&lt;/a&gt;</v>
      </c>
      <c r="AU817" s="2" t="s">
        <v>1276</v>
      </c>
      <c r="AV817" t="s">
        <v>64</v>
      </c>
    </row>
    <row r="818" spans="1:48">
      <c r="A818" t="s">
        <v>622</v>
      </c>
      <c r="B818" t="s">
        <v>859</v>
      </c>
      <c r="C818" t="s">
        <v>624</v>
      </c>
      <c r="D818" t="s">
        <v>1268</v>
      </c>
      <c r="E818" t="s">
        <v>1277</v>
      </c>
      <c r="F818" t="s">
        <v>1304</v>
      </c>
      <c r="G818" t="s">
        <v>1266</v>
      </c>
      <c r="H818" t="s">
        <v>1305</v>
      </c>
      <c r="I818" t="s">
        <v>1303</v>
      </c>
      <c r="J818" t="s">
        <v>1267</v>
      </c>
      <c r="K818" t="s">
        <v>1275</v>
      </c>
      <c r="L818" s="2" t="s">
        <v>1274</v>
      </c>
      <c r="M818" t="str">
        <f t="shared" ref="M818:AB818" si="3268">CONCATENATE("&lt;/li&gt;&lt;li&gt;&lt;a href=|http://",M1191,"/ezekiel/16.htm","| ","title=|",M1190,"| target=|_top|&gt;",M1192,"&lt;/a&gt;")</f>
        <v>&lt;/li&gt;&lt;li&gt;&lt;a href=|http://niv.scripturetext.com/ezekiel/16.htm| title=|New International Version| target=|_top|&gt;NIV&lt;/a&gt;</v>
      </c>
      <c r="N818" t="str">
        <f t="shared" si="3268"/>
        <v>&lt;/li&gt;&lt;li&gt;&lt;a href=|http://nlt.scripturetext.com/ezekiel/16.htm| title=|New Living Translation| target=|_top|&gt;NLT&lt;/a&gt;</v>
      </c>
      <c r="O818" t="str">
        <f t="shared" si="3268"/>
        <v>&lt;/li&gt;&lt;li&gt;&lt;a href=|http://nasb.scripturetext.com/ezekiel/16.htm| title=|New American Standard Bible| target=|_top|&gt;NAS&lt;/a&gt;</v>
      </c>
      <c r="P818" t="str">
        <f t="shared" si="3268"/>
        <v>&lt;/li&gt;&lt;li&gt;&lt;a href=|http://gwt.scripturetext.com/ezekiel/16.htm| title=|God's Word Translation| target=|_top|&gt;GWT&lt;/a&gt;</v>
      </c>
      <c r="Q818" t="str">
        <f t="shared" si="3268"/>
        <v>&lt;/li&gt;&lt;li&gt;&lt;a href=|http://kingjbible.com/ezekiel/16.htm| title=|King James Bible| target=|_top|&gt;KJV&lt;/a&gt;</v>
      </c>
      <c r="R818" t="str">
        <f t="shared" si="3268"/>
        <v>&lt;/li&gt;&lt;li&gt;&lt;a href=|http://asvbible.com/ezekiel/16.htm| title=|American Standard Version| target=|_top|&gt;ASV&lt;/a&gt;</v>
      </c>
      <c r="S818" t="str">
        <f t="shared" si="3268"/>
        <v>&lt;/li&gt;&lt;li&gt;&lt;a href=|http://drb.scripturetext.com/ezekiel/16.htm| title=|Douay-Rheims Bible| target=|_top|&gt;DRB&lt;/a&gt;</v>
      </c>
      <c r="T818" t="str">
        <f t="shared" si="3268"/>
        <v>&lt;/li&gt;&lt;li&gt;&lt;a href=|http://erv.scripturetext.com/ezekiel/16.htm| title=|English Revised Version| target=|_top|&gt;ERV&lt;/a&gt;</v>
      </c>
      <c r="V818" t="str">
        <f>CONCATENATE("&lt;/li&gt;&lt;li&gt;&lt;a href=|http://",V1191,"/ezekiel/16.htm","| ","title=|",V1190,"| target=|_top|&gt;",V1192,"&lt;/a&gt;")</f>
        <v>&lt;/li&gt;&lt;li&gt;&lt;a href=|http://study.interlinearbible.org/ezekiel/16.htm| title=|Hebrew Study Bible| target=|_top|&gt;Heb Study&lt;/a&gt;</v>
      </c>
      <c r="W818" t="str">
        <f t="shared" si="3268"/>
        <v>&lt;/li&gt;&lt;li&gt;&lt;a href=|http://apostolic.interlinearbible.org/ezekiel/16.htm| title=|Apostolic Bible Polyglot Interlinear| target=|_top|&gt;Polyglot&lt;/a&gt;</v>
      </c>
      <c r="X818" t="str">
        <f t="shared" si="3268"/>
        <v>&lt;/li&gt;&lt;li&gt;&lt;a href=|http://interlinearbible.org/ezekiel/16.htm| title=|Interlinear Bible| target=|_top|&gt;Interlin&lt;/a&gt;</v>
      </c>
      <c r="Y818" t="str">
        <f t="shared" ref="Y818" si="3269">CONCATENATE("&lt;/li&gt;&lt;li&gt;&lt;a href=|http://",Y1191,"/ezekiel/16.htm","| ","title=|",Y1190,"| target=|_top|&gt;",Y1192,"&lt;/a&gt;")</f>
        <v>&lt;/li&gt;&lt;li&gt;&lt;a href=|http://bibleoutline.org/ezekiel/16.htm| title=|Outline with People and Places List| target=|_top|&gt;Outline&lt;/a&gt;</v>
      </c>
      <c r="Z818" t="str">
        <f t="shared" si="3268"/>
        <v>&lt;/li&gt;&lt;li&gt;&lt;a href=|http://kjvs.scripturetext.com/ezekiel/16.htm| title=|King James Bible with Strong's Numbers| target=|_top|&gt;Strong's&lt;/a&gt;</v>
      </c>
      <c r="AA818" t="str">
        <f t="shared" si="3268"/>
        <v>&lt;/li&gt;&lt;li&gt;&lt;a href=|http://childrensbibleonline.com/ezekiel/16.htm| title=|The Children's Bible| target=|_top|&gt;Children's&lt;/a&gt;</v>
      </c>
      <c r="AB818" s="2" t="str">
        <f t="shared" si="3268"/>
        <v>&lt;/li&gt;&lt;li&gt;&lt;a href=|http://tsk.scripturetext.com/ezekiel/16.htm| title=|Treasury of Scripture Knowledge| target=|_top|&gt;TSK&lt;/a&gt;</v>
      </c>
      <c r="AC818" t="str">
        <f>CONCATENATE("&lt;a href=|http://",AC1191,"/ezekiel/16.htm","| ","title=|",AC1190,"| target=|_top|&gt;",AC1192,"&lt;/a&gt;")</f>
        <v>&lt;a href=|http://parallelbible.com/ezekiel/16.htm| title=|Parallel Chapters| target=|_top|&gt;PAR&lt;/a&gt;</v>
      </c>
      <c r="AD818" s="2" t="str">
        <f t="shared" ref="AD818:AK818" si="3270">CONCATENATE("&lt;/li&gt;&lt;li&gt;&lt;a href=|http://",AD1191,"/ezekiel/16.htm","| ","title=|",AD1190,"| target=|_top|&gt;",AD1192,"&lt;/a&gt;")</f>
        <v>&lt;/li&gt;&lt;li&gt;&lt;a href=|http://gsb.biblecommenter.com/ezekiel/16.htm| title=|Geneva Study Bible| target=|_top|&gt;GSB&lt;/a&gt;</v>
      </c>
      <c r="AE818" s="2" t="str">
        <f t="shared" si="3270"/>
        <v>&lt;/li&gt;&lt;li&gt;&lt;a href=|http://jfb.biblecommenter.com/ezekiel/16.htm| title=|Jamieson-Fausset-Brown Bible Commentary| target=|_top|&gt;JFB&lt;/a&gt;</v>
      </c>
      <c r="AF818" s="2" t="str">
        <f t="shared" si="3270"/>
        <v>&lt;/li&gt;&lt;li&gt;&lt;a href=|http://kjt.biblecommenter.com/ezekiel/16.htm| title=|King James Translators' Notes| target=|_top|&gt;KJT&lt;/a&gt;</v>
      </c>
      <c r="AG818" s="2" t="str">
        <f t="shared" si="3270"/>
        <v>&lt;/li&gt;&lt;li&gt;&lt;a href=|http://mhc.biblecommenter.com/ezekiel/16.htm| title=|Matthew Henry's Concise Commentary| target=|_top|&gt;MHC&lt;/a&gt;</v>
      </c>
      <c r="AH818" s="2" t="str">
        <f t="shared" si="3270"/>
        <v>&lt;/li&gt;&lt;li&gt;&lt;a href=|http://sco.biblecommenter.com/ezekiel/16.htm| title=|Scofield Reference Notes| target=|_top|&gt;SCO&lt;/a&gt;</v>
      </c>
      <c r="AI818" s="2" t="str">
        <f t="shared" si="3270"/>
        <v>&lt;/li&gt;&lt;li&gt;&lt;a href=|http://wes.biblecommenter.com/ezekiel/16.htm| title=|Wesley's Notes on the Bible| target=|_top|&gt;WES&lt;/a&gt;</v>
      </c>
      <c r="AJ818" t="str">
        <f t="shared" si="3270"/>
        <v>&lt;/li&gt;&lt;li&gt;&lt;a href=|http://worldebible.com/ezekiel/16.htm| title=|World English Bible| target=|_top|&gt;WEB&lt;/a&gt;</v>
      </c>
      <c r="AK818" t="str">
        <f t="shared" si="3270"/>
        <v>&lt;/li&gt;&lt;li&gt;&lt;a href=|http://yltbible.com/ezekiel/16.htm| title=|Young's Literal Translation| target=|_top|&gt;YLT&lt;/a&gt;</v>
      </c>
      <c r="AL818" t="str">
        <f>CONCATENATE("&lt;a href=|http://",AL1191,"/ezekiel/16.htm","| ","title=|",AL1190,"| target=|_top|&gt;",AL1192,"&lt;/a&gt;")</f>
        <v>&lt;a href=|http://kjv.us/ezekiel/16.htm| title=|American King James Version| target=|_top|&gt;AKJ&lt;/a&gt;</v>
      </c>
      <c r="AM818" t="str">
        <f t="shared" ref="AM818:AN818" si="3271">CONCATENATE("&lt;/li&gt;&lt;li&gt;&lt;a href=|http://",AM1191,"/ezekiel/16.htm","| ","title=|",AM1190,"| target=|_top|&gt;",AM1192,"&lt;/a&gt;")</f>
        <v>&lt;/li&gt;&lt;li&gt;&lt;a href=|http://basicenglishbible.com/ezekiel/16.htm| title=|Bible in Basic English| target=|_top|&gt;BBE&lt;/a&gt;</v>
      </c>
      <c r="AN818" t="str">
        <f t="shared" si="3271"/>
        <v>&lt;/li&gt;&lt;li&gt;&lt;a href=|http://darbybible.com/ezekiel/16.htm| title=|Darby Bible Translation| target=|_top|&gt;DBY&lt;/a&gt;</v>
      </c>
      <c r="AO81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1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1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18" t="str">
        <f>CONCATENATE("&lt;/li&gt;&lt;li&gt;&lt;a href=|http://",AR1191,"/ezekiel/16.htm","| ","title=|",AR1190,"| target=|_top|&gt;",AR1192,"&lt;/a&gt;")</f>
        <v>&lt;/li&gt;&lt;li&gt;&lt;a href=|http://websterbible.com/ezekiel/16.htm| title=|Webster's Bible Translation| target=|_top|&gt;WBS&lt;/a&gt;</v>
      </c>
      <c r="AS81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18" t="str">
        <f>CONCATENATE("&lt;/li&gt;&lt;li&gt;&lt;a href=|http://",AT1191,"/ezekiel/16-1.htm","| ","title=|",AT1190,"| target=|_top|&gt;",AT1192,"&lt;/a&gt;")</f>
        <v>&lt;/li&gt;&lt;li&gt;&lt;a href=|http://biblebrowser.com/ezekiel/16-1.htm| title=|Split View| target=|_top|&gt;Split&lt;/a&gt;</v>
      </c>
      <c r="AU818" s="2" t="s">
        <v>1276</v>
      </c>
      <c r="AV818" t="s">
        <v>64</v>
      </c>
    </row>
    <row r="819" spans="1:48">
      <c r="A819" t="s">
        <v>622</v>
      </c>
      <c r="B819" t="s">
        <v>860</v>
      </c>
      <c r="C819" t="s">
        <v>624</v>
      </c>
      <c r="D819" t="s">
        <v>1268</v>
      </c>
      <c r="E819" t="s">
        <v>1277</v>
      </c>
      <c r="F819" t="s">
        <v>1304</v>
      </c>
      <c r="G819" t="s">
        <v>1266</v>
      </c>
      <c r="H819" t="s">
        <v>1305</v>
      </c>
      <c r="I819" t="s">
        <v>1303</v>
      </c>
      <c r="J819" t="s">
        <v>1267</v>
      </c>
      <c r="K819" t="s">
        <v>1275</v>
      </c>
      <c r="L819" s="2" t="s">
        <v>1274</v>
      </c>
      <c r="M819" t="str">
        <f t="shared" ref="M819:AB819" si="3272">CONCATENATE("&lt;/li&gt;&lt;li&gt;&lt;a href=|http://",M1191,"/ezekiel/17.htm","| ","title=|",M1190,"| target=|_top|&gt;",M1192,"&lt;/a&gt;")</f>
        <v>&lt;/li&gt;&lt;li&gt;&lt;a href=|http://niv.scripturetext.com/ezekiel/17.htm| title=|New International Version| target=|_top|&gt;NIV&lt;/a&gt;</v>
      </c>
      <c r="N819" t="str">
        <f t="shared" si="3272"/>
        <v>&lt;/li&gt;&lt;li&gt;&lt;a href=|http://nlt.scripturetext.com/ezekiel/17.htm| title=|New Living Translation| target=|_top|&gt;NLT&lt;/a&gt;</v>
      </c>
      <c r="O819" t="str">
        <f t="shared" si="3272"/>
        <v>&lt;/li&gt;&lt;li&gt;&lt;a href=|http://nasb.scripturetext.com/ezekiel/17.htm| title=|New American Standard Bible| target=|_top|&gt;NAS&lt;/a&gt;</v>
      </c>
      <c r="P819" t="str">
        <f t="shared" si="3272"/>
        <v>&lt;/li&gt;&lt;li&gt;&lt;a href=|http://gwt.scripturetext.com/ezekiel/17.htm| title=|God's Word Translation| target=|_top|&gt;GWT&lt;/a&gt;</v>
      </c>
      <c r="Q819" t="str">
        <f t="shared" si="3272"/>
        <v>&lt;/li&gt;&lt;li&gt;&lt;a href=|http://kingjbible.com/ezekiel/17.htm| title=|King James Bible| target=|_top|&gt;KJV&lt;/a&gt;</v>
      </c>
      <c r="R819" t="str">
        <f t="shared" si="3272"/>
        <v>&lt;/li&gt;&lt;li&gt;&lt;a href=|http://asvbible.com/ezekiel/17.htm| title=|American Standard Version| target=|_top|&gt;ASV&lt;/a&gt;</v>
      </c>
      <c r="S819" t="str">
        <f t="shared" si="3272"/>
        <v>&lt;/li&gt;&lt;li&gt;&lt;a href=|http://drb.scripturetext.com/ezekiel/17.htm| title=|Douay-Rheims Bible| target=|_top|&gt;DRB&lt;/a&gt;</v>
      </c>
      <c r="T819" t="str">
        <f t="shared" si="3272"/>
        <v>&lt;/li&gt;&lt;li&gt;&lt;a href=|http://erv.scripturetext.com/ezekiel/17.htm| title=|English Revised Version| target=|_top|&gt;ERV&lt;/a&gt;</v>
      </c>
      <c r="V819" t="str">
        <f>CONCATENATE("&lt;/li&gt;&lt;li&gt;&lt;a href=|http://",V1191,"/ezekiel/17.htm","| ","title=|",V1190,"| target=|_top|&gt;",V1192,"&lt;/a&gt;")</f>
        <v>&lt;/li&gt;&lt;li&gt;&lt;a href=|http://study.interlinearbible.org/ezekiel/17.htm| title=|Hebrew Study Bible| target=|_top|&gt;Heb Study&lt;/a&gt;</v>
      </c>
      <c r="W819" t="str">
        <f t="shared" si="3272"/>
        <v>&lt;/li&gt;&lt;li&gt;&lt;a href=|http://apostolic.interlinearbible.org/ezekiel/17.htm| title=|Apostolic Bible Polyglot Interlinear| target=|_top|&gt;Polyglot&lt;/a&gt;</v>
      </c>
      <c r="X819" t="str">
        <f t="shared" si="3272"/>
        <v>&lt;/li&gt;&lt;li&gt;&lt;a href=|http://interlinearbible.org/ezekiel/17.htm| title=|Interlinear Bible| target=|_top|&gt;Interlin&lt;/a&gt;</v>
      </c>
      <c r="Y819" t="str">
        <f t="shared" ref="Y819" si="3273">CONCATENATE("&lt;/li&gt;&lt;li&gt;&lt;a href=|http://",Y1191,"/ezekiel/17.htm","| ","title=|",Y1190,"| target=|_top|&gt;",Y1192,"&lt;/a&gt;")</f>
        <v>&lt;/li&gt;&lt;li&gt;&lt;a href=|http://bibleoutline.org/ezekiel/17.htm| title=|Outline with People and Places List| target=|_top|&gt;Outline&lt;/a&gt;</v>
      </c>
      <c r="Z819" t="str">
        <f t="shared" si="3272"/>
        <v>&lt;/li&gt;&lt;li&gt;&lt;a href=|http://kjvs.scripturetext.com/ezekiel/17.htm| title=|King James Bible with Strong's Numbers| target=|_top|&gt;Strong's&lt;/a&gt;</v>
      </c>
      <c r="AA819" t="str">
        <f t="shared" si="3272"/>
        <v>&lt;/li&gt;&lt;li&gt;&lt;a href=|http://childrensbibleonline.com/ezekiel/17.htm| title=|The Children's Bible| target=|_top|&gt;Children's&lt;/a&gt;</v>
      </c>
      <c r="AB819" s="2" t="str">
        <f t="shared" si="3272"/>
        <v>&lt;/li&gt;&lt;li&gt;&lt;a href=|http://tsk.scripturetext.com/ezekiel/17.htm| title=|Treasury of Scripture Knowledge| target=|_top|&gt;TSK&lt;/a&gt;</v>
      </c>
      <c r="AC819" t="str">
        <f>CONCATENATE("&lt;a href=|http://",AC1191,"/ezekiel/17.htm","| ","title=|",AC1190,"| target=|_top|&gt;",AC1192,"&lt;/a&gt;")</f>
        <v>&lt;a href=|http://parallelbible.com/ezekiel/17.htm| title=|Parallel Chapters| target=|_top|&gt;PAR&lt;/a&gt;</v>
      </c>
      <c r="AD819" s="2" t="str">
        <f t="shared" ref="AD819:AK819" si="3274">CONCATENATE("&lt;/li&gt;&lt;li&gt;&lt;a href=|http://",AD1191,"/ezekiel/17.htm","| ","title=|",AD1190,"| target=|_top|&gt;",AD1192,"&lt;/a&gt;")</f>
        <v>&lt;/li&gt;&lt;li&gt;&lt;a href=|http://gsb.biblecommenter.com/ezekiel/17.htm| title=|Geneva Study Bible| target=|_top|&gt;GSB&lt;/a&gt;</v>
      </c>
      <c r="AE819" s="2" t="str">
        <f t="shared" si="3274"/>
        <v>&lt;/li&gt;&lt;li&gt;&lt;a href=|http://jfb.biblecommenter.com/ezekiel/17.htm| title=|Jamieson-Fausset-Brown Bible Commentary| target=|_top|&gt;JFB&lt;/a&gt;</v>
      </c>
      <c r="AF819" s="2" t="str">
        <f t="shared" si="3274"/>
        <v>&lt;/li&gt;&lt;li&gt;&lt;a href=|http://kjt.biblecommenter.com/ezekiel/17.htm| title=|King James Translators' Notes| target=|_top|&gt;KJT&lt;/a&gt;</v>
      </c>
      <c r="AG819" s="2" t="str">
        <f t="shared" si="3274"/>
        <v>&lt;/li&gt;&lt;li&gt;&lt;a href=|http://mhc.biblecommenter.com/ezekiel/17.htm| title=|Matthew Henry's Concise Commentary| target=|_top|&gt;MHC&lt;/a&gt;</v>
      </c>
      <c r="AH819" s="2" t="str">
        <f t="shared" si="3274"/>
        <v>&lt;/li&gt;&lt;li&gt;&lt;a href=|http://sco.biblecommenter.com/ezekiel/17.htm| title=|Scofield Reference Notes| target=|_top|&gt;SCO&lt;/a&gt;</v>
      </c>
      <c r="AI819" s="2" t="str">
        <f t="shared" si="3274"/>
        <v>&lt;/li&gt;&lt;li&gt;&lt;a href=|http://wes.biblecommenter.com/ezekiel/17.htm| title=|Wesley's Notes on the Bible| target=|_top|&gt;WES&lt;/a&gt;</v>
      </c>
      <c r="AJ819" t="str">
        <f t="shared" si="3274"/>
        <v>&lt;/li&gt;&lt;li&gt;&lt;a href=|http://worldebible.com/ezekiel/17.htm| title=|World English Bible| target=|_top|&gt;WEB&lt;/a&gt;</v>
      </c>
      <c r="AK819" t="str">
        <f t="shared" si="3274"/>
        <v>&lt;/li&gt;&lt;li&gt;&lt;a href=|http://yltbible.com/ezekiel/17.htm| title=|Young's Literal Translation| target=|_top|&gt;YLT&lt;/a&gt;</v>
      </c>
      <c r="AL819" t="str">
        <f>CONCATENATE("&lt;a href=|http://",AL1191,"/ezekiel/17.htm","| ","title=|",AL1190,"| target=|_top|&gt;",AL1192,"&lt;/a&gt;")</f>
        <v>&lt;a href=|http://kjv.us/ezekiel/17.htm| title=|American King James Version| target=|_top|&gt;AKJ&lt;/a&gt;</v>
      </c>
      <c r="AM819" t="str">
        <f t="shared" ref="AM819:AN819" si="3275">CONCATENATE("&lt;/li&gt;&lt;li&gt;&lt;a href=|http://",AM1191,"/ezekiel/17.htm","| ","title=|",AM1190,"| target=|_top|&gt;",AM1192,"&lt;/a&gt;")</f>
        <v>&lt;/li&gt;&lt;li&gt;&lt;a href=|http://basicenglishbible.com/ezekiel/17.htm| title=|Bible in Basic English| target=|_top|&gt;BBE&lt;/a&gt;</v>
      </c>
      <c r="AN819" t="str">
        <f t="shared" si="3275"/>
        <v>&lt;/li&gt;&lt;li&gt;&lt;a href=|http://darbybible.com/ezekiel/17.htm| title=|Darby Bible Translation| target=|_top|&gt;DBY&lt;/a&gt;</v>
      </c>
      <c r="AO81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1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1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19" t="str">
        <f>CONCATENATE("&lt;/li&gt;&lt;li&gt;&lt;a href=|http://",AR1191,"/ezekiel/17.htm","| ","title=|",AR1190,"| target=|_top|&gt;",AR1192,"&lt;/a&gt;")</f>
        <v>&lt;/li&gt;&lt;li&gt;&lt;a href=|http://websterbible.com/ezekiel/17.htm| title=|Webster's Bible Translation| target=|_top|&gt;WBS&lt;/a&gt;</v>
      </c>
      <c r="AS81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19" t="str">
        <f>CONCATENATE("&lt;/li&gt;&lt;li&gt;&lt;a href=|http://",AT1191,"/ezekiel/17-1.htm","| ","title=|",AT1190,"| target=|_top|&gt;",AT1192,"&lt;/a&gt;")</f>
        <v>&lt;/li&gt;&lt;li&gt;&lt;a href=|http://biblebrowser.com/ezekiel/17-1.htm| title=|Split View| target=|_top|&gt;Split&lt;/a&gt;</v>
      </c>
      <c r="AU819" s="2" t="s">
        <v>1276</v>
      </c>
      <c r="AV819" t="s">
        <v>64</v>
      </c>
    </row>
    <row r="820" spans="1:48">
      <c r="A820" t="s">
        <v>622</v>
      </c>
      <c r="B820" t="s">
        <v>861</v>
      </c>
      <c r="C820" t="s">
        <v>624</v>
      </c>
      <c r="D820" t="s">
        <v>1268</v>
      </c>
      <c r="E820" t="s">
        <v>1277</v>
      </c>
      <c r="F820" t="s">
        <v>1304</v>
      </c>
      <c r="G820" t="s">
        <v>1266</v>
      </c>
      <c r="H820" t="s">
        <v>1305</v>
      </c>
      <c r="I820" t="s">
        <v>1303</v>
      </c>
      <c r="J820" t="s">
        <v>1267</v>
      </c>
      <c r="K820" t="s">
        <v>1275</v>
      </c>
      <c r="L820" s="2" t="s">
        <v>1274</v>
      </c>
      <c r="M820" t="str">
        <f t="shared" ref="M820:AB820" si="3276">CONCATENATE("&lt;/li&gt;&lt;li&gt;&lt;a href=|http://",M1191,"/ezekiel/18.htm","| ","title=|",M1190,"| target=|_top|&gt;",M1192,"&lt;/a&gt;")</f>
        <v>&lt;/li&gt;&lt;li&gt;&lt;a href=|http://niv.scripturetext.com/ezekiel/18.htm| title=|New International Version| target=|_top|&gt;NIV&lt;/a&gt;</v>
      </c>
      <c r="N820" t="str">
        <f t="shared" si="3276"/>
        <v>&lt;/li&gt;&lt;li&gt;&lt;a href=|http://nlt.scripturetext.com/ezekiel/18.htm| title=|New Living Translation| target=|_top|&gt;NLT&lt;/a&gt;</v>
      </c>
      <c r="O820" t="str">
        <f t="shared" si="3276"/>
        <v>&lt;/li&gt;&lt;li&gt;&lt;a href=|http://nasb.scripturetext.com/ezekiel/18.htm| title=|New American Standard Bible| target=|_top|&gt;NAS&lt;/a&gt;</v>
      </c>
      <c r="P820" t="str">
        <f t="shared" si="3276"/>
        <v>&lt;/li&gt;&lt;li&gt;&lt;a href=|http://gwt.scripturetext.com/ezekiel/18.htm| title=|God's Word Translation| target=|_top|&gt;GWT&lt;/a&gt;</v>
      </c>
      <c r="Q820" t="str">
        <f t="shared" si="3276"/>
        <v>&lt;/li&gt;&lt;li&gt;&lt;a href=|http://kingjbible.com/ezekiel/18.htm| title=|King James Bible| target=|_top|&gt;KJV&lt;/a&gt;</v>
      </c>
      <c r="R820" t="str">
        <f t="shared" si="3276"/>
        <v>&lt;/li&gt;&lt;li&gt;&lt;a href=|http://asvbible.com/ezekiel/18.htm| title=|American Standard Version| target=|_top|&gt;ASV&lt;/a&gt;</v>
      </c>
      <c r="S820" t="str">
        <f t="shared" si="3276"/>
        <v>&lt;/li&gt;&lt;li&gt;&lt;a href=|http://drb.scripturetext.com/ezekiel/18.htm| title=|Douay-Rheims Bible| target=|_top|&gt;DRB&lt;/a&gt;</v>
      </c>
      <c r="T820" t="str">
        <f t="shared" si="3276"/>
        <v>&lt;/li&gt;&lt;li&gt;&lt;a href=|http://erv.scripturetext.com/ezekiel/18.htm| title=|English Revised Version| target=|_top|&gt;ERV&lt;/a&gt;</v>
      </c>
      <c r="V820" t="str">
        <f>CONCATENATE("&lt;/li&gt;&lt;li&gt;&lt;a href=|http://",V1191,"/ezekiel/18.htm","| ","title=|",V1190,"| target=|_top|&gt;",V1192,"&lt;/a&gt;")</f>
        <v>&lt;/li&gt;&lt;li&gt;&lt;a href=|http://study.interlinearbible.org/ezekiel/18.htm| title=|Hebrew Study Bible| target=|_top|&gt;Heb Study&lt;/a&gt;</v>
      </c>
      <c r="W820" t="str">
        <f t="shared" si="3276"/>
        <v>&lt;/li&gt;&lt;li&gt;&lt;a href=|http://apostolic.interlinearbible.org/ezekiel/18.htm| title=|Apostolic Bible Polyglot Interlinear| target=|_top|&gt;Polyglot&lt;/a&gt;</v>
      </c>
      <c r="X820" t="str">
        <f t="shared" si="3276"/>
        <v>&lt;/li&gt;&lt;li&gt;&lt;a href=|http://interlinearbible.org/ezekiel/18.htm| title=|Interlinear Bible| target=|_top|&gt;Interlin&lt;/a&gt;</v>
      </c>
      <c r="Y820" t="str">
        <f t="shared" ref="Y820" si="3277">CONCATENATE("&lt;/li&gt;&lt;li&gt;&lt;a href=|http://",Y1191,"/ezekiel/18.htm","| ","title=|",Y1190,"| target=|_top|&gt;",Y1192,"&lt;/a&gt;")</f>
        <v>&lt;/li&gt;&lt;li&gt;&lt;a href=|http://bibleoutline.org/ezekiel/18.htm| title=|Outline with People and Places List| target=|_top|&gt;Outline&lt;/a&gt;</v>
      </c>
      <c r="Z820" t="str">
        <f t="shared" si="3276"/>
        <v>&lt;/li&gt;&lt;li&gt;&lt;a href=|http://kjvs.scripturetext.com/ezekiel/18.htm| title=|King James Bible with Strong's Numbers| target=|_top|&gt;Strong's&lt;/a&gt;</v>
      </c>
      <c r="AA820" t="str">
        <f t="shared" si="3276"/>
        <v>&lt;/li&gt;&lt;li&gt;&lt;a href=|http://childrensbibleonline.com/ezekiel/18.htm| title=|The Children's Bible| target=|_top|&gt;Children's&lt;/a&gt;</v>
      </c>
      <c r="AB820" s="2" t="str">
        <f t="shared" si="3276"/>
        <v>&lt;/li&gt;&lt;li&gt;&lt;a href=|http://tsk.scripturetext.com/ezekiel/18.htm| title=|Treasury of Scripture Knowledge| target=|_top|&gt;TSK&lt;/a&gt;</v>
      </c>
      <c r="AC820" t="str">
        <f>CONCATENATE("&lt;a href=|http://",AC1191,"/ezekiel/18.htm","| ","title=|",AC1190,"| target=|_top|&gt;",AC1192,"&lt;/a&gt;")</f>
        <v>&lt;a href=|http://parallelbible.com/ezekiel/18.htm| title=|Parallel Chapters| target=|_top|&gt;PAR&lt;/a&gt;</v>
      </c>
      <c r="AD820" s="2" t="str">
        <f t="shared" ref="AD820:AK820" si="3278">CONCATENATE("&lt;/li&gt;&lt;li&gt;&lt;a href=|http://",AD1191,"/ezekiel/18.htm","| ","title=|",AD1190,"| target=|_top|&gt;",AD1192,"&lt;/a&gt;")</f>
        <v>&lt;/li&gt;&lt;li&gt;&lt;a href=|http://gsb.biblecommenter.com/ezekiel/18.htm| title=|Geneva Study Bible| target=|_top|&gt;GSB&lt;/a&gt;</v>
      </c>
      <c r="AE820" s="2" t="str">
        <f t="shared" si="3278"/>
        <v>&lt;/li&gt;&lt;li&gt;&lt;a href=|http://jfb.biblecommenter.com/ezekiel/18.htm| title=|Jamieson-Fausset-Brown Bible Commentary| target=|_top|&gt;JFB&lt;/a&gt;</v>
      </c>
      <c r="AF820" s="2" t="str">
        <f t="shared" si="3278"/>
        <v>&lt;/li&gt;&lt;li&gt;&lt;a href=|http://kjt.biblecommenter.com/ezekiel/18.htm| title=|King James Translators' Notes| target=|_top|&gt;KJT&lt;/a&gt;</v>
      </c>
      <c r="AG820" s="2" t="str">
        <f t="shared" si="3278"/>
        <v>&lt;/li&gt;&lt;li&gt;&lt;a href=|http://mhc.biblecommenter.com/ezekiel/18.htm| title=|Matthew Henry's Concise Commentary| target=|_top|&gt;MHC&lt;/a&gt;</v>
      </c>
      <c r="AH820" s="2" t="str">
        <f t="shared" si="3278"/>
        <v>&lt;/li&gt;&lt;li&gt;&lt;a href=|http://sco.biblecommenter.com/ezekiel/18.htm| title=|Scofield Reference Notes| target=|_top|&gt;SCO&lt;/a&gt;</v>
      </c>
      <c r="AI820" s="2" t="str">
        <f t="shared" si="3278"/>
        <v>&lt;/li&gt;&lt;li&gt;&lt;a href=|http://wes.biblecommenter.com/ezekiel/18.htm| title=|Wesley's Notes on the Bible| target=|_top|&gt;WES&lt;/a&gt;</v>
      </c>
      <c r="AJ820" t="str">
        <f t="shared" si="3278"/>
        <v>&lt;/li&gt;&lt;li&gt;&lt;a href=|http://worldebible.com/ezekiel/18.htm| title=|World English Bible| target=|_top|&gt;WEB&lt;/a&gt;</v>
      </c>
      <c r="AK820" t="str">
        <f t="shared" si="3278"/>
        <v>&lt;/li&gt;&lt;li&gt;&lt;a href=|http://yltbible.com/ezekiel/18.htm| title=|Young's Literal Translation| target=|_top|&gt;YLT&lt;/a&gt;</v>
      </c>
      <c r="AL820" t="str">
        <f>CONCATENATE("&lt;a href=|http://",AL1191,"/ezekiel/18.htm","| ","title=|",AL1190,"| target=|_top|&gt;",AL1192,"&lt;/a&gt;")</f>
        <v>&lt;a href=|http://kjv.us/ezekiel/18.htm| title=|American King James Version| target=|_top|&gt;AKJ&lt;/a&gt;</v>
      </c>
      <c r="AM820" t="str">
        <f t="shared" ref="AM820:AN820" si="3279">CONCATENATE("&lt;/li&gt;&lt;li&gt;&lt;a href=|http://",AM1191,"/ezekiel/18.htm","| ","title=|",AM1190,"| target=|_top|&gt;",AM1192,"&lt;/a&gt;")</f>
        <v>&lt;/li&gt;&lt;li&gt;&lt;a href=|http://basicenglishbible.com/ezekiel/18.htm| title=|Bible in Basic English| target=|_top|&gt;BBE&lt;/a&gt;</v>
      </c>
      <c r="AN820" t="str">
        <f t="shared" si="3279"/>
        <v>&lt;/li&gt;&lt;li&gt;&lt;a href=|http://darbybible.com/ezekiel/18.htm| title=|Darby Bible Translation| target=|_top|&gt;DBY&lt;/a&gt;</v>
      </c>
      <c r="AO82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2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2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20" t="str">
        <f>CONCATENATE("&lt;/li&gt;&lt;li&gt;&lt;a href=|http://",AR1191,"/ezekiel/18.htm","| ","title=|",AR1190,"| target=|_top|&gt;",AR1192,"&lt;/a&gt;")</f>
        <v>&lt;/li&gt;&lt;li&gt;&lt;a href=|http://websterbible.com/ezekiel/18.htm| title=|Webster's Bible Translation| target=|_top|&gt;WBS&lt;/a&gt;</v>
      </c>
      <c r="AS82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20" t="str">
        <f>CONCATENATE("&lt;/li&gt;&lt;li&gt;&lt;a href=|http://",AT1191,"/ezekiel/18-1.htm","| ","title=|",AT1190,"| target=|_top|&gt;",AT1192,"&lt;/a&gt;")</f>
        <v>&lt;/li&gt;&lt;li&gt;&lt;a href=|http://biblebrowser.com/ezekiel/18-1.htm| title=|Split View| target=|_top|&gt;Split&lt;/a&gt;</v>
      </c>
      <c r="AU820" s="2" t="s">
        <v>1276</v>
      </c>
      <c r="AV820" t="s">
        <v>64</v>
      </c>
    </row>
    <row r="821" spans="1:48">
      <c r="A821" t="s">
        <v>622</v>
      </c>
      <c r="B821" t="s">
        <v>862</v>
      </c>
      <c r="C821" t="s">
        <v>624</v>
      </c>
      <c r="D821" t="s">
        <v>1268</v>
      </c>
      <c r="E821" t="s">
        <v>1277</v>
      </c>
      <c r="F821" t="s">
        <v>1304</v>
      </c>
      <c r="G821" t="s">
        <v>1266</v>
      </c>
      <c r="H821" t="s">
        <v>1305</v>
      </c>
      <c r="I821" t="s">
        <v>1303</v>
      </c>
      <c r="J821" t="s">
        <v>1267</v>
      </c>
      <c r="K821" t="s">
        <v>1275</v>
      </c>
      <c r="L821" s="2" t="s">
        <v>1274</v>
      </c>
      <c r="M821" t="str">
        <f t="shared" ref="M821:AB821" si="3280">CONCATENATE("&lt;/li&gt;&lt;li&gt;&lt;a href=|http://",M1191,"/ezekiel/19.htm","| ","title=|",M1190,"| target=|_top|&gt;",M1192,"&lt;/a&gt;")</f>
        <v>&lt;/li&gt;&lt;li&gt;&lt;a href=|http://niv.scripturetext.com/ezekiel/19.htm| title=|New International Version| target=|_top|&gt;NIV&lt;/a&gt;</v>
      </c>
      <c r="N821" t="str">
        <f t="shared" si="3280"/>
        <v>&lt;/li&gt;&lt;li&gt;&lt;a href=|http://nlt.scripturetext.com/ezekiel/19.htm| title=|New Living Translation| target=|_top|&gt;NLT&lt;/a&gt;</v>
      </c>
      <c r="O821" t="str">
        <f t="shared" si="3280"/>
        <v>&lt;/li&gt;&lt;li&gt;&lt;a href=|http://nasb.scripturetext.com/ezekiel/19.htm| title=|New American Standard Bible| target=|_top|&gt;NAS&lt;/a&gt;</v>
      </c>
      <c r="P821" t="str">
        <f t="shared" si="3280"/>
        <v>&lt;/li&gt;&lt;li&gt;&lt;a href=|http://gwt.scripturetext.com/ezekiel/19.htm| title=|God's Word Translation| target=|_top|&gt;GWT&lt;/a&gt;</v>
      </c>
      <c r="Q821" t="str">
        <f t="shared" si="3280"/>
        <v>&lt;/li&gt;&lt;li&gt;&lt;a href=|http://kingjbible.com/ezekiel/19.htm| title=|King James Bible| target=|_top|&gt;KJV&lt;/a&gt;</v>
      </c>
      <c r="R821" t="str">
        <f t="shared" si="3280"/>
        <v>&lt;/li&gt;&lt;li&gt;&lt;a href=|http://asvbible.com/ezekiel/19.htm| title=|American Standard Version| target=|_top|&gt;ASV&lt;/a&gt;</v>
      </c>
      <c r="S821" t="str">
        <f t="shared" si="3280"/>
        <v>&lt;/li&gt;&lt;li&gt;&lt;a href=|http://drb.scripturetext.com/ezekiel/19.htm| title=|Douay-Rheims Bible| target=|_top|&gt;DRB&lt;/a&gt;</v>
      </c>
      <c r="T821" t="str">
        <f t="shared" si="3280"/>
        <v>&lt;/li&gt;&lt;li&gt;&lt;a href=|http://erv.scripturetext.com/ezekiel/19.htm| title=|English Revised Version| target=|_top|&gt;ERV&lt;/a&gt;</v>
      </c>
      <c r="V821" t="str">
        <f>CONCATENATE("&lt;/li&gt;&lt;li&gt;&lt;a href=|http://",V1191,"/ezekiel/19.htm","| ","title=|",V1190,"| target=|_top|&gt;",V1192,"&lt;/a&gt;")</f>
        <v>&lt;/li&gt;&lt;li&gt;&lt;a href=|http://study.interlinearbible.org/ezekiel/19.htm| title=|Hebrew Study Bible| target=|_top|&gt;Heb Study&lt;/a&gt;</v>
      </c>
      <c r="W821" t="str">
        <f t="shared" si="3280"/>
        <v>&lt;/li&gt;&lt;li&gt;&lt;a href=|http://apostolic.interlinearbible.org/ezekiel/19.htm| title=|Apostolic Bible Polyglot Interlinear| target=|_top|&gt;Polyglot&lt;/a&gt;</v>
      </c>
      <c r="X821" t="str">
        <f t="shared" si="3280"/>
        <v>&lt;/li&gt;&lt;li&gt;&lt;a href=|http://interlinearbible.org/ezekiel/19.htm| title=|Interlinear Bible| target=|_top|&gt;Interlin&lt;/a&gt;</v>
      </c>
      <c r="Y821" t="str">
        <f t="shared" ref="Y821" si="3281">CONCATENATE("&lt;/li&gt;&lt;li&gt;&lt;a href=|http://",Y1191,"/ezekiel/19.htm","| ","title=|",Y1190,"| target=|_top|&gt;",Y1192,"&lt;/a&gt;")</f>
        <v>&lt;/li&gt;&lt;li&gt;&lt;a href=|http://bibleoutline.org/ezekiel/19.htm| title=|Outline with People and Places List| target=|_top|&gt;Outline&lt;/a&gt;</v>
      </c>
      <c r="Z821" t="str">
        <f t="shared" si="3280"/>
        <v>&lt;/li&gt;&lt;li&gt;&lt;a href=|http://kjvs.scripturetext.com/ezekiel/19.htm| title=|King James Bible with Strong's Numbers| target=|_top|&gt;Strong's&lt;/a&gt;</v>
      </c>
      <c r="AA821" t="str">
        <f t="shared" si="3280"/>
        <v>&lt;/li&gt;&lt;li&gt;&lt;a href=|http://childrensbibleonline.com/ezekiel/19.htm| title=|The Children's Bible| target=|_top|&gt;Children's&lt;/a&gt;</v>
      </c>
      <c r="AB821" s="2" t="str">
        <f t="shared" si="3280"/>
        <v>&lt;/li&gt;&lt;li&gt;&lt;a href=|http://tsk.scripturetext.com/ezekiel/19.htm| title=|Treasury of Scripture Knowledge| target=|_top|&gt;TSK&lt;/a&gt;</v>
      </c>
      <c r="AC821" t="str">
        <f>CONCATENATE("&lt;a href=|http://",AC1191,"/ezekiel/19.htm","| ","title=|",AC1190,"| target=|_top|&gt;",AC1192,"&lt;/a&gt;")</f>
        <v>&lt;a href=|http://parallelbible.com/ezekiel/19.htm| title=|Parallel Chapters| target=|_top|&gt;PAR&lt;/a&gt;</v>
      </c>
      <c r="AD821" s="2" t="str">
        <f t="shared" ref="AD821:AK821" si="3282">CONCATENATE("&lt;/li&gt;&lt;li&gt;&lt;a href=|http://",AD1191,"/ezekiel/19.htm","| ","title=|",AD1190,"| target=|_top|&gt;",AD1192,"&lt;/a&gt;")</f>
        <v>&lt;/li&gt;&lt;li&gt;&lt;a href=|http://gsb.biblecommenter.com/ezekiel/19.htm| title=|Geneva Study Bible| target=|_top|&gt;GSB&lt;/a&gt;</v>
      </c>
      <c r="AE821" s="2" t="str">
        <f t="shared" si="3282"/>
        <v>&lt;/li&gt;&lt;li&gt;&lt;a href=|http://jfb.biblecommenter.com/ezekiel/19.htm| title=|Jamieson-Fausset-Brown Bible Commentary| target=|_top|&gt;JFB&lt;/a&gt;</v>
      </c>
      <c r="AF821" s="2" t="str">
        <f t="shared" si="3282"/>
        <v>&lt;/li&gt;&lt;li&gt;&lt;a href=|http://kjt.biblecommenter.com/ezekiel/19.htm| title=|King James Translators' Notes| target=|_top|&gt;KJT&lt;/a&gt;</v>
      </c>
      <c r="AG821" s="2" t="str">
        <f t="shared" si="3282"/>
        <v>&lt;/li&gt;&lt;li&gt;&lt;a href=|http://mhc.biblecommenter.com/ezekiel/19.htm| title=|Matthew Henry's Concise Commentary| target=|_top|&gt;MHC&lt;/a&gt;</v>
      </c>
      <c r="AH821" s="2" t="str">
        <f t="shared" si="3282"/>
        <v>&lt;/li&gt;&lt;li&gt;&lt;a href=|http://sco.biblecommenter.com/ezekiel/19.htm| title=|Scofield Reference Notes| target=|_top|&gt;SCO&lt;/a&gt;</v>
      </c>
      <c r="AI821" s="2" t="str">
        <f t="shared" si="3282"/>
        <v>&lt;/li&gt;&lt;li&gt;&lt;a href=|http://wes.biblecommenter.com/ezekiel/19.htm| title=|Wesley's Notes on the Bible| target=|_top|&gt;WES&lt;/a&gt;</v>
      </c>
      <c r="AJ821" t="str">
        <f t="shared" si="3282"/>
        <v>&lt;/li&gt;&lt;li&gt;&lt;a href=|http://worldebible.com/ezekiel/19.htm| title=|World English Bible| target=|_top|&gt;WEB&lt;/a&gt;</v>
      </c>
      <c r="AK821" t="str">
        <f t="shared" si="3282"/>
        <v>&lt;/li&gt;&lt;li&gt;&lt;a href=|http://yltbible.com/ezekiel/19.htm| title=|Young's Literal Translation| target=|_top|&gt;YLT&lt;/a&gt;</v>
      </c>
      <c r="AL821" t="str">
        <f>CONCATENATE("&lt;a href=|http://",AL1191,"/ezekiel/19.htm","| ","title=|",AL1190,"| target=|_top|&gt;",AL1192,"&lt;/a&gt;")</f>
        <v>&lt;a href=|http://kjv.us/ezekiel/19.htm| title=|American King James Version| target=|_top|&gt;AKJ&lt;/a&gt;</v>
      </c>
      <c r="AM821" t="str">
        <f t="shared" ref="AM821:AN821" si="3283">CONCATENATE("&lt;/li&gt;&lt;li&gt;&lt;a href=|http://",AM1191,"/ezekiel/19.htm","| ","title=|",AM1190,"| target=|_top|&gt;",AM1192,"&lt;/a&gt;")</f>
        <v>&lt;/li&gt;&lt;li&gt;&lt;a href=|http://basicenglishbible.com/ezekiel/19.htm| title=|Bible in Basic English| target=|_top|&gt;BBE&lt;/a&gt;</v>
      </c>
      <c r="AN821" t="str">
        <f t="shared" si="3283"/>
        <v>&lt;/li&gt;&lt;li&gt;&lt;a href=|http://darbybible.com/ezekiel/19.htm| title=|Darby Bible Translation| target=|_top|&gt;DBY&lt;/a&gt;</v>
      </c>
      <c r="AO82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2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2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21" t="str">
        <f>CONCATENATE("&lt;/li&gt;&lt;li&gt;&lt;a href=|http://",AR1191,"/ezekiel/19.htm","| ","title=|",AR1190,"| target=|_top|&gt;",AR1192,"&lt;/a&gt;")</f>
        <v>&lt;/li&gt;&lt;li&gt;&lt;a href=|http://websterbible.com/ezekiel/19.htm| title=|Webster's Bible Translation| target=|_top|&gt;WBS&lt;/a&gt;</v>
      </c>
      <c r="AS82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21" t="str">
        <f>CONCATENATE("&lt;/li&gt;&lt;li&gt;&lt;a href=|http://",AT1191,"/ezekiel/19-1.htm","| ","title=|",AT1190,"| target=|_top|&gt;",AT1192,"&lt;/a&gt;")</f>
        <v>&lt;/li&gt;&lt;li&gt;&lt;a href=|http://biblebrowser.com/ezekiel/19-1.htm| title=|Split View| target=|_top|&gt;Split&lt;/a&gt;</v>
      </c>
      <c r="AU821" s="2" t="s">
        <v>1276</v>
      </c>
      <c r="AV821" t="s">
        <v>64</v>
      </c>
    </row>
    <row r="822" spans="1:48">
      <c r="A822" t="s">
        <v>622</v>
      </c>
      <c r="B822" t="s">
        <v>863</v>
      </c>
      <c r="C822" t="s">
        <v>624</v>
      </c>
      <c r="D822" t="s">
        <v>1268</v>
      </c>
      <c r="E822" t="s">
        <v>1277</v>
      </c>
      <c r="F822" t="s">
        <v>1304</v>
      </c>
      <c r="G822" t="s">
        <v>1266</v>
      </c>
      <c r="H822" t="s">
        <v>1305</v>
      </c>
      <c r="I822" t="s">
        <v>1303</v>
      </c>
      <c r="J822" t="s">
        <v>1267</v>
      </c>
      <c r="K822" t="s">
        <v>1275</v>
      </c>
      <c r="L822" s="2" t="s">
        <v>1274</v>
      </c>
      <c r="M822" t="str">
        <f t="shared" ref="M822:AB822" si="3284">CONCATENATE("&lt;/li&gt;&lt;li&gt;&lt;a href=|http://",M1191,"/ezekiel/20.htm","| ","title=|",M1190,"| target=|_top|&gt;",M1192,"&lt;/a&gt;")</f>
        <v>&lt;/li&gt;&lt;li&gt;&lt;a href=|http://niv.scripturetext.com/ezekiel/20.htm| title=|New International Version| target=|_top|&gt;NIV&lt;/a&gt;</v>
      </c>
      <c r="N822" t="str">
        <f t="shared" si="3284"/>
        <v>&lt;/li&gt;&lt;li&gt;&lt;a href=|http://nlt.scripturetext.com/ezekiel/20.htm| title=|New Living Translation| target=|_top|&gt;NLT&lt;/a&gt;</v>
      </c>
      <c r="O822" t="str">
        <f t="shared" si="3284"/>
        <v>&lt;/li&gt;&lt;li&gt;&lt;a href=|http://nasb.scripturetext.com/ezekiel/20.htm| title=|New American Standard Bible| target=|_top|&gt;NAS&lt;/a&gt;</v>
      </c>
      <c r="P822" t="str">
        <f t="shared" si="3284"/>
        <v>&lt;/li&gt;&lt;li&gt;&lt;a href=|http://gwt.scripturetext.com/ezekiel/20.htm| title=|God's Word Translation| target=|_top|&gt;GWT&lt;/a&gt;</v>
      </c>
      <c r="Q822" t="str">
        <f t="shared" si="3284"/>
        <v>&lt;/li&gt;&lt;li&gt;&lt;a href=|http://kingjbible.com/ezekiel/20.htm| title=|King James Bible| target=|_top|&gt;KJV&lt;/a&gt;</v>
      </c>
      <c r="R822" t="str">
        <f t="shared" si="3284"/>
        <v>&lt;/li&gt;&lt;li&gt;&lt;a href=|http://asvbible.com/ezekiel/20.htm| title=|American Standard Version| target=|_top|&gt;ASV&lt;/a&gt;</v>
      </c>
      <c r="S822" t="str">
        <f t="shared" si="3284"/>
        <v>&lt;/li&gt;&lt;li&gt;&lt;a href=|http://drb.scripturetext.com/ezekiel/20.htm| title=|Douay-Rheims Bible| target=|_top|&gt;DRB&lt;/a&gt;</v>
      </c>
      <c r="T822" t="str">
        <f t="shared" si="3284"/>
        <v>&lt;/li&gt;&lt;li&gt;&lt;a href=|http://erv.scripturetext.com/ezekiel/20.htm| title=|English Revised Version| target=|_top|&gt;ERV&lt;/a&gt;</v>
      </c>
      <c r="V822" t="str">
        <f>CONCATENATE("&lt;/li&gt;&lt;li&gt;&lt;a href=|http://",V1191,"/ezekiel/20.htm","| ","title=|",V1190,"| target=|_top|&gt;",V1192,"&lt;/a&gt;")</f>
        <v>&lt;/li&gt;&lt;li&gt;&lt;a href=|http://study.interlinearbible.org/ezekiel/20.htm| title=|Hebrew Study Bible| target=|_top|&gt;Heb Study&lt;/a&gt;</v>
      </c>
      <c r="W822" t="str">
        <f t="shared" si="3284"/>
        <v>&lt;/li&gt;&lt;li&gt;&lt;a href=|http://apostolic.interlinearbible.org/ezekiel/20.htm| title=|Apostolic Bible Polyglot Interlinear| target=|_top|&gt;Polyglot&lt;/a&gt;</v>
      </c>
      <c r="X822" t="str">
        <f t="shared" si="3284"/>
        <v>&lt;/li&gt;&lt;li&gt;&lt;a href=|http://interlinearbible.org/ezekiel/20.htm| title=|Interlinear Bible| target=|_top|&gt;Interlin&lt;/a&gt;</v>
      </c>
      <c r="Y822" t="str">
        <f t="shared" ref="Y822" si="3285">CONCATENATE("&lt;/li&gt;&lt;li&gt;&lt;a href=|http://",Y1191,"/ezekiel/20.htm","| ","title=|",Y1190,"| target=|_top|&gt;",Y1192,"&lt;/a&gt;")</f>
        <v>&lt;/li&gt;&lt;li&gt;&lt;a href=|http://bibleoutline.org/ezekiel/20.htm| title=|Outline with People and Places List| target=|_top|&gt;Outline&lt;/a&gt;</v>
      </c>
      <c r="Z822" t="str">
        <f t="shared" si="3284"/>
        <v>&lt;/li&gt;&lt;li&gt;&lt;a href=|http://kjvs.scripturetext.com/ezekiel/20.htm| title=|King James Bible with Strong's Numbers| target=|_top|&gt;Strong's&lt;/a&gt;</v>
      </c>
      <c r="AA822" t="str">
        <f t="shared" si="3284"/>
        <v>&lt;/li&gt;&lt;li&gt;&lt;a href=|http://childrensbibleonline.com/ezekiel/20.htm| title=|The Children's Bible| target=|_top|&gt;Children's&lt;/a&gt;</v>
      </c>
      <c r="AB822" s="2" t="str">
        <f t="shared" si="3284"/>
        <v>&lt;/li&gt;&lt;li&gt;&lt;a href=|http://tsk.scripturetext.com/ezekiel/20.htm| title=|Treasury of Scripture Knowledge| target=|_top|&gt;TSK&lt;/a&gt;</v>
      </c>
      <c r="AC822" t="str">
        <f>CONCATENATE("&lt;a href=|http://",AC1191,"/ezekiel/20.htm","| ","title=|",AC1190,"| target=|_top|&gt;",AC1192,"&lt;/a&gt;")</f>
        <v>&lt;a href=|http://parallelbible.com/ezekiel/20.htm| title=|Parallel Chapters| target=|_top|&gt;PAR&lt;/a&gt;</v>
      </c>
      <c r="AD822" s="2" t="str">
        <f t="shared" ref="AD822:AK822" si="3286">CONCATENATE("&lt;/li&gt;&lt;li&gt;&lt;a href=|http://",AD1191,"/ezekiel/20.htm","| ","title=|",AD1190,"| target=|_top|&gt;",AD1192,"&lt;/a&gt;")</f>
        <v>&lt;/li&gt;&lt;li&gt;&lt;a href=|http://gsb.biblecommenter.com/ezekiel/20.htm| title=|Geneva Study Bible| target=|_top|&gt;GSB&lt;/a&gt;</v>
      </c>
      <c r="AE822" s="2" t="str">
        <f t="shared" si="3286"/>
        <v>&lt;/li&gt;&lt;li&gt;&lt;a href=|http://jfb.biblecommenter.com/ezekiel/20.htm| title=|Jamieson-Fausset-Brown Bible Commentary| target=|_top|&gt;JFB&lt;/a&gt;</v>
      </c>
      <c r="AF822" s="2" t="str">
        <f t="shared" si="3286"/>
        <v>&lt;/li&gt;&lt;li&gt;&lt;a href=|http://kjt.biblecommenter.com/ezekiel/20.htm| title=|King James Translators' Notes| target=|_top|&gt;KJT&lt;/a&gt;</v>
      </c>
      <c r="AG822" s="2" t="str">
        <f t="shared" si="3286"/>
        <v>&lt;/li&gt;&lt;li&gt;&lt;a href=|http://mhc.biblecommenter.com/ezekiel/20.htm| title=|Matthew Henry's Concise Commentary| target=|_top|&gt;MHC&lt;/a&gt;</v>
      </c>
      <c r="AH822" s="2" t="str">
        <f t="shared" si="3286"/>
        <v>&lt;/li&gt;&lt;li&gt;&lt;a href=|http://sco.biblecommenter.com/ezekiel/20.htm| title=|Scofield Reference Notes| target=|_top|&gt;SCO&lt;/a&gt;</v>
      </c>
      <c r="AI822" s="2" t="str">
        <f t="shared" si="3286"/>
        <v>&lt;/li&gt;&lt;li&gt;&lt;a href=|http://wes.biblecommenter.com/ezekiel/20.htm| title=|Wesley's Notes on the Bible| target=|_top|&gt;WES&lt;/a&gt;</v>
      </c>
      <c r="AJ822" t="str">
        <f t="shared" si="3286"/>
        <v>&lt;/li&gt;&lt;li&gt;&lt;a href=|http://worldebible.com/ezekiel/20.htm| title=|World English Bible| target=|_top|&gt;WEB&lt;/a&gt;</v>
      </c>
      <c r="AK822" t="str">
        <f t="shared" si="3286"/>
        <v>&lt;/li&gt;&lt;li&gt;&lt;a href=|http://yltbible.com/ezekiel/20.htm| title=|Young's Literal Translation| target=|_top|&gt;YLT&lt;/a&gt;</v>
      </c>
      <c r="AL822" t="str">
        <f>CONCATENATE("&lt;a href=|http://",AL1191,"/ezekiel/20.htm","| ","title=|",AL1190,"| target=|_top|&gt;",AL1192,"&lt;/a&gt;")</f>
        <v>&lt;a href=|http://kjv.us/ezekiel/20.htm| title=|American King James Version| target=|_top|&gt;AKJ&lt;/a&gt;</v>
      </c>
      <c r="AM822" t="str">
        <f t="shared" ref="AM822:AN822" si="3287">CONCATENATE("&lt;/li&gt;&lt;li&gt;&lt;a href=|http://",AM1191,"/ezekiel/20.htm","| ","title=|",AM1190,"| target=|_top|&gt;",AM1192,"&lt;/a&gt;")</f>
        <v>&lt;/li&gt;&lt;li&gt;&lt;a href=|http://basicenglishbible.com/ezekiel/20.htm| title=|Bible in Basic English| target=|_top|&gt;BBE&lt;/a&gt;</v>
      </c>
      <c r="AN822" t="str">
        <f t="shared" si="3287"/>
        <v>&lt;/li&gt;&lt;li&gt;&lt;a href=|http://darbybible.com/ezekiel/20.htm| title=|Darby Bible Translation| target=|_top|&gt;DBY&lt;/a&gt;</v>
      </c>
      <c r="AO82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2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2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22" t="str">
        <f>CONCATENATE("&lt;/li&gt;&lt;li&gt;&lt;a href=|http://",AR1191,"/ezekiel/20.htm","| ","title=|",AR1190,"| target=|_top|&gt;",AR1192,"&lt;/a&gt;")</f>
        <v>&lt;/li&gt;&lt;li&gt;&lt;a href=|http://websterbible.com/ezekiel/20.htm| title=|Webster's Bible Translation| target=|_top|&gt;WBS&lt;/a&gt;</v>
      </c>
      <c r="AS82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22" t="str">
        <f>CONCATENATE("&lt;/li&gt;&lt;li&gt;&lt;a href=|http://",AT1191,"/ezekiel/20-1.htm","| ","title=|",AT1190,"| target=|_top|&gt;",AT1192,"&lt;/a&gt;")</f>
        <v>&lt;/li&gt;&lt;li&gt;&lt;a href=|http://biblebrowser.com/ezekiel/20-1.htm| title=|Split View| target=|_top|&gt;Split&lt;/a&gt;</v>
      </c>
      <c r="AU822" s="2" t="s">
        <v>1276</v>
      </c>
      <c r="AV822" t="s">
        <v>64</v>
      </c>
    </row>
    <row r="823" spans="1:48">
      <c r="A823" t="s">
        <v>622</v>
      </c>
      <c r="B823" t="s">
        <v>864</v>
      </c>
      <c r="C823" t="s">
        <v>624</v>
      </c>
      <c r="D823" t="s">
        <v>1268</v>
      </c>
      <c r="E823" t="s">
        <v>1277</v>
      </c>
      <c r="F823" t="s">
        <v>1304</v>
      </c>
      <c r="G823" t="s">
        <v>1266</v>
      </c>
      <c r="H823" t="s">
        <v>1305</v>
      </c>
      <c r="I823" t="s">
        <v>1303</v>
      </c>
      <c r="J823" t="s">
        <v>1267</v>
      </c>
      <c r="K823" t="s">
        <v>1275</v>
      </c>
      <c r="L823" s="2" t="s">
        <v>1274</v>
      </c>
      <c r="M823" t="str">
        <f t="shared" ref="M823:AB823" si="3288">CONCATENATE("&lt;/li&gt;&lt;li&gt;&lt;a href=|http://",M1191,"/ezekiel/21.htm","| ","title=|",M1190,"| target=|_top|&gt;",M1192,"&lt;/a&gt;")</f>
        <v>&lt;/li&gt;&lt;li&gt;&lt;a href=|http://niv.scripturetext.com/ezekiel/21.htm| title=|New International Version| target=|_top|&gt;NIV&lt;/a&gt;</v>
      </c>
      <c r="N823" t="str">
        <f t="shared" si="3288"/>
        <v>&lt;/li&gt;&lt;li&gt;&lt;a href=|http://nlt.scripturetext.com/ezekiel/21.htm| title=|New Living Translation| target=|_top|&gt;NLT&lt;/a&gt;</v>
      </c>
      <c r="O823" t="str">
        <f t="shared" si="3288"/>
        <v>&lt;/li&gt;&lt;li&gt;&lt;a href=|http://nasb.scripturetext.com/ezekiel/21.htm| title=|New American Standard Bible| target=|_top|&gt;NAS&lt;/a&gt;</v>
      </c>
      <c r="P823" t="str">
        <f t="shared" si="3288"/>
        <v>&lt;/li&gt;&lt;li&gt;&lt;a href=|http://gwt.scripturetext.com/ezekiel/21.htm| title=|God's Word Translation| target=|_top|&gt;GWT&lt;/a&gt;</v>
      </c>
      <c r="Q823" t="str">
        <f t="shared" si="3288"/>
        <v>&lt;/li&gt;&lt;li&gt;&lt;a href=|http://kingjbible.com/ezekiel/21.htm| title=|King James Bible| target=|_top|&gt;KJV&lt;/a&gt;</v>
      </c>
      <c r="R823" t="str">
        <f t="shared" si="3288"/>
        <v>&lt;/li&gt;&lt;li&gt;&lt;a href=|http://asvbible.com/ezekiel/21.htm| title=|American Standard Version| target=|_top|&gt;ASV&lt;/a&gt;</v>
      </c>
      <c r="S823" t="str">
        <f t="shared" si="3288"/>
        <v>&lt;/li&gt;&lt;li&gt;&lt;a href=|http://drb.scripturetext.com/ezekiel/21.htm| title=|Douay-Rheims Bible| target=|_top|&gt;DRB&lt;/a&gt;</v>
      </c>
      <c r="T823" t="str">
        <f t="shared" si="3288"/>
        <v>&lt;/li&gt;&lt;li&gt;&lt;a href=|http://erv.scripturetext.com/ezekiel/21.htm| title=|English Revised Version| target=|_top|&gt;ERV&lt;/a&gt;</v>
      </c>
      <c r="V823" t="str">
        <f>CONCATENATE("&lt;/li&gt;&lt;li&gt;&lt;a href=|http://",V1191,"/ezekiel/21.htm","| ","title=|",V1190,"| target=|_top|&gt;",V1192,"&lt;/a&gt;")</f>
        <v>&lt;/li&gt;&lt;li&gt;&lt;a href=|http://study.interlinearbible.org/ezekiel/21.htm| title=|Hebrew Study Bible| target=|_top|&gt;Heb Study&lt;/a&gt;</v>
      </c>
      <c r="W823" t="str">
        <f t="shared" si="3288"/>
        <v>&lt;/li&gt;&lt;li&gt;&lt;a href=|http://apostolic.interlinearbible.org/ezekiel/21.htm| title=|Apostolic Bible Polyglot Interlinear| target=|_top|&gt;Polyglot&lt;/a&gt;</v>
      </c>
      <c r="X823" t="str">
        <f t="shared" si="3288"/>
        <v>&lt;/li&gt;&lt;li&gt;&lt;a href=|http://interlinearbible.org/ezekiel/21.htm| title=|Interlinear Bible| target=|_top|&gt;Interlin&lt;/a&gt;</v>
      </c>
      <c r="Y823" t="str">
        <f t="shared" ref="Y823" si="3289">CONCATENATE("&lt;/li&gt;&lt;li&gt;&lt;a href=|http://",Y1191,"/ezekiel/21.htm","| ","title=|",Y1190,"| target=|_top|&gt;",Y1192,"&lt;/a&gt;")</f>
        <v>&lt;/li&gt;&lt;li&gt;&lt;a href=|http://bibleoutline.org/ezekiel/21.htm| title=|Outline with People and Places List| target=|_top|&gt;Outline&lt;/a&gt;</v>
      </c>
      <c r="Z823" t="str">
        <f t="shared" si="3288"/>
        <v>&lt;/li&gt;&lt;li&gt;&lt;a href=|http://kjvs.scripturetext.com/ezekiel/21.htm| title=|King James Bible with Strong's Numbers| target=|_top|&gt;Strong's&lt;/a&gt;</v>
      </c>
      <c r="AA823" t="str">
        <f t="shared" si="3288"/>
        <v>&lt;/li&gt;&lt;li&gt;&lt;a href=|http://childrensbibleonline.com/ezekiel/21.htm| title=|The Children's Bible| target=|_top|&gt;Children's&lt;/a&gt;</v>
      </c>
      <c r="AB823" s="2" t="str">
        <f t="shared" si="3288"/>
        <v>&lt;/li&gt;&lt;li&gt;&lt;a href=|http://tsk.scripturetext.com/ezekiel/21.htm| title=|Treasury of Scripture Knowledge| target=|_top|&gt;TSK&lt;/a&gt;</v>
      </c>
      <c r="AC823" t="str">
        <f>CONCATENATE("&lt;a href=|http://",AC1191,"/ezekiel/21.htm","| ","title=|",AC1190,"| target=|_top|&gt;",AC1192,"&lt;/a&gt;")</f>
        <v>&lt;a href=|http://parallelbible.com/ezekiel/21.htm| title=|Parallel Chapters| target=|_top|&gt;PAR&lt;/a&gt;</v>
      </c>
      <c r="AD823" s="2" t="str">
        <f t="shared" ref="AD823:AK823" si="3290">CONCATENATE("&lt;/li&gt;&lt;li&gt;&lt;a href=|http://",AD1191,"/ezekiel/21.htm","| ","title=|",AD1190,"| target=|_top|&gt;",AD1192,"&lt;/a&gt;")</f>
        <v>&lt;/li&gt;&lt;li&gt;&lt;a href=|http://gsb.biblecommenter.com/ezekiel/21.htm| title=|Geneva Study Bible| target=|_top|&gt;GSB&lt;/a&gt;</v>
      </c>
      <c r="AE823" s="2" t="str">
        <f t="shared" si="3290"/>
        <v>&lt;/li&gt;&lt;li&gt;&lt;a href=|http://jfb.biblecommenter.com/ezekiel/21.htm| title=|Jamieson-Fausset-Brown Bible Commentary| target=|_top|&gt;JFB&lt;/a&gt;</v>
      </c>
      <c r="AF823" s="2" t="str">
        <f t="shared" si="3290"/>
        <v>&lt;/li&gt;&lt;li&gt;&lt;a href=|http://kjt.biblecommenter.com/ezekiel/21.htm| title=|King James Translators' Notes| target=|_top|&gt;KJT&lt;/a&gt;</v>
      </c>
      <c r="AG823" s="2" t="str">
        <f t="shared" si="3290"/>
        <v>&lt;/li&gt;&lt;li&gt;&lt;a href=|http://mhc.biblecommenter.com/ezekiel/21.htm| title=|Matthew Henry's Concise Commentary| target=|_top|&gt;MHC&lt;/a&gt;</v>
      </c>
      <c r="AH823" s="2" t="str">
        <f t="shared" si="3290"/>
        <v>&lt;/li&gt;&lt;li&gt;&lt;a href=|http://sco.biblecommenter.com/ezekiel/21.htm| title=|Scofield Reference Notes| target=|_top|&gt;SCO&lt;/a&gt;</v>
      </c>
      <c r="AI823" s="2" t="str">
        <f t="shared" si="3290"/>
        <v>&lt;/li&gt;&lt;li&gt;&lt;a href=|http://wes.biblecommenter.com/ezekiel/21.htm| title=|Wesley's Notes on the Bible| target=|_top|&gt;WES&lt;/a&gt;</v>
      </c>
      <c r="AJ823" t="str">
        <f t="shared" si="3290"/>
        <v>&lt;/li&gt;&lt;li&gt;&lt;a href=|http://worldebible.com/ezekiel/21.htm| title=|World English Bible| target=|_top|&gt;WEB&lt;/a&gt;</v>
      </c>
      <c r="AK823" t="str">
        <f t="shared" si="3290"/>
        <v>&lt;/li&gt;&lt;li&gt;&lt;a href=|http://yltbible.com/ezekiel/21.htm| title=|Young's Literal Translation| target=|_top|&gt;YLT&lt;/a&gt;</v>
      </c>
      <c r="AL823" t="str">
        <f>CONCATENATE("&lt;a href=|http://",AL1191,"/ezekiel/21.htm","| ","title=|",AL1190,"| target=|_top|&gt;",AL1192,"&lt;/a&gt;")</f>
        <v>&lt;a href=|http://kjv.us/ezekiel/21.htm| title=|American King James Version| target=|_top|&gt;AKJ&lt;/a&gt;</v>
      </c>
      <c r="AM823" t="str">
        <f t="shared" ref="AM823:AN823" si="3291">CONCATENATE("&lt;/li&gt;&lt;li&gt;&lt;a href=|http://",AM1191,"/ezekiel/21.htm","| ","title=|",AM1190,"| target=|_top|&gt;",AM1192,"&lt;/a&gt;")</f>
        <v>&lt;/li&gt;&lt;li&gt;&lt;a href=|http://basicenglishbible.com/ezekiel/21.htm| title=|Bible in Basic English| target=|_top|&gt;BBE&lt;/a&gt;</v>
      </c>
      <c r="AN823" t="str">
        <f t="shared" si="3291"/>
        <v>&lt;/li&gt;&lt;li&gt;&lt;a href=|http://darbybible.com/ezekiel/21.htm| title=|Darby Bible Translation| target=|_top|&gt;DBY&lt;/a&gt;</v>
      </c>
      <c r="AO82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2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2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23" t="str">
        <f>CONCATENATE("&lt;/li&gt;&lt;li&gt;&lt;a href=|http://",AR1191,"/ezekiel/21.htm","| ","title=|",AR1190,"| target=|_top|&gt;",AR1192,"&lt;/a&gt;")</f>
        <v>&lt;/li&gt;&lt;li&gt;&lt;a href=|http://websterbible.com/ezekiel/21.htm| title=|Webster's Bible Translation| target=|_top|&gt;WBS&lt;/a&gt;</v>
      </c>
      <c r="AS82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23" t="str">
        <f>CONCATENATE("&lt;/li&gt;&lt;li&gt;&lt;a href=|http://",AT1191,"/ezekiel/21-1.htm","| ","title=|",AT1190,"| target=|_top|&gt;",AT1192,"&lt;/a&gt;")</f>
        <v>&lt;/li&gt;&lt;li&gt;&lt;a href=|http://biblebrowser.com/ezekiel/21-1.htm| title=|Split View| target=|_top|&gt;Split&lt;/a&gt;</v>
      </c>
      <c r="AU823" s="2" t="s">
        <v>1276</v>
      </c>
      <c r="AV823" t="s">
        <v>64</v>
      </c>
    </row>
    <row r="824" spans="1:48">
      <c r="A824" t="s">
        <v>622</v>
      </c>
      <c r="B824" t="s">
        <v>865</v>
      </c>
      <c r="C824" t="s">
        <v>624</v>
      </c>
      <c r="D824" t="s">
        <v>1268</v>
      </c>
      <c r="E824" t="s">
        <v>1277</v>
      </c>
      <c r="F824" t="s">
        <v>1304</v>
      </c>
      <c r="G824" t="s">
        <v>1266</v>
      </c>
      <c r="H824" t="s">
        <v>1305</v>
      </c>
      <c r="I824" t="s">
        <v>1303</v>
      </c>
      <c r="J824" t="s">
        <v>1267</v>
      </c>
      <c r="K824" t="s">
        <v>1275</v>
      </c>
      <c r="L824" s="2" t="s">
        <v>1274</v>
      </c>
      <c r="M824" t="str">
        <f t="shared" ref="M824:AB824" si="3292">CONCATENATE("&lt;/li&gt;&lt;li&gt;&lt;a href=|http://",M1191,"/ezekiel/22.htm","| ","title=|",M1190,"| target=|_top|&gt;",M1192,"&lt;/a&gt;")</f>
        <v>&lt;/li&gt;&lt;li&gt;&lt;a href=|http://niv.scripturetext.com/ezekiel/22.htm| title=|New International Version| target=|_top|&gt;NIV&lt;/a&gt;</v>
      </c>
      <c r="N824" t="str">
        <f t="shared" si="3292"/>
        <v>&lt;/li&gt;&lt;li&gt;&lt;a href=|http://nlt.scripturetext.com/ezekiel/22.htm| title=|New Living Translation| target=|_top|&gt;NLT&lt;/a&gt;</v>
      </c>
      <c r="O824" t="str">
        <f t="shared" si="3292"/>
        <v>&lt;/li&gt;&lt;li&gt;&lt;a href=|http://nasb.scripturetext.com/ezekiel/22.htm| title=|New American Standard Bible| target=|_top|&gt;NAS&lt;/a&gt;</v>
      </c>
      <c r="P824" t="str">
        <f t="shared" si="3292"/>
        <v>&lt;/li&gt;&lt;li&gt;&lt;a href=|http://gwt.scripturetext.com/ezekiel/22.htm| title=|God's Word Translation| target=|_top|&gt;GWT&lt;/a&gt;</v>
      </c>
      <c r="Q824" t="str">
        <f t="shared" si="3292"/>
        <v>&lt;/li&gt;&lt;li&gt;&lt;a href=|http://kingjbible.com/ezekiel/22.htm| title=|King James Bible| target=|_top|&gt;KJV&lt;/a&gt;</v>
      </c>
      <c r="R824" t="str">
        <f t="shared" si="3292"/>
        <v>&lt;/li&gt;&lt;li&gt;&lt;a href=|http://asvbible.com/ezekiel/22.htm| title=|American Standard Version| target=|_top|&gt;ASV&lt;/a&gt;</v>
      </c>
      <c r="S824" t="str">
        <f t="shared" si="3292"/>
        <v>&lt;/li&gt;&lt;li&gt;&lt;a href=|http://drb.scripturetext.com/ezekiel/22.htm| title=|Douay-Rheims Bible| target=|_top|&gt;DRB&lt;/a&gt;</v>
      </c>
      <c r="T824" t="str">
        <f t="shared" si="3292"/>
        <v>&lt;/li&gt;&lt;li&gt;&lt;a href=|http://erv.scripturetext.com/ezekiel/22.htm| title=|English Revised Version| target=|_top|&gt;ERV&lt;/a&gt;</v>
      </c>
      <c r="V824" t="str">
        <f>CONCATENATE("&lt;/li&gt;&lt;li&gt;&lt;a href=|http://",V1191,"/ezekiel/22.htm","| ","title=|",V1190,"| target=|_top|&gt;",V1192,"&lt;/a&gt;")</f>
        <v>&lt;/li&gt;&lt;li&gt;&lt;a href=|http://study.interlinearbible.org/ezekiel/22.htm| title=|Hebrew Study Bible| target=|_top|&gt;Heb Study&lt;/a&gt;</v>
      </c>
      <c r="W824" t="str">
        <f t="shared" si="3292"/>
        <v>&lt;/li&gt;&lt;li&gt;&lt;a href=|http://apostolic.interlinearbible.org/ezekiel/22.htm| title=|Apostolic Bible Polyglot Interlinear| target=|_top|&gt;Polyglot&lt;/a&gt;</v>
      </c>
      <c r="X824" t="str">
        <f t="shared" si="3292"/>
        <v>&lt;/li&gt;&lt;li&gt;&lt;a href=|http://interlinearbible.org/ezekiel/22.htm| title=|Interlinear Bible| target=|_top|&gt;Interlin&lt;/a&gt;</v>
      </c>
      <c r="Y824" t="str">
        <f t="shared" ref="Y824" si="3293">CONCATENATE("&lt;/li&gt;&lt;li&gt;&lt;a href=|http://",Y1191,"/ezekiel/22.htm","| ","title=|",Y1190,"| target=|_top|&gt;",Y1192,"&lt;/a&gt;")</f>
        <v>&lt;/li&gt;&lt;li&gt;&lt;a href=|http://bibleoutline.org/ezekiel/22.htm| title=|Outline with People and Places List| target=|_top|&gt;Outline&lt;/a&gt;</v>
      </c>
      <c r="Z824" t="str">
        <f t="shared" si="3292"/>
        <v>&lt;/li&gt;&lt;li&gt;&lt;a href=|http://kjvs.scripturetext.com/ezekiel/22.htm| title=|King James Bible with Strong's Numbers| target=|_top|&gt;Strong's&lt;/a&gt;</v>
      </c>
      <c r="AA824" t="str">
        <f t="shared" si="3292"/>
        <v>&lt;/li&gt;&lt;li&gt;&lt;a href=|http://childrensbibleonline.com/ezekiel/22.htm| title=|The Children's Bible| target=|_top|&gt;Children's&lt;/a&gt;</v>
      </c>
      <c r="AB824" s="2" t="str">
        <f t="shared" si="3292"/>
        <v>&lt;/li&gt;&lt;li&gt;&lt;a href=|http://tsk.scripturetext.com/ezekiel/22.htm| title=|Treasury of Scripture Knowledge| target=|_top|&gt;TSK&lt;/a&gt;</v>
      </c>
      <c r="AC824" t="str">
        <f>CONCATENATE("&lt;a href=|http://",AC1191,"/ezekiel/22.htm","| ","title=|",AC1190,"| target=|_top|&gt;",AC1192,"&lt;/a&gt;")</f>
        <v>&lt;a href=|http://parallelbible.com/ezekiel/22.htm| title=|Parallel Chapters| target=|_top|&gt;PAR&lt;/a&gt;</v>
      </c>
      <c r="AD824" s="2" t="str">
        <f t="shared" ref="AD824:AK824" si="3294">CONCATENATE("&lt;/li&gt;&lt;li&gt;&lt;a href=|http://",AD1191,"/ezekiel/22.htm","| ","title=|",AD1190,"| target=|_top|&gt;",AD1192,"&lt;/a&gt;")</f>
        <v>&lt;/li&gt;&lt;li&gt;&lt;a href=|http://gsb.biblecommenter.com/ezekiel/22.htm| title=|Geneva Study Bible| target=|_top|&gt;GSB&lt;/a&gt;</v>
      </c>
      <c r="AE824" s="2" t="str">
        <f t="shared" si="3294"/>
        <v>&lt;/li&gt;&lt;li&gt;&lt;a href=|http://jfb.biblecommenter.com/ezekiel/22.htm| title=|Jamieson-Fausset-Brown Bible Commentary| target=|_top|&gt;JFB&lt;/a&gt;</v>
      </c>
      <c r="AF824" s="2" t="str">
        <f t="shared" si="3294"/>
        <v>&lt;/li&gt;&lt;li&gt;&lt;a href=|http://kjt.biblecommenter.com/ezekiel/22.htm| title=|King James Translators' Notes| target=|_top|&gt;KJT&lt;/a&gt;</v>
      </c>
      <c r="AG824" s="2" t="str">
        <f t="shared" si="3294"/>
        <v>&lt;/li&gt;&lt;li&gt;&lt;a href=|http://mhc.biblecommenter.com/ezekiel/22.htm| title=|Matthew Henry's Concise Commentary| target=|_top|&gt;MHC&lt;/a&gt;</v>
      </c>
      <c r="AH824" s="2" t="str">
        <f t="shared" si="3294"/>
        <v>&lt;/li&gt;&lt;li&gt;&lt;a href=|http://sco.biblecommenter.com/ezekiel/22.htm| title=|Scofield Reference Notes| target=|_top|&gt;SCO&lt;/a&gt;</v>
      </c>
      <c r="AI824" s="2" t="str">
        <f t="shared" si="3294"/>
        <v>&lt;/li&gt;&lt;li&gt;&lt;a href=|http://wes.biblecommenter.com/ezekiel/22.htm| title=|Wesley's Notes on the Bible| target=|_top|&gt;WES&lt;/a&gt;</v>
      </c>
      <c r="AJ824" t="str">
        <f t="shared" si="3294"/>
        <v>&lt;/li&gt;&lt;li&gt;&lt;a href=|http://worldebible.com/ezekiel/22.htm| title=|World English Bible| target=|_top|&gt;WEB&lt;/a&gt;</v>
      </c>
      <c r="AK824" t="str">
        <f t="shared" si="3294"/>
        <v>&lt;/li&gt;&lt;li&gt;&lt;a href=|http://yltbible.com/ezekiel/22.htm| title=|Young's Literal Translation| target=|_top|&gt;YLT&lt;/a&gt;</v>
      </c>
      <c r="AL824" t="str">
        <f>CONCATENATE("&lt;a href=|http://",AL1191,"/ezekiel/22.htm","| ","title=|",AL1190,"| target=|_top|&gt;",AL1192,"&lt;/a&gt;")</f>
        <v>&lt;a href=|http://kjv.us/ezekiel/22.htm| title=|American King James Version| target=|_top|&gt;AKJ&lt;/a&gt;</v>
      </c>
      <c r="AM824" t="str">
        <f t="shared" ref="AM824:AN824" si="3295">CONCATENATE("&lt;/li&gt;&lt;li&gt;&lt;a href=|http://",AM1191,"/ezekiel/22.htm","| ","title=|",AM1190,"| target=|_top|&gt;",AM1192,"&lt;/a&gt;")</f>
        <v>&lt;/li&gt;&lt;li&gt;&lt;a href=|http://basicenglishbible.com/ezekiel/22.htm| title=|Bible in Basic English| target=|_top|&gt;BBE&lt;/a&gt;</v>
      </c>
      <c r="AN824" t="str">
        <f t="shared" si="3295"/>
        <v>&lt;/li&gt;&lt;li&gt;&lt;a href=|http://darbybible.com/ezekiel/22.htm| title=|Darby Bible Translation| target=|_top|&gt;DBY&lt;/a&gt;</v>
      </c>
      <c r="AO82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2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2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24" t="str">
        <f>CONCATENATE("&lt;/li&gt;&lt;li&gt;&lt;a href=|http://",AR1191,"/ezekiel/22.htm","| ","title=|",AR1190,"| target=|_top|&gt;",AR1192,"&lt;/a&gt;")</f>
        <v>&lt;/li&gt;&lt;li&gt;&lt;a href=|http://websterbible.com/ezekiel/22.htm| title=|Webster's Bible Translation| target=|_top|&gt;WBS&lt;/a&gt;</v>
      </c>
      <c r="AS82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24" t="str">
        <f>CONCATENATE("&lt;/li&gt;&lt;li&gt;&lt;a href=|http://",AT1191,"/ezekiel/22-1.htm","| ","title=|",AT1190,"| target=|_top|&gt;",AT1192,"&lt;/a&gt;")</f>
        <v>&lt;/li&gt;&lt;li&gt;&lt;a href=|http://biblebrowser.com/ezekiel/22-1.htm| title=|Split View| target=|_top|&gt;Split&lt;/a&gt;</v>
      </c>
      <c r="AU824" s="2" t="s">
        <v>1276</v>
      </c>
      <c r="AV824" t="s">
        <v>64</v>
      </c>
    </row>
    <row r="825" spans="1:48">
      <c r="A825" t="s">
        <v>622</v>
      </c>
      <c r="B825" t="s">
        <v>866</v>
      </c>
      <c r="C825" t="s">
        <v>624</v>
      </c>
      <c r="D825" t="s">
        <v>1268</v>
      </c>
      <c r="E825" t="s">
        <v>1277</v>
      </c>
      <c r="F825" t="s">
        <v>1304</v>
      </c>
      <c r="G825" t="s">
        <v>1266</v>
      </c>
      <c r="H825" t="s">
        <v>1305</v>
      </c>
      <c r="I825" t="s">
        <v>1303</v>
      </c>
      <c r="J825" t="s">
        <v>1267</v>
      </c>
      <c r="K825" t="s">
        <v>1275</v>
      </c>
      <c r="L825" s="2" t="s">
        <v>1274</v>
      </c>
      <c r="M825" t="str">
        <f t="shared" ref="M825:AB825" si="3296">CONCATENATE("&lt;/li&gt;&lt;li&gt;&lt;a href=|http://",M1191,"/ezekiel/23.htm","| ","title=|",M1190,"| target=|_top|&gt;",M1192,"&lt;/a&gt;")</f>
        <v>&lt;/li&gt;&lt;li&gt;&lt;a href=|http://niv.scripturetext.com/ezekiel/23.htm| title=|New International Version| target=|_top|&gt;NIV&lt;/a&gt;</v>
      </c>
      <c r="N825" t="str">
        <f t="shared" si="3296"/>
        <v>&lt;/li&gt;&lt;li&gt;&lt;a href=|http://nlt.scripturetext.com/ezekiel/23.htm| title=|New Living Translation| target=|_top|&gt;NLT&lt;/a&gt;</v>
      </c>
      <c r="O825" t="str">
        <f t="shared" si="3296"/>
        <v>&lt;/li&gt;&lt;li&gt;&lt;a href=|http://nasb.scripturetext.com/ezekiel/23.htm| title=|New American Standard Bible| target=|_top|&gt;NAS&lt;/a&gt;</v>
      </c>
      <c r="P825" t="str">
        <f t="shared" si="3296"/>
        <v>&lt;/li&gt;&lt;li&gt;&lt;a href=|http://gwt.scripturetext.com/ezekiel/23.htm| title=|God's Word Translation| target=|_top|&gt;GWT&lt;/a&gt;</v>
      </c>
      <c r="Q825" t="str">
        <f t="shared" si="3296"/>
        <v>&lt;/li&gt;&lt;li&gt;&lt;a href=|http://kingjbible.com/ezekiel/23.htm| title=|King James Bible| target=|_top|&gt;KJV&lt;/a&gt;</v>
      </c>
      <c r="R825" t="str">
        <f t="shared" si="3296"/>
        <v>&lt;/li&gt;&lt;li&gt;&lt;a href=|http://asvbible.com/ezekiel/23.htm| title=|American Standard Version| target=|_top|&gt;ASV&lt;/a&gt;</v>
      </c>
      <c r="S825" t="str">
        <f t="shared" si="3296"/>
        <v>&lt;/li&gt;&lt;li&gt;&lt;a href=|http://drb.scripturetext.com/ezekiel/23.htm| title=|Douay-Rheims Bible| target=|_top|&gt;DRB&lt;/a&gt;</v>
      </c>
      <c r="T825" t="str">
        <f t="shared" si="3296"/>
        <v>&lt;/li&gt;&lt;li&gt;&lt;a href=|http://erv.scripturetext.com/ezekiel/23.htm| title=|English Revised Version| target=|_top|&gt;ERV&lt;/a&gt;</v>
      </c>
      <c r="V825" t="str">
        <f>CONCATENATE("&lt;/li&gt;&lt;li&gt;&lt;a href=|http://",V1191,"/ezekiel/23.htm","| ","title=|",V1190,"| target=|_top|&gt;",V1192,"&lt;/a&gt;")</f>
        <v>&lt;/li&gt;&lt;li&gt;&lt;a href=|http://study.interlinearbible.org/ezekiel/23.htm| title=|Hebrew Study Bible| target=|_top|&gt;Heb Study&lt;/a&gt;</v>
      </c>
      <c r="W825" t="str">
        <f t="shared" si="3296"/>
        <v>&lt;/li&gt;&lt;li&gt;&lt;a href=|http://apostolic.interlinearbible.org/ezekiel/23.htm| title=|Apostolic Bible Polyglot Interlinear| target=|_top|&gt;Polyglot&lt;/a&gt;</v>
      </c>
      <c r="X825" t="str">
        <f t="shared" si="3296"/>
        <v>&lt;/li&gt;&lt;li&gt;&lt;a href=|http://interlinearbible.org/ezekiel/23.htm| title=|Interlinear Bible| target=|_top|&gt;Interlin&lt;/a&gt;</v>
      </c>
      <c r="Y825" t="str">
        <f t="shared" ref="Y825" si="3297">CONCATENATE("&lt;/li&gt;&lt;li&gt;&lt;a href=|http://",Y1191,"/ezekiel/23.htm","| ","title=|",Y1190,"| target=|_top|&gt;",Y1192,"&lt;/a&gt;")</f>
        <v>&lt;/li&gt;&lt;li&gt;&lt;a href=|http://bibleoutline.org/ezekiel/23.htm| title=|Outline with People and Places List| target=|_top|&gt;Outline&lt;/a&gt;</v>
      </c>
      <c r="Z825" t="str">
        <f t="shared" si="3296"/>
        <v>&lt;/li&gt;&lt;li&gt;&lt;a href=|http://kjvs.scripturetext.com/ezekiel/23.htm| title=|King James Bible with Strong's Numbers| target=|_top|&gt;Strong's&lt;/a&gt;</v>
      </c>
      <c r="AA825" t="str">
        <f t="shared" si="3296"/>
        <v>&lt;/li&gt;&lt;li&gt;&lt;a href=|http://childrensbibleonline.com/ezekiel/23.htm| title=|The Children's Bible| target=|_top|&gt;Children's&lt;/a&gt;</v>
      </c>
      <c r="AB825" s="2" t="str">
        <f t="shared" si="3296"/>
        <v>&lt;/li&gt;&lt;li&gt;&lt;a href=|http://tsk.scripturetext.com/ezekiel/23.htm| title=|Treasury of Scripture Knowledge| target=|_top|&gt;TSK&lt;/a&gt;</v>
      </c>
      <c r="AC825" t="str">
        <f>CONCATENATE("&lt;a href=|http://",AC1191,"/ezekiel/23.htm","| ","title=|",AC1190,"| target=|_top|&gt;",AC1192,"&lt;/a&gt;")</f>
        <v>&lt;a href=|http://parallelbible.com/ezekiel/23.htm| title=|Parallel Chapters| target=|_top|&gt;PAR&lt;/a&gt;</v>
      </c>
      <c r="AD825" s="2" t="str">
        <f t="shared" ref="AD825:AK825" si="3298">CONCATENATE("&lt;/li&gt;&lt;li&gt;&lt;a href=|http://",AD1191,"/ezekiel/23.htm","| ","title=|",AD1190,"| target=|_top|&gt;",AD1192,"&lt;/a&gt;")</f>
        <v>&lt;/li&gt;&lt;li&gt;&lt;a href=|http://gsb.biblecommenter.com/ezekiel/23.htm| title=|Geneva Study Bible| target=|_top|&gt;GSB&lt;/a&gt;</v>
      </c>
      <c r="AE825" s="2" t="str">
        <f t="shared" si="3298"/>
        <v>&lt;/li&gt;&lt;li&gt;&lt;a href=|http://jfb.biblecommenter.com/ezekiel/23.htm| title=|Jamieson-Fausset-Brown Bible Commentary| target=|_top|&gt;JFB&lt;/a&gt;</v>
      </c>
      <c r="AF825" s="2" t="str">
        <f t="shared" si="3298"/>
        <v>&lt;/li&gt;&lt;li&gt;&lt;a href=|http://kjt.biblecommenter.com/ezekiel/23.htm| title=|King James Translators' Notes| target=|_top|&gt;KJT&lt;/a&gt;</v>
      </c>
      <c r="AG825" s="2" t="str">
        <f t="shared" si="3298"/>
        <v>&lt;/li&gt;&lt;li&gt;&lt;a href=|http://mhc.biblecommenter.com/ezekiel/23.htm| title=|Matthew Henry's Concise Commentary| target=|_top|&gt;MHC&lt;/a&gt;</v>
      </c>
      <c r="AH825" s="2" t="str">
        <f t="shared" si="3298"/>
        <v>&lt;/li&gt;&lt;li&gt;&lt;a href=|http://sco.biblecommenter.com/ezekiel/23.htm| title=|Scofield Reference Notes| target=|_top|&gt;SCO&lt;/a&gt;</v>
      </c>
      <c r="AI825" s="2" t="str">
        <f t="shared" si="3298"/>
        <v>&lt;/li&gt;&lt;li&gt;&lt;a href=|http://wes.biblecommenter.com/ezekiel/23.htm| title=|Wesley's Notes on the Bible| target=|_top|&gt;WES&lt;/a&gt;</v>
      </c>
      <c r="AJ825" t="str">
        <f t="shared" si="3298"/>
        <v>&lt;/li&gt;&lt;li&gt;&lt;a href=|http://worldebible.com/ezekiel/23.htm| title=|World English Bible| target=|_top|&gt;WEB&lt;/a&gt;</v>
      </c>
      <c r="AK825" t="str">
        <f t="shared" si="3298"/>
        <v>&lt;/li&gt;&lt;li&gt;&lt;a href=|http://yltbible.com/ezekiel/23.htm| title=|Young's Literal Translation| target=|_top|&gt;YLT&lt;/a&gt;</v>
      </c>
      <c r="AL825" t="str">
        <f>CONCATENATE("&lt;a href=|http://",AL1191,"/ezekiel/23.htm","| ","title=|",AL1190,"| target=|_top|&gt;",AL1192,"&lt;/a&gt;")</f>
        <v>&lt;a href=|http://kjv.us/ezekiel/23.htm| title=|American King James Version| target=|_top|&gt;AKJ&lt;/a&gt;</v>
      </c>
      <c r="AM825" t="str">
        <f t="shared" ref="AM825:AN825" si="3299">CONCATENATE("&lt;/li&gt;&lt;li&gt;&lt;a href=|http://",AM1191,"/ezekiel/23.htm","| ","title=|",AM1190,"| target=|_top|&gt;",AM1192,"&lt;/a&gt;")</f>
        <v>&lt;/li&gt;&lt;li&gt;&lt;a href=|http://basicenglishbible.com/ezekiel/23.htm| title=|Bible in Basic English| target=|_top|&gt;BBE&lt;/a&gt;</v>
      </c>
      <c r="AN825" t="str">
        <f t="shared" si="3299"/>
        <v>&lt;/li&gt;&lt;li&gt;&lt;a href=|http://darbybible.com/ezekiel/23.htm| title=|Darby Bible Translation| target=|_top|&gt;DBY&lt;/a&gt;</v>
      </c>
      <c r="AO82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2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2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25" t="str">
        <f>CONCATENATE("&lt;/li&gt;&lt;li&gt;&lt;a href=|http://",AR1191,"/ezekiel/23.htm","| ","title=|",AR1190,"| target=|_top|&gt;",AR1192,"&lt;/a&gt;")</f>
        <v>&lt;/li&gt;&lt;li&gt;&lt;a href=|http://websterbible.com/ezekiel/23.htm| title=|Webster's Bible Translation| target=|_top|&gt;WBS&lt;/a&gt;</v>
      </c>
      <c r="AS82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25" t="str">
        <f>CONCATENATE("&lt;/li&gt;&lt;li&gt;&lt;a href=|http://",AT1191,"/ezekiel/23-1.htm","| ","title=|",AT1190,"| target=|_top|&gt;",AT1192,"&lt;/a&gt;")</f>
        <v>&lt;/li&gt;&lt;li&gt;&lt;a href=|http://biblebrowser.com/ezekiel/23-1.htm| title=|Split View| target=|_top|&gt;Split&lt;/a&gt;</v>
      </c>
      <c r="AU825" s="2" t="s">
        <v>1276</v>
      </c>
      <c r="AV825" t="s">
        <v>64</v>
      </c>
    </row>
    <row r="826" spans="1:48">
      <c r="A826" t="s">
        <v>622</v>
      </c>
      <c r="B826" t="s">
        <v>867</v>
      </c>
      <c r="C826" t="s">
        <v>624</v>
      </c>
      <c r="D826" t="s">
        <v>1268</v>
      </c>
      <c r="E826" t="s">
        <v>1277</v>
      </c>
      <c r="F826" t="s">
        <v>1304</v>
      </c>
      <c r="G826" t="s">
        <v>1266</v>
      </c>
      <c r="H826" t="s">
        <v>1305</v>
      </c>
      <c r="I826" t="s">
        <v>1303</v>
      </c>
      <c r="J826" t="s">
        <v>1267</v>
      </c>
      <c r="K826" t="s">
        <v>1275</v>
      </c>
      <c r="L826" s="2" t="s">
        <v>1274</v>
      </c>
      <c r="M826" t="str">
        <f t="shared" ref="M826:AB826" si="3300">CONCATENATE("&lt;/li&gt;&lt;li&gt;&lt;a href=|http://",M1191,"/ezekiel/24.htm","| ","title=|",M1190,"| target=|_top|&gt;",M1192,"&lt;/a&gt;")</f>
        <v>&lt;/li&gt;&lt;li&gt;&lt;a href=|http://niv.scripturetext.com/ezekiel/24.htm| title=|New International Version| target=|_top|&gt;NIV&lt;/a&gt;</v>
      </c>
      <c r="N826" t="str">
        <f t="shared" si="3300"/>
        <v>&lt;/li&gt;&lt;li&gt;&lt;a href=|http://nlt.scripturetext.com/ezekiel/24.htm| title=|New Living Translation| target=|_top|&gt;NLT&lt;/a&gt;</v>
      </c>
      <c r="O826" t="str">
        <f t="shared" si="3300"/>
        <v>&lt;/li&gt;&lt;li&gt;&lt;a href=|http://nasb.scripturetext.com/ezekiel/24.htm| title=|New American Standard Bible| target=|_top|&gt;NAS&lt;/a&gt;</v>
      </c>
      <c r="P826" t="str">
        <f t="shared" si="3300"/>
        <v>&lt;/li&gt;&lt;li&gt;&lt;a href=|http://gwt.scripturetext.com/ezekiel/24.htm| title=|God's Word Translation| target=|_top|&gt;GWT&lt;/a&gt;</v>
      </c>
      <c r="Q826" t="str">
        <f t="shared" si="3300"/>
        <v>&lt;/li&gt;&lt;li&gt;&lt;a href=|http://kingjbible.com/ezekiel/24.htm| title=|King James Bible| target=|_top|&gt;KJV&lt;/a&gt;</v>
      </c>
      <c r="R826" t="str">
        <f t="shared" si="3300"/>
        <v>&lt;/li&gt;&lt;li&gt;&lt;a href=|http://asvbible.com/ezekiel/24.htm| title=|American Standard Version| target=|_top|&gt;ASV&lt;/a&gt;</v>
      </c>
      <c r="S826" t="str">
        <f t="shared" si="3300"/>
        <v>&lt;/li&gt;&lt;li&gt;&lt;a href=|http://drb.scripturetext.com/ezekiel/24.htm| title=|Douay-Rheims Bible| target=|_top|&gt;DRB&lt;/a&gt;</v>
      </c>
      <c r="T826" t="str">
        <f t="shared" si="3300"/>
        <v>&lt;/li&gt;&lt;li&gt;&lt;a href=|http://erv.scripturetext.com/ezekiel/24.htm| title=|English Revised Version| target=|_top|&gt;ERV&lt;/a&gt;</v>
      </c>
      <c r="V826" t="str">
        <f>CONCATENATE("&lt;/li&gt;&lt;li&gt;&lt;a href=|http://",V1191,"/ezekiel/24.htm","| ","title=|",V1190,"| target=|_top|&gt;",V1192,"&lt;/a&gt;")</f>
        <v>&lt;/li&gt;&lt;li&gt;&lt;a href=|http://study.interlinearbible.org/ezekiel/24.htm| title=|Hebrew Study Bible| target=|_top|&gt;Heb Study&lt;/a&gt;</v>
      </c>
      <c r="W826" t="str">
        <f t="shared" si="3300"/>
        <v>&lt;/li&gt;&lt;li&gt;&lt;a href=|http://apostolic.interlinearbible.org/ezekiel/24.htm| title=|Apostolic Bible Polyglot Interlinear| target=|_top|&gt;Polyglot&lt;/a&gt;</v>
      </c>
      <c r="X826" t="str">
        <f t="shared" si="3300"/>
        <v>&lt;/li&gt;&lt;li&gt;&lt;a href=|http://interlinearbible.org/ezekiel/24.htm| title=|Interlinear Bible| target=|_top|&gt;Interlin&lt;/a&gt;</v>
      </c>
      <c r="Y826" t="str">
        <f t="shared" ref="Y826" si="3301">CONCATENATE("&lt;/li&gt;&lt;li&gt;&lt;a href=|http://",Y1191,"/ezekiel/24.htm","| ","title=|",Y1190,"| target=|_top|&gt;",Y1192,"&lt;/a&gt;")</f>
        <v>&lt;/li&gt;&lt;li&gt;&lt;a href=|http://bibleoutline.org/ezekiel/24.htm| title=|Outline with People and Places List| target=|_top|&gt;Outline&lt;/a&gt;</v>
      </c>
      <c r="Z826" t="str">
        <f t="shared" si="3300"/>
        <v>&lt;/li&gt;&lt;li&gt;&lt;a href=|http://kjvs.scripturetext.com/ezekiel/24.htm| title=|King James Bible with Strong's Numbers| target=|_top|&gt;Strong's&lt;/a&gt;</v>
      </c>
      <c r="AA826" t="str">
        <f t="shared" si="3300"/>
        <v>&lt;/li&gt;&lt;li&gt;&lt;a href=|http://childrensbibleonline.com/ezekiel/24.htm| title=|The Children's Bible| target=|_top|&gt;Children's&lt;/a&gt;</v>
      </c>
      <c r="AB826" s="2" t="str">
        <f t="shared" si="3300"/>
        <v>&lt;/li&gt;&lt;li&gt;&lt;a href=|http://tsk.scripturetext.com/ezekiel/24.htm| title=|Treasury of Scripture Knowledge| target=|_top|&gt;TSK&lt;/a&gt;</v>
      </c>
      <c r="AC826" t="str">
        <f>CONCATENATE("&lt;a href=|http://",AC1191,"/ezekiel/24.htm","| ","title=|",AC1190,"| target=|_top|&gt;",AC1192,"&lt;/a&gt;")</f>
        <v>&lt;a href=|http://parallelbible.com/ezekiel/24.htm| title=|Parallel Chapters| target=|_top|&gt;PAR&lt;/a&gt;</v>
      </c>
      <c r="AD826" s="2" t="str">
        <f t="shared" ref="AD826:AK826" si="3302">CONCATENATE("&lt;/li&gt;&lt;li&gt;&lt;a href=|http://",AD1191,"/ezekiel/24.htm","| ","title=|",AD1190,"| target=|_top|&gt;",AD1192,"&lt;/a&gt;")</f>
        <v>&lt;/li&gt;&lt;li&gt;&lt;a href=|http://gsb.biblecommenter.com/ezekiel/24.htm| title=|Geneva Study Bible| target=|_top|&gt;GSB&lt;/a&gt;</v>
      </c>
      <c r="AE826" s="2" t="str">
        <f t="shared" si="3302"/>
        <v>&lt;/li&gt;&lt;li&gt;&lt;a href=|http://jfb.biblecommenter.com/ezekiel/24.htm| title=|Jamieson-Fausset-Brown Bible Commentary| target=|_top|&gt;JFB&lt;/a&gt;</v>
      </c>
      <c r="AF826" s="2" t="str">
        <f t="shared" si="3302"/>
        <v>&lt;/li&gt;&lt;li&gt;&lt;a href=|http://kjt.biblecommenter.com/ezekiel/24.htm| title=|King James Translators' Notes| target=|_top|&gt;KJT&lt;/a&gt;</v>
      </c>
      <c r="AG826" s="2" t="str">
        <f t="shared" si="3302"/>
        <v>&lt;/li&gt;&lt;li&gt;&lt;a href=|http://mhc.biblecommenter.com/ezekiel/24.htm| title=|Matthew Henry's Concise Commentary| target=|_top|&gt;MHC&lt;/a&gt;</v>
      </c>
      <c r="AH826" s="2" t="str">
        <f t="shared" si="3302"/>
        <v>&lt;/li&gt;&lt;li&gt;&lt;a href=|http://sco.biblecommenter.com/ezekiel/24.htm| title=|Scofield Reference Notes| target=|_top|&gt;SCO&lt;/a&gt;</v>
      </c>
      <c r="AI826" s="2" t="str">
        <f t="shared" si="3302"/>
        <v>&lt;/li&gt;&lt;li&gt;&lt;a href=|http://wes.biblecommenter.com/ezekiel/24.htm| title=|Wesley's Notes on the Bible| target=|_top|&gt;WES&lt;/a&gt;</v>
      </c>
      <c r="AJ826" t="str">
        <f t="shared" si="3302"/>
        <v>&lt;/li&gt;&lt;li&gt;&lt;a href=|http://worldebible.com/ezekiel/24.htm| title=|World English Bible| target=|_top|&gt;WEB&lt;/a&gt;</v>
      </c>
      <c r="AK826" t="str">
        <f t="shared" si="3302"/>
        <v>&lt;/li&gt;&lt;li&gt;&lt;a href=|http://yltbible.com/ezekiel/24.htm| title=|Young's Literal Translation| target=|_top|&gt;YLT&lt;/a&gt;</v>
      </c>
      <c r="AL826" t="str">
        <f>CONCATENATE("&lt;a href=|http://",AL1191,"/ezekiel/24.htm","| ","title=|",AL1190,"| target=|_top|&gt;",AL1192,"&lt;/a&gt;")</f>
        <v>&lt;a href=|http://kjv.us/ezekiel/24.htm| title=|American King James Version| target=|_top|&gt;AKJ&lt;/a&gt;</v>
      </c>
      <c r="AM826" t="str">
        <f t="shared" ref="AM826:AN826" si="3303">CONCATENATE("&lt;/li&gt;&lt;li&gt;&lt;a href=|http://",AM1191,"/ezekiel/24.htm","| ","title=|",AM1190,"| target=|_top|&gt;",AM1192,"&lt;/a&gt;")</f>
        <v>&lt;/li&gt;&lt;li&gt;&lt;a href=|http://basicenglishbible.com/ezekiel/24.htm| title=|Bible in Basic English| target=|_top|&gt;BBE&lt;/a&gt;</v>
      </c>
      <c r="AN826" t="str">
        <f t="shared" si="3303"/>
        <v>&lt;/li&gt;&lt;li&gt;&lt;a href=|http://darbybible.com/ezekiel/24.htm| title=|Darby Bible Translation| target=|_top|&gt;DBY&lt;/a&gt;</v>
      </c>
      <c r="AO82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2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2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26" t="str">
        <f>CONCATENATE("&lt;/li&gt;&lt;li&gt;&lt;a href=|http://",AR1191,"/ezekiel/24.htm","| ","title=|",AR1190,"| target=|_top|&gt;",AR1192,"&lt;/a&gt;")</f>
        <v>&lt;/li&gt;&lt;li&gt;&lt;a href=|http://websterbible.com/ezekiel/24.htm| title=|Webster's Bible Translation| target=|_top|&gt;WBS&lt;/a&gt;</v>
      </c>
      <c r="AS82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26" t="str">
        <f>CONCATENATE("&lt;/li&gt;&lt;li&gt;&lt;a href=|http://",AT1191,"/ezekiel/24-1.htm","| ","title=|",AT1190,"| target=|_top|&gt;",AT1192,"&lt;/a&gt;")</f>
        <v>&lt;/li&gt;&lt;li&gt;&lt;a href=|http://biblebrowser.com/ezekiel/24-1.htm| title=|Split View| target=|_top|&gt;Split&lt;/a&gt;</v>
      </c>
      <c r="AU826" s="2" t="s">
        <v>1276</v>
      </c>
      <c r="AV826" t="s">
        <v>64</v>
      </c>
    </row>
    <row r="827" spans="1:48">
      <c r="A827" t="s">
        <v>622</v>
      </c>
      <c r="B827" t="s">
        <v>868</v>
      </c>
      <c r="C827" t="s">
        <v>624</v>
      </c>
      <c r="D827" t="s">
        <v>1268</v>
      </c>
      <c r="E827" t="s">
        <v>1277</v>
      </c>
      <c r="F827" t="s">
        <v>1304</v>
      </c>
      <c r="G827" t="s">
        <v>1266</v>
      </c>
      <c r="H827" t="s">
        <v>1305</v>
      </c>
      <c r="I827" t="s">
        <v>1303</v>
      </c>
      <c r="J827" t="s">
        <v>1267</v>
      </c>
      <c r="K827" t="s">
        <v>1275</v>
      </c>
      <c r="L827" s="2" t="s">
        <v>1274</v>
      </c>
      <c r="M827" t="str">
        <f t="shared" ref="M827:AB827" si="3304">CONCATENATE("&lt;/li&gt;&lt;li&gt;&lt;a href=|http://",M1191,"/ezekiel/25.htm","| ","title=|",M1190,"| target=|_top|&gt;",M1192,"&lt;/a&gt;")</f>
        <v>&lt;/li&gt;&lt;li&gt;&lt;a href=|http://niv.scripturetext.com/ezekiel/25.htm| title=|New International Version| target=|_top|&gt;NIV&lt;/a&gt;</v>
      </c>
      <c r="N827" t="str">
        <f t="shared" si="3304"/>
        <v>&lt;/li&gt;&lt;li&gt;&lt;a href=|http://nlt.scripturetext.com/ezekiel/25.htm| title=|New Living Translation| target=|_top|&gt;NLT&lt;/a&gt;</v>
      </c>
      <c r="O827" t="str">
        <f t="shared" si="3304"/>
        <v>&lt;/li&gt;&lt;li&gt;&lt;a href=|http://nasb.scripturetext.com/ezekiel/25.htm| title=|New American Standard Bible| target=|_top|&gt;NAS&lt;/a&gt;</v>
      </c>
      <c r="P827" t="str">
        <f t="shared" si="3304"/>
        <v>&lt;/li&gt;&lt;li&gt;&lt;a href=|http://gwt.scripturetext.com/ezekiel/25.htm| title=|God's Word Translation| target=|_top|&gt;GWT&lt;/a&gt;</v>
      </c>
      <c r="Q827" t="str">
        <f t="shared" si="3304"/>
        <v>&lt;/li&gt;&lt;li&gt;&lt;a href=|http://kingjbible.com/ezekiel/25.htm| title=|King James Bible| target=|_top|&gt;KJV&lt;/a&gt;</v>
      </c>
      <c r="R827" t="str">
        <f t="shared" si="3304"/>
        <v>&lt;/li&gt;&lt;li&gt;&lt;a href=|http://asvbible.com/ezekiel/25.htm| title=|American Standard Version| target=|_top|&gt;ASV&lt;/a&gt;</v>
      </c>
      <c r="S827" t="str">
        <f t="shared" si="3304"/>
        <v>&lt;/li&gt;&lt;li&gt;&lt;a href=|http://drb.scripturetext.com/ezekiel/25.htm| title=|Douay-Rheims Bible| target=|_top|&gt;DRB&lt;/a&gt;</v>
      </c>
      <c r="T827" t="str">
        <f t="shared" si="3304"/>
        <v>&lt;/li&gt;&lt;li&gt;&lt;a href=|http://erv.scripturetext.com/ezekiel/25.htm| title=|English Revised Version| target=|_top|&gt;ERV&lt;/a&gt;</v>
      </c>
      <c r="V827" t="str">
        <f>CONCATENATE("&lt;/li&gt;&lt;li&gt;&lt;a href=|http://",V1191,"/ezekiel/25.htm","| ","title=|",V1190,"| target=|_top|&gt;",V1192,"&lt;/a&gt;")</f>
        <v>&lt;/li&gt;&lt;li&gt;&lt;a href=|http://study.interlinearbible.org/ezekiel/25.htm| title=|Hebrew Study Bible| target=|_top|&gt;Heb Study&lt;/a&gt;</v>
      </c>
      <c r="W827" t="str">
        <f t="shared" si="3304"/>
        <v>&lt;/li&gt;&lt;li&gt;&lt;a href=|http://apostolic.interlinearbible.org/ezekiel/25.htm| title=|Apostolic Bible Polyglot Interlinear| target=|_top|&gt;Polyglot&lt;/a&gt;</v>
      </c>
      <c r="X827" t="str">
        <f t="shared" si="3304"/>
        <v>&lt;/li&gt;&lt;li&gt;&lt;a href=|http://interlinearbible.org/ezekiel/25.htm| title=|Interlinear Bible| target=|_top|&gt;Interlin&lt;/a&gt;</v>
      </c>
      <c r="Y827" t="str">
        <f t="shared" ref="Y827" si="3305">CONCATENATE("&lt;/li&gt;&lt;li&gt;&lt;a href=|http://",Y1191,"/ezekiel/25.htm","| ","title=|",Y1190,"| target=|_top|&gt;",Y1192,"&lt;/a&gt;")</f>
        <v>&lt;/li&gt;&lt;li&gt;&lt;a href=|http://bibleoutline.org/ezekiel/25.htm| title=|Outline with People and Places List| target=|_top|&gt;Outline&lt;/a&gt;</v>
      </c>
      <c r="Z827" t="str">
        <f t="shared" si="3304"/>
        <v>&lt;/li&gt;&lt;li&gt;&lt;a href=|http://kjvs.scripturetext.com/ezekiel/25.htm| title=|King James Bible with Strong's Numbers| target=|_top|&gt;Strong's&lt;/a&gt;</v>
      </c>
      <c r="AA827" t="str">
        <f t="shared" si="3304"/>
        <v>&lt;/li&gt;&lt;li&gt;&lt;a href=|http://childrensbibleonline.com/ezekiel/25.htm| title=|The Children's Bible| target=|_top|&gt;Children's&lt;/a&gt;</v>
      </c>
      <c r="AB827" s="2" t="str">
        <f t="shared" si="3304"/>
        <v>&lt;/li&gt;&lt;li&gt;&lt;a href=|http://tsk.scripturetext.com/ezekiel/25.htm| title=|Treasury of Scripture Knowledge| target=|_top|&gt;TSK&lt;/a&gt;</v>
      </c>
      <c r="AC827" t="str">
        <f>CONCATENATE("&lt;a href=|http://",AC1191,"/ezekiel/25.htm","| ","title=|",AC1190,"| target=|_top|&gt;",AC1192,"&lt;/a&gt;")</f>
        <v>&lt;a href=|http://parallelbible.com/ezekiel/25.htm| title=|Parallel Chapters| target=|_top|&gt;PAR&lt;/a&gt;</v>
      </c>
      <c r="AD827" s="2" t="str">
        <f t="shared" ref="AD827:AK827" si="3306">CONCATENATE("&lt;/li&gt;&lt;li&gt;&lt;a href=|http://",AD1191,"/ezekiel/25.htm","| ","title=|",AD1190,"| target=|_top|&gt;",AD1192,"&lt;/a&gt;")</f>
        <v>&lt;/li&gt;&lt;li&gt;&lt;a href=|http://gsb.biblecommenter.com/ezekiel/25.htm| title=|Geneva Study Bible| target=|_top|&gt;GSB&lt;/a&gt;</v>
      </c>
      <c r="AE827" s="2" t="str">
        <f t="shared" si="3306"/>
        <v>&lt;/li&gt;&lt;li&gt;&lt;a href=|http://jfb.biblecommenter.com/ezekiel/25.htm| title=|Jamieson-Fausset-Brown Bible Commentary| target=|_top|&gt;JFB&lt;/a&gt;</v>
      </c>
      <c r="AF827" s="2" t="str">
        <f t="shared" si="3306"/>
        <v>&lt;/li&gt;&lt;li&gt;&lt;a href=|http://kjt.biblecommenter.com/ezekiel/25.htm| title=|King James Translators' Notes| target=|_top|&gt;KJT&lt;/a&gt;</v>
      </c>
      <c r="AG827" s="2" t="str">
        <f t="shared" si="3306"/>
        <v>&lt;/li&gt;&lt;li&gt;&lt;a href=|http://mhc.biblecommenter.com/ezekiel/25.htm| title=|Matthew Henry's Concise Commentary| target=|_top|&gt;MHC&lt;/a&gt;</v>
      </c>
      <c r="AH827" s="2" t="str">
        <f t="shared" si="3306"/>
        <v>&lt;/li&gt;&lt;li&gt;&lt;a href=|http://sco.biblecommenter.com/ezekiel/25.htm| title=|Scofield Reference Notes| target=|_top|&gt;SCO&lt;/a&gt;</v>
      </c>
      <c r="AI827" s="2" t="str">
        <f t="shared" si="3306"/>
        <v>&lt;/li&gt;&lt;li&gt;&lt;a href=|http://wes.biblecommenter.com/ezekiel/25.htm| title=|Wesley's Notes on the Bible| target=|_top|&gt;WES&lt;/a&gt;</v>
      </c>
      <c r="AJ827" t="str">
        <f t="shared" si="3306"/>
        <v>&lt;/li&gt;&lt;li&gt;&lt;a href=|http://worldebible.com/ezekiel/25.htm| title=|World English Bible| target=|_top|&gt;WEB&lt;/a&gt;</v>
      </c>
      <c r="AK827" t="str">
        <f t="shared" si="3306"/>
        <v>&lt;/li&gt;&lt;li&gt;&lt;a href=|http://yltbible.com/ezekiel/25.htm| title=|Young's Literal Translation| target=|_top|&gt;YLT&lt;/a&gt;</v>
      </c>
      <c r="AL827" t="str">
        <f>CONCATENATE("&lt;a href=|http://",AL1191,"/ezekiel/25.htm","| ","title=|",AL1190,"| target=|_top|&gt;",AL1192,"&lt;/a&gt;")</f>
        <v>&lt;a href=|http://kjv.us/ezekiel/25.htm| title=|American King James Version| target=|_top|&gt;AKJ&lt;/a&gt;</v>
      </c>
      <c r="AM827" t="str">
        <f t="shared" ref="AM827:AN827" si="3307">CONCATENATE("&lt;/li&gt;&lt;li&gt;&lt;a href=|http://",AM1191,"/ezekiel/25.htm","| ","title=|",AM1190,"| target=|_top|&gt;",AM1192,"&lt;/a&gt;")</f>
        <v>&lt;/li&gt;&lt;li&gt;&lt;a href=|http://basicenglishbible.com/ezekiel/25.htm| title=|Bible in Basic English| target=|_top|&gt;BBE&lt;/a&gt;</v>
      </c>
      <c r="AN827" t="str">
        <f t="shared" si="3307"/>
        <v>&lt;/li&gt;&lt;li&gt;&lt;a href=|http://darbybible.com/ezekiel/25.htm| title=|Darby Bible Translation| target=|_top|&gt;DBY&lt;/a&gt;</v>
      </c>
      <c r="AO82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2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2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27" t="str">
        <f>CONCATENATE("&lt;/li&gt;&lt;li&gt;&lt;a href=|http://",AR1191,"/ezekiel/25.htm","| ","title=|",AR1190,"| target=|_top|&gt;",AR1192,"&lt;/a&gt;")</f>
        <v>&lt;/li&gt;&lt;li&gt;&lt;a href=|http://websterbible.com/ezekiel/25.htm| title=|Webster's Bible Translation| target=|_top|&gt;WBS&lt;/a&gt;</v>
      </c>
      <c r="AS82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27" t="str">
        <f>CONCATENATE("&lt;/li&gt;&lt;li&gt;&lt;a href=|http://",AT1191,"/ezekiel/25-1.htm","| ","title=|",AT1190,"| target=|_top|&gt;",AT1192,"&lt;/a&gt;")</f>
        <v>&lt;/li&gt;&lt;li&gt;&lt;a href=|http://biblebrowser.com/ezekiel/25-1.htm| title=|Split View| target=|_top|&gt;Split&lt;/a&gt;</v>
      </c>
      <c r="AU827" s="2" t="s">
        <v>1276</v>
      </c>
      <c r="AV827" t="s">
        <v>64</v>
      </c>
    </row>
    <row r="828" spans="1:48">
      <c r="A828" t="s">
        <v>622</v>
      </c>
      <c r="B828" t="s">
        <v>869</v>
      </c>
      <c r="C828" t="s">
        <v>624</v>
      </c>
      <c r="D828" t="s">
        <v>1268</v>
      </c>
      <c r="E828" t="s">
        <v>1277</v>
      </c>
      <c r="F828" t="s">
        <v>1304</v>
      </c>
      <c r="G828" t="s">
        <v>1266</v>
      </c>
      <c r="H828" t="s">
        <v>1305</v>
      </c>
      <c r="I828" t="s">
        <v>1303</v>
      </c>
      <c r="J828" t="s">
        <v>1267</v>
      </c>
      <c r="K828" t="s">
        <v>1275</v>
      </c>
      <c r="L828" s="2" t="s">
        <v>1274</v>
      </c>
      <c r="M828" t="str">
        <f t="shared" ref="M828:AB828" si="3308">CONCATENATE("&lt;/li&gt;&lt;li&gt;&lt;a href=|http://",M1191,"/ezekiel/26.htm","| ","title=|",M1190,"| target=|_top|&gt;",M1192,"&lt;/a&gt;")</f>
        <v>&lt;/li&gt;&lt;li&gt;&lt;a href=|http://niv.scripturetext.com/ezekiel/26.htm| title=|New International Version| target=|_top|&gt;NIV&lt;/a&gt;</v>
      </c>
      <c r="N828" t="str">
        <f t="shared" si="3308"/>
        <v>&lt;/li&gt;&lt;li&gt;&lt;a href=|http://nlt.scripturetext.com/ezekiel/26.htm| title=|New Living Translation| target=|_top|&gt;NLT&lt;/a&gt;</v>
      </c>
      <c r="O828" t="str">
        <f t="shared" si="3308"/>
        <v>&lt;/li&gt;&lt;li&gt;&lt;a href=|http://nasb.scripturetext.com/ezekiel/26.htm| title=|New American Standard Bible| target=|_top|&gt;NAS&lt;/a&gt;</v>
      </c>
      <c r="P828" t="str">
        <f t="shared" si="3308"/>
        <v>&lt;/li&gt;&lt;li&gt;&lt;a href=|http://gwt.scripturetext.com/ezekiel/26.htm| title=|God's Word Translation| target=|_top|&gt;GWT&lt;/a&gt;</v>
      </c>
      <c r="Q828" t="str">
        <f t="shared" si="3308"/>
        <v>&lt;/li&gt;&lt;li&gt;&lt;a href=|http://kingjbible.com/ezekiel/26.htm| title=|King James Bible| target=|_top|&gt;KJV&lt;/a&gt;</v>
      </c>
      <c r="R828" t="str">
        <f t="shared" si="3308"/>
        <v>&lt;/li&gt;&lt;li&gt;&lt;a href=|http://asvbible.com/ezekiel/26.htm| title=|American Standard Version| target=|_top|&gt;ASV&lt;/a&gt;</v>
      </c>
      <c r="S828" t="str">
        <f t="shared" si="3308"/>
        <v>&lt;/li&gt;&lt;li&gt;&lt;a href=|http://drb.scripturetext.com/ezekiel/26.htm| title=|Douay-Rheims Bible| target=|_top|&gt;DRB&lt;/a&gt;</v>
      </c>
      <c r="T828" t="str">
        <f t="shared" si="3308"/>
        <v>&lt;/li&gt;&lt;li&gt;&lt;a href=|http://erv.scripturetext.com/ezekiel/26.htm| title=|English Revised Version| target=|_top|&gt;ERV&lt;/a&gt;</v>
      </c>
      <c r="V828" t="str">
        <f>CONCATENATE("&lt;/li&gt;&lt;li&gt;&lt;a href=|http://",V1191,"/ezekiel/26.htm","| ","title=|",V1190,"| target=|_top|&gt;",V1192,"&lt;/a&gt;")</f>
        <v>&lt;/li&gt;&lt;li&gt;&lt;a href=|http://study.interlinearbible.org/ezekiel/26.htm| title=|Hebrew Study Bible| target=|_top|&gt;Heb Study&lt;/a&gt;</v>
      </c>
      <c r="W828" t="str">
        <f t="shared" si="3308"/>
        <v>&lt;/li&gt;&lt;li&gt;&lt;a href=|http://apostolic.interlinearbible.org/ezekiel/26.htm| title=|Apostolic Bible Polyglot Interlinear| target=|_top|&gt;Polyglot&lt;/a&gt;</v>
      </c>
      <c r="X828" t="str">
        <f t="shared" si="3308"/>
        <v>&lt;/li&gt;&lt;li&gt;&lt;a href=|http://interlinearbible.org/ezekiel/26.htm| title=|Interlinear Bible| target=|_top|&gt;Interlin&lt;/a&gt;</v>
      </c>
      <c r="Y828" t="str">
        <f t="shared" ref="Y828" si="3309">CONCATENATE("&lt;/li&gt;&lt;li&gt;&lt;a href=|http://",Y1191,"/ezekiel/26.htm","| ","title=|",Y1190,"| target=|_top|&gt;",Y1192,"&lt;/a&gt;")</f>
        <v>&lt;/li&gt;&lt;li&gt;&lt;a href=|http://bibleoutline.org/ezekiel/26.htm| title=|Outline with People and Places List| target=|_top|&gt;Outline&lt;/a&gt;</v>
      </c>
      <c r="Z828" t="str">
        <f t="shared" si="3308"/>
        <v>&lt;/li&gt;&lt;li&gt;&lt;a href=|http://kjvs.scripturetext.com/ezekiel/26.htm| title=|King James Bible with Strong's Numbers| target=|_top|&gt;Strong's&lt;/a&gt;</v>
      </c>
      <c r="AA828" t="str">
        <f t="shared" si="3308"/>
        <v>&lt;/li&gt;&lt;li&gt;&lt;a href=|http://childrensbibleonline.com/ezekiel/26.htm| title=|The Children's Bible| target=|_top|&gt;Children's&lt;/a&gt;</v>
      </c>
      <c r="AB828" s="2" t="str">
        <f t="shared" si="3308"/>
        <v>&lt;/li&gt;&lt;li&gt;&lt;a href=|http://tsk.scripturetext.com/ezekiel/26.htm| title=|Treasury of Scripture Knowledge| target=|_top|&gt;TSK&lt;/a&gt;</v>
      </c>
      <c r="AC828" t="str">
        <f>CONCATENATE("&lt;a href=|http://",AC1191,"/ezekiel/26.htm","| ","title=|",AC1190,"| target=|_top|&gt;",AC1192,"&lt;/a&gt;")</f>
        <v>&lt;a href=|http://parallelbible.com/ezekiel/26.htm| title=|Parallel Chapters| target=|_top|&gt;PAR&lt;/a&gt;</v>
      </c>
      <c r="AD828" s="2" t="str">
        <f t="shared" ref="AD828:AK828" si="3310">CONCATENATE("&lt;/li&gt;&lt;li&gt;&lt;a href=|http://",AD1191,"/ezekiel/26.htm","| ","title=|",AD1190,"| target=|_top|&gt;",AD1192,"&lt;/a&gt;")</f>
        <v>&lt;/li&gt;&lt;li&gt;&lt;a href=|http://gsb.biblecommenter.com/ezekiel/26.htm| title=|Geneva Study Bible| target=|_top|&gt;GSB&lt;/a&gt;</v>
      </c>
      <c r="AE828" s="2" t="str">
        <f t="shared" si="3310"/>
        <v>&lt;/li&gt;&lt;li&gt;&lt;a href=|http://jfb.biblecommenter.com/ezekiel/26.htm| title=|Jamieson-Fausset-Brown Bible Commentary| target=|_top|&gt;JFB&lt;/a&gt;</v>
      </c>
      <c r="AF828" s="2" t="str">
        <f t="shared" si="3310"/>
        <v>&lt;/li&gt;&lt;li&gt;&lt;a href=|http://kjt.biblecommenter.com/ezekiel/26.htm| title=|King James Translators' Notes| target=|_top|&gt;KJT&lt;/a&gt;</v>
      </c>
      <c r="AG828" s="2" t="str">
        <f t="shared" si="3310"/>
        <v>&lt;/li&gt;&lt;li&gt;&lt;a href=|http://mhc.biblecommenter.com/ezekiel/26.htm| title=|Matthew Henry's Concise Commentary| target=|_top|&gt;MHC&lt;/a&gt;</v>
      </c>
      <c r="AH828" s="2" t="str">
        <f t="shared" si="3310"/>
        <v>&lt;/li&gt;&lt;li&gt;&lt;a href=|http://sco.biblecommenter.com/ezekiel/26.htm| title=|Scofield Reference Notes| target=|_top|&gt;SCO&lt;/a&gt;</v>
      </c>
      <c r="AI828" s="2" t="str">
        <f t="shared" si="3310"/>
        <v>&lt;/li&gt;&lt;li&gt;&lt;a href=|http://wes.biblecommenter.com/ezekiel/26.htm| title=|Wesley's Notes on the Bible| target=|_top|&gt;WES&lt;/a&gt;</v>
      </c>
      <c r="AJ828" t="str">
        <f t="shared" si="3310"/>
        <v>&lt;/li&gt;&lt;li&gt;&lt;a href=|http://worldebible.com/ezekiel/26.htm| title=|World English Bible| target=|_top|&gt;WEB&lt;/a&gt;</v>
      </c>
      <c r="AK828" t="str">
        <f t="shared" si="3310"/>
        <v>&lt;/li&gt;&lt;li&gt;&lt;a href=|http://yltbible.com/ezekiel/26.htm| title=|Young's Literal Translation| target=|_top|&gt;YLT&lt;/a&gt;</v>
      </c>
      <c r="AL828" t="str">
        <f>CONCATENATE("&lt;a href=|http://",AL1191,"/ezekiel/26.htm","| ","title=|",AL1190,"| target=|_top|&gt;",AL1192,"&lt;/a&gt;")</f>
        <v>&lt;a href=|http://kjv.us/ezekiel/26.htm| title=|American King James Version| target=|_top|&gt;AKJ&lt;/a&gt;</v>
      </c>
      <c r="AM828" t="str">
        <f t="shared" ref="AM828:AN828" si="3311">CONCATENATE("&lt;/li&gt;&lt;li&gt;&lt;a href=|http://",AM1191,"/ezekiel/26.htm","| ","title=|",AM1190,"| target=|_top|&gt;",AM1192,"&lt;/a&gt;")</f>
        <v>&lt;/li&gt;&lt;li&gt;&lt;a href=|http://basicenglishbible.com/ezekiel/26.htm| title=|Bible in Basic English| target=|_top|&gt;BBE&lt;/a&gt;</v>
      </c>
      <c r="AN828" t="str">
        <f t="shared" si="3311"/>
        <v>&lt;/li&gt;&lt;li&gt;&lt;a href=|http://darbybible.com/ezekiel/26.htm| title=|Darby Bible Translation| target=|_top|&gt;DBY&lt;/a&gt;</v>
      </c>
      <c r="AO82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2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2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28" t="str">
        <f>CONCATENATE("&lt;/li&gt;&lt;li&gt;&lt;a href=|http://",AR1191,"/ezekiel/26.htm","| ","title=|",AR1190,"| target=|_top|&gt;",AR1192,"&lt;/a&gt;")</f>
        <v>&lt;/li&gt;&lt;li&gt;&lt;a href=|http://websterbible.com/ezekiel/26.htm| title=|Webster's Bible Translation| target=|_top|&gt;WBS&lt;/a&gt;</v>
      </c>
      <c r="AS82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28" t="str">
        <f>CONCATENATE("&lt;/li&gt;&lt;li&gt;&lt;a href=|http://",AT1191,"/ezekiel/26-1.htm","| ","title=|",AT1190,"| target=|_top|&gt;",AT1192,"&lt;/a&gt;")</f>
        <v>&lt;/li&gt;&lt;li&gt;&lt;a href=|http://biblebrowser.com/ezekiel/26-1.htm| title=|Split View| target=|_top|&gt;Split&lt;/a&gt;</v>
      </c>
      <c r="AU828" s="2" t="s">
        <v>1276</v>
      </c>
      <c r="AV828" t="s">
        <v>64</v>
      </c>
    </row>
    <row r="829" spans="1:48">
      <c r="A829" t="s">
        <v>622</v>
      </c>
      <c r="B829" t="s">
        <v>870</v>
      </c>
      <c r="C829" t="s">
        <v>624</v>
      </c>
      <c r="D829" t="s">
        <v>1268</v>
      </c>
      <c r="E829" t="s">
        <v>1277</v>
      </c>
      <c r="F829" t="s">
        <v>1304</v>
      </c>
      <c r="G829" t="s">
        <v>1266</v>
      </c>
      <c r="H829" t="s">
        <v>1305</v>
      </c>
      <c r="I829" t="s">
        <v>1303</v>
      </c>
      <c r="J829" t="s">
        <v>1267</v>
      </c>
      <c r="K829" t="s">
        <v>1275</v>
      </c>
      <c r="L829" s="2" t="s">
        <v>1274</v>
      </c>
      <c r="M829" t="str">
        <f t="shared" ref="M829:AB829" si="3312">CONCATENATE("&lt;/li&gt;&lt;li&gt;&lt;a href=|http://",M1191,"/ezekiel/27.htm","| ","title=|",M1190,"| target=|_top|&gt;",M1192,"&lt;/a&gt;")</f>
        <v>&lt;/li&gt;&lt;li&gt;&lt;a href=|http://niv.scripturetext.com/ezekiel/27.htm| title=|New International Version| target=|_top|&gt;NIV&lt;/a&gt;</v>
      </c>
      <c r="N829" t="str">
        <f t="shared" si="3312"/>
        <v>&lt;/li&gt;&lt;li&gt;&lt;a href=|http://nlt.scripturetext.com/ezekiel/27.htm| title=|New Living Translation| target=|_top|&gt;NLT&lt;/a&gt;</v>
      </c>
      <c r="O829" t="str">
        <f t="shared" si="3312"/>
        <v>&lt;/li&gt;&lt;li&gt;&lt;a href=|http://nasb.scripturetext.com/ezekiel/27.htm| title=|New American Standard Bible| target=|_top|&gt;NAS&lt;/a&gt;</v>
      </c>
      <c r="P829" t="str">
        <f t="shared" si="3312"/>
        <v>&lt;/li&gt;&lt;li&gt;&lt;a href=|http://gwt.scripturetext.com/ezekiel/27.htm| title=|God's Word Translation| target=|_top|&gt;GWT&lt;/a&gt;</v>
      </c>
      <c r="Q829" t="str">
        <f t="shared" si="3312"/>
        <v>&lt;/li&gt;&lt;li&gt;&lt;a href=|http://kingjbible.com/ezekiel/27.htm| title=|King James Bible| target=|_top|&gt;KJV&lt;/a&gt;</v>
      </c>
      <c r="R829" t="str">
        <f t="shared" si="3312"/>
        <v>&lt;/li&gt;&lt;li&gt;&lt;a href=|http://asvbible.com/ezekiel/27.htm| title=|American Standard Version| target=|_top|&gt;ASV&lt;/a&gt;</v>
      </c>
      <c r="S829" t="str">
        <f t="shared" si="3312"/>
        <v>&lt;/li&gt;&lt;li&gt;&lt;a href=|http://drb.scripturetext.com/ezekiel/27.htm| title=|Douay-Rheims Bible| target=|_top|&gt;DRB&lt;/a&gt;</v>
      </c>
      <c r="T829" t="str">
        <f t="shared" si="3312"/>
        <v>&lt;/li&gt;&lt;li&gt;&lt;a href=|http://erv.scripturetext.com/ezekiel/27.htm| title=|English Revised Version| target=|_top|&gt;ERV&lt;/a&gt;</v>
      </c>
      <c r="V829" t="str">
        <f>CONCATENATE("&lt;/li&gt;&lt;li&gt;&lt;a href=|http://",V1191,"/ezekiel/27.htm","| ","title=|",V1190,"| target=|_top|&gt;",V1192,"&lt;/a&gt;")</f>
        <v>&lt;/li&gt;&lt;li&gt;&lt;a href=|http://study.interlinearbible.org/ezekiel/27.htm| title=|Hebrew Study Bible| target=|_top|&gt;Heb Study&lt;/a&gt;</v>
      </c>
      <c r="W829" t="str">
        <f t="shared" si="3312"/>
        <v>&lt;/li&gt;&lt;li&gt;&lt;a href=|http://apostolic.interlinearbible.org/ezekiel/27.htm| title=|Apostolic Bible Polyglot Interlinear| target=|_top|&gt;Polyglot&lt;/a&gt;</v>
      </c>
      <c r="X829" t="str">
        <f t="shared" si="3312"/>
        <v>&lt;/li&gt;&lt;li&gt;&lt;a href=|http://interlinearbible.org/ezekiel/27.htm| title=|Interlinear Bible| target=|_top|&gt;Interlin&lt;/a&gt;</v>
      </c>
      <c r="Y829" t="str">
        <f t="shared" ref="Y829" si="3313">CONCATENATE("&lt;/li&gt;&lt;li&gt;&lt;a href=|http://",Y1191,"/ezekiel/27.htm","| ","title=|",Y1190,"| target=|_top|&gt;",Y1192,"&lt;/a&gt;")</f>
        <v>&lt;/li&gt;&lt;li&gt;&lt;a href=|http://bibleoutline.org/ezekiel/27.htm| title=|Outline with People and Places List| target=|_top|&gt;Outline&lt;/a&gt;</v>
      </c>
      <c r="Z829" t="str">
        <f t="shared" si="3312"/>
        <v>&lt;/li&gt;&lt;li&gt;&lt;a href=|http://kjvs.scripturetext.com/ezekiel/27.htm| title=|King James Bible with Strong's Numbers| target=|_top|&gt;Strong's&lt;/a&gt;</v>
      </c>
      <c r="AA829" t="str">
        <f t="shared" si="3312"/>
        <v>&lt;/li&gt;&lt;li&gt;&lt;a href=|http://childrensbibleonline.com/ezekiel/27.htm| title=|The Children's Bible| target=|_top|&gt;Children's&lt;/a&gt;</v>
      </c>
      <c r="AB829" s="2" t="str">
        <f t="shared" si="3312"/>
        <v>&lt;/li&gt;&lt;li&gt;&lt;a href=|http://tsk.scripturetext.com/ezekiel/27.htm| title=|Treasury of Scripture Knowledge| target=|_top|&gt;TSK&lt;/a&gt;</v>
      </c>
      <c r="AC829" t="str">
        <f>CONCATENATE("&lt;a href=|http://",AC1191,"/ezekiel/27.htm","| ","title=|",AC1190,"| target=|_top|&gt;",AC1192,"&lt;/a&gt;")</f>
        <v>&lt;a href=|http://parallelbible.com/ezekiel/27.htm| title=|Parallel Chapters| target=|_top|&gt;PAR&lt;/a&gt;</v>
      </c>
      <c r="AD829" s="2" t="str">
        <f t="shared" ref="AD829:AK829" si="3314">CONCATENATE("&lt;/li&gt;&lt;li&gt;&lt;a href=|http://",AD1191,"/ezekiel/27.htm","| ","title=|",AD1190,"| target=|_top|&gt;",AD1192,"&lt;/a&gt;")</f>
        <v>&lt;/li&gt;&lt;li&gt;&lt;a href=|http://gsb.biblecommenter.com/ezekiel/27.htm| title=|Geneva Study Bible| target=|_top|&gt;GSB&lt;/a&gt;</v>
      </c>
      <c r="AE829" s="2" t="str">
        <f t="shared" si="3314"/>
        <v>&lt;/li&gt;&lt;li&gt;&lt;a href=|http://jfb.biblecommenter.com/ezekiel/27.htm| title=|Jamieson-Fausset-Brown Bible Commentary| target=|_top|&gt;JFB&lt;/a&gt;</v>
      </c>
      <c r="AF829" s="2" t="str">
        <f t="shared" si="3314"/>
        <v>&lt;/li&gt;&lt;li&gt;&lt;a href=|http://kjt.biblecommenter.com/ezekiel/27.htm| title=|King James Translators' Notes| target=|_top|&gt;KJT&lt;/a&gt;</v>
      </c>
      <c r="AG829" s="2" t="str">
        <f t="shared" si="3314"/>
        <v>&lt;/li&gt;&lt;li&gt;&lt;a href=|http://mhc.biblecommenter.com/ezekiel/27.htm| title=|Matthew Henry's Concise Commentary| target=|_top|&gt;MHC&lt;/a&gt;</v>
      </c>
      <c r="AH829" s="2" t="str">
        <f t="shared" si="3314"/>
        <v>&lt;/li&gt;&lt;li&gt;&lt;a href=|http://sco.biblecommenter.com/ezekiel/27.htm| title=|Scofield Reference Notes| target=|_top|&gt;SCO&lt;/a&gt;</v>
      </c>
      <c r="AI829" s="2" t="str">
        <f t="shared" si="3314"/>
        <v>&lt;/li&gt;&lt;li&gt;&lt;a href=|http://wes.biblecommenter.com/ezekiel/27.htm| title=|Wesley's Notes on the Bible| target=|_top|&gt;WES&lt;/a&gt;</v>
      </c>
      <c r="AJ829" t="str">
        <f t="shared" si="3314"/>
        <v>&lt;/li&gt;&lt;li&gt;&lt;a href=|http://worldebible.com/ezekiel/27.htm| title=|World English Bible| target=|_top|&gt;WEB&lt;/a&gt;</v>
      </c>
      <c r="AK829" t="str">
        <f t="shared" si="3314"/>
        <v>&lt;/li&gt;&lt;li&gt;&lt;a href=|http://yltbible.com/ezekiel/27.htm| title=|Young's Literal Translation| target=|_top|&gt;YLT&lt;/a&gt;</v>
      </c>
      <c r="AL829" t="str">
        <f>CONCATENATE("&lt;a href=|http://",AL1191,"/ezekiel/27.htm","| ","title=|",AL1190,"| target=|_top|&gt;",AL1192,"&lt;/a&gt;")</f>
        <v>&lt;a href=|http://kjv.us/ezekiel/27.htm| title=|American King James Version| target=|_top|&gt;AKJ&lt;/a&gt;</v>
      </c>
      <c r="AM829" t="str">
        <f t="shared" ref="AM829:AN829" si="3315">CONCATENATE("&lt;/li&gt;&lt;li&gt;&lt;a href=|http://",AM1191,"/ezekiel/27.htm","| ","title=|",AM1190,"| target=|_top|&gt;",AM1192,"&lt;/a&gt;")</f>
        <v>&lt;/li&gt;&lt;li&gt;&lt;a href=|http://basicenglishbible.com/ezekiel/27.htm| title=|Bible in Basic English| target=|_top|&gt;BBE&lt;/a&gt;</v>
      </c>
      <c r="AN829" t="str">
        <f t="shared" si="3315"/>
        <v>&lt;/li&gt;&lt;li&gt;&lt;a href=|http://darbybible.com/ezekiel/27.htm| title=|Darby Bible Translation| target=|_top|&gt;DBY&lt;/a&gt;</v>
      </c>
      <c r="AO82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2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2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29" t="str">
        <f>CONCATENATE("&lt;/li&gt;&lt;li&gt;&lt;a href=|http://",AR1191,"/ezekiel/27.htm","| ","title=|",AR1190,"| target=|_top|&gt;",AR1192,"&lt;/a&gt;")</f>
        <v>&lt;/li&gt;&lt;li&gt;&lt;a href=|http://websterbible.com/ezekiel/27.htm| title=|Webster's Bible Translation| target=|_top|&gt;WBS&lt;/a&gt;</v>
      </c>
      <c r="AS82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29" t="str">
        <f>CONCATENATE("&lt;/li&gt;&lt;li&gt;&lt;a href=|http://",AT1191,"/ezekiel/27-1.htm","| ","title=|",AT1190,"| target=|_top|&gt;",AT1192,"&lt;/a&gt;")</f>
        <v>&lt;/li&gt;&lt;li&gt;&lt;a href=|http://biblebrowser.com/ezekiel/27-1.htm| title=|Split View| target=|_top|&gt;Split&lt;/a&gt;</v>
      </c>
      <c r="AU829" s="2" t="s">
        <v>1276</v>
      </c>
      <c r="AV829" t="s">
        <v>64</v>
      </c>
    </row>
    <row r="830" spans="1:48">
      <c r="A830" t="s">
        <v>622</v>
      </c>
      <c r="B830" t="s">
        <v>871</v>
      </c>
      <c r="C830" t="s">
        <v>624</v>
      </c>
      <c r="D830" t="s">
        <v>1268</v>
      </c>
      <c r="E830" t="s">
        <v>1277</v>
      </c>
      <c r="F830" t="s">
        <v>1304</v>
      </c>
      <c r="G830" t="s">
        <v>1266</v>
      </c>
      <c r="H830" t="s">
        <v>1305</v>
      </c>
      <c r="I830" t="s">
        <v>1303</v>
      </c>
      <c r="J830" t="s">
        <v>1267</v>
      </c>
      <c r="K830" t="s">
        <v>1275</v>
      </c>
      <c r="L830" s="2" t="s">
        <v>1274</v>
      </c>
      <c r="M830" t="str">
        <f t="shared" ref="M830:AB830" si="3316">CONCATENATE("&lt;/li&gt;&lt;li&gt;&lt;a href=|http://",M1191,"/ezekiel/28.htm","| ","title=|",M1190,"| target=|_top|&gt;",M1192,"&lt;/a&gt;")</f>
        <v>&lt;/li&gt;&lt;li&gt;&lt;a href=|http://niv.scripturetext.com/ezekiel/28.htm| title=|New International Version| target=|_top|&gt;NIV&lt;/a&gt;</v>
      </c>
      <c r="N830" t="str">
        <f t="shared" si="3316"/>
        <v>&lt;/li&gt;&lt;li&gt;&lt;a href=|http://nlt.scripturetext.com/ezekiel/28.htm| title=|New Living Translation| target=|_top|&gt;NLT&lt;/a&gt;</v>
      </c>
      <c r="O830" t="str">
        <f t="shared" si="3316"/>
        <v>&lt;/li&gt;&lt;li&gt;&lt;a href=|http://nasb.scripturetext.com/ezekiel/28.htm| title=|New American Standard Bible| target=|_top|&gt;NAS&lt;/a&gt;</v>
      </c>
      <c r="P830" t="str">
        <f t="shared" si="3316"/>
        <v>&lt;/li&gt;&lt;li&gt;&lt;a href=|http://gwt.scripturetext.com/ezekiel/28.htm| title=|God's Word Translation| target=|_top|&gt;GWT&lt;/a&gt;</v>
      </c>
      <c r="Q830" t="str">
        <f t="shared" si="3316"/>
        <v>&lt;/li&gt;&lt;li&gt;&lt;a href=|http://kingjbible.com/ezekiel/28.htm| title=|King James Bible| target=|_top|&gt;KJV&lt;/a&gt;</v>
      </c>
      <c r="R830" t="str">
        <f t="shared" si="3316"/>
        <v>&lt;/li&gt;&lt;li&gt;&lt;a href=|http://asvbible.com/ezekiel/28.htm| title=|American Standard Version| target=|_top|&gt;ASV&lt;/a&gt;</v>
      </c>
      <c r="S830" t="str">
        <f t="shared" si="3316"/>
        <v>&lt;/li&gt;&lt;li&gt;&lt;a href=|http://drb.scripturetext.com/ezekiel/28.htm| title=|Douay-Rheims Bible| target=|_top|&gt;DRB&lt;/a&gt;</v>
      </c>
      <c r="T830" t="str">
        <f t="shared" si="3316"/>
        <v>&lt;/li&gt;&lt;li&gt;&lt;a href=|http://erv.scripturetext.com/ezekiel/28.htm| title=|English Revised Version| target=|_top|&gt;ERV&lt;/a&gt;</v>
      </c>
      <c r="V830" t="str">
        <f>CONCATENATE("&lt;/li&gt;&lt;li&gt;&lt;a href=|http://",V1191,"/ezekiel/28.htm","| ","title=|",V1190,"| target=|_top|&gt;",V1192,"&lt;/a&gt;")</f>
        <v>&lt;/li&gt;&lt;li&gt;&lt;a href=|http://study.interlinearbible.org/ezekiel/28.htm| title=|Hebrew Study Bible| target=|_top|&gt;Heb Study&lt;/a&gt;</v>
      </c>
      <c r="W830" t="str">
        <f t="shared" si="3316"/>
        <v>&lt;/li&gt;&lt;li&gt;&lt;a href=|http://apostolic.interlinearbible.org/ezekiel/28.htm| title=|Apostolic Bible Polyglot Interlinear| target=|_top|&gt;Polyglot&lt;/a&gt;</v>
      </c>
      <c r="X830" t="str">
        <f t="shared" si="3316"/>
        <v>&lt;/li&gt;&lt;li&gt;&lt;a href=|http://interlinearbible.org/ezekiel/28.htm| title=|Interlinear Bible| target=|_top|&gt;Interlin&lt;/a&gt;</v>
      </c>
      <c r="Y830" t="str">
        <f t="shared" ref="Y830" si="3317">CONCATENATE("&lt;/li&gt;&lt;li&gt;&lt;a href=|http://",Y1191,"/ezekiel/28.htm","| ","title=|",Y1190,"| target=|_top|&gt;",Y1192,"&lt;/a&gt;")</f>
        <v>&lt;/li&gt;&lt;li&gt;&lt;a href=|http://bibleoutline.org/ezekiel/28.htm| title=|Outline with People and Places List| target=|_top|&gt;Outline&lt;/a&gt;</v>
      </c>
      <c r="Z830" t="str">
        <f t="shared" si="3316"/>
        <v>&lt;/li&gt;&lt;li&gt;&lt;a href=|http://kjvs.scripturetext.com/ezekiel/28.htm| title=|King James Bible with Strong's Numbers| target=|_top|&gt;Strong's&lt;/a&gt;</v>
      </c>
      <c r="AA830" t="str">
        <f t="shared" si="3316"/>
        <v>&lt;/li&gt;&lt;li&gt;&lt;a href=|http://childrensbibleonline.com/ezekiel/28.htm| title=|The Children's Bible| target=|_top|&gt;Children's&lt;/a&gt;</v>
      </c>
      <c r="AB830" s="2" t="str">
        <f t="shared" si="3316"/>
        <v>&lt;/li&gt;&lt;li&gt;&lt;a href=|http://tsk.scripturetext.com/ezekiel/28.htm| title=|Treasury of Scripture Knowledge| target=|_top|&gt;TSK&lt;/a&gt;</v>
      </c>
      <c r="AC830" t="str">
        <f>CONCATENATE("&lt;a href=|http://",AC1191,"/ezekiel/28.htm","| ","title=|",AC1190,"| target=|_top|&gt;",AC1192,"&lt;/a&gt;")</f>
        <v>&lt;a href=|http://parallelbible.com/ezekiel/28.htm| title=|Parallel Chapters| target=|_top|&gt;PAR&lt;/a&gt;</v>
      </c>
      <c r="AD830" s="2" t="str">
        <f t="shared" ref="AD830:AK830" si="3318">CONCATENATE("&lt;/li&gt;&lt;li&gt;&lt;a href=|http://",AD1191,"/ezekiel/28.htm","| ","title=|",AD1190,"| target=|_top|&gt;",AD1192,"&lt;/a&gt;")</f>
        <v>&lt;/li&gt;&lt;li&gt;&lt;a href=|http://gsb.biblecommenter.com/ezekiel/28.htm| title=|Geneva Study Bible| target=|_top|&gt;GSB&lt;/a&gt;</v>
      </c>
      <c r="AE830" s="2" t="str">
        <f t="shared" si="3318"/>
        <v>&lt;/li&gt;&lt;li&gt;&lt;a href=|http://jfb.biblecommenter.com/ezekiel/28.htm| title=|Jamieson-Fausset-Brown Bible Commentary| target=|_top|&gt;JFB&lt;/a&gt;</v>
      </c>
      <c r="AF830" s="2" t="str">
        <f t="shared" si="3318"/>
        <v>&lt;/li&gt;&lt;li&gt;&lt;a href=|http://kjt.biblecommenter.com/ezekiel/28.htm| title=|King James Translators' Notes| target=|_top|&gt;KJT&lt;/a&gt;</v>
      </c>
      <c r="AG830" s="2" t="str">
        <f t="shared" si="3318"/>
        <v>&lt;/li&gt;&lt;li&gt;&lt;a href=|http://mhc.biblecommenter.com/ezekiel/28.htm| title=|Matthew Henry's Concise Commentary| target=|_top|&gt;MHC&lt;/a&gt;</v>
      </c>
      <c r="AH830" s="2" t="str">
        <f t="shared" si="3318"/>
        <v>&lt;/li&gt;&lt;li&gt;&lt;a href=|http://sco.biblecommenter.com/ezekiel/28.htm| title=|Scofield Reference Notes| target=|_top|&gt;SCO&lt;/a&gt;</v>
      </c>
      <c r="AI830" s="2" t="str">
        <f t="shared" si="3318"/>
        <v>&lt;/li&gt;&lt;li&gt;&lt;a href=|http://wes.biblecommenter.com/ezekiel/28.htm| title=|Wesley's Notes on the Bible| target=|_top|&gt;WES&lt;/a&gt;</v>
      </c>
      <c r="AJ830" t="str">
        <f t="shared" si="3318"/>
        <v>&lt;/li&gt;&lt;li&gt;&lt;a href=|http://worldebible.com/ezekiel/28.htm| title=|World English Bible| target=|_top|&gt;WEB&lt;/a&gt;</v>
      </c>
      <c r="AK830" t="str">
        <f t="shared" si="3318"/>
        <v>&lt;/li&gt;&lt;li&gt;&lt;a href=|http://yltbible.com/ezekiel/28.htm| title=|Young's Literal Translation| target=|_top|&gt;YLT&lt;/a&gt;</v>
      </c>
      <c r="AL830" t="str">
        <f>CONCATENATE("&lt;a href=|http://",AL1191,"/ezekiel/28.htm","| ","title=|",AL1190,"| target=|_top|&gt;",AL1192,"&lt;/a&gt;")</f>
        <v>&lt;a href=|http://kjv.us/ezekiel/28.htm| title=|American King James Version| target=|_top|&gt;AKJ&lt;/a&gt;</v>
      </c>
      <c r="AM830" t="str">
        <f t="shared" ref="AM830:AN830" si="3319">CONCATENATE("&lt;/li&gt;&lt;li&gt;&lt;a href=|http://",AM1191,"/ezekiel/28.htm","| ","title=|",AM1190,"| target=|_top|&gt;",AM1192,"&lt;/a&gt;")</f>
        <v>&lt;/li&gt;&lt;li&gt;&lt;a href=|http://basicenglishbible.com/ezekiel/28.htm| title=|Bible in Basic English| target=|_top|&gt;BBE&lt;/a&gt;</v>
      </c>
      <c r="AN830" t="str">
        <f t="shared" si="3319"/>
        <v>&lt;/li&gt;&lt;li&gt;&lt;a href=|http://darbybible.com/ezekiel/28.htm| title=|Darby Bible Translation| target=|_top|&gt;DBY&lt;/a&gt;</v>
      </c>
      <c r="AO83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3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3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30" t="str">
        <f>CONCATENATE("&lt;/li&gt;&lt;li&gt;&lt;a href=|http://",AR1191,"/ezekiel/28.htm","| ","title=|",AR1190,"| target=|_top|&gt;",AR1192,"&lt;/a&gt;")</f>
        <v>&lt;/li&gt;&lt;li&gt;&lt;a href=|http://websterbible.com/ezekiel/28.htm| title=|Webster's Bible Translation| target=|_top|&gt;WBS&lt;/a&gt;</v>
      </c>
      <c r="AS83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30" t="str">
        <f>CONCATENATE("&lt;/li&gt;&lt;li&gt;&lt;a href=|http://",AT1191,"/ezekiel/28-1.htm","| ","title=|",AT1190,"| target=|_top|&gt;",AT1192,"&lt;/a&gt;")</f>
        <v>&lt;/li&gt;&lt;li&gt;&lt;a href=|http://biblebrowser.com/ezekiel/28-1.htm| title=|Split View| target=|_top|&gt;Split&lt;/a&gt;</v>
      </c>
      <c r="AU830" s="2" t="s">
        <v>1276</v>
      </c>
      <c r="AV830" t="s">
        <v>64</v>
      </c>
    </row>
    <row r="831" spans="1:48">
      <c r="A831" t="s">
        <v>622</v>
      </c>
      <c r="B831" t="s">
        <v>872</v>
      </c>
      <c r="C831" t="s">
        <v>624</v>
      </c>
      <c r="D831" t="s">
        <v>1268</v>
      </c>
      <c r="E831" t="s">
        <v>1277</v>
      </c>
      <c r="F831" t="s">
        <v>1304</v>
      </c>
      <c r="G831" t="s">
        <v>1266</v>
      </c>
      <c r="H831" t="s">
        <v>1305</v>
      </c>
      <c r="I831" t="s">
        <v>1303</v>
      </c>
      <c r="J831" t="s">
        <v>1267</v>
      </c>
      <c r="K831" t="s">
        <v>1275</v>
      </c>
      <c r="L831" s="2" t="s">
        <v>1274</v>
      </c>
      <c r="M831" t="str">
        <f t="shared" ref="M831:AB831" si="3320">CONCATENATE("&lt;/li&gt;&lt;li&gt;&lt;a href=|http://",M1191,"/ezekiel/29.htm","| ","title=|",M1190,"| target=|_top|&gt;",M1192,"&lt;/a&gt;")</f>
        <v>&lt;/li&gt;&lt;li&gt;&lt;a href=|http://niv.scripturetext.com/ezekiel/29.htm| title=|New International Version| target=|_top|&gt;NIV&lt;/a&gt;</v>
      </c>
      <c r="N831" t="str">
        <f t="shared" si="3320"/>
        <v>&lt;/li&gt;&lt;li&gt;&lt;a href=|http://nlt.scripturetext.com/ezekiel/29.htm| title=|New Living Translation| target=|_top|&gt;NLT&lt;/a&gt;</v>
      </c>
      <c r="O831" t="str">
        <f t="shared" si="3320"/>
        <v>&lt;/li&gt;&lt;li&gt;&lt;a href=|http://nasb.scripturetext.com/ezekiel/29.htm| title=|New American Standard Bible| target=|_top|&gt;NAS&lt;/a&gt;</v>
      </c>
      <c r="P831" t="str">
        <f t="shared" si="3320"/>
        <v>&lt;/li&gt;&lt;li&gt;&lt;a href=|http://gwt.scripturetext.com/ezekiel/29.htm| title=|God's Word Translation| target=|_top|&gt;GWT&lt;/a&gt;</v>
      </c>
      <c r="Q831" t="str">
        <f t="shared" si="3320"/>
        <v>&lt;/li&gt;&lt;li&gt;&lt;a href=|http://kingjbible.com/ezekiel/29.htm| title=|King James Bible| target=|_top|&gt;KJV&lt;/a&gt;</v>
      </c>
      <c r="R831" t="str">
        <f t="shared" si="3320"/>
        <v>&lt;/li&gt;&lt;li&gt;&lt;a href=|http://asvbible.com/ezekiel/29.htm| title=|American Standard Version| target=|_top|&gt;ASV&lt;/a&gt;</v>
      </c>
      <c r="S831" t="str">
        <f t="shared" si="3320"/>
        <v>&lt;/li&gt;&lt;li&gt;&lt;a href=|http://drb.scripturetext.com/ezekiel/29.htm| title=|Douay-Rheims Bible| target=|_top|&gt;DRB&lt;/a&gt;</v>
      </c>
      <c r="T831" t="str">
        <f t="shared" si="3320"/>
        <v>&lt;/li&gt;&lt;li&gt;&lt;a href=|http://erv.scripturetext.com/ezekiel/29.htm| title=|English Revised Version| target=|_top|&gt;ERV&lt;/a&gt;</v>
      </c>
      <c r="V831" t="str">
        <f>CONCATENATE("&lt;/li&gt;&lt;li&gt;&lt;a href=|http://",V1191,"/ezekiel/29.htm","| ","title=|",V1190,"| target=|_top|&gt;",V1192,"&lt;/a&gt;")</f>
        <v>&lt;/li&gt;&lt;li&gt;&lt;a href=|http://study.interlinearbible.org/ezekiel/29.htm| title=|Hebrew Study Bible| target=|_top|&gt;Heb Study&lt;/a&gt;</v>
      </c>
      <c r="W831" t="str">
        <f t="shared" si="3320"/>
        <v>&lt;/li&gt;&lt;li&gt;&lt;a href=|http://apostolic.interlinearbible.org/ezekiel/29.htm| title=|Apostolic Bible Polyglot Interlinear| target=|_top|&gt;Polyglot&lt;/a&gt;</v>
      </c>
      <c r="X831" t="str">
        <f t="shared" si="3320"/>
        <v>&lt;/li&gt;&lt;li&gt;&lt;a href=|http://interlinearbible.org/ezekiel/29.htm| title=|Interlinear Bible| target=|_top|&gt;Interlin&lt;/a&gt;</v>
      </c>
      <c r="Y831" t="str">
        <f t="shared" ref="Y831" si="3321">CONCATENATE("&lt;/li&gt;&lt;li&gt;&lt;a href=|http://",Y1191,"/ezekiel/29.htm","| ","title=|",Y1190,"| target=|_top|&gt;",Y1192,"&lt;/a&gt;")</f>
        <v>&lt;/li&gt;&lt;li&gt;&lt;a href=|http://bibleoutline.org/ezekiel/29.htm| title=|Outline with People and Places List| target=|_top|&gt;Outline&lt;/a&gt;</v>
      </c>
      <c r="Z831" t="str">
        <f t="shared" si="3320"/>
        <v>&lt;/li&gt;&lt;li&gt;&lt;a href=|http://kjvs.scripturetext.com/ezekiel/29.htm| title=|King James Bible with Strong's Numbers| target=|_top|&gt;Strong's&lt;/a&gt;</v>
      </c>
      <c r="AA831" t="str">
        <f t="shared" si="3320"/>
        <v>&lt;/li&gt;&lt;li&gt;&lt;a href=|http://childrensbibleonline.com/ezekiel/29.htm| title=|The Children's Bible| target=|_top|&gt;Children's&lt;/a&gt;</v>
      </c>
      <c r="AB831" s="2" t="str">
        <f t="shared" si="3320"/>
        <v>&lt;/li&gt;&lt;li&gt;&lt;a href=|http://tsk.scripturetext.com/ezekiel/29.htm| title=|Treasury of Scripture Knowledge| target=|_top|&gt;TSK&lt;/a&gt;</v>
      </c>
      <c r="AC831" t="str">
        <f>CONCATENATE("&lt;a href=|http://",AC1191,"/ezekiel/29.htm","| ","title=|",AC1190,"| target=|_top|&gt;",AC1192,"&lt;/a&gt;")</f>
        <v>&lt;a href=|http://parallelbible.com/ezekiel/29.htm| title=|Parallel Chapters| target=|_top|&gt;PAR&lt;/a&gt;</v>
      </c>
      <c r="AD831" s="2" t="str">
        <f t="shared" ref="AD831:AK831" si="3322">CONCATENATE("&lt;/li&gt;&lt;li&gt;&lt;a href=|http://",AD1191,"/ezekiel/29.htm","| ","title=|",AD1190,"| target=|_top|&gt;",AD1192,"&lt;/a&gt;")</f>
        <v>&lt;/li&gt;&lt;li&gt;&lt;a href=|http://gsb.biblecommenter.com/ezekiel/29.htm| title=|Geneva Study Bible| target=|_top|&gt;GSB&lt;/a&gt;</v>
      </c>
      <c r="AE831" s="2" t="str">
        <f t="shared" si="3322"/>
        <v>&lt;/li&gt;&lt;li&gt;&lt;a href=|http://jfb.biblecommenter.com/ezekiel/29.htm| title=|Jamieson-Fausset-Brown Bible Commentary| target=|_top|&gt;JFB&lt;/a&gt;</v>
      </c>
      <c r="AF831" s="2" t="str">
        <f t="shared" si="3322"/>
        <v>&lt;/li&gt;&lt;li&gt;&lt;a href=|http://kjt.biblecommenter.com/ezekiel/29.htm| title=|King James Translators' Notes| target=|_top|&gt;KJT&lt;/a&gt;</v>
      </c>
      <c r="AG831" s="2" t="str">
        <f t="shared" si="3322"/>
        <v>&lt;/li&gt;&lt;li&gt;&lt;a href=|http://mhc.biblecommenter.com/ezekiel/29.htm| title=|Matthew Henry's Concise Commentary| target=|_top|&gt;MHC&lt;/a&gt;</v>
      </c>
      <c r="AH831" s="2" t="str">
        <f t="shared" si="3322"/>
        <v>&lt;/li&gt;&lt;li&gt;&lt;a href=|http://sco.biblecommenter.com/ezekiel/29.htm| title=|Scofield Reference Notes| target=|_top|&gt;SCO&lt;/a&gt;</v>
      </c>
      <c r="AI831" s="2" t="str">
        <f t="shared" si="3322"/>
        <v>&lt;/li&gt;&lt;li&gt;&lt;a href=|http://wes.biblecommenter.com/ezekiel/29.htm| title=|Wesley's Notes on the Bible| target=|_top|&gt;WES&lt;/a&gt;</v>
      </c>
      <c r="AJ831" t="str">
        <f t="shared" si="3322"/>
        <v>&lt;/li&gt;&lt;li&gt;&lt;a href=|http://worldebible.com/ezekiel/29.htm| title=|World English Bible| target=|_top|&gt;WEB&lt;/a&gt;</v>
      </c>
      <c r="AK831" t="str">
        <f t="shared" si="3322"/>
        <v>&lt;/li&gt;&lt;li&gt;&lt;a href=|http://yltbible.com/ezekiel/29.htm| title=|Young's Literal Translation| target=|_top|&gt;YLT&lt;/a&gt;</v>
      </c>
      <c r="AL831" t="str">
        <f>CONCATENATE("&lt;a href=|http://",AL1191,"/ezekiel/29.htm","| ","title=|",AL1190,"| target=|_top|&gt;",AL1192,"&lt;/a&gt;")</f>
        <v>&lt;a href=|http://kjv.us/ezekiel/29.htm| title=|American King James Version| target=|_top|&gt;AKJ&lt;/a&gt;</v>
      </c>
      <c r="AM831" t="str">
        <f t="shared" ref="AM831:AN831" si="3323">CONCATENATE("&lt;/li&gt;&lt;li&gt;&lt;a href=|http://",AM1191,"/ezekiel/29.htm","| ","title=|",AM1190,"| target=|_top|&gt;",AM1192,"&lt;/a&gt;")</f>
        <v>&lt;/li&gt;&lt;li&gt;&lt;a href=|http://basicenglishbible.com/ezekiel/29.htm| title=|Bible in Basic English| target=|_top|&gt;BBE&lt;/a&gt;</v>
      </c>
      <c r="AN831" t="str">
        <f t="shared" si="3323"/>
        <v>&lt;/li&gt;&lt;li&gt;&lt;a href=|http://darbybible.com/ezekiel/29.htm| title=|Darby Bible Translation| target=|_top|&gt;DBY&lt;/a&gt;</v>
      </c>
      <c r="AO83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3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3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31" t="str">
        <f>CONCATENATE("&lt;/li&gt;&lt;li&gt;&lt;a href=|http://",AR1191,"/ezekiel/29.htm","| ","title=|",AR1190,"| target=|_top|&gt;",AR1192,"&lt;/a&gt;")</f>
        <v>&lt;/li&gt;&lt;li&gt;&lt;a href=|http://websterbible.com/ezekiel/29.htm| title=|Webster's Bible Translation| target=|_top|&gt;WBS&lt;/a&gt;</v>
      </c>
      <c r="AS83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31" t="str">
        <f>CONCATENATE("&lt;/li&gt;&lt;li&gt;&lt;a href=|http://",AT1191,"/ezekiel/29-1.htm","| ","title=|",AT1190,"| target=|_top|&gt;",AT1192,"&lt;/a&gt;")</f>
        <v>&lt;/li&gt;&lt;li&gt;&lt;a href=|http://biblebrowser.com/ezekiel/29-1.htm| title=|Split View| target=|_top|&gt;Split&lt;/a&gt;</v>
      </c>
      <c r="AU831" s="2" t="s">
        <v>1276</v>
      </c>
      <c r="AV831" t="s">
        <v>64</v>
      </c>
    </row>
    <row r="832" spans="1:48">
      <c r="A832" t="s">
        <v>622</v>
      </c>
      <c r="B832" t="s">
        <v>873</v>
      </c>
      <c r="C832" t="s">
        <v>624</v>
      </c>
      <c r="D832" t="s">
        <v>1268</v>
      </c>
      <c r="E832" t="s">
        <v>1277</v>
      </c>
      <c r="F832" t="s">
        <v>1304</v>
      </c>
      <c r="G832" t="s">
        <v>1266</v>
      </c>
      <c r="H832" t="s">
        <v>1305</v>
      </c>
      <c r="I832" t="s">
        <v>1303</v>
      </c>
      <c r="J832" t="s">
        <v>1267</v>
      </c>
      <c r="K832" t="s">
        <v>1275</v>
      </c>
      <c r="L832" s="2" t="s">
        <v>1274</v>
      </c>
      <c r="M832" t="str">
        <f t="shared" ref="M832:AB832" si="3324">CONCATENATE("&lt;/li&gt;&lt;li&gt;&lt;a href=|http://",M1191,"/ezekiel/30.htm","| ","title=|",M1190,"| target=|_top|&gt;",M1192,"&lt;/a&gt;")</f>
        <v>&lt;/li&gt;&lt;li&gt;&lt;a href=|http://niv.scripturetext.com/ezekiel/30.htm| title=|New International Version| target=|_top|&gt;NIV&lt;/a&gt;</v>
      </c>
      <c r="N832" t="str">
        <f t="shared" si="3324"/>
        <v>&lt;/li&gt;&lt;li&gt;&lt;a href=|http://nlt.scripturetext.com/ezekiel/30.htm| title=|New Living Translation| target=|_top|&gt;NLT&lt;/a&gt;</v>
      </c>
      <c r="O832" t="str">
        <f t="shared" si="3324"/>
        <v>&lt;/li&gt;&lt;li&gt;&lt;a href=|http://nasb.scripturetext.com/ezekiel/30.htm| title=|New American Standard Bible| target=|_top|&gt;NAS&lt;/a&gt;</v>
      </c>
      <c r="P832" t="str">
        <f t="shared" si="3324"/>
        <v>&lt;/li&gt;&lt;li&gt;&lt;a href=|http://gwt.scripturetext.com/ezekiel/30.htm| title=|God's Word Translation| target=|_top|&gt;GWT&lt;/a&gt;</v>
      </c>
      <c r="Q832" t="str">
        <f t="shared" si="3324"/>
        <v>&lt;/li&gt;&lt;li&gt;&lt;a href=|http://kingjbible.com/ezekiel/30.htm| title=|King James Bible| target=|_top|&gt;KJV&lt;/a&gt;</v>
      </c>
      <c r="R832" t="str">
        <f t="shared" si="3324"/>
        <v>&lt;/li&gt;&lt;li&gt;&lt;a href=|http://asvbible.com/ezekiel/30.htm| title=|American Standard Version| target=|_top|&gt;ASV&lt;/a&gt;</v>
      </c>
      <c r="S832" t="str">
        <f t="shared" si="3324"/>
        <v>&lt;/li&gt;&lt;li&gt;&lt;a href=|http://drb.scripturetext.com/ezekiel/30.htm| title=|Douay-Rheims Bible| target=|_top|&gt;DRB&lt;/a&gt;</v>
      </c>
      <c r="T832" t="str">
        <f t="shared" si="3324"/>
        <v>&lt;/li&gt;&lt;li&gt;&lt;a href=|http://erv.scripturetext.com/ezekiel/30.htm| title=|English Revised Version| target=|_top|&gt;ERV&lt;/a&gt;</v>
      </c>
      <c r="V832" t="str">
        <f>CONCATENATE("&lt;/li&gt;&lt;li&gt;&lt;a href=|http://",V1191,"/ezekiel/30.htm","| ","title=|",V1190,"| target=|_top|&gt;",V1192,"&lt;/a&gt;")</f>
        <v>&lt;/li&gt;&lt;li&gt;&lt;a href=|http://study.interlinearbible.org/ezekiel/30.htm| title=|Hebrew Study Bible| target=|_top|&gt;Heb Study&lt;/a&gt;</v>
      </c>
      <c r="W832" t="str">
        <f t="shared" si="3324"/>
        <v>&lt;/li&gt;&lt;li&gt;&lt;a href=|http://apostolic.interlinearbible.org/ezekiel/30.htm| title=|Apostolic Bible Polyglot Interlinear| target=|_top|&gt;Polyglot&lt;/a&gt;</v>
      </c>
      <c r="X832" t="str">
        <f t="shared" si="3324"/>
        <v>&lt;/li&gt;&lt;li&gt;&lt;a href=|http://interlinearbible.org/ezekiel/30.htm| title=|Interlinear Bible| target=|_top|&gt;Interlin&lt;/a&gt;</v>
      </c>
      <c r="Y832" t="str">
        <f t="shared" ref="Y832" si="3325">CONCATENATE("&lt;/li&gt;&lt;li&gt;&lt;a href=|http://",Y1191,"/ezekiel/30.htm","| ","title=|",Y1190,"| target=|_top|&gt;",Y1192,"&lt;/a&gt;")</f>
        <v>&lt;/li&gt;&lt;li&gt;&lt;a href=|http://bibleoutline.org/ezekiel/30.htm| title=|Outline with People and Places List| target=|_top|&gt;Outline&lt;/a&gt;</v>
      </c>
      <c r="Z832" t="str">
        <f t="shared" si="3324"/>
        <v>&lt;/li&gt;&lt;li&gt;&lt;a href=|http://kjvs.scripturetext.com/ezekiel/30.htm| title=|King James Bible with Strong's Numbers| target=|_top|&gt;Strong's&lt;/a&gt;</v>
      </c>
      <c r="AA832" t="str">
        <f t="shared" si="3324"/>
        <v>&lt;/li&gt;&lt;li&gt;&lt;a href=|http://childrensbibleonline.com/ezekiel/30.htm| title=|The Children's Bible| target=|_top|&gt;Children's&lt;/a&gt;</v>
      </c>
      <c r="AB832" s="2" t="str">
        <f t="shared" si="3324"/>
        <v>&lt;/li&gt;&lt;li&gt;&lt;a href=|http://tsk.scripturetext.com/ezekiel/30.htm| title=|Treasury of Scripture Knowledge| target=|_top|&gt;TSK&lt;/a&gt;</v>
      </c>
      <c r="AC832" t="str">
        <f>CONCATENATE("&lt;a href=|http://",AC1191,"/ezekiel/30.htm","| ","title=|",AC1190,"| target=|_top|&gt;",AC1192,"&lt;/a&gt;")</f>
        <v>&lt;a href=|http://parallelbible.com/ezekiel/30.htm| title=|Parallel Chapters| target=|_top|&gt;PAR&lt;/a&gt;</v>
      </c>
      <c r="AD832" s="2" t="str">
        <f t="shared" ref="AD832:AK832" si="3326">CONCATENATE("&lt;/li&gt;&lt;li&gt;&lt;a href=|http://",AD1191,"/ezekiel/30.htm","| ","title=|",AD1190,"| target=|_top|&gt;",AD1192,"&lt;/a&gt;")</f>
        <v>&lt;/li&gt;&lt;li&gt;&lt;a href=|http://gsb.biblecommenter.com/ezekiel/30.htm| title=|Geneva Study Bible| target=|_top|&gt;GSB&lt;/a&gt;</v>
      </c>
      <c r="AE832" s="2" t="str">
        <f t="shared" si="3326"/>
        <v>&lt;/li&gt;&lt;li&gt;&lt;a href=|http://jfb.biblecommenter.com/ezekiel/30.htm| title=|Jamieson-Fausset-Brown Bible Commentary| target=|_top|&gt;JFB&lt;/a&gt;</v>
      </c>
      <c r="AF832" s="2" t="str">
        <f t="shared" si="3326"/>
        <v>&lt;/li&gt;&lt;li&gt;&lt;a href=|http://kjt.biblecommenter.com/ezekiel/30.htm| title=|King James Translators' Notes| target=|_top|&gt;KJT&lt;/a&gt;</v>
      </c>
      <c r="AG832" s="2" t="str">
        <f t="shared" si="3326"/>
        <v>&lt;/li&gt;&lt;li&gt;&lt;a href=|http://mhc.biblecommenter.com/ezekiel/30.htm| title=|Matthew Henry's Concise Commentary| target=|_top|&gt;MHC&lt;/a&gt;</v>
      </c>
      <c r="AH832" s="2" t="str">
        <f t="shared" si="3326"/>
        <v>&lt;/li&gt;&lt;li&gt;&lt;a href=|http://sco.biblecommenter.com/ezekiel/30.htm| title=|Scofield Reference Notes| target=|_top|&gt;SCO&lt;/a&gt;</v>
      </c>
      <c r="AI832" s="2" t="str">
        <f t="shared" si="3326"/>
        <v>&lt;/li&gt;&lt;li&gt;&lt;a href=|http://wes.biblecommenter.com/ezekiel/30.htm| title=|Wesley's Notes on the Bible| target=|_top|&gt;WES&lt;/a&gt;</v>
      </c>
      <c r="AJ832" t="str">
        <f t="shared" si="3326"/>
        <v>&lt;/li&gt;&lt;li&gt;&lt;a href=|http://worldebible.com/ezekiel/30.htm| title=|World English Bible| target=|_top|&gt;WEB&lt;/a&gt;</v>
      </c>
      <c r="AK832" t="str">
        <f t="shared" si="3326"/>
        <v>&lt;/li&gt;&lt;li&gt;&lt;a href=|http://yltbible.com/ezekiel/30.htm| title=|Young's Literal Translation| target=|_top|&gt;YLT&lt;/a&gt;</v>
      </c>
      <c r="AL832" t="str">
        <f>CONCATENATE("&lt;a href=|http://",AL1191,"/ezekiel/30.htm","| ","title=|",AL1190,"| target=|_top|&gt;",AL1192,"&lt;/a&gt;")</f>
        <v>&lt;a href=|http://kjv.us/ezekiel/30.htm| title=|American King James Version| target=|_top|&gt;AKJ&lt;/a&gt;</v>
      </c>
      <c r="AM832" t="str">
        <f t="shared" ref="AM832:AN832" si="3327">CONCATENATE("&lt;/li&gt;&lt;li&gt;&lt;a href=|http://",AM1191,"/ezekiel/30.htm","| ","title=|",AM1190,"| target=|_top|&gt;",AM1192,"&lt;/a&gt;")</f>
        <v>&lt;/li&gt;&lt;li&gt;&lt;a href=|http://basicenglishbible.com/ezekiel/30.htm| title=|Bible in Basic English| target=|_top|&gt;BBE&lt;/a&gt;</v>
      </c>
      <c r="AN832" t="str">
        <f t="shared" si="3327"/>
        <v>&lt;/li&gt;&lt;li&gt;&lt;a href=|http://darbybible.com/ezekiel/30.htm| title=|Darby Bible Translation| target=|_top|&gt;DBY&lt;/a&gt;</v>
      </c>
      <c r="AO83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3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3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32" t="str">
        <f>CONCATENATE("&lt;/li&gt;&lt;li&gt;&lt;a href=|http://",AR1191,"/ezekiel/30.htm","| ","title=|",AR1190,"| target=|_top|&gt;",AR1192,"&lt;/a&gt;")</f>
        <v>&lt;/li&gt;&lt;li&gt;&lt;a href=|http://websterbible.com/ezekiel/30.htm| title=|Webster's Bible Translation| target=|_top|&gt;WBS&lt;/a&gt;</v>
      </c>
      <c r="AS83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32" t="str">
        <f>CONCATENATE("&lt;/li&gt;&lt;li&gt;&lt;a href=|http://",AT1191,"/ezekiel/30-1.htm","| ","title=|",AT1190,"| target=|_top|&gt;",AT1192,"&lt;/a&gt;")</f>
        <v>&lt;/li&gt;&lt;li&gt;&lt;a href=|http://biblebrowser.com/ezekiel/30-1.htm| title=|Split View| target=|_top|&gt;Split&lt;/a&gt;</v>
      </c>
      <c r="AU832" s="2" t="s">
        <v>1276</v>
      </c>
      <c r="AV832" t="s">
        <v>64</v>
      </c>
    </row>
    <row r="833" spans="1:48">
      <c r="A833" t="s">
        <v>622</v>
      </c>
      <c r="B833" t="s">
        <v>874</v>
      </c>
      <c r="C833" t="s">
        <v>624</v>
      </c>
      <c r="D833" t="s">
        <v>1268</v>
      </c>
      <c r="E833" t="s">
        <v>1277</v>
      </c>
      <c r="F833" t="s">
        <v>1304</v>
      </c>
      <c r="G833" t="s">
        <v>1266</v>
      </c>
      <c r="H833" t="s">
        <v>1305</v>
      </c>
      <c r="I833" t="s">
        <v>1303</v>
      </c>
      <c r="J833" t="s">
        <v>1267</v>
      </c>
      <c r="K833" t="s">
        <v>1275</v>
      </c>
      <c r="L833" s="2" t="s">
        <v>1274</v>
      </c>
      <c r="M833" t="str">
        <f t="shared" ref="M833:AB833" si="3328">CONCATENATE("&lt;/li&gt;&lt;li&gt;&lt;a href=|http://",M1191,"/ezekiel/31.htm","| ","title=|",M1190,"| target=|_top|&gt;",M1192,"&lt;/a&gt;")</f>
        <v>&lt;/li&gt;&lt;li&gt;&lt;a href=|http://niv.scripturetext.com/ezekiel/31.htm| title=|New International Version| target=|_top|&gt;NIV&lt;/a&gt;</v>
      </c>
      <c r="N833" t="str">
        <f t="shared" si="3328"/>
        <v>&lt;/li&gt;&lt;li&gt;&lt;a href=|http://nlt.scripturetext.com/ezekiel/31.htm| title=|New Living Translation| target=|_top|&gt;NLT&lt;/a&gt;</v>
      </c>
      <c r="O833" t="str">
        <f t="shared" si="3328"/>
        <v>&lt;/li&gt;&lt;li&gt;&lt;a href=|http://nasb.scripturetext.com/ezekiel/31.htm| title=|New American Standard Bible| target=|_top|&gt;NAS&lt;/a&gt;</v>
      </c>
      <c r="P833" t="str">
        <f t="shared" si="3328"/>
        <v>&lt;/li&gt;&lt;li&gt;&lt;a href=|http://gwt.scripturetext.com/ezekiel/31.htm| title=|God's Word Translation| target=|_top|&gt;GWT&lt;/a&gt;</v>
      </c>
      <c r="Q833" t="str">
        <f t="shared" si="3328"/>
        <v>&lt;/li&gt;&lt;li&gt;&lt;a href=|http://kingjbible.com/ezekiel/31.htm| title=|King James Bible| target=|_top|&gt;KJV&lt;/a&gt;</v>
      </c>
      <c r="R833" t="str">
        <f t="shared" si="3328"/>
        <v>&lt;/li&gt;&lt;li&gt;&lt;a href=|http://asvbible.com/ezekiel/31.htm| title=|American Standard Version| target=|_top|&gt;ASV&lt;/a&gt;</v>
      </c>
      <c r="S833" t="str">
        <f t="shared" si="3328"/>
        <v>&lt;/li&gt;&lt;li&gt;&lt;a href=|http://drb.scripturetext.com/ezekiel/31.htm| title=|Douay-Rheims Bible| target=|_top|&gt;DRB&lt;/a&gt;</v>
      </c>
      <c r="T833" t="str">
        <f t="shared" si="3328"/>
        <v>&lt;/li&gt;&lt;li&gt;&lt;a href=|http://erv.scripturetext.com/ezekiel/31.htm| title=|English Revised Version| target=|_top|&gt;ERV&lt;/a&gt;</v>
      </c>
      <c r="V833" t="str">
        <f>CONCATENATE("&lt;/li&gt;&lt;li&gt;&lt;a href=|http://",V1191,"/ezekiel/31.htm","| ","title=|",V1190,"| target=|_top|&gt;",V1192,"&lt;/a&gt;")</f>
        <v>&lt;/li&gt;&lt;li&gt;&lt;a href=|http://study.interlinearbible.org/ezekiel/31.htm| title=|Hebrew Study Bible| target=|_top|&gt;Heb Study&lt;/a&gt;</v>
      </c>
      <c r="W833" t="str">
        <f t="shared" si="3328"/>
        <v>&lt;/li&gt;&lt;li&gt;&lt;a href=|http://apostolic.interlinearbible.org/ezekiel/31.htm| title=|Apostolic Bible Polyglot Interlinear| target=|_top|&gt;Polyglot&lt;/a&gt;</v>
      </c>
      <c r="X833" t="str">
        <f t="shared" si="3328"/>
        <v>&lt;/li&gt;&lt;li&gt;&lt;a href=|http://interlinearbible.org/ezekiel/31.htm| title=|Interlinear Bible| target=|_top|&gt;Interlin&lt;/a&gt;</v>
      </c>
      <c r="Y833" t="str">
        <f t="shared" ref="Y833" si="3329">CONCATENATE("&lt;/li&gt;&lt;li&gt;&lt;a href=|http://",Y1191,"/ezekiel/31.htm","| ","title=|",Y1190,"| target=|_top|&gt;",Y1192,"&lt;/a&gt;")</f>
        <v>&lt;/li&gt;&lt;li&gt;&lt;a href=|http://bibleoutline.org/ezekiel/31.htm| title=|Outline with People and Places List| target=|_top|&gt;Outline&lt;/a&gt;</v>
      </c>
      <c r="Z833" t="str">
        <f t="shared" si="3328"/>
        <v>&lt;/li&gt;&lt;li&gt;&lt;a href=|http://kjvs.scripturetext.com/ezekiel/31.htm| title=|King James Bible with Strong's Numbers| target=|_top|&gt;Strong's&lt;/a&gt;</v>
      </c>
      <c r="AA833" t="str">
        <f t="shared" si="3328"/>
        <v>&lt;/li&gt;&lt;li&gt;&lt;a href=|http://childrensbibleonline.com/ezekiel/31.htm| title=|The Children's Bible| target=|_top|&gt;Children's&lt;/a&gt;</v>
      </c>
      <c r="AB833" s="2" t="str">
        <f t="shared" si="3328"/>
        <v>&lt;/li&gt;&lt;li&gt;&lt;a href=|http://tsk.scripturetext.com/ezekiel/31.htm| title=|Treasury of Scripture Knowledge| target=|_top|&gt;TSK&lt;/a&gt;</v>
      </c>
      <c r="AC833" t="str">
        <f>CONCATENATE("&lt;a href=|http://",AC1191,"/ezekiel/31.htm","| ","title=|",AC1190,"| target=|_top|&gt;",AC1192,"&lt;/a&gt;")</f>
        <v>&lt;a href=|http://parallelbible.com/ezekiel/31.htm| title=|Parallel Chapters| target=|_top|&gt;PAR&lt;/a&gt;</v>
      </c>
      <c r="AD833" s="2" t="str">
        <f t="shared" ref="AD833:AK833" si="3330">CONCATENATE("&lt;/li&gt;&lt;li&gt;&lt;a href=|http://",AD1191,"/ezekiel/31.htm","| ","title=|",AD1190,"| target=|_top|&gt;",AD1192,"&lt;/a&gt;")</f>
        <v>&lt;/li&gt;&lt;li&gt;&lt;a href=|http://gsb.biblecommenter.com/ezekiel/31.htm| title=|Geneva Study Bible| target=|_top|&gt;GSB&lt;/a&gt;</v>
      </c>
      <c r="AE833" s="2" t="str">
        <f t="shared" si="3330"/>
        <v>&lt;/li&gt;&lt;li&gt;&lt;a href=|http://jfb.biblecommenter.com/ezekiel/31.htm| title=|Jamieson-Fausset-Brown Bible Commentary| target=|_top|&gt;JFB&lt;/a&gt;</v>
      </c>
      <c r="AF833" s="2" t="str">
        <f t="shared" si="3330"/>
        <v>&lt;/li&gt;&lt;li&gt;&lt;a href=|http://kjt.biblecommenter.com/ezekiel/31.htm| title=|King James Translators' Notes| target=|_top|&gt;KJT&lt;/a&gt;</v>
      </c>
      <c r="AG833" s="2" t="str">
        <f t="shared" si="3330"/>
        <v>&lt;/li&gt;&lt;li&gt;&lt;a href=|http://mhc.biblecommenter.com/ezekiel/31.htm| title=|Matthew Henry's Concise Commentary| target=|_top|&gt;MHC&lt;/a&gt;</v>
      </c>
      <c r="AH833" s="2" t="str">
        <f t="shared" si="3330"/>
        <v>&lt;/li&gt;&lt;li&gt;&lt;a href=|http://sco.biblecommenter.com/ezekiel/31.htm| title=|Scofield Reference Notes| target=|_top|&gt;SCO&lt;/a&gt;</v>
      </c>
      <c r="AI833" s="2" t="str">
        <f t="shared" si="3330"/>
        <v>&lt;/li&gt;&lt;li&gt;&lt;a href=|http://wes.biblecommenter.com/ezekiel/31.htm| title=|Wesley's Notes on the Bible| target=|_top|&gt;WES&lt;/a&gt;</v>
      </c>
      <c r="AJ833" t="str">
        <f t="shared" si="3330"/>
        <v>&lt;/li&gt;&lt;li&gt;&lt;a href=|http://worldebible.com/ezekiel/31.htm| title=|World English Bible| target=|_top|&gt;WEB&lt;/a&gt;</v>
      </c>
      <c r="AK833" t="str">
        <f t="shared" si="3330"/>
        <v>&lt;/li&gt;&lt;li&gt;&lt;a href=|http://yltbible.com/ezekiel/31.htm| title=|Young's Literal Translation| target=|_top|&gt;YLT&lt;/a&gt;</v>
      </c>
      <c r="AL833" t="str">
        <f>CONCATENATE("&lt;a href=|http://",AL1191,"/ezekiel/31.htm","| ","title=|",AL1190,"| target=|_top|&gt;",AL1192,"&lt;/a&gt;")</f>
        <v>&lt;a href=|http://kjv.us/ezekiel/31.htm| title=|American King James Version| target=|_top|&gt;AKJ&lt;/a&gt;</v>
      </c>
      <c r="AM833" t="str">
        <f t="shared" ref="AM833:AN833" si="3331">CONCATENATE("&lt;/li&gt;&lt;li&gt;&lt;a href=|http://",AM1191,"/ezekiel/31.htm","| ","title=|",AM1190,"| target=|_top|&gt;",AM1192,"&lt;/a&gt;")</f>
        <v>&lt;/li&gt;&lt;li&gt;&lt;a href=|http://basicenglishbible.com/ezekiel/31.htm| title=|Bible in Basic English| target=|_top|&gt;BBE&lt;/a&gt;</v>
      </c>
      <c r="AN833" t="str">
        <f t="shared" si="3331"/>
        <v>&lt;/li&gt;&lt;li&gt;&lt;a href=|http://darbybible.com/ezekiel/31.htm| title=|Darby Bible Translation| target=|_top|&gt;DBY&lt;/a&gt;</v>
      </c>
      <c r="AO83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3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3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33" t="str">
        <f>CONCATENATE("&lt;/li&gt;&lt;li&gt;&lt;a href=|http://",AR1191,"/ezekiel/31.htm","| ","title=|",AR1190,"| target=|_top|&gt;",AR1192,"&lt;/a&gt;")</f>
        <v>&lt;/li&gt;&lt;li&gt;&lt;a href=|http://websterbible.com/ezekiel/31.htm| title=|Webster's Bible Translation| target=|_top|&gt;WBS&lt;/a&gt;</v>
      </c>
      <c r="AS83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33" t="str">
        <f>CONCATENATE("&lt;/li&gt;&lt;li&gt;&lt;a href=|http://",AT1191,"/ezekiel/31-1.htm","| ","title=|",AT1190,"| target=|_top|&gt;",AT1192,"&lt;/a&gt;")</f>
        <v>&lt;/li&gt;&lt;li&gt;&lt;a href=|http://biblebrowser.com/ezekiel/31-1.htm| title=|Split View| target=|_top|&gt;Split&lt;/a&gt;</v>
      </c>
      <c r="AU833" s="2" t="s">
        <v>1276</v>
      </c>
      <c r="AV833" t="s">
        <v>64</v>
      </c>
    </row>
    <row r="834" spans="1:48">
      <c r="A834" t="s">
        <v>622</v>
      </c>
      <c r="B834" t="s">
        <v>875</v>
      </c>
      <c r="C834" t="s">
        <v>624</v>
      </c>
      <c r="D834" t="s">
        <v>1268</v>
      </c>
      <c r="E834" t="s">
        <v>1277</v>
      </c>
      <c r="F834" t="s">
        <v>1304</v>
      </c>
      <c r="G834" t="s">
        <v>1266</v>
      </c>
      <c r="H834" t="s">
        <v>1305</v>
      </c>
      <c r="I834" t="s">
        <v>1303</v>
      </c>
      <c r="J834" t="s">
        <v>1267</v>
      </c>
      <c r="K834" t="s">
        <v>1275</v>
      </c>
      <c r="L834" s="2" t="s">
        <v>1274</v>
      </c>
      <c r="M834" t="str">
        <f t="shared" ref="M834:AB834" si="3332">CONCATENATE("&lt;/li&gt;&lt;li&gt;&lt;a href=|http://",M1191,"/ezekiel/32.htm","| ","title=|",M1190,"| target=|_top|&gt;",M1192,"&lt;/a&gt;")</f>
        <v>&lt;/li&gt;&lt;li&gt;&lt;a href=|http://niv.scripturetext.com/ezekiel/32.htm| title=|New International Version| target=|_top|&gt;NIV&lt;/a&gt;</v>
      </c>
      <c r="N834" t="str">
        <f t="shared" si="3332"/>
        <v>&lt;/li&gt;&lt;li&gt;&lt;a href=|http://nlt.scripturetext.com/ezekiel/32.htm| title=|New Living Translation| target=|_top|&gt;NLT&lt;/a&gt;</v>
      </c>
      <c r="O834" t="str">
        <f t="shared" si="3332"/>
        <v>&lt;/li&gt;&lt;li&gt;&lt;a href=|http://nasb.scripturetext.com/ezekiel/32.htm| title=|New American Standard Bible| target=|_top|&gt;NAS&lt;/a&gt;</v>
      </c>
      <c r="P834" t="str">
        <f t="shared" si="3332"/>
        <v>&lt;/li&gt;&lt;li&gt;&lt;a href=|http://gwt.scripturetext.com/ezekiel/32.htm| title=|God's Word Translation| target=|_top|&gt;GWT&lt;/a&gt;</v>
      </c>
      <c r="Q834" t="str">
        <f t="shared" si="3332"/>
        <v>&lt;/li&gt;&lt;li&gt;&lt;a href=|http://kingjbible.com/ezekiel/32.htm| title=|King James Bible| target=|_top|&gt;KJV&lt;/a&gt;</v>
      </c>
      <c r="R834" t="str">
        <f t="shared" si="3332"/>
        <v>&lt;/li&gt;&lt;li&gt;&lt;a href=|http://asvbible.com/ezekiel/32.htm| title=|American Standard Version| target=|_top|&gt;ASV&lt;/a&gt;</v>
      </c>
      <c r="S834" t="str">
        <f t="shared" si="3332"/>
        <v>&lt;/li&gt;&lt;li&gt;&lt;a href=|http://drb.scripturetext.com/ezekiel/32.htm| title=|Douay-Rheims Bible| target=|_top|&gt;DRB&lt;/a&gt;</v>
      </c>
      <c r="T834" t="str">
        <f t="shared" si="3332"/>
        <v>&lt;/li&gt;&lt;li&gt;&lt;a href=|http://erv.scripturetext.com/ezekiel/32.htm| title=|English Revised Version| target=|_top|&gt;ERV&lt;/a&gt;</v>
      </c>
      <c r="V834" t="str">
        <f>CONCATENATE("&lt;/li&gt;&lt;li&gt;&lt;a href=|http://",V1191,"/ezekiel/32.htm","| ","title=|",V1190,"| target=|_top|&gt;",V1192,"&lt;/a&gt;")</f>
        <v>&lt;/li&gt;&lt;li&gt;&lt;a href=|http://study.interlinearbible.org/ezekiel/32.htm| title=|Hebrew Study Bible| target=|_top|&gt;Heb Study&lt;/a&gt;</v>
      </c>
      <c r="W834" t="str">
        <f t="shared" si="3332"/>
        <v>&lt;/li&gt;&lt;li&gt;&lt;a href=|http://apostolic.interlinearbible.org/ezekiel/32.htm| title=|Apostolic Bible Polyglot Interlinear| target=|_top|&gt;Polyglot&lt;/a&gt;</v>
      </c>
      <c r="X834" t="str">
        <f t="shared" si="3332"/>
        <v>&lt;/li&gt;&lt;li&gt;&lt;a href=|http://interlinearbible.org/ezekiel/32.htm| title=|Interlinear Bible| target=|_top|&gt;Interlin&lt;/a&gt;</v>
      </c>
      <c r="Y834" t="str">
        <f t="shared" ref="Y834" si="3333">CONCATENATE("&lt;/li&gt;&lt;li&gt;&lt;a href=|http://",Y1191,"/ezekiel/32.htm","| ","title=|",Y1190,"| target=|_top|&gt;",Y1192,"&lt;/a&gt;")</f>
        <v>&lt;/li&gt;&lt;li&gt;&lt;a href=|http://bibleoutline.org/ezekiel/32.htm| title=|Outline with People and Places List| target=|_top|&gt;Outline&lt;/a&gt;</v>
      </c>
      <c r="Z834" t="str">
        <f t="shared" si="3332"/>
        <v>&lt;/li&gt;&lt;li&gt;&lt;a href=|http://kjvs.scripturetext.com/ezekiel/32.htm| title=|King James Bible with Strong's Numbers| target=|_top|&gt;Strong's&lt;/a&gt;</v>
      </c>
      <c r="AA834" t="str">
        <f t="shared" si="3332"/>
        <v>&lt;/li&gt;&lt;li&gt;&lt;a href=|http://childrensbibleonline.com/ezekiel/32.htm| title=|The Children's Bible| target=|_top|&gt;Children's&lt;/a&gt;</v>
      </c>
      <c r="AB834" s="2" t="str">
        <f t="shared" si="3332"/>
        <v>&lt;/li&gt;&lt;li&gt;&lt;a href=|http://tsk.scripturetext.com/ezekiel/32.htm| title=|Treasury of Scripture Knowledge| target=|_top|&gt;TSK&lt;/a&gt;</v>
      </c>
      <c r="AC834" t="str">
        <f>CONCATENATE("&lt;a href=|http://",AC1191,"/ezekiel/32.htm","| ","title=|",AC1190,"| target=|_top|&gt;",AC1192,"&lt;/a&gt;")</f>
        <v>&lt;a href=|http://parallelbible.com/ezekiel/32.htm| title=|Parallel Chapters| target=|_top|&gt;PAR&lt;/a&gt;</v>
      </c>
      <c r="AD834" s="2" t="str">
        <f t="shared" ref="AD834:AK834" si="3334">CONCATENATE("&lt;/li&gt;&lt;li&gt;&lt;a href=|http://",AD1191,"/ezekiel/32.htm","| ","title=|",AD1190,"| target=|_top|&gt;",AD1192,"&lt;/a&gt;")</f>
        <v>&lt;/li&gt;&lt;li&gt;&lt;a href=|http://gsb.biblecommenter.com/ezekiel/32.htm| title=|Geneva Study Bible| target=|_top|&gt;GSB&lt;/a&gt;</v>
      </c>
      <c r="AE834" s="2" t="str">
        <f t="shared" si="3334"/>
        <v>&lt;/li&gt;&lt;li&gt;&lt;a href=|http://jfb.biblecommenter.com/ezekiel/32.htm| title=|Jamieson-Fausset-Brown Bible Commentary| target=|_top|&gt;JFB&lt;/a&gt;</v>
      </c>
      <c r="AF834" s="2" t="str">
        <f t="shared" si="3334"/>
        <v>&lt;/li&gt;&lt;li&gt;&lt;a href=|http://kjt.biblecommenter.com/ezekiel/32.htm| title=|King James Translators' Notes| target=|_top|&gt;KJT&lt;/a&gt;</v>
      </c>
      <c r="AG834" s="2" t="str">
        <f t="shared" si="3334"/>
        <v>&lt;/li&gt;&lt;li&gt;&lt;a href=|http://mhc.biblecommenter.com/ezekiel/32.htm| title=|Matthew Henry's Concise Commentary| target=|_top|&gt;MHC&lt;/a&gt;</v>
      </c>
      <c r="AH834" s="2" t="str">
        <f t="shared" si="3334"/>
        <v>&lt;/li&gt;&lt;li&gt;&lt;a href=|http://sco.biblecommenter.com/ezekiel/32.htm| title=|Scofield Reference Notes| target=|_top|&gt;SCO&lt;/a&gt;</v>
      </c>
      <c r="AI834" s="2" t="str">
        <f t="shared" si="3334"/>
        <v>&lt;/li&gt;&lt;li&gt;&lt;a href=|http://wes.biblecommenter.com/ezekiel/32.htm| title=|Wesley's Notes on the Bible| target=|_top|&gt;WES&lt;/a&gt;</v>
      </c>
      <c r="AJ834" t="str">
        <f t="shared" si="3334"/>
        <v>&lt;/li&gt;&lt;li&gt;&lt;a href=|http://worldebible.com/ezekiel/32.htm| title=|World English Bible| target=|_top|&gt;WEB&lt;/a&gt;</v>
      </c>
      <c r="AK834" t="str">
        <f t="shared" si="3334"/>
        <v>&lt;/li&gt;&lt;li&gt;&lt;a href=|http://yltbible.com/ezekiel/32.htm| title=|Young's Literal Translation| target=|_top|&gt;YLT&lt;/a&gt;</v>
      </c>
      <c r="AL834" t="str">
        <f>CONCATENATE("&lt;a href=|http://",AL1191,"/ezekiel/32.htm","| ","title=|",AL1190,"| target=|_top|&gt;",AL1192,"&lt;/a&gt;")</f>
        <v>&lt;a href=|http://kjv.us/ezekiel/32.htm| title=|American King James Version| target=|_top|&gt;AKJ&lt;/a&gt;</v>
      </c>
      <c r="AM834" t="str">
        <f t="shared" ref="AM834:AN834" si="3335">CONCATENATE("&lt;/li&gt;&lt;li&gt;&lt;a href=|http://",AM1191,"/ezekiel/32.htm","| ","title=|",AM1190,"| target=|_top|&gt;",AM1192,"&lt;/a&gt;")</f>
        <v>&lt;/li&gt;&lt;li&gt;&lt;a href=|http://basicenglishbible.com/ezekiel/32.htm| title=|Bible in Basic English| target=|_top|&gt;BBE&lt;/a&gt;</v>
      </c>
      <c r="AN834" t="str">
        <f t="shared" si="3335"/>
        <v>&lt;/li&gt;&lt;li&gt;&lt;a href=|http://darbybible.com/ezekiel/32.htm| title=|Darby Bible Translation| target=|_top|&gt;DBY&lt;/a&gt;</v>
      </c>
      <c r="AO83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3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3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34" t="str">
        <f>CONCATENATE("&lt;/li&gt;&lt;li&gt;&lt;a href=|http://",AR1191,"/ezekiel/32.htm","| ","title=|",AR1190,"| target=|_top|&gt;",AR1192,"&lt;/a&gt;")</f>
        <v>&lt;/li&gt;&lt;li&gt;&lt;a href=|http://websterbible.com/ezekiel/32.htm| title=|Webster's Bible Translation| target=|_top|&gt;WBS&lt;/a&gt;</v>
      </c>
      <c r="AS83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34" t="str">
        <f>CONCATENATE("&lt;/li&gt;&lt;li&gt;&lt;a href=|http://",AT1191,"/ezekiel/32-1.htm","| ","title=|",AT1190,"| target=|_top|&gt;",AT1192,"&lt;/a&gt;")</f>
        <v>&lt;/li&gt;&lt;li&gt;&lt;a href=|http://biblebrowser.com/ezekiel/32-1.htm| title=|Split View| target=|_top|&gt;Split&lt;/a&gt;</v>
      </c>
      <c r="AU834" s="2" t="s">
        <v>1276</v>
      </c>
      <c r="AV834" t="s">
        <v>64</v>
      </c>
    </row>
    <row r="835" spans="1:48">
      <c r="A835" t="s">
        <v>622</v>
      </c>
      <c r="B835" t="s">
        <v>876</v>
      </c>
      <c r="C835" t="s">
        <v>624</v>
      </c>
      <c r="D835" t="s">
        <v>1268</v>
      </c>
      <c r="E835" t="s">
        <v>1277</v>
      </c>
      <c r="F835" t="s">
        <v>1304</v>
      </c>
      <c r="G835" t="s">
        <v>1266</v>
      </c>
      <c r="H835" t="s">
        <v>1305</v>
      </c>
      <c r="I835" t="s">
        <v>1303</v>
      </c>
      <c r="J835" t="s">
        <v>1267</v>
      </c>
      <c r="K835" t="s">
        <v>1275</v>
      </c>
      <c r="L835" s="2" t="s">
        <v>1274</v>
      </c>
      <c r="M835" t="str">
        <f t="shared" ref="M835:AB835" si="3336">CONCATENATE("&lt;/li&gt;&lt;li&gt;&lt;a href=|http://",M1191,"/ezekiel/33.htm","| ","title=|",M1190,"| target=|_top|&gt;",M1192,"&lt;/a&gt;")</f>
        <v>&lt;/li&gt;&lt;li&gt;&lt;a href=|http://niv.scripturetext.com/ezekiel/33.htm| title=|New International Version| target=|_top|&gt;NIV&lt;/a&gt;</v>
      </c>
      <c r="N835" t="str">
        <f t="shared" si="3336"/>
        <v>&lt;/li&gt;&lt;li&gt;&lt;a href=|http://nlt.scripturetext.com/ezekiel/33.htm| title=|New Living Translation| target=|_top|&gt;NLT&lt;/a&gt;</v>
      </c>
      <c r="O835" t="str">
        <f t="shared" si="3336"/>
        <v>&lt;/li&gt;&lt;li&gt;&lt;a href=|http://nasb.scripturetext.com/ezekiel/33.htm| title=|New American Standard Bible| target=|_top|&gt;NAS&lt;/a&gt;</v>
      </c>
      <c r="P835" t="str">
        <f t="shared" si="3336"/>
        <v>&lt;/li&gt;&lt;li&gt;&lt;a href=|http://gwt.scripturetext.com/ezekiel/33.htm| title=|God's Word Translation| target=|_top|&gt;GWT&lt;/a&gt;</v>
      </c>
      <c r="Q835" t="str">
        <f t="shared" si="3336"/>
        <v>&lt;/li&gt;&lt;li&gt;&lt;a href=|http://kingjbible.com/ezekiel/33.htm| title=|King James Bible| target=|_top|&gt;KJV&lt;/a&gt;</v>
      </c>
      <c r="R835" t="str">
        <f t="shared" si="3336"/>
        <v>&lt;/li&gt;&lt;li&gt;&lt;a href=|http://asvbible.com/ezekiel/33.htm| title=|American Standard Version| target=|_top|&gt;ASV&lt;/a&gt;</v>
      </c>
      <c r="S835" t="str">
        <f t="shared" si="3336"/>
        <v>&lt;/li&gt;&lt;li&gt;&lt;a href=|http://drb.scripturetext.com/ezekiel/33.htm| title=|Douay-Rheims Bible| target=|_top|&gt;DRB&lt;/a&gt;</v>
      </c>
      <c r="T835" t="str">
        <f t="shared" si="3336"/>
        <v>&lt;/li&gt;&lt;li&gt;&lt;a href=|http://erv.scripturetext.com/ezekiel/33.htm| title=|English Revised Version| target=|_top|&gt;ERV&lt;/a&gt;</v>
      </c>
      <c r="V835" t="str">
        <f>CONCATENATE("&lt;/li&gt;&lt;li&gt;&lt;a href=|http://",V1191,"/ezekiel/33.htm","| ","title=|",V1190,"| target=|_top|&gt;",V1192,"&lt;/a&gt;")</f>
        <v>&lt;/li&gt;&lt;li&gt;&lt;a href=|http://study.interlinearbible.org/ezekiel/33.htm| title=|Hebrew Study Bible| target=|_top|&gt;Heb Study&lt;/a&gt;</v>
      </c>
      <c r="W835" t="str">
        <f t="shared" si="3336"/>
        <v>&lt;/li&gt;&lt;li&gt;&lt;a href=|http://apostolic.interlinearbible.org/ezekiel/33.htm| title=|Apostolic Bible Polyglot Interlinear| target=|_top|&gt;Polyglot&lt;/a&gt;</v>
      </c>
      <c r="X835" t="str">
        <f t="shared" si="3336"/>
        <v>&lt;/li&gt;&lt;li&gt;&lt;a href=|http://interlinearbible.org/ezekiel/33.htm| title=|Interlinear Bible| target=|_top|&gt;Interlin&lt;/a&gt;</v>
      </c>
      <c r="Y835" t="str">
        <f t="shared" ref="Y835" si="3337">CONCATENATE("&lt;/li&gt;&lt;li&gt;&lt;a href=|http://",Y1191,"/ezekiel/33.htm","| ","title=|",Y1190,"| target=|_top|&gt;",Y1192,"&lt;/a&gt;")</f>
        <v>&lt;/li&gt;&lt;li&gt;&lt;a href=|http://bibleoutline.org/ezekiel/33.htm| title=|Outline with People and Places List| target=|_top|&gt;Outline&lt;/a&gt;</v>
      </c>
      <c r="Z835" t="str">
        <f t="shared" si="3336"/>
        <v>&lt;/li&gt;&lt;li&gt;&lt;a href=|http://kjvs.scripturetext.com/ezekiel/33.htm| title=|King James Bible with Strong's Numbers| target=|_top|&gt;Strong's&lt;/a&gt;</v>
      </c>
      <c r="AA835" t="str">
        <f t="shared" si="3336"/>
        <v>&lt;/li&gt;&lt;li&gt;&lt;a href=|http://childrensbibleonline.com/ezekiel/33.htm| title=|The Children's Bible| target=|_top|&gt;Children's&lt;/a&gt;</v>
      </c>
      <c r="AB835" s="2" t="str">
        <f t="shared" si="3336"/>
        <v>&lt;/li&gt;&lt;li&gt;&lt;a href=|http://tsk.scripturetext.com/ezekiel/33.htm| title=|Treasury of Scripture Knowledge| target=|_top|&gt;TSK&lt;/a&gt;</v>
      </c>
      <c r="AC835" t="str">
        <f>CONCATENATE("&lt;a href=|http://",AC1191,"/ezekiel/33.htm","| ","title=|",AC1190,"| target=|_top|&gt;",AC1192,"&lt;/a&gt;")</f>
        <v>&lt;a href=|http://parallelbible.com/ezekiel/33.htm| title=|Parallel Chapters| target=|_top|&gt;PAR&lt;/a&gt;</v>
      </c>
      <c r="AD835" s="2" t="str">
        <f t="shared" ref="AD835:AK835" si="3338">CONCATENATE("&lt;/li&gt;&lt;li&gt;&lt;a href=|http://",AD1191,"/ezekiel/33.htm","| ","title=|",AD1190,"| target=|_top|&gt;",AD1192,"&lt;/a&gt;")</f>
        <v>&lt;/li&gt;&lt;li&gt;&lt;a href=|http://gsb.biblecommenter.com/ezekiel/33.htm| title=|Geneva Study Bible| target=|_top|&gt;GSB&lt;/a&gt;</v>
      </c>
      <c r="AE835" s="2" t="str">
        <f t="shared" si="3338"/>
        <v>&lt;/li&gt;&lt;li&gt;&lt;a href=|http://jfb.biblecommenter.com/ezekiel/33.htm| title=|Jamieson-Fausset-Brown Bible Commentary| target=|_top|&gt;JFB&lt;/a&gt;</v>
      </c>
      <c r="AF835" s="2" t="str">
        <f t="shared" si="3338"/>
        <v>&lt;/li&gt;&lt;li&gt;&lt;a href=|http://kjt.biblecommenter.com/ezekiel/33.htm| title=|King James Translators' Notes| target=|_top|&gt;KJT&lt;/a&gt;</v>
      </c>
      <c r="AG835" s="2" t="str">
        <f t="shared" si="3338"/>
        <v>&lt;/li&gt;&lt;li&gt;&lt;a href=|http://mhc.biblecommenter.com/ezekiel/33.htm| title=|Matthew Henry's Concise Commentary| target=|_top|&gt;MHC&lt;/a&gt;</v>
      </c>
      <c r="AH835" s="2" t="str">
        <f t="shared" si="3338"/>
        <v>&lt;/li&gt;&lt;li&gt;&lt;a href=|http://sco.biblecommenter.com/ezekiel/33.htm| title=|Scofield Reference Notes| target=|_top|&gt;SCO&lt;/a&gt;</v>
      </c>
      <c r="AI835" s="2" t="str">
        <f t="shared" si="3338"/>
        <v>&lt;/li&gt;&lt;li&gt;&lt;a href=|http://wes.biblecommenter.com/ezekiel/33.htm| title=|Wesley's Notes on the Bible| target=|_top|&gt;WES&lt;/a&gt;</v>
      </c>
      <c r="AJ835" t="str">
        <f t="shared" si="3338"/>
        <v>&lt;/li&gt;&lt;li&gt;&lt;a href=|http://worldebible.com/ezekiel/33.htm| title=|World English Bible| target=|_top|&gt;WEB&lt;/a&gt;</v>
      </c>
      <c r="AK835" t="str">
        <f t="shared" si="3338"/>
        <v>&lt;/li&gt;&lt;li&gt;&lt;a href=|http://yltbible.com/ezekiel/33.htm| title=|Young's Literal Translation| target=|_top|&gt;YLT&lt;/a&gt;</v>
      </c>
      <c r="AL835" t="str">
        <f>CONCATENATE("&lt;a href=|http://",AL1191,"/ezekiel/33.htm","| ","title=|",AL1190,"| target=|_top|&gt;",AL1192,"&lt;/a&gt;")</f>
        <v>&lt;a href=|http://kjv.us/ezekiel/33.htm| title=|American King James Version| target=|_top|&gt;AKJ&lt;/a&gt;</v>
      </c>
      <c r="AM835" t="str">
        <f t="shared" ref="AM835:AN835" si="3339">CONCATENATE("&lt;/li&gt;&lt;li&gt;&lt;a href=|http://",AM1191,"/ezekiel/33.htm","| ","title=|",AM1190,"| target=|_top|&gt;",AM1192,"&lt;/a&gt;")</f>
        <v>&lt;/li&gt;&lt;li&gt;&lt;a href=|http://basicenglishbible.com/ezekiel/33.htm| title=|Bible in Basic English| target=|_top|&gt;BBE&lt;/a&gt;</v>
      </c>
      <c r="AN835" t="str">
        <f t="shared" si="3339"/>
        <v>&lt;/li&gt;&lt;li&gt;&lt;a href=|http://darbybible.com/ezekiel/33.htm| title=|Darby Bible Translation| target=|_top|&gt;DBY&lt;/a&gt;</v>
      </c>
      <c r="AO83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3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3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35" t="str">
        <f>CONCATENATE("&lt;/li&gt;&lt;li&gt;&lt;a href=|http://",AR1191,"/ezekiel/33.htm","| ","title=|",AR1190,"| target=|_top|&gt;",AR1192,"&lt;/a&gt;")</f>
        <v>&lt;/li&gt;&lt;li&gt;&lt;a href=|http://websterbible.com/ezekiel/33.htm| title=|Webster's Bible Translation| target=|_top|&gt;WBS&lt;/a&gt;</v>
      </c>
      <c r="AS83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35" t="str">
        <f>CONCATENATE("&lt;/li&gt;&lt;li&gt;&lt;a href=|http://",AT1191,"/ezekiel/33-1.htm","| ","title=|",AT1190,"| target=|_top|&gt;",AT1192,"&lt;/a&gt;")</f>
        <v>&lt;/li&gt;&lt;li&gt;&lt;a href=|http://biblebrowser.com/ezekiel/33-1.htm| title=|Split View| target=|_top|&gt;Split&lt;/a&gt;</v>
      </c>
      <c r="AU835" s="2" t="s">
        <v>1276</v>
      </c>
      <c r="AV835" t="s">
        <v>64</v>
      </c>
    </row>
    <row r="836" spans="1:48">
      <c r="A836" t="s">
        <v>622</v>
      </c>
      <c r="B836" t="s">
        <v>877</v>
      </c>
      <c r="C836" t="s">
        <v>624</v>
      </c>
      <c r="D836" t="s">
        <v>1268</v>
      </c>
      <c r="E836" t="s">
        <v>1277</v>
      </c>
      <c r="F836" t="s">
        <v>1304</v>
      </c>
      <c r="G836" t="s">
        <v>1266</v>
      </c>
      <c r="H836" t="s">
        <v>1305</v>
      </c>
      <c r="I836" t="s">
        <v>1303</v>
      </c>
      <c r="J836" t="s">
        <v>1267</v>
      </c>
      <c r="K836" t="s">
        <v>1275</v>
      </c>
      <c r="L836" s="2" t="s">
        <v>1274</v>
      </c>
      <c r="M836" t="str">
        <f t="shared" ref="M836:AB836" si="3340">CONCATENATE("&lt;/li&gt;&lt;li&gt;&lt;a href=|http://",M1191,"/ezekiel/34.htm","| ","title=|",M1190,"| target=|_top|&gt;",M1192,"&lt;/a&gt;")</f>
        <v>&lt;/li&gt;&lt;li&gt;&lt;a href=|http://niv.scripturetext.com/ezekiel/34.htm| title=|New International Version| target=|_top|&gt;NIV&lt;/a&gt;</v>
      </c>
      <c r="N836" t="str">
        <f t="shared" si="3340"/>
        <v>&lt;/li&gt;&lt;li&gt;&lt;a href=|http://nlt.scripturetext.com/ezekiel/34.htm| title=|New Living Translation| target=|_top|&gt;NLT&lt;/a&gt;</v>
      </c>
      <c r="O836" t="str">
        <f t="shared" si="3340"/>
        <v>&lt;/li&gt;&lt;li&gt;&lt;a href=|http://nasb.scripturetext.com/ezekiel/34.htm| title=|New American Standard Bible| target=|_top|&gt;NAS&lt;/a&gt;</v>
      </c>
      <c r="P836" t="str">
        <f t="shared" si="3340"/>
        <v>&lt;/li&gt;&lt;li&gt;&lt;a href=|http://gwt.scripturetext.com/ezekiel/34.htm| title=|God's Word Translation| target=|_top|&gt;GWT&lt;/a&gt;</v>
      </c>
      <c r="Q836" t="str">
        <f t="shared" si="3340"/>
        <v>&lt;/li&gt;&lt;li&gt;&lt;a href=|http://kingjbible.com/ezekiel/34.htm| title=|King James Bible| target=|_top|&gt;KJV&lt;/a&gt;</v>
      </c>
      <c r="R836" t="str">
        <f t="shared" si="3340"/>
        <v>&lt;/li&gt;&lt;li&gt;&lt;a href=|http://asvbible.com/ezekiel/34.htm| title=|American Standard Version| target=|_top|&gt;ASV&lt;/a&gt;</v>
      </c>
      <c r="S836" t="str">
        <f t="shared" si="3340"/>
        <v>&lt;/li&gt;&lt;li&gt;&lt;a href=|http://drb.scripturetext.com/ezekiel/34.htm| title=|Douay-Rheims Bible| target=|_top|&gt;DRB&lt;/a&gt;</v>
      </c>
      <c r="T836" t="str">
        <f t="shared" si="3340"/>
        <v>&lt;/li&gt;&lt;li&gt;&lt;a href=|http://erv.scripturetext.com/ezekiel/34.htm| title=|English Revised Version| target=|_top|&gt;ERV&lt;/a&gt;</v>
      </c>
      <c r="V836" t="str">
        <f>CONCATENATE("&lt;/li&gt;&lt;li&gt;&lt;a href=|http://",V1191,"/ezekiel/34.htm","| ","title=|",V1190,"| target=|_top|&gt;",V1192,"&lt;/a&gt;")</f>
        <v>&lt;/li&gt;&lt;li&gt;&lt;a href=|http://study.interlinearbible.org/ezekiel/34.htm| title=|Hebrew Study Bible| target=|_top|&gt;Heb Study&lt;/a&gt;</v>
      </c>
      <c r="W836" t="str">
        <f t="shared" si="3340"/>
        <v>&lt;/li&gt;&lt;li&gt;&lt;a href=|http://apostolic.interlinearbible.org/ezekiel/34.htm| title=|Apostolic Bible Polyglot Interlinear| target=|_top|&gt;Polyglot&lt;/a&gt;</v>
      </c>
      <c r="X836" t="str">
        <f t="shared" si="3340"/>
        <v>&lt;/li&gt;&lt;li&gt;&lt;a href=|http://interlinearbible.org/ezekiel/34.htm| title=|Interlinear Bible| target=|_top|&gt;Interlin&lt;/a&gt;</v>
      </c>
      <c r="Y836" t="str">
        <f t="shared" ref="Y836" si="3341">CONCATENATE("&lt;/li&gt;&lt;li&gt;&lt;a href=|http://",Y1191,"/ezekiel/34.htm","| ","title=|",Y1190,"| target=|_top|&gt;",Y1192,"&lt;/a&gt;")</f>
        <v>&lt;/li&gt;&lt;li&gt;&lt;a href=|http://bibleoutline.org/ezekiel/34.htm| title=|Outline with People and Places List| target=|_top|&gt;Outline&lt;/a&gt;</v>
      </c>
      <c r="Z836" t="str">
        <f t="shared" si="3340"/>
        <v>&lt;/li&gt;&lt;li&gt;&lt;a href=|http://kjvs.scripturetext.com/ezekiel/34.htm| title=|King James Bible with Strong's Numbers| target=|_top|&gt;Strong's&lt;/a&gt;</v>
      </c>
      <c r="AA836" t="str">
        <f t="shared" si="3340"/>
        <v>&lt;/li&gt;&lt;li&gt;&lt;a href=|http://childrensbibleonline.com/ezekiel/34.htm| title=|The Children's Bible| target=|_top|&gt;Children's&lt;/a&gt;</v>
      </c>
      <c r="AB836" s="2" t="str">
        <f t="shared" si="3340"/>
        <v>&lt;/li&gt;&lt;li&gt;&lt;a href=|http://tsk.scripturetext.com/ezekiel/34.htm| title=|Treasury of Scripture Knowledge| target=|_top|&gt;TSK&lt;/a&gt;</v>
      </c>
      <c r="AC836" t="str">
        <f>CONCATENATE("&lt;a href=|http://",AC1191,"/ezekiel/34.htm","| ","title=|",AC1190,"| target=|_top|&gt;",AC1192,"&lt;/a&gt;")</f>
        <v>&lt;a href=|http://parallelbible.com/ezekiel/34.htm| title=|Parallel Chapters| target=|_top|&gt;PAR&lt;/a&gt;</v>
      </c>
      <c r="AD836" s="2" t="str">
        <f t="shared" ref="AD836:AK836" si="3342">CONCATENATE("&lt;/li&gt;&lt;li&gt;&lt;a href=|http://",AD1191,"/ezekiel/34.htm","| ","title=|",AD1190,"| target=|_top|&gt;",AD1192,"&lt;/a&gt;")</f>
        <v>&lt;/li&gt;&lt;li&gt;&lt;a href=|http://gsb.biblecommenter.com/ezekiel/34.htm| title=|Geneva Study Bible| target=|_top|&gt;GSB&lt;/a&gt;</v>
      </c>
      <c r="AE836" s="2" t="str">
        <f t="shared" si="3342"/>
        <v>&lt;/li&gt;&lt;li&gt;&lt;a href=|http://jfb.biblecommenter.com/ezekiel/34.htm| title=|Jamieson-Fausset-Brown Bible Commentary| target=|_top|&gt;JFB&lt;/a&gt;</v>
      </c>
      <c r="AF836" s="2" t="str">
        <f t="shared" si="3342"/>
        <v>&lt;/li&gt;&lt;li&gt;&lt;a href=|http://kjt.biblecommenter.com/ezekiel/34.htm| title=|King James Translators' Notes| target=|_top|&gt;KJT&lt;/a&gt;</v>
      </c>
      <c r="AG836" s="2" t="str">
        <f t="shared" si="3342"/>
        <v>&lt;/li&gt;&lt;li&gt;&lt;a href=|http://mhc.biblecommenter.com/ezekiel/34.htm| title=|Matthew Henry's Concise Commentary| target=|_top|&gt;MHC&lt;/a&gt;</v>
      </c>
      <c r="AH836" s="2" t="str">
        <f t="shared" si="3342"/>
        <v>&lt;/li&gt;&lt;li&gt;&lt;a href=|http://sco.biblecommenter.com/ezekiel/34.htm| title=|Scofield Reference Notes| target=|_top|&gt;SCO&lt;/a&gt;</v>
      </c>
      <c r="AI836" s="2" t="str">
        <f t="shared" si="3342"/>
        <v>&lt;/li&gt;&lt;li&gt;&lt;a href=|http://wes.biblecommenter.com/ezekiel/34.htm| title=|Wesley's Notes on the Bible| target=|_top|&gt;WES&lt;/a&gt;</v>
      </c>
      <c r="AJ836" t="str">
        <f t="shared" si="3342"/>
        <v>&lt;/li&gt;&lt;li&gt;&lt;a href=|http://worldebible.com/ezekiel/34.htm| title=|World English Bible| target=|_top|&gt;WEB&lt;/a&gt;</v>
      </c>
      <c r="AK836" t="str">
        <f t="shared" si="3342"/>
        <v>&lt;/li&gt;&lt;li&gt;&lt;a href=|http://yltbible.com/ezekiel/34.htm| title=|Young's Literal Translation| target=|_top|&gt;YLT&lt;/a&gt;</v>
      </c>
      <c r="AL836" t="str">
        <f>CONCATENATE("&lt;a href=|http://",AL1191,"/ezekiel/34.htm","| ","title=|",AL1190,"| target=|_top|&gt;",AL1192,"&lt;/a&gt;")</f>
        <v>&lt;a href=|http://kjv.us/ezekiel/34.htm| title=|American King James Version| target=|_top|&gt;AKJ&lt;/a&gt;</v>
      </c>
      <c r="AM836" t="str">
        <f t="shared" ref="AM836:AN836" si="3343">CONCATENATE("&lt;/li&gt;&lt;li&gt;&lt;a href=|http://",AM1191,"/ezekiel/34.htm","| ","title=|",AM1190,"| target=|_top|&gt;",AM1192,"&lt;/a&gt;")</f>
        <v>&lt;/li&gt;&lt;li&gt;&lt;a href=|http://basicenglishbible.com/ezekiel/34.htm| title=|Bible in Basic English| target=|_top|&gt;BBE&lt;/a&gt;</v>
      </c>
      <c r="AN836" t="str">
        <f t="shared" si="3343"/>
        <v>&lt;/li&gt;&lt;li&gt;&lt;a href=|http://darbybible.com/ezekiel/34.htm| title=|Darby Bible Translation| target=|_top|&gt;DBY&lt;/a&gt;</v>
      </c>
      <c r="AO83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3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3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36" t="str">
        <f>CONCATENATE("&lt;/li&gt;&lt;li&gt;&lt;a href=|http://",AR1191,"/ezekiel/34.htm","| ","title=|",AR1190,"| target=|_top|&gt;",AR1192,"&lt;/a&gt;")</f>
        <v>&lt;/li&gt;&lt;li&gt;&lt;a href=|http://websterbible.com/ezekiel/34.htm| title=|Webster's Bible Translation| target=|_top|&gt;WBS&lt;/a&gt;</v>
      </c>
      <c r="AS83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36" t="str">
        <f>CONCATENATE("&lt;/li&gt;&lt;li&gt;&lt;a href=|http://",AT1191,"/ezekiel/34-1.htm","| ","title=|",AT1190,"| target=|_top|&gt;",AT1192,"&lt;/a&gt;")</f>
        <v>&lt;/li&gt;&lt;li&gt;&lt;a href=|http://biblebrowser.com/ezekiel/34-1.htm| title=|Split View| target=|_top|&gt;Split&lt;/a&gt;</v>
      </c>
      <c r="AU836" s="2" t="s">
        <v>1276</v>
      </c>
      <c r="AV836" t="s">
        <v>64</v>
      </c>
    </row>
    <row r="837" spans="1:48">
      <c r="A837" t="s">
        <v>622</v>
      </c>
      <c r="B837" t="s">
        <v>878</v>
      </c>
      <c r="C837" t="s">
        <v>624</v>
      </c>
      <c r="D837" t="s">
        <v>1268</v>
      </c>
      <c r="E837" t="s">
        <v>1277</v>
      </c>
      <c r="F837" t="s">
        <v>1304</v>
      </c>
      <c r="G837" t="s">
        <v>1266</v>
      </c>
      <c r="H837" t="s">
        <v>1305</v>
      </c>
      <c r="I837" t="s">
        <v>1303</v>
      </c>
      <c r="J837" t="s">
        <v>1267</v>
      </c>
      <c r="K837" t="s">
        <v>1275</v>
      </c>
      <c r="L837" s="2" t="s">
        <v>1274</v>
      </c>
      <c r="M837" t="str">
        <f t="shared" ref="M837:AB837" si="3344">CONCATENATE("&lt;/li&gt;&lt;li&gt;&lt;a href=|http://",M1191,"/ezekiel/35.htm","| ","title=|",M1190,"| target=|_top|&gt;",M1192,"&lt;/a&gt;")</f>
        <v>&lt;/li&gt;&lt;li&gt;&lt;a href=|http://niv.scripturetext.com/ezekiel/35.htm| title=|New International Version| target=|_top|&gt;NIV&lt;/a&gt;</v>
      </c>
      <c r="N837" t="str">
        <f t="shared" si="3344"/>
        <v>&lt;/li&gt;&lt;li&gt;&lt;a href=|http://nlt.scripturetext.com/ezekiel/35.htm| title=|New Living Translation| target=|_top|&gt;NLT&lt;/a&gt;</v>
      </c>
      <c r="O837" t="str">
        <f t="shared" si="3344"/>
        <v>&lt;/li&gt;&lt;li&gt;&lt;a href=|http://nasb.scripturetext.com/ezekiel/35.htm| title=|New American Standard Bible| target=|_top|&gt;NAS&lt;/a&gt;</v>
      </c>
      <c r="P837" t="str">
        <f t="shared" si="3344"/>
        <v>&lt;/li&gt;&lt;li&gt;&lt;a href=|http://gwt.scripturetext.com/ezekiel/35.htm| title=|God's Word Translation| target=|_top|&gt;GWT&lt;/a&gt;</v>
      </c>
      <c r="Q837" t="str">
        <f t="shared" si="3344"/>
        <v>&lt;/li&gt;&lt;li&gt;&lt;a href=|http://kingjbible.com/ezekiel/35.htm| title=|King James Bible| target=|_top|&gt;KJV&lt;/a&gt;</v>
      </c>
      <c r="R837" t="str">
        <f t="shared" si="3344"/>
        <v>&lt;/li&gt;&lt;li&gt;&lt;a href=|http://asvbible.com/ezekiel/35.htm| title=|American Standard Version| target=|_top|&gt;ASV&lt;/a&gt;</v>
      </c>
      <c r="S837" t="str">
        <f t="shared" si="3344"/>
        <v>&lt;/li&gt;&lt;li&gt;&lt;a href=|http://drb.scripturetext.com/ezekiel/35.htm| title=|Douay-Rheims Bible| target=|_top|&gt;DRB&lt;/a&gt;</v>
      </c>
      <c r="T837" t="str">
        <f t="shared" si="3344"/>
        <v>&lt;/li&gt;&lt;li&gt;&lt;a href=|http://erv.scripturetext.com/ezekiel/35.htm| title=|English Revised Version| target=|_top|&gt;ERV&lt;/a&gt;</v>
      </c>
      <c r="V837" t="str">
        <f>CONCATENATE("&lt;/li&gt;&lt;li&gt;&lt;a href=|http://",V1191,"/ezekiel/35.htm","| ","title=|",V1190,"| target=|_top|&gt;",V1192,"&lt;/a&gt;")</f>
        <v>&lt;/li&gt;&lt;li&gt;&lt;a href=|http://study.interlinearbible.org/ezekiel/35.htm| title=|Hebrew Study Bible| target=|_top|&gt;Heb Study&lt;/a&gt;</v>
      </c>
      <c r="W837" t="str">
        <f t="shared" si="3344"/>
        <v>&lt;/li&gt;&lt;li&gt;&lt;a href=|http://apostolic.interlinearbible.org/ezekiel/35.htm| title=|Apostolic Bible Polyglot Interlinear| target=|_top|&gt;Polyglot&lt;/a&gt;</v>
      </c>
      <c r="X837" t="str">
        <f t="shared" si="3344"/>
        <v>&lt;/li&gt;&lt;li&gt;&lt;a href=|http://interlinearbible.org/ezekiel/35.htm| title=|Interlinear Bible| target=|_top|&gt;Interlin&lt;/a&gt;</v>
      </c>
      <c r="Y837" t="str">
        <f t="shared" ref="Y837" si="3345">CONCATENATE("&lt;/li&gt;&lt;li&gt;&lt;a href=|http://",Y1191,"/ezekiel/35.htm","| ","title=|",Y1190,"| target=|_top|&gt;",Y1192,"&lt;/a&gt;")</f>
        <v>&lt;/li&gt;&lt;li&gt;&lt;a href=|http://bibleoutline.org/ezekiel/35.htm| title=|Outline with People and Places List| target=|_top|&gt;Outline&lt;/a&gt;</v>
      </c>
      <c r="Z837" t="str">
        <f t="shared" si="3344"/>
        <v>&lt;/li&gt;&lt;li&gt;&lt;a href=|http://kjvs.scripturetext.com/ezekiel/35.htm| title=|King James Bible with Strong's Numbers| target=|_top|&gt;Strong's&lt;/a&gt;</v>
      </c>
      <c r="AA837" t="str">
        <f t="shared" si="3344"/>
        <v>&lt;/li&gt;&lt;li&gt;&lt;a href=|http://childrensbibleonline.com/ezekiel/35.htm| title=|The Children's Bible| target=|_top|&gt;Children's&lt;/a&gt;</v>
      </c>
      <c r="AB837" s="2" t="str">
        <f t="shared" si="3344"/>
        <v>&lt;/li&gt;&lt;li&gt;&lt;a href=|http://tsk.scripturetext.com/ezekiel/35.htm| title=|Treasury of Scripture Knowledge| target=|_top|&gt;TSK&lt;/a&gt;</v>
      </c>
      <c r="AC837" t="str">
        <f>CONCATENATE("&lt;a href=|http://",AC1191,"/ezekiel/35.htm","| ","title=|",AC1190,"| target=|_top|&gt;",AC1192,"&lt;/a&gt;")</f>
        <v>&lt;a href=|http://parallelbible.com/ezekiel/35.htm| title=|Parallel Chapters| target=|_top|&gt;PAR&lt;/a&gt;</v>
      </c>
      <c r="AD837" s="2" t="str">
        <f t="shared" ref="AD837:AK837" si="3346">CONCATENATE("&lt;/li&gt;&lt;li&gt;&lt;a href=|http://",AD1191,"/ezekiel/35.htm","| ","title=|",AD1190,"| target=|_top|&gt;",AD1192,"&lt;/a&gt;")</f>
        <v>&lt;/li&gt;&lt;li&gt;&lt;a href=|http://gsb.biblecommenter.com/ezekiel/35.htm| title=|Geneva Study Bible| target=|_top|&gt;GSB&lt;/a&gt;</v>
      </c>
      <c r="AE837" s="2" t="str">
        <f t="shared" si="3346"/>
        <v>&lt;/li&gt;&lt;li&gt;&lt;a href=|http://jfb.biblecommenter.com/ezekiel/35.htm| title=|Jamieson-Fausset-Brown Bible Commentary| target=|_top|&gt;JFB&lt;/a&gt;</v>
      </c>
      <c r="AF837" s="2" t="str">
        <f t="shared" si="3346"/>
        <v>&lt;/li&gt;&lt;li&gt;&lt;a href=|http://kjt.biblecommenter.com/ezekiel/35.htm| title=|King James Translators' Notes| target=|_top|&gt;KJT&lt;/a&gt;</v>
      </c>
      <c r="AG837" s="2" t="str">
        <f t="shared" si="3346"/>
        <v>&lt;/li&gt;&lt;li&gt;&lt;a href=|http://mhc.biblecommenter.com/ezekiel/35.htm| title=|Matthew Henry's Concise Commentary| target=|_top|&gt;MHC&lt;/a&gt;</v>
      </c>
      <c r="AH837" s="2" t="str">
        <f t="shared" si="3346"/>
        <v>&lt;/li&gt;&lt;li&gt;&lt;a href=|http://sco.biblecommenter.com/ezekiel/35.htm| title=|Scofield Reference Notes| target=|_top|&gt;SCO&lt;/a&gt;</v>
      </c>
      <c r="AI837" s="2" t="str">
        <f t="shared" si="3346"/>
        <v>&lt;/li&gt;&lt;li&gt;&lt;a href=|http://wes.biblecommenter.com/ezekiel/35.htm| title=|Wesley's Notes on the Bible| target=|_top|&gt;WES&lt;/a&gt;</v>
      </c>
      <c r="AJ837" t="str">
        <f t="shared" si="3346"/>
        <v>&lt;/li&gt;&lt;li&gt;&lt;a href=|http://worldebible.com/ezekiel/35.htm| title=|World English Bible| target=|_top|&gt;WEB&lt;/a&gt;</v>
      </c>
      <c r="AK837" t="str">
        <f t="shared" si="3346"/>
        <v>&lt;/li&gt;&lt;li&gt;&lt;a href=|http://yltbible.com/ezekiel/35.htm| title=|Young's Literal Translation| target=|_top|&gt;YLT&lt;/a&gt;</v>
      </c>
      <c r="AL837" t="str">
        <f>CONCATENATE("&lt;a href=|http://",AL1191,"/ezekiel/35.htm","| ","title=|",AL1190,"| target=|_top|&gt;",AL1192,"&lt;/a&gt;")</f>
        <v>&lt;a href=|http://kjv.us/ezekiel/35.htm| title=|American King James Version| target=|_top|&gt;AKJ&lt;/a&gt;</v>
      </c>
      <c r="AM837" t="str">
        <f t="shared" ref="AM837:AN837" si="3347">CONCATENATE("&lt;/li&gt;&lt;li&gt;&lt;a href=|http://",AM1191,"/ezekiel/35.htm","| ","title=|",AM1190,"| target=|_top|&gt;",AM1192,"&lt;/a&gt;")</f>
        <v>&lt;/li&gt;&lt;li&gt;&lt;a href=|http://basicenglishbible.com/ezekiel/35.htm| title=|Bible in Basic English| target=|_top|&gt;BBE&lt;/a&gt;</v>
      </c>
      <c r="AN837" t="str">
        <f t="shared" si="3347"/>
        <v>&lt;/li&gt;&lt;li&gt;&lt;a href=|http://darbybible.com/ezekiel/35.htm| title=|Darby Bible Translation| target=|_top|&gt;DBY&lt;/a&gt;</v>
      </c>
      <c r="AO83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3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3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37" t="str">
        <f>CONCATENATE("&lt;/li&gt;&lt;li&gt;&lt;a href=|http://",AR1191,"/ezekiel/35.htm","| ","title=|",AR1190,"| target=|_top|&gt;",AR1192,"&lt;/a&gt;")</f>
        <v>&lt;/li&gt;&lt;li&gt;&lt;a href=|http://websterbible.com/ezekiel/35.htm| title=|Webster's Bible Translation| target=|_top|&gt;WBS&lt;/a&gt;</v>
      </c>
      <c r="AS83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37" t="str">
        <f>CONCATENATE("&lt;/li&gt;&lt;li&gt;&lt;a href=|http://",AT1191,"/ezekiel/35-1.htm","| ","title=|",AT1190,"| target=|_top|&gt;",AT1192,"&lt;/a&gt;")</f>
        <v>&lt;/li&gt;&lt;li&gt;&lt;a href=|http://biblebrowser.com/ezekiel/35-1.htm| title=|Split View| target=|_top|&gt;Split&lt;/a&gt;</v>
      </c>
      <c r="AU837" s="2" t="s">
        <v>1276</v>
      </c>
      <c r="AV837" t="s">
        <v>64</v>
      </c>
    </row>
    <row r="838" spans="1:48">
      <c r="A838" t="s">
        <v>622</v>
      </c>
      <c r="B838" t="s">
        <v>879</v>
      </c>
      <c r="C838" t="s">
        <v>624</v>
      </c>
      <c r="D838" t="s">
        <v>1268</v>
      </c>
      <c r="E838" t="s">
        <v>1277</v>
      </c>
      <c r="F838" t="s">
        <v>1304</v>
      </c>
      <c r="G838" t="s">
        <v>1266</v>
      </c>
      <c r="H838" t="s">
        <v>1305</v>
      </c>
      <c r="I838" t="s">
        <v>1303</v>
      </c>
      <c r="J838" t="s">
        <v>1267</v>
      </c>
      <c r="K838" t="s">
        <v>1275</v>
      </c>
      <c r="L838" s="2" t="s">
        <v>1274</v>
      </c>
      <c r="M838" t="str">
        <f t="shared" ref="M838:AB838" si="3348">CONCATENATE("&lt;/li&gt;&lt;li&gt;&lt;a href=|http://",M1191,"/ezekiel/36.htm","| ","title=|",M1190,"| target=|_top|&gt;",M1192,"&lt;/a&gt;")</f>
        <v>&lt;/li&gt;&lt;li&gt;&lt;a href=|http://niv.scripturetext.com/ezekiel/36.htm| title=|New International Version| target=|_top|&gt;NIV&lt;/a&gt;</v>
      </c>
      <c r="N838" t="str">
        <f t="shared" si="3348"/>
        <v>&lt;/li&gt;&lt;li&gt;&lt;a href=|http://nlt.scripturetext.com/ezekiel/36.htm| title=|New Living Translation| target=|_top|&gt;NLT&lt;/a&gt;</v>
      </c>
      <c r="O838" t="str">
        <f t="shared" si="3348"/>
        <v>&lt;/li&gt;&lt;li&gt;&lt;a href=|http://nasb.scripturetext.com/ezekiel/36.htm| title=|New American Standard Bible| target=|_top|&gt;NAS&lt;/a&gt;</v>
      </c>
      <c r="P838" t="str">
        <f t="shared" si="3348"/>
        <v>&lt;/li&gt;&lt;li&gt;&lt;a href=|http://gwt.scripturetext.com/ezekiel/36.htm| title=|God's Word Translation| target=|_top|&gt;GWT&lt;/a&gt;</v>
      </c>
      <c r="Q838" t="str">
        <f t="shared" si="3348"/>
        <v>&lt;/li&gt;&lt;li&gt;&lt;a href=|http://kingjbible.com/ezekiel/36.htm| title=|King James Bible| target=|_top|&gt;KJV&lt;/a&gt;</v>
      </c>
      <c r="R838" t="str">
        <f t="shared" si="3348"/>
        <v>&lt;/li&gt;&lt;li&gt;&lt;a href=|http://asvbible.com/ezekiel/36.htm| title=|American Standard Version| target=|_top|&gt;ASV&lt;/a&gt;</v>
      </c>
      <c r="S838" t="str">
        <f t="shared" si="3348"/>
        <v>&lt;/li&gt;&lt;li&gt;&lt;a href=|http://drb.scripturetext.com/ezekiel/36.htm| title=|Douay-Rheims Bible| target=|_top|&gt;DRB&lt;/a&gt;</v>
      </c>
      <c r="T838" t="str">
        <f t="shared" si="3348"/>
        <v>&lt;/li&gt;&lt;li&gt;&lt;a href=|http://erv.scripturetext.com/ezekiel/36.htm| title=|English Revised Version| target=|_top|&gt;ERV&lt;/a&gt;</v>
      </c>
      <c r="V838" t="str">
        <f>CONCATENATE("&lt;/li&gt;&lt;li&gt;&lt;a href=|http://",V1191,"/ezekiel/36.htm","| ","title=|",V1190,"| target=|_top|&gt;",V1192,"&lt;/a&gt;")</f>
        <v>&lt;/li&gt;&lt;li&gt;&lt;a href=|http://study.interlinearbible.org/ezekiel/36.htm| title=|Hebrew Study Bible| target=|_top|&gt;Heb Study&lt;/a&gt;</v>
      </c>
      <c r="W838" t="str">
        <f t="shared" si="3348"/>
        <v>&lt;/li&gt;&lt;li&gt;&lt;a href=|http://apostolic.interlinearbible.org/ezekiel/36.htm| title=|Apostolic Bible Polyglot Interlinear| target=|_top|&gt;Polyglot&lt;/a&gt;</v>
      </c>
      <c r="X838" t="str">
        <f t="shared" si="3348"/>
        <v>&lt;/li&gt;&lt;li&gt;&lt;a href=|http://interlinearbible.org/ezekiel/36.htm| title=|Interlinear Bible| target=|_top|&gt;Interlin&lt;/a&gt;</v>
      </c>
      <c r="Y838" t="str">
        <f t="shared" ref="Y838" si="3349">CONCATENATE("&lt;/li&gt;&lt;li&gt;&lt;a href=|http://",Y1191,"/ezekiel/36.htm","| ","title=|",Y1190,"| target=|_top|&gt;",Y1192,"&lt;/a&gt;")</f>
        <v>&lt;/li&gt;&lt;li&gt;&lt;a href=|http://bibleoutline.org/ezekiel/36.htm| title=|Outline with People and Places List| target=|_top|&gt;Outline&lt;/a&gt;</v>
      </c>
      <c r="Z838" t="str">
        <f t="shared" si="3348"/>
        <v>&lt;/li&gt;&lt;li&gt;&lt;a href=|http://kjvs.scripturetext.com/ezekiel/36.htm| title=|King James Bible with Strong's Numbers| target=|_top|&gt;Strong's&lt;/a&gt;</v>
      </c>
      <c r="AA838" t="str">
        <f t="shared" si="3348"/>
        <v>&lt;/li&gt;&lt;li&gt;&lt;a href=|http://childrensbibleonline.com/ezekiel/36.htm| title=|The Children's Bible| target=|_top|&gt;Children's&lt;/a&gt;</v>
      </c>
      <c r="AB838" s="2" t="str">
        <f t="shared" si="3348"/>
        <v>&lt;/li&gt;&lt;li&gt;&lt;a href=|http://tsk.scripturetext.com/ezekiel/36.htm| title=|Treasury of Scripture Knowledge| target=|_top|&gt;TSK&lt;/a&gt;</v>
      </c>
      <c r="AC838" t="str">
        <f>CONCATENATE("&lt;a href=|http://",AC1191,"/ezekiel/36.htm","| ","title=|",AC1190,"| target=|_top|&gt;",AC1192,"&lt;/a&gt;")</f>
        <v>&lt;a href=|http://parallelbible.com/ezekiel/36.htm| title=|Parallel Chapters| target=|_top|&gt;PAR&lt;/a&gt;</v>
      </c>
      <c r="AD838" s="2" t="str">
        <f t="shared" ref="AD838:AK838" si="3350">CONCATENATE("&lt;/li&gt;&lt;li&gt;&lt;a href=|http://",AD1191,"/ezekiel/36.htm","| ","title=|",AD1190,"| target=|_top|&gt;",AD1192,"&lt;/a&gt;")</f>
        <v>&lt;/li&gt;&lt;li&gt;&lt;a href=|http://gsb.biblecommenter.com/ezekiel/36.htm| title=|Geneva Study Bible| target=|_top|&gt;GSB&lt;/a&gt;</v>
      </c>
      <c r="AE838" s="2" t="str">
        <f t="shared" si="3350"/>
        <v>&lt;/li&gt;&lt;li&gt;&lt;a href=|http://jfb.biblecommenter.com/ezekiel/36.htm| title=|Jamieson-Fausset-Brown Bible Commentary| target=|_top|&gt;JFB&lt;/a&gt;</v>
      </c>
      <c r="AF838" s="2" t="str">
        <f t="shared" si="3350"/>
        <v>&lt;/li&gt;&lt;li&gt;&lt;a href=|http://kjt.biblecommenter.com/ezekiel/36.htm| title=|King James Translators' Notes| target=|_top|&gt;KJT&lt;/a&gt;</v>
      </c>
      <c r="AG838" s="2" t="str">
        <f t="shared" si="3350"/>
        <v>&lt;/li&gt;&lt;li&gt;&lt;a href=|http://mhc.biblecommenter.com/ezekiel/36.htm| title=|Matthew Henry's Concise Commentary| target=|_top|&gt;MHC&lt;/a&gt;</v>
      </c>
      <c r="AH838" s="2" t="str">
        <f t="shared" si="3350"/>
        <v>&lt;/li&gt;&lt;li&gt;&lt;a href=|http://sco.biblecommenter.com/ezekiel/36.htm| title=|Scofield Reference Notes| target=|_top|&gt;SCO&lt;/a&gt;</v>
      </c>
      <c r="AI838" s="2" t="str">
        <f t="shared" si="3350"/>
        <v>&lt;/li&gt;&lt;li&gt;&lt;a href=|http://wes.biblecommenter.com/ezekiel/36.htm| title=|Wesley's Notes on the Bible| target=|_top|&gt;WES&lt;/a&gt;</v>
      </c>
      <c r="AJ838" t="str">
        <f t="shared" si="3350"/>
        <v>&lt;/li&gt;&lt;li&gt;&lt;a href=|http://worldebible.com/ezekiel/36.htm| title=|World English Bible| target=|_top|&gt;WEB&lt;/a&gt;</v>
      </c>
      <c r="AK838" t="str">
        <f t="shared" si="3350"/>
        <v>&lt;/li&gt;&lt;li&gt;&lt;a href=|http://yltbible.com/ezekiel/36.htm| title=|Young's Literal Translation| target=|_top|&gt;YLT&lt;/a&gt;</v>
      </c>
      <c r="AL838" t="str">
        <f>CONCATENATE("&lt;a href=|http://",AL1191,"/ezekiel/36.htm","| ","title=|",AL1190,"| target=|_top|&gt;",AL1192,"&lt;/a&gt;")</f>
        <v>&lt;a href=|http://kjv.us/ezekiel/36.htm| title=|American King James Version| target=|_top|&gt;AKJ&lt;/a&gt;</v>
      </c>
      <c r="AM838" t="str">
        <f t="shared" ref="AM838:AN838" si="3351">CONCATENATE("&lt;/li&gt;&lt;li&gt;&lt;a href=|http://",AM1191,"/ezekiel/36.htm","| ","title=|",AM1190,"| target=|_top|&gt;",AM1192,"&lt;/a&gt;")</f>
        <v>&lt;/li&gt;&lt;li&gt;&lt;a href=|http://basicenglishbible.com/ezekiel/36.htm| title=|Bible in Basic English| target=|_top|&gt;BBE&lt;/a&gt;</v>
      </c>
      <c r="AN838" t="str">
        <f t="shared" si="3351"/>
        <v>&lt;/li&gt;&lt;li&gt;&lt;a href=|http://darbybible.com/ezekiel/36.htm| title=|Darby Bible Translation| target=|_top|&gt;DBY&lt;/a&gt;</v>
      </c>
      <c r="AO83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3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3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38" t="str">
        <f>CONCATENATE("&lt;/li&gt;&lt;li&gt;&lt;a href=|http://",AR1191,"/ezekiel/36.htm","| ","title=|",AR1190,"| target=|_top|&gt;",AR1192,"&lt;/a&gt;")</f>
        <v>&lt;/li&gt;&lt;li&gt;&lt;a href=|http://websterbible.com/ezekiel/36.htm| title=|Webster's Bible Translation| target=|_top|&gt;WBS&lt;/a&gt;</v>
      </c>
      <c r="AS83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38" t="str">
        <f>CONCATENATE("&lt;/li&gt;&lt;li&gt;&lt;a href=|http://",AT1191,"/ezekiel/36-1.htm","| ","title=|",AT1190,"| target=|_top|&gt;",AT1192,"&lt;/a&gt;")</f>
        <v>&lt;/li&gt;&lt;li&gt;&lt;a href=|http://biblebrowser.com/ezekiel/36-1.htm| title=|Split View| target=|_top|&gt;Split&lt;/a&gt;</v>
      </c>
      <c r="AU838" s="2" t="s">
        <v>1276</v>
      </c>
      <c r="AV838" t="s">
        <v>64</v>
      </c>
    </row>
    <row r="839" spans="1:48">
      <c r="A839" t="s">
        <v>622</v>
      </c>
      <c r="B839" t="s">
        <v>880</v>
      </c>
      <c r="C839" t="s">
        <v>624</v>
      </c>
      <c r="D839" t="s">
        <v>1268</v>
      </c>
      <c r="E839" t="s">
        <v>1277</v>
      </c>
      <c r="F839" t="s">
        <v>1304</v>
      </c>
      <c r="G839" t="s">
        <v>1266</v>
      </c>
      <c r="H839" t="s">
        <v>1305</v>
      </c>
      <c r="I839" t="s">
        <v>1303</v>
      </c>
      <c r="J839" t="s">
        <v>1267</v>
      </c>
      <c r="K839" t="s">
        <v>1275</v>
      </c>
      <c r="L839" s="2" t="s">
        <v>1274</v>
      </c>
      <c r="M839" t="str">
        <f t="shared" ref="M839:AB839" si="3352">CONCATENATE("&lt;/li&gt;&lt;li&gt;&lt;a href=|http://",M1191,"/ezekiel/37.htm","| ","title=|",M1190,"| target=|_top|&gt;",M1192,"&lt;/a&gt;")</f>
        <v>&lt;/li&gt;&lt;li&gt;&lt;a href=|http://niv.scripturetext.com/ezekiel/37.htm| title=|New International Version| target=|_top|&gt;NIV&lt;/a&gt;</v>
      </c>
      <c r="N839" t="str">
        <f t="shared" si="3352"/>
        <v>&lt;/li&gt;&lt;li&gt;&lt;a href=|http://nlt.scripturetext.com/ezekiel/37.htm| title=|New Living Translation| target=|_top|&gt;NLT&lt;/a&gt;</v>
      </c>
      <c r="O839" t="str">
        <f t="shared" si="3352"/>
        <v>&lt;/li&gt;&lt;li&gt;&lt;a href=|http://nasb.scripturetext.com/ezekiel/37.htm| title=|New American Standard Bible| target=|_top|&gt;NAS&lt;/a&gt;</v>
      </c>
      <c r="P839" t="str">
        <f t="shared" si="3352"/>
        <v>&lt;/li&gt;&lt;li&gt;&lt;a href=|http://gwt.scripturetext.com/ezekiel/37.htm| title=|God's Word Translation| target=|_top|&gt;GWT&lt;/a&gt;</v>
      </c>
      <c r="Q839" t="str">
        <f t="shared" si="3352"/>
        <v>&lt;/li&gt;&lt;li&gt;&lt;a href=|http://kingjbible.com/ezekiel/37.htm| title=|King James Bible| target=|_top|&gt;KJV&lt;/a&gt;</v>
      </c>
      <c r="R839" t="str">
        <f t="shared" si="3352"/>
        <v>&lt;/li&gt;&lt;li&gt;&lt;a href=|http://asvbible.com/ezekiel/37.htm| title=|American Standard Version| target=|_top|&gt;ASV&lt;/a&gt;</v>
      </c>
      <c r="S839" t="str">
        <f t="shared" si="3352"/>
        <v>&lt;/li&gt;&lt;li&gt;&lt;a href=|http://drb.scripturetext.com/ezekiel/37.htm| title=|Douay-Rheims Bible| target=|_top|&gt;DRB&lt;/a&gt;</v>
      </c>
      <c r="T839" t="str">
        <f t="shared" si="3352"/>
        <v>&lt;/li&gt;&lt;li&gt;&lt;a href=|http://erv.scripturetext.com/ezekiel/37.htm| title=|English Revised Version| target=|_top|&gt;ERV&lt;/a&gt;</v>
      </c>
      <c r="V839" t="str">
        <f>CONCATENATE("&lt;/li&gt;&lt;li&gt;&lt;a href=|http://",V1191,"/ezekiel/37.htm","| ","title=|",V1190,"| target=|_top|&gt;",V1192,"&lt;/a&gt;")</f>
        <v>&lt;/li&gt;&lt;li&gt;&lt;a href=|http://study.interlinearbible.org/ezekiel/37.htm| title=|Hebrew Study Bible| target=|_top|&gt;Heb Study&lt;/a&gt;</v>
      </c>
      <c r="W839" t="str">
        <f t="shared" si="3352"/>
        <v>&lt;/li&gt;&lt;li&gt;&lt;a href=|http://apostolic.interlinearbible.org/ezekiel/37.htm| title=|Apostolic Bible Polyglot Interlinear| target=|_top|&gt;Polyglot&lt;/a&gt;</v>
      </c>
      <c r="X839" t="str">
        <f t="shared" si="3352"/>
        <v>&lt;/li&gt;&lt;li&gt;&lt;a href=|http://interlinearbible.org/ezekiel/37.htm| title=|Interlinear Bible| target=|_top|&gt;Interlin&lt;/a&gt;</v>
      </c>
      <c r="Y839" t="str">
        <f t="shared" ref="Y839" si="3353">CONCATENATE("&lt;/li&gt;&lt;li&gt;&lt;a href=|http://",Y1191,"/ezekiel/37.htm","| ","title=|",Y1190,"| target=|_top|&gt;",Y1192,"&lt;/a&gt;")</f>
        <v>&lt;/li&gt;&lt;li&gt;&lt;a href=|http://bibleoutline.org/ezekiel/37.htm| title=|Outline with People and Places List| target=|_top|&gt;Outline&lt;/a&gt;</v>
      </c>
      <c r="Z839" t="str">
        <f t="shared" si="3352"/>
        <v>&lt;/li&gt;&lt;li&gt;&lt;a href=|http://kjvs.scripturetext.com/ezekiel/37.htm| title=|King James Bible with Strong's Numbers| target=|_top|&gt;Strong's&lt;/a&gt;</v>
      </c>
      <c r="AA839" t="str">
        <f t="shared" si="3352"/>
        <v>&lt;/li&gt;&lt;li&gt;&lt;a href=|http://childrensbibleonline.com/ezekiel/37.htm| title=|The Children's Bible| target=|_top|&gt;Children's&lt;/a&gt;</v>
      </c>
      <c r="AB839" s="2" t="str">
        <f t="shared" si="3352"/>
        <v>&lt;/li&gt;&lt;li&gt;&lt;a href=|http://tsk.scripturetext.com/ezekiel/37.htm| title=|Treasury of Scripture Knowledge| target=|_top|&gt;TSK&lt;/a&gt;</v>
      </c>
      <c r="AC839" t="str">
        <f>CONCATENATE("&lt;a href=|http://",AC1191,"/ezekiel/37.htm","| ","title=|",AC1190,"| target=|_top|&gt;",AC1192,"&lt;/a&gt;")</f>
        <v>&lt;a href=|http://parallelbible.com/ezekiel/37.htm| title=|Parallel Chapters| target=|_top|&gt;PAR&lt;/a&gt;</v>
      </c>
      <c r="AD839" s="2" t="str">
        <f t="shared" ref="AD839:AK839" si="3354">CONCATENATE("&lt;/li&gt;&lt;li&gt;&lt;a href=|http://",AD1191,"/ezekiel/37.htm","| ","title=|",AD1190,"| target=|_top|&gt;",AD1192,"&lt;/a&gt;")</f>
        <v>&lt;/li&gt;&lt;li&gt;&lt;a href=|http://gsb.biblecommenter.com/ezekiel/37.htm| title=|Geneva Study Bible| target=|_top|&gt;GSB&lt;/a&gt;</v>
      </c>
      <c r="AE839" s="2" t="str">
        <f t="shared" si="3354"/>
        <v>&lt;/li&gt;&lt;li&gt;&lt;a href=|http://jfb.biblecommenter.com/ezekiel/37.htm| title=|Jamieson-Fausset-Brown Bible Commentary| target=|_top|&gt;JFB&lt;/a&gt;</v>
      </c>
      <c r="AF839" s="2" t="str">
        <f t="shared" si="3354"/>
        <v>&lt;/li&gt;&lt;li&gt;&lt;a href=|http://kjt.biblecommenter.com/ezekiel/37.htm| title=|King James Translators' Notes| target=|_top|&gt;KJT&lt;/a&gt;</v>
      </c>
      <c r="AG839" s="2" t="str">
        <f t="shared" si="3354"/>
        <v>&lt;/li&gt;&lt;li&gt;&lt;a href=|http://mhc.biblecommenter.com/ezekiel/37.htm| title=|Matthew Henry's Concise Commentary| target=|_top|&gt;MHC&lt;/a&gt;</v>
      </c>
      <c r="AH839" s="2" t="str">
        <f t="shared" si="3354"/>
        <v>&lt;/li&gt;&lt;li&gt;&lt;a href=|http://sco.biblecommenter.com/ezekiel/37.htm| title=|Scofield Reference Notes| target=|_top|&gt;SCO&lt;/a&gt;</v>
      </c>
      <c r="AI839" s="2" t="str">
        <f t="shared" si="3354"/>
        <v>&lt;/li&gt;&lt;li&gt;&lt;a href=|http://wes.biblecommenter.com/ezekiel/37.htm| title=|Wesley's Notes on the Bible| target=|_top|&gt;WES&lt;/a&gt;</v>
      </c>
      <c r="AJ839" t="str">
        <f t="shared" si="3354"/>
        <v>&lt;/li&gt;&lt;li&gt;&lt;a href=|http://worldebible.com/ezekiel/37.htm| title=|World English Bible| target=|_top|&gt;WEB&lt;/a&gt;</v>
      </c>
      <c r="AK839" t="str">
        <f t="shared" si="3354"/>
        <v>&lt;/li&gt;&lt;li&gt;&lt;a href=|http://yltbible.com/ezekiel/37.htm| title=|Young's Literal Translation| target=|_top|&gt;YLT&lt;/a&gt;</v>
      </c>
      <c r="AL839" t="str">
        <f>CONCATENATE("&lt;a href=|http://",AL1191,"/ezekiel/37.htm","| ","title=|",AL1190,"| target=|_top|&gt;",AL1192,"&lt;/a&gt;")</f>
        <v>&lt;a href=|http://kjv.us/ezekiel/37.htm| title=|American King James Version| target=|_top|&gt;AKJ&lt;/a&gt;</v>
      </c>
      <c r="AM839" t="str">
        <f t="shared" ref="AM839:AN839" si="3355">CONCATENATE("&lt;/li&gt;&lt;li&gt;&lt;a href=|http://",AM1191,"/ezekiel/37.htm","| ","title=|",AM1190,"| target=|_top|&gt;",AM1192,"&lt;/a&gt;")</f>
        <v>&lt;/li&gt;&lt;li&gt;&lt;a href=|http://basicenglishbible.com/ezekiel/37.htm| title=|Bible in Basic English| target=|_top|&gt;BBE&lt;/a&gt;</v>
      </c>
      <c r="AN839" t="str">
        <f t="shared" si="3355"/>
        <v>&lt;/li&gt;&lt;li&gt;&lt;a href=|http://darbybible.com/ezekiel/37.htm| title=|Darby Bible Translation| target=|_top|&gt;DBY&lt;/a&gt;</v>
      </c>
      <c r="AO83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3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3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39" t="str">
        <f>CONCATENATE("&lt;/li&gt;&lt;li&gt;&lt;a href=|http://",AR1191,"/ezekiel/37.htm","| ","title=|",AR1190,"| target=|_top|&gt;",AR1192,"&lt;/a&gt;")</f>
        <v>&lt;/li&gt;&lt;li&gt;&lt;a href=|http://websterbible.com/ezekiel/37.htm| title=|Webster's Bible Translation| target=|_top|&gt;WBS&lt;/a&gt;</v>
      </c>
      <c r="AS83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39" t="str">
        <f>CONCATENATE("&lt;/li&gt;&lt;li&gt;&lt;a href=|http://",AT1191,"/ezekiel/37-1.htm","| ","title=|",AT1190,"| target=|_top|&gt;",AT1192,"&lt;/a&gt;")</f>
        <v>&lt;/li&gt;&lt;li&gt;&lt;a href=|http://biblebrowser.com/ezekiel/37-1.htm| title=|Split View| target=|_top|&gt;Split&lt;/a&gt;</v>
      </c>
      <c r="AU839" s="2" t="s">
        <v>1276</v>
      </c>
      <c r="AV839" t="s">
        <v>64</v>
      </c>
    </row>
    <row r="840" spans="1:48">
      <c r="A840" t="s">
        <v>622</v>
      </c>
      <c r="B840" t="s">
        <v>881</v>
      </c>
      <c r="C840" t="s">
        <v>624</v>
      </c>
      <c r="D840" t="s">
        <v>1268</v>
      </c>
      <c r="E840" t="s">
        <v>1277</v>
      </c>
      <c r="F840" t="s">
        <v>1304</v>
      </c>
      <c r="G840" t="s">
        <v>1266</v>
      </c>
      <c r="H840" t="s">
        <v>1305</v>
      </c>
      <c r="I840" t="s">
        <v>1303</v>
      </c>
      <c r="J840" t="s">
        <v>1267</v>
      </c>
      <c r="K840" t="s">
        <v>1275</v>
      </c>
      <c r="L840" s="2" t="s">
        <v>1274</v>
      </c>
      <c r="M840" t="str">
        <f t="shared" ref="M840:AB840" si="3356">CONCATENATE("&lt;/li&gt;&lt;li&gt;&lt;a href=|http://",M1191,"/ezekiel/38.htm","| ","title=|",M1190,"| target=|_top|&gt;",M1192,"&lt;/a&gt;")</f>
        <v>&lt;/li&gt;&lt;li&gt;&lt;a href=|http://niv.scripturetext.com/ezekiel/38.htm| title=|New International Version| target=|_top|&gt;NIV&lt;/a&gt;</v>
      </c>
      <c r="N840" t="str">
        <f t="shared" si="3356"/>
        <v>&lt;/li&gt;&lt;li&gt;&lt;a href=|http://nlt.scripturetext.com/ezekiel/38.htm| title=|New Living Translation| target=|_top|&gt;NLT&lt;/a&gt;</v>
      </c>
      <c r="O840" t="str">
        <f t="shared" si="3356"/>
        <v>&lt;/li&gt;&lt;li&gt;&lt;a href=|http://nasb.scripturetext.com/ezekiel/38.htm| title=|New American Standard Bible| target=|_top|&gt;NAS&lt;/a&gt;</v>
      </c>
      <c r="P840" t="str">
        <f t="shared" si="3356"/>
        <v>&lt;/li&gt;&lt;li&gt;&lt;a href=|http://gwt.scripturetext.com/ezekiel/38.htm| title=|God's Word Translation| target=|_top|&gt;GWT&lt;/a&gt;</v>
      </c>
      <c r="Q840" t="str">
        <f t="shared" si="3356"/>
        <v>&lt;/li&gt;&lt;li&gt;&lt;a href=|http://kingjbible.com/ezekiel/38.htm| title=|King James Bible| target=|_top|&gt;KJV&lt;/a&gt;</v>
      </c>
      <c r="R840" t="str">
        <f t="shared" si="3356"/>
        <v>&lt;/li&gt;&lt;li&gt;&lt;a href=|http://asvbible.com/ezekiel/38.htm| title=|American Standard Version| target=|_top|&gt;ASV&lt;/a&gt;</v>
      </c>
      <c r="S840" t="str">
        <f t="shared" si="3356"/>
        <v>&lt;/li&gt;&lt;li&gt;&lt;a href=|http://drb.scripturetext.com/ezekiel/38.htm| title=|Douay-Rheims Bible| target=|_top|&gt;DRB&lt;/a&gt;</v>
      </c>
      <c r="T840" t="str">
        <f t="shared" si="3356"/>
        <v>&lt;/li&gt;&lt;li&gt;&lt;a href=|http://erv.scripturetext.com/ezekiel/38.htm| title=|English Revised Version| target=|_top|&gt;ERV&lt;/a&gt;</v>
      </c>
      <c r="V840" t="str">
        <f>CONCATENATE("&lt;/li&gt;&lt;li&gt;&lt;a href=|http://",V1191,"/ezekiel/38.htm","| ","title=|",V1190,"| target=|_top|&gt;",V1192,"&lt;/a&gt;")</f>
        <v>&lt;/li&gt;&lt;li&gt;&lt;a href=|http://study.interlinearbible.org/ezekiel/38.htm| title=|Hebrew Study Bible| target=|_top|&gt;Heb Study&lt;/a&gt;</v>
      </c>
      <c r="W840" t="str">
        <f t="shared" si="3356"/>
        <v>&lt;/li&gt;&lt;li&gt;&lt;a href=|http://apostolic.interlinearbible.org/ezekiel/38.htm| title=|Apostolic Bible Polyglot Interlinear| target=|_top|&gt;Polyglot&lt;/a&gt;</v>
      </c>
      <c r="X840" t="str">
        <f t="shared" si="3356"/>
        <v>&lt;/li&gt;&lt;li&gt;&lt;a href=|http://interlinearbible.org/ezekiel/38.htm| title=|Interlinear Bible| target=|_top|&gt;Interlin&lt;/a&gt;</v>
      </c>
      <c r="Y840" t="str">
        <f t="shared" ref="Y840" si="3357">CONCATENATE("&lt;/li&gt;&lt;li&gt;&lt;a href=|http://",Y1191,"/ezekiel/38.htm","| ","title=|",Y1190,"| target=|_top|&gt;",Y1192,"&lt;/a&gt;")</f>
        <v>&lt;/li&gt;&lt;li&gt;&lt;a href=|http://bibleoutline.org/ezekiel/38.htm| title=|Outline with People and Places List| target=|_top|&gt;Outline&lt;/a&gt;</v>
      </c>
      <c r="Z840" t="str">
        <f t="shared" si="3356"/>
        <v>&lt;/li&gt;&lt;li&gt;&lt;a href=|http://kjvs.scripturetext.com/ezekiel/38.htm| title=|King James Bible with Strong's Numbers| target=|_top|&gt;Strong's&lt;/a&gt;</v>
      </c>
      <c r="AA840" t="str">
        <f t="shared" si="3356"/>
        <v>&lt;/li&gt;&lt;li&gt;&lt;a href=|http://childrensbibleonline.com/ezekiel/38.htm| title=|The Children's Bible| target=|_top|&gt;Children's&lt;/a&gt;</v>
      </c>
      <c r="AB840" s="2" t="str">
        <f t="shared" si="3356"/>
        <v>&lt;/li&gt;&lt;li&gt;&lt;a href=|http://tsk.scripturetext.com/ezekiel/38.htm| title=|Treasury of Scripture Knowledge| target=|_top|&gt;TSK&lt;/a&gt;</v>
      </c>
      <c r="AC840" t="str">
        <f>CONCATENATE("&lt;a href=|http://",AC1191,"/ezekiel/38.htm","| ","title=|",AC1190,"| target=|_top|&gt;",AC1192,"&lt;/a&gt;")</f>
        <v>&lt;a href=|http://parallelbible.com/ezekiel/38.htm| title=|Parallel Chapters| target=|_top|&gt;PAR&lt;/a&gt;</v>
      </c>
      <c r="AD840" s="2" t="str">
        <f t="shared" ref="AD840:AK840" si="3358">CONCATENATE("&lt;/li&gt;&lt;li&gt;&lt;a href=|http://",AD1191,"/ezekiel/38.htm","| ","title=|",AD1190,"| target=|_top|&gt;",AD1192,"&lt;/a&gt;")</f>
        <v>&lt;/li&gt;&lt;li&gt;&lt;a href=|http://gsb.biblecommenter.com/ezekiel/38.htm| title=|Geneva Study Bible| target=|_top|&gt;GSB&lt;/a&gt;</v>
      </c>
      <c r="AE840" s="2" t="str">
        <f t="shared" si="3358"/>
        <v>&lt;/li&gt;&lt;li&gt;&lt;a href=|http://jfb.biblecommenter.com/ezekiel/38.htm| title=|Jamieson-Fausset-Brown Bible Commentary| target=|_top|&gt;JFB&lt;/a&gt;</v>
      </c>
      <c r="AF840" s="2" t="str">
        <f t="shared" si="3358"/>
        <v>&lt;/li&gt;&lt;li&gt;&lt;a href=|http://kjt.biblecommenter.com/ezekiel/38.htm| title=|King James Translators' Notes| target=|_top|&gt;KJT&lt;/a&gt;</v>
      </c>
      <c r="AG840" s="2" t="str">
        <f t="shared" si="3358"/>
        <v>&lt;/li&gt;&lt;li&gt;&lt;a href=|http://mhc.biblecommenter.com/ezekiel/38.htm| title=|Matthew Henry's Concise Commentary| target=|_top|&gt;MHC&lt;/a&gt;</v>
      </c>
      <c r="AH840" s="2" t="str">
        <f t="shared" si="3358"/>
        <v>&lt;/li&gt;&lt;li&gt;&lt;a href=|http://sco.biblecommenter.com/ezekiel/38.htm| title=|Scofield Reference Notes| target=|_top|&gt;SCO&lt;/a&gt;</v>
      </c>
      <c r="AI840" s="2" t="str">
        <f t="shared" si="3358"/>
        <v>&lt;/li&gt;&lt;li&gt;&lt;a href=|http://wes.biblecommenter.com/ezekiel/38.htm| title=|Wesley's Notes on the Bible| target=|_top|&gt;WES&lt;/a&gt;</v>
      </c>
      <c r="AJ840" t="str">
        <f t="shared" si="3358"/>
        <v>&lt;/li&gt;&lt;li&gt;&lt;a href=|http://worldebible.com/ezekiel/38.htm| title=|World English Bible| target=|_top|&gt;WEB&lt;/a&gt;</v>
      </c>
      <c r="AK840" t="str">
        <f t="shared" si="3358"/>
        <v>&lt;/li&gt;&lt;li&gt;&lt;a href=|http://yltbible.com/ezekiel/38.htm| title=|Young's Literal Translation| target=|_top|&gt;YLT&lt;/a&gt;</v>
      </c>
      <c r="AL840" t="str">
        <f>CONCATENATE("&lt;a href=|http://",AL1191,"/ezekiel/38.htm","| ","title=|",AL1190,"| target=|_top|&gt;",AL1192,"&lt;/a&gt;")</f>
        <v>&lt;a href=|http://kjv.us/ezekiel/38.htm| title=|American King James Version| target=|_top|&gt;AKJ&lt;/a&gt;</v>
      </c>
      <c r="AM840" t="str">
        <f t="shared" ref="AM840:AN840" si="3359">CONCATENATE("&lt;/li&gt;&lt;li&gt;&lt;a href=|http://",AM1191,"/ezekiel/38.htm","| ","title=|",AM1190,"| target=|_top|&gt;",AM1192,"&lt;/a&gt;")</f>
        <v>&lt;/li&gt;&lt;li&gt;&lt;a href=|http://basicenglishbible.com/ezekiel/38.htm| title=|Bible in Basic English| target=|_top|&gt;BBE&lt;/a&gt;</v>
      </c>
      <c r="AN840" t="str">
        <f t="shared" si="3359"/>
        <v>&lt;/li&gt;&lt;li&gt;&lt;a href=|http://darbybible.com/ezekiel/38.htm| title=|Darby Bible Translation| target=|_top|&gt;DBY&lt;/a&gt;</v>
      </c>
      <c r="AO84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4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4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40" t="str">
        <f>CONCATENATE("&lt;/li&gt;&lt;li&gt;&lt;a href=|http://",AR1191,"/ezekiel/38.htm","| ","title=|",AR1190,"| target=|_top|&gt;",AR1192,"&lt;/a&gt;")</f>
        <v>&lt;/li&gt;&lt;li&gt;&lt;a href=|http://websterbible.com/ezekiel/38.htm| title=|Webster's Bible Translation| target=|_top|&gt;WBS&lt;/a&gt;</v>
      </c>
      <c r="AS84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40" t="str">
        <f>CONCATENATE("&lt;/li&gt;&lt;li&gt;&lt;a href=|http://",AT1191,"/ezekiel/38-1.htm","| ","title=|",AT1190,"| target=|_top|&gt;",AT1192,"&lt;/a&gt;")</f>
        <v>&lt;/li&gt;&lt;li&gt;&lt;a href=|http://biblebrowser.com/ezekiel/38-1.htm| title=|Split View| target=|_top|&gt;Split&lt;/a&gt;</v>
      </c>
      <c r="AU840" s="2" t="s">
        <v>1276</v>
      </c>
      <c r="AV840" t="s">
        <v>64</v>
      </c>
    </row>
    <row r="841" spans="1:48">
      <c r="A841" t="s">
        <v>622</v>
      </c>
      <c r="B841" t="s">
        <v>882</v>
      </c>
      <c r="C841" t="s">
        <v>624</v>
      </c>
      <c r="D841" t="s">
        <v>1268</v>
      </c>
      <c r="E841" t="s">
        <v>1277</v>
      </c>
      <c r="F841" t="s">
        <v>1304</v>
      </c>
      <c r="G841" t="s">
        <v>1266</v>
      </c>
      <c r="H841" t="s">
        <v>1305</v>
      </c>
      <c r="I841" t="s">
        <v>1303</v>
      </c>
      <c r="J841" t="s">
        <v>1267</v>
      </c>
      <c r="K841" t="s">
        <v>1275</v>
      </c>
      <c r="L841" s="2" t="s">
        <v>1274</v>
      </c>
      <c r="M841" t="str">
        <f t="shared" ref="M841:AB841" si="3360">CONCATENATE("&lt;/li&gt;&lt;li&gt;&lt;a href=|http://",M1191,"/ezekiel/39.htm","| ","title=|",M1190,"| target=|_top|&gt;",M1192,"&lt;/a&gt;")</f>
        <v>&lt;/li&gt;&lt;li&gt;&lt;a href=|http://niv.scripturetext.com/ezekiel/39.htm| title=|New International Version| target=|_top|&gt;NIV&lt;/a&gt;</v>
      </c>
      <c r="N841" t="str">
        <f t="shared" si="3360"/>
        <v>&lt;/li&gt;&lt;li&gt;&lt;a href=|http://nlt.scripturetext.com/ezekiel/39.htm| title=|New Living Translation| target=|_top|&gt;NLT&lt;/a&gt;</v>
      </c>
      <c r="O841" t="str">
        <f t="shared" si="3360"/>
        <v>&lt;/li&gt;&lt;li&gt;&lt;a href=|http://nasb.scripturetext.com/ezekiel/39.htm| title=|New American Standard Bible| target=|_top|&gt;NAS&lt;/a&gt;</v>
      </c>
      <c r="P841" t="str">
        <f t="shared" si="3360"/>
        <v>&lt;/li&gt;&lt;li&gt;&lt;a href=|http://gwt.scripturetext.com/ezekiel/39.htm| title=|God's Word Translation| target=|_top|&gt;GWT&lt;/a&gt;</v>
      </c>
      <c r="Q841" t="str">
        <f t="shared" si="3360"/>
        <v>&lt;/li&gt;&lt;li&gt;&lt;a href=|http://kingjbible.com/ezekiel/39.htm| title=|King James Bible| target=|_top|&gt;KJV&lt;/a&gt;</v>
      </c>
      <c r="R841" t="str">
        <f t="shared" si="3360"/>
        <v>&lt;/li&gt;&lt;li&gt;&lt;a href=|http://asvbible.com/ezekiel/39.htm| title=|American Standard Version| target=|_top|&gt;ASV&lt;/a&gt;</v>
      </c>
      <c r="S841" t="str">
        <f t="shared" si="3360"/>
        <v>&lt;/li&gt;&lt;li&gt;&lt;a href=|http://drb.scripturetext.com/ezekiel/39.htm| title=|Douay-Rheims Bible| target=|_top|&gt;DRB&lt;/a&gt;</v>
      </c>
      <c r="T841" t="str">
        <f t="shared" si="3360"/>
        <v>&lt;/li&gt;&lt;li&gt;&lt;a href=|http://erv.scripturetext.com/ezekiel/39.htm| title=|English Revised Version| target=|_top|&gt;ERV&lt;/a&gt;</v>
      </c>
      <c r="V841" t="str">
        <f>CONCATENATE("&lt;/li&gt;&lt;li&gt;&lt;a href=|http://",V1191,"/ezekiel/39.htm","| ","title=|",V1190,"| target=|_top|&gt;",V1192,"&lt;/a&gt;")</f>
        <v>&lt;/li&gt;&lt;li&gt;&lt;a href=|http://study.interlinearbible.org/ezekiel/39.htm| title=|Hebrew Study Bible| target=|_top|&gt;Heb Study&lt;/a&gt;</v>
      </c>
      <c r="W841" t="str">
        <f t="shared" si="3360"/>
        <v>&lt;/li&gt;&lt;li&gt;&lt;a href=|http://apostolic.interlinearbible.org/ezekiel/39.htm| title=|Apostolic Bible Polyglot Interlinear| target=|_top|&gt;Polyglot&lt;/a&gt;</v>
      </c>
      <c r="X841" t="str">
        <f t="shared" si="3360"/>
        <v>&lt;/li&gt;&lt;li&gt;&lt;a href=|http://interlinearbible.org/ezekiel/39.htm| title=|Interlinear Bible| target=|_top|&gt;Interlin&lt;/a&gt;</v>
      </c>
      <c r="Y841" t="str">
        <f t="shared" ref="Y841" si="3361">CONCATENATE("&lt;/li&gt;&lt;li&gt;&lt;a href=|http://",Y1191,"/ezekiel/39.htm","| ","title=|",Y1190,"| target=|_top|&gt;",Y1192,"&lt;/a&gt;")</f>
        <v>&lt;/li&gt;&lt;li&gt;&lt;a href=|http://bibleoutline.org/ezekiel/39.htm| title=|Outline with People and Places List| target=|_top|&gt;Outline&lt;/a&gt;</v>
      </c>
      <c r="Z841" t="str">
        <f t="shared" si="3360"/>
        <v>&lt;/li&gt;&lt;li&gt;&lt;a href=|http://kjvs.scripturetext.com/ezekiel/39.htm| title=|King James Bible with Strong's Numbers| target=|_top|&gt;Strong's&lt;/a&gt;</v>
      </c>
      <c r="AA841" t="str">
        <f t="shared" si="3360"/>
        <v>&lt;/li&gt;&lt;li&gt;&lt;a href=|http://childrensbibleonline.com/ezekiel/39.htm| title=|The Children's Bible| target=|_top|&gt;Children's&lt;/a&gt;</v>
      </c>
      <c r="AB841" s="2" t="str">
        <f t="shared" si="3360"/>
        <v>&lt;/li&gt;&lt;li&gt;&lt;a href=|http://tsk.scripturetext.com/ezekiel/39.htm| title=|Treasury of Scripture Knowledge| target=|_top|&gt;TSK&lt;/a&gt;</v>
      </c>
      <c r="AC841" t="str">
        <f>CONCATENATE("&lt;a href=|http://",AC1191,"/ezekiel/39.htm","| ","title=|",AC1190,"| target=|_top|&gt;",AC1192,"&lt;/a&gt;")</f>
        <v>&lt;a href=|http://parallelbible.com/ezekiel/39.htm| title=|Parallel Chapters| target=|_top|&gt;PAR&lt;/a&gt;</v>
      </c>
      <c r="AD841" s="2" t="str">
        <f t="shared" ref="AD841:AK841" si="3362">CONCATENATE("&lt;/li&gt;&lt;li&gt;&lt;a href=|http://",AD1191,"/ezekiel/39.htm","| ","title=|",AD1190,"| target=|_top|&gt;",AD1192,"&lt;/a&gt;")</f>
        <v>&lt;/li&gt;&lt;li&gt;&lt;a href=|http://gsb.biblecommenter.com/ezekiel/39.htm| title=|Geneva Study Bible| target=|_top|&gt;GSB&lt;/a&gt;</v>
      </c>
      <c r="AE841" s="2" t="str">
        <f t="shared" si="3362"/>
        <v>&lt;/li&gt;&lt;li&gt;&lt;a href=|http://jfb.biblecommenter.com/ezekiel/39.htm| title=|Jamieson-Fausset-Brown Bible Commentary| target=|_top|&gt;JFB&lt;/a&gt;</v>
      </c>
      <c r="AF841" s="2" t="str">
        <f t="shared" si="3362"/>
        <v>&lt;/li&gt;&lt;li&gt;&lt;a href=|http://kjt.biblecommenter.com/ezekiel/39.htm| title=|King James Translators' Notes| target=|_top|&gt;KJT&lt;/a&gt;</v>
      </c>
      <c r="AG841" s="2" t="str">
        <f t="shared" si="3362"/>
        <v>&lt;/li&gt;&lt;li&gt;&lt;a href=|http://mhc.biblecommenter.com/ezekiel/39.htm| title=|Matthew Henry's Concise Commentary| target=|_top|&gt;MHC&lt;/a&gt;</v>
      </c>
      <c r="AH841" s="2" t="str">
        <f t="shared" si="3362"/>
        <v>&lt;/li&gt;&lt;li&gt;&lt;a href=|http://sco.biblecommenter.com/ezekiel/39.htm| title=|Scofield Reference Notes| target=|_top|&gt;SCO&lt;/a&gt;</v>
      </c>
      <c r="AI841" s="2" t="str">
        <f t="shared" si="3362"/>
        <v>&lt;/li&gt;&lt;li&gt;&lt;a href=|http://wes.biblecommenter.com/ezekiel/39.htm| title=|Wesley's Notes on the Bible| target=|_top|&gt;WES&lt;/a&gt;</v>
      </c>
      <c r="AJ841" t="str">
        <f t="shared" si="3362"/>
        <v>&lt;/li&gt;&lt;li&gt;&lt;a href=|http://worldebible.com/ezekiel/39.htm| title=|World English Bible| target=|_top|&gt;WEB&lt;/a&gt;</v>
      </c>
      <c r="AK841" t="str">
        <f t="shared" si="3362"/>
        <v>&lt;/li&gt;&lt;li&gt;&lt;a href=|http://yltbible.com/ezekiel/39.htm| title=|Young's Literal Translation| target=|_top|&gt;YLT&lt;/a&gt;</v>
      </c>
      <c r="AL841" t="str">
        <f>CONCATENATE("&lt;a href=|http://",AL1191,"/ezekiel/39.htm","| ","title=|",AL1190,"| target=|_top|&gt;",AL1192,"&lt;/a&gt;")</f>
        <v>&lt;a href=|http://kjv.us/ezekiel/39.htm| title=|American King James Version| target=|_top|&gt;AKJ&lt;/a&gt;</v>
      </c>
      <c r="AM841" t="str">
        <f t="shared" ref="AM841:AN841" si="3363">CONCATENATE("&lt;/li&gt;&lt;li&gt;&lt;a href=|http://",AM1191,"/ezekiel/39.htm","| ","title=|",AM1190,"| target=|_top|&gt;",AM1192,"&lt;/a&gt;")</f>
        <v>&lt;/li&gt;&lt;li&gt;&lt;a href=|http://basicenglishbible.com/ezekiel/39.htm| title=|Bible in Basic English| target=|_top|&gt;BBE&lt;/a&gt;</v>
      </c>
      <c r="AN841" t="str">
        <f t="shared" si="3363"/>
        <v>&lt;/li&gt;&lt;li&gt;&lt;a href=|http://darbybible.com/ezekiel/39.htm| title=|Darby Bible Translation| target=|_top|&gt;DBY&lt;/a&gt;</v>
      </c>
      <c r="AO84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4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4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41" t="str">
        <f>CONCATENATE("&lt;/li&gt;&lt;li&gt;&lt;a href=|http://",AR1191,"/ezekiel/39.htm","| ","title=|",AR1190,"| target=|_top|&gt;",AR1192,"&lt;/a&gt;")</f>
        <v>&lt;/li&gt;&lt;li&gt;&lt;a href=|http://websterbible.com/ezekiel/39.htm| title=|Webster's Bible Translation| target=|_top|&gt;WBS&lt;/a&gt;</v>
      </c>
      <c r="AS84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41" t="str">
        <f>CONCATENATE("&lt;/li&gt;&lt;li&gt;&lt;a href=|http://",AT1191,"/ezekiel/39-1.htm","| ","title=|",AT1190,"| target=|_top|&gt;",AT1192,"&lt;/a&gt;")</f>
        <v>&lt;/li&gt;&lt;li&gt;&lt;a href=|http://biblebrowser.com/ezekiel/39-1.htm| title=|Split View| target=|_top|&gt;Split&lt;/a&gt;</v>
      </c>
      <c r="AU841" s="2" t="s">
        <v>1276</v>
      </c>
      <c r="AV841" t="s">
        <v>64</v>
      </c>
    </row>
    <row r="842" spans="1:48">
      <c r="A842" t="s">
        <v>622</v>
      </c>
      <c r="B842" t="s">
        <v>883</v>
      </c>
      <c r="C842" t="s">
        <v>624</v>
      </c>
      <c r="D842" t="s">
        <v>1268</v>
      </c>
      <c r="E842" t="s">
        <v>1277</v>
      </c>
      <c r="F842" t="s">
        <v>1304</v>
      </c>
      <c r="G842" t="s">
        <v>1266</v>
      </c>
      <c r="H842" t="s">
        <v>1305</v>
      </c>
      <c r="I842" t="s">
        <v>1303</v>
      </c>
      <c r="J842" t="s">
        <v>1267</v>
      </c>
      <c r="K842" t="s">
        <v>1275</v>
      </c>
      <c r="L842" s="2" t="s">
        <v>1274</v>
      </c>
      <c r="M842" t="str">
        <f t="shared" ref="M842:AB842" si="3364">CONCATENATE("&lt;/li&gt;&lt;li&gt;&lt;a href=|http://",M1191,"/ezekiel/40.htm","| ","title=|",M1190,"| target=|_top|&gt;",M1192,"&lt;/a&gt;")</f>
        <v>&lt;/li&gt;&lt;li&gt;&lt;a href=|http://niv.scripturetext.com/ezekiel/40.htm| title=|New International Version| target=|_top|&gt;NIV&lt;/a&gt;</v>
      </c>
      <c r="N842" t="str">
        <f t="shared" si="3364"/>
        <v>&lt;/li&gt;&lt;li&gt;&lt;a href=|http://nlt.scripturetext.com/ezekiel/40.htm| title=|New Living Translation| target=|_top|&gt;NLT&lt;/a&gt;</v>
      </c>
      <c r="O842" t="str">
        <f t="shared" si="3364"/>
        <v>&lt;/li&gt;&lt;li&gt;&lt;a href=|http://nasb.scripturetext.com/ezekiel/40.htm| title=|New American Standard Bible| target=|_top|&gt;NAS&lt;/a&gt;</v>
      </c>
      <c r="P842" t="str">
        <f t="shared" si="3364"/>
        <v>&lt;/li&gt;&lt;li&gt;&lt;a href=|http://gwt.scripturetext.com/ezekiel/40.htm| title=|God's Word Translation| target=|_top|&gt;GWT&lt;/a&gt;</v>
      </c>
      <c r="Q842" t="str">
        <f t="shared" si="3364"/>
        <v>&lt;/li&gt;&lt;li&gt;&lt;a href=|http://kingjbible.com/ezekiel/40.htm| title=|King James Bible| target=|_top|&gt;KJV&lt;/a&gt;</v>
      </c>
      <c r="R842" t="str">
        <f t="shared" si="3364"/>
        <v>&lt;/li&gt;&lt;li&gt;&lt;a href=|http://asvbible.com/ezekiel/40.htm| title=|American Standard Version| target=|_top|&gt;ASV&lt;/a&gt;</v>
      </c>
      <c r="S842" t="str">
        <f t="shared" si="3364"/>
        <v>&lt;/li&gt;&lt;li&gt;&lt;a href=|http://drb.scripturetext.com/ezekiel/40.htm| title=|Douay-Rheims Bible| target=|_top|&gt;DRB&lt;/a&gt;</v>
      </c>
      <c r="T842" t="str">
        <f t="shared" si="3364"/>
        <v>&lt;/li&gt;&lt;li&gt;&lt;a href=|http://erv.scripturetext.com/ezekiel/40.htm| title=|English Revised Version| target=|_top|&gt;ERV&lt;/a&gt;</v>
      </c>
      <c r="V842" t="str">
        <f>CONCATENATE("&lt;/li&gt;&lt;li&gt;&lt;a href=|http://",V1191,"/ezekiel/40.htm","| ","title=|",V1190,"| target=|_top|&gt;",V1192,"&lt;/a&gt;")</f>
        <v>&lt;/li&gt;&lt;li&gt;&lt;a href=|http://study.interlinearbible.org/ezekiel/40.htm| title=|Hebrew Study Bible| target=|_top|&gt;Heb Study&lt;/a&gt;</v>
      </c>
      <c r="W842" t="str">
        <f t="shared" si="3364"/>
        <v>&lt;/li&gt;&lt;li&gt;&lt;a href=|http://apostolic.interlinearbible.org/ezekiel/40.htm| title=|Apostolic Bible Polyglot Interlinear| target=|_top|&gt;Polyglot&lt;/a&gt;</v>
      </c>
      <c r="X842" t="str">
        <f t="shared" si="3364"/>
        <v>&lt;/li&gt;&lt;li&gt;&lt;a href=|http://interlinearbible.org/ezekiel/40.htm| title=|Interlinear Bible| target=|_top|&gt;Interlin&lt;/a&gt;</v>
      </c>
      <c r="Y842" t="str">
        <f t="shared" ref="Y842" si="3365">CONCATENATE("&lt;/li&gt;&lt;li&gt;&lt;a href=|http://",Y1191,"/ezekiel/40.htm","| ","title=|",Y1190,"| target=|_top|&gt;",Y1192,"&lt;/a&gt;")</f>
        <v>&lt;/li&gt;&lt;li&gt;&lt;a href=|http://bibleoutline.org/ezekiel/40.htm| title=|Outline with People and Places List| target=|_top|&gt;Outline&lt;/a&gt;</v>
      </c>
      <c r="Z842" t="str">
        <f t="shared" si="3364"/>
        <v>&lt;/li&gt;&lt;li&gt;&lt;a href=|http://kjvs.scripturetext.com/ezekiel/40.htm| title=|King James Bible with Strong's Numbers| target=|_top|&gt;Strong's&lt;/a&gt;</v>
      </c>
      <c r="AA842" t="str">
        <f t="shared" si="3364"/>
        <v>&lt;/li&gt;&lt;li&gt;&lt;a href=|http://childrensbibleonline.com/ezekiel/40.htm| title=|The Children's Bible| target=|_top|&gt;Children's&lt;/a&gt;</v>
      </c>
      <c r="AB842" s="2" t="str">
        <f t="shared" si="3364"/>
        <v>&lt;/li&gt;&lt;li&gt;&lt;a href=|http://tsk.scripturetext.com/ezekiel/40.htm| title=|Treasury of Scripture Knowledge| target=|_top|&gt;TSK&lt;/a&gt;</v>
      </c>
      <c r="AC842" t="str">
        <f>CONCATENATE("&lt;a href=|http://",AC1191,"/ezekiel/40.htm","| ","title=|",AC1190,"| target=|_top|&gt;",AC1192,"&lt;/a&gt;")</f>
        <v>&lt;a href=|http://parallelbible.com/ezekiel/40.htm| title=|Parallel Chapters| target=|_top|&gt;PAR&lt;/a&gt;</v>
      </c>
      <c r="AD842" s="2" t="str">
        <f t="shared" ref="AD842:AK842" si="3366">CONCATENATE("&lt;/li&gt;&lt;li&gt;&lt;a href=|http://",AD1191,"/ezekiel/40.htm","| ","title=|",AD1190,"| target=|_top|&gt;",AD1192,"&lt;/a&gt;")</f>
        <v>&lt;/li&gt;&lt;li&gt;&lt;a href=|http://gsb.biblecommenter.com/ezekiel/40.htm| title=|Geneva Study Bible| target=|_top|&gt;GSB&lt;/a&gt;</v>
      </c>
      <c r="AE842" s="2" t="str">
        <f t="shared" si="3366"/>
        <v>&lt;/li&gt;&lt;li&gt;&lt;a href=|http://jfb.biblecommenter.com/ezekiel/40.htm| title=|Jamieson-Fausset-Brown Bible Commentary| target=|_top|&gt;JFB&lt;/a&gt;</v>
      </c>
      <c r="AF842" s="2" t="str">
        <f t="shared" si="3366"/>
        <v>&lt;/li&gt;&lt;li&gt;&lt;a href=|http://kjt.biblecommenter.com/ezekiel/40.htm| title=|King James Translators' Notes| target=|_top|&gt;KJT&lt;/a&gt;</v>
      </c>
      <c r="AG842" s="2" t="str">
        <f t="shared" si="3366"/>
        <v>&lt;/li&gt;&lt;li&gt;&lt;a href=|http://mhc.biblecommenter.com/ezekiel/40.htm| title=|Matthew Henry's Concise Commentary| target=|_top|&gt;MHC&lt;/a&gt;</v>
      </c>
      <c r="AH842" s="2" t="str">
        <f t="shared" si="3366"/>
        <v>&lt;/li&gt;&lt;li&gt;&lt;a href=|http://sco.biblecommenter.com/ezekiel/40.htm| title=|Scofield Reference Notes| target=|_top|&gt;SCO&lt;/a&gt;</v>
      </c>
      <c r="AI842" s="2" t="str">
        <f t="shared" si="3366"/>
        <v>&lt;/li&gt;&lt;li&gt;&lt;a href=|http://wes.biblecommenter.com/ezekiel/40.htm| title=|Wesley's Notes on the Bible| target=|_top|&gt;WES&lt;/a&gt;</v>
      </c>
      <c r="AJ842" t="str">
        <f t="shared" si="3366"/>
        <v>&lt;/li&gt;&lt;li&gt;&lt;a href=|http://worldebible.com/ezekiel/40.htm| title=|World English Bible| target=|_top|&gt;WEB&lt;/a&gt;</v>
      </c>
      <c r="AK842" t="str">
        <f t="shared" si="3366"/>
        <v>&lt;/li&gt;&lt;li&gt;&lt;a href=|http://yltbible.com/ezekiel/40.htm| title=|Young's Literal Translation| target=|_top|&gt;YLT&lt;/a&gt;</v>
      </c>
      <c r="AL842" t="str">
        <f>CONCATENATE("&lt;a href=|http://",AL1191,"/ezekiel/40.htm","| ","title=|",AL1190,"| target=|_top|&gt;",AL1192,"&lt;/a&gt;")</f>
        <v>&lt;a href=|http://kjv.us/ezekiel/40.htm| title=|American King James Version| target=|_top|&gt;AKJ&lt;/a&gt;</v>
      </c>
      <c r="AM842" t="str">
        <f t="shared" ref="AM842:AN842" si="3367">CONCATENATE("&lt;/li&gt;&lt;li&gt;&lt;a href=|http://",AM1191,"/ezekiel/40.htm","| ","title=|",AM1190,"| target=|_top|&gt;",AM1192,"&lt;/a&gt;")</f>
        <v>&lt;/li&gt;&lt;li&gt;&lt;a href=|http://basicenglishbible.com/ezekiel/40.htm| title=|Bible in Basic English| target=|_top|&gt;BBE&lt;/a&gt;</v>
      </c>
      <c r="AN842" t="str">
        <f t="shared" si="3367"/>
        <v>&lt;/li&gt;&lt;li&gt;&lt;a href=|http://darbybible.com/ezekiel/40.htm| title=|Darby Bible Translation| target=|_top|&gt;DBY&lt;/a&gt;</v>
      </c>
      <c r="AO84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4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4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42" t="str">
        <f>CONCATENATE("&lt;/li&gt;&lt;li&gt;&lt;a href=|http://",AR1191,"/ezekiel/40.htm","| ","title=|",AR1190,"| target=|_top|&gt;",AR1192,"&lt;/a&gt;")</f>
        <v>&lt;/li&gt;&lt;li&gt;&lt;a href=|http://websterbible.com/ezekiel/40.htm| title=|Webster's Bible Translation| target=|_top|&gt;WBS&lt;/a&gt;</v>
      </c>
      <c r="AS84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42" t="str">
        <f>CONCATENATE("&lt;/li&gt;&lt;li&gt;&lt;a href=|http://",AT1191,"/ezekiel/40-1.htm","| ","title=|",AT1190,"| target=|_top|&gt;",AT1192,"&lt;/a&gt;")</f>
        <v>&lt;/li&gt;&lt;li&gt;&lt;a href=|http://biblebrowser.com/ezekiel/40-1.htm| title=|Split View| target=|_top|&gt;Split&lt;/a&gt;</v>
      </c>
      <c r="AU842" s="2" t="s">
        <v>1276</v>
      </c>
      <c r="AV842" t="s">
        <v>64</v>
      </c>
    </row>
    <row r="843" spans="1:48">
      <c r="A843" t="s">
        <v>622</v>
      </c>
      <c r="B843" t="s">
        <v>884</v>
      </c>
      <c r="C843" t="s">
        <v>624</v>
      </c>
      <c r="D843" t="s">
        <v>1268</v>
      </c>
      <c r="E843" t="s">
        <v>1277</v>
      </c>
      <c r="F843" t="s">
        <v>1304</v>
      </c>
      <c r="G843" t="s">
        <v>1266</v>
      </c>
      <c r="H843" t="s">
        <v>1305</v>
      </c>
      <c r="I843" t="s">
        <v>1303</v>
      </c>
      <c r="J843" t="s">
        <v>1267</v>
      </c>
      <c r="K843" t="s">
        <v>1275</v>
      </c>
      <c r="L843" s="2" t="s">
        <v>1274</v>
      </c>
      <c r="M843" t="str">
        <f t="shared" ref="M843:AB843" si="3368">CONCATENATE("&lt;/li&gt;&lt;li&gt;&lt;a href=|http://",M1191,"/ezekiel/41.htm","| ","title=|",M1190,"| target=|_top|&gt;",M1192,"&lt;/a&gt;")</f>
        <v>&lt;/li&gt;&lt;li&gt;&lt;a href=|http://niv.scripturetext.com/ezekiel/41.htm| title=|New International Version| target=|_top|&gt;NIV&lt;/a&gt;</v>
      </c>
      <c r="N843" t="str">
        <f t="shared" si="3368"/>
        <v>&lt;/li&gt;&lt;li&gt;&lt;a href=|http://nlt.scripturetext.com/ezekiel/41.htm| title=|New Living Translation| target=|_top|&gt;NLT&lt;/a&gt;</v>
      </c>
      <c r="O843" t="str">
        <f t="shared" si="3368"/>
        <v>&lt;/li&gt;&lt;li&gt;&lt;a href=|http://nasb.scripturetext.com/ezekiel/41.htm| title=|New American Standard Bible| target=|_top|&gt;NAS&lt;/a&gt;</v>
      </c>
      <c r="P843" t="str">
        <f t="shared" si="3368"/>
        <v>&lt;/li&gt;&lt;li&gt;&lt;a href=|http://gwt.scripturetext.com/ezekiel/41.htm| title=|God's Word Translation| target=|_top|&gt;GWT&lt;/a&gt;</v>
      </c>
      <c r="Q843" t="str">
        <f t="shared" si="3368"/>
        <v>&lt;/li&gt;&lt;li&gt;&lt;a href=|http://kingjbible.com/ezekiel/41.htm| title=|King James Bible| target=|_top|&gt;KJV&lt;/a&gt;</v>
      </c>
      <c r="R843" t="str">
        <f t="shared" si="3368"/>
        <v>&lt;/li&gt;&lt;li&gt;&lt;a href=|http://asvbible.com/ezekiel/41.htm| title=|American Standard Version| target=|_top|&gt;ASV&lt;/a&gt;</v>
      </c>
      <c r="S843" t="str">
        <f t="shared" si="3368"/>
        <v>&lt;/li&gt;&lt;li&gt;&lt;a href=|http://drb.scripturetext.com/ezekiel/41.htm| title=|Douay-Rheims Bible| target=|_top|&gt;DRB&lt;/a&gt;</v>
      </c>
      <c r="T843" t="str">
        <f t="shared" si="3368"/>
        <v>&lt;/li&gt;&lt;li&gt;&lt;a href=|http://erv.scripturetext.com/ezekiel/41.htm| title=|English Revised Version| target=|_top|&gt;ERV&lt;/a&gt;</v>
      </c>
      <c r="V843" t="str">
        <f>CONCATENATE("&lt;/li&gt;&lt;li&gt;&lt;a href=|http://",V1191,"/ezekiel/41.htm","| ","title=|",V1190,"| target=|_top|&gt;",V1192,"&lt;/a&gt;")</f>
        <v>&lt;/li&gt;&lt;li&gt;&lt;a href=|http://study.interlinearbible.org/ezekiel/41.htm| title=|Hebrew Study Bible| target=|_top|&gt;Heb Study&lt;/a&gt;</v>
      </c>
      <c r="W843" t="str">
        <f t="shared" si="3368"/>
        <v>&lt;/li&gt;&lt;li&gt;&lt;a href=|http://apostolic.interlinearbible.org/ezekiel/41.htm| title=|Apostolic Bible Polyglot Interlinear| target=|_top|&gt;Polyglot&lt;/a&gt;</v>
      </c>
      <c r="X843" t="str">
        <f t="shared" si="3368"/>
        <v>&lt;/li&gt;&lt;li&gt;&lt;a href=|http://interlinearbible.org/ezekiel/41.htm| title=|Interlinear Bible| target=|_top|&gt;Interlin&lt;/a&gt;</v>
      </c>
      <c r="Y843" t="str">
        <f t="shared" ref="Y843" si="3369">CONCATENATE("&lt;/li&gt;&lt;li&gt;&lt;a href=|http://",Y1191,"/ezekiel/41.htm","| ","title=|",Y1190,"| target=|_top|&gt;",Y1192,"&lt;/a&gt;")</f>
        <v>&lt;/li&gt;&lt;li&gt;&lt;a href=|http://bibleoutline.org/ezekiel/41.htm| title=|Outline with People and Places List| target=|_top|&gt;Outline&lt;/a&gt;</v>
      </c>
      <c r="Z843" t="str">
        <f t="shared" si="3368"/>
        <v>&lt;/li&gt;&lt;li&gt;&lt;a href=|http://kjvs.scripturetext.com/ezekiel/41.htm| title=|King James Bible with Strong's Numbers| target=|_top|&gt;Strong's&lt;/a&gt;</v>
      </c>
      <c r="AA843" t="str">
        <f t="shared" si="3368"/>
        <v>&lt;/li&gt;&lt;li&gt;&lt;a href=|http://childrensbibleonline.com/ezekiel/41.htm| title=|The Children's Bible| target=|_top|&gt;Children's&lt;/a&gt;</v>
      </c>
      <c r="AB843" s="2" t="str">
        <f t="shared" si="3368"/>
        <v>&lt;/li&gt;&lt;li&gt;&lt;a href=|http://tsk.scripturetext.com/ezekiel/41.htm| title=|Treasury of Scripture Knowledge| target=|_top|&gt;TSK&lt;/a&gt;</v>
      </c>
      <c r="AC843" t="str">
        <f>CONCATENATE("&lt;a href=|http://",AC1191,"/ezekiel/41.htm","| ","title=|",AC1190,"| target=|_top|&gt;",AC1192,"&lt;/a&gt;")</f>
        <v>&lt;a href=|http://parallelbible.com/ezekiel/41.htm| title=|Parallel Chapters| target=|_top|&gt;PAR&lt;/a&gt;</v>
      </c>
      <c r="AD843" s="2" t="str">
        <f t="shared" ref="AD843:AK843" si="3370">CONCATENATE("&lt;/li&gt;&lt;li&gt;&lt;a href=|http://",AD1191,"/ezekiel/41.htm","| ","title=|",AD1190,"| target=|_top|&gt;",AD1192,"&lt;/a&gt;")</f>
        <v>&lt;/li&gt;&lt;li&gt;&lt;a href=|http://gsb.biblecommenter.com/ezekiel/41.htm| title=|Geneva Study Bible| target=|_top|&gt;GSB&lt;/a&gt;</v>
      </c>
      <c r="AE843" s="2" t="str">
        <f t="shared" si="3370"/>
        <v>&lt;/li&gt;&lt;li&gt;&lt;a href=|http://jfb.biblecommenter.com/ezekiel/41.htm| title=|Jamieson-Fausset-Brown Bible Commentary| target=|_top|&gt;JFB&lt;/a&gt;</v>
      </c>
      <c r="AF843" s="2" t="str">
        <f t="shared" si="3370"/>
        <v>&lt;/li&gt;&lt;li&gt;&lt;a href=|http://kjt.biblecommenter.com/ezekiel/41.htm| title=|King James Translators' Notes| target=|_top|&gt;KJT&lt;/a&gt;</v>
      </c>
      <c r="AG843" s="2" t="str">
        <f t="shared" si="3370"/>
        <v>&lt;/li&gt;&lt;li&gt;&lt;a href=|http://mhc.biblecommenter.com/ezekiel/41.htm| title=|Matthew Henry's Concise Commentary| target=|_top|&gt;MHC&lt;/a&gt;</v>
      </c>
      <c r="AH843" s="2" t="str">
        <f t="shared" si="3370"/>
        <v>&lt;/li&gt;&lt;li&gt;&lt;a href=|http://sco.biblecommenter.com/ezekiel/41.htm| title=|Scofield Reference Notes| target=|_top|&gt;SCO&lt;/a&gt;</v>
      </c>
      <c r="AI843" s="2" t="str">
        <f t="shared" si="3370"/>
        <v>&lt;/li&gt;&lt;li&gt;&lt;a href=|http://wes.biblecommenter.com/ezekiel/41.htm| title=|Wesley's Notes on the Bible| target=|_top|&gt;WES&lt;/a&gt;</v>
      </c>
      <c r="AJ843" t="str">
        <f t="shared" si="3370"/>
        <v>&lt;/li&gt;&lt;li&gt;&lt;a href=|http://worldebible.com/ezekiel/41.htm| title=|World English Bible| target=|_top|&gt;WEB&lt;/a&gt;</v>
      </c>
      <c r="AK843" t="str">
        <f t="shared" si="3370"/>
        <v>&lt;/li&gt;&lt;li&gt;&lt;a href=|http://yltbible.com/ezekiel/41.htm| title=|Young's Literal Translation| target=|_top|&gt;YLT&lt;/a&gt;</v>
      </c>
      <c r="AL843" t="str">
        <f>CONCATENATE("&lt;a href=|http://",AL1191,"/ezekiel/41.htm","| ","title=|",AL1190,"| target=|_top|&gt;",AL1192,"&lt;/a&gt;")</f>
        <v>&lt;a href=|http://kjv.us/ezekiel/41.htm| title=|American King James Version| target=|_top|&gt;AKJ&lt;/a&gt;</v>
      </c>
      <c r="AM843" t="str">
        <f t="shared" ref="AM843:AN843" si="3371">CONCATENATE("&lt;/li&gt;&lt;li&gt;&lt;a href=|http://",AM1191,"/ezekiel/41.htm","| ","title=|",AM1190,"| target=|_top|&gt;",AM1192,"&lt;/a&gt;")</f>
        <v>&lt;/li&gt;&lt;li&gt;&lt;a href=|http://basicenglishbible.com/ezekiel/41.htm| title=|Bible in Basic English| target=|_top|&gt;BBE&lt;/a&gt;</v>
      </c>
      <c r="AN843" t="str">
        <f t="shared" si="3371"/>
        <v>&lt;/li&gt;&lt;li&gt;&lt;a href=|http://darbybible.com/ezekiel/41.htm| title=|Darby Bible Translation| target=|_top|&gt;DBY&lt;/a&gt;</v>
      </c>
      <c r="AO84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4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4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43" t="str">
        <f>CONCATENATE("&lt;/li&gt;&lt;li&gt;&lt;a href=|http://",AR1191,"/ezekiel/41.htm","| ","title=|",AR1190,"| target=|_top|&gt;",AR1192,"&lt;/a&gt;")</f>
        <v>&lt;/li&gt;&lt;li&gt;&lt;a href=|http://websterbible.com/ezekiel/41.htm| title=|Webster's Bible Translation| target=|_top|&gt;WBS&lt;/a&gt;</v>
      </c>
      <c r="AS84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43" t="str">
        <f>CONCATENATE("&lt;/li&gt;&lt;li&gt;&lt;a href=|http://",AT1191,"/ezekiel/41-1.htm","| ","title=|",AT1190,"| target=|_top|&gt;",AT1192,"&lt;/a&gt;")</f>
        <v>&lt;/li&gt;&lt;li&gt;&lt;a href=|http://biblebrowser.com/ezekiel/41-1.htm| title=|Split View| target=|_top|&gt;Split&lt;/a&gt;</v>
      </c>
      <c r="AU843" s="2" t="s">
        <v>1276</v>
      </c>
      <c r="AV843" t="s">
        <v>64</v>
      </c>
    </row>
    <row r="844" spans="1:48">
      <c r="A844" t="s">
        <v>622</v>
      </c>
      <c r="B844" t="s">
        <v>885</v>
      </c>
      <c r="C844" t="s">
        <v>624</v>
      </c>
      <c r="D844" t="s">
        <v>1268</v>
      </c>
      <c r="E844" t="s">
        <v>1277</v>
      </c>
      <c r="F844" t="s">
        <v>1304</v>
      </c>
      <c r="G844" t="s">
        <v>1266</v>
      </c>
      <c r="H844" t="s">
        <v>1305</v>
      </c>
      <c r="I844" t="s">
        <v>1303</v>
      </c>
      <c r="J844" t="s">
        <v>1267</v>
      </c>
      <c r="K844" t="s">
        <v>1275</v>
      </c>
      <c r="L844" s="2" t="s">
        <v>1274</v>
      </c>
      <c r="M844" t="str">
        <f t="shared" ref="M844:AB844" si="3372">CONCATENATE("&lt;/li&gt;&lt;li&gt;&lt;a href=|http://",M1191,"/ezekiel/42.htm","| ","title=|",M1190,"| target=|_top|&gt;",M1192,"&lt;/a&gt;")</f>
        <v>&lt;/li&gt;&lt;li&gt;&lt;a href=|http://niv.scripturetext.com/ezekiel/42.htm| title=|New International Version| target=|_top|&gt;NIV&lt;/a&gt;</v>
      </c>
      <c r="N844" t="str">
        <f t="shared" si="3372"/>
        <v>&lt;/li&gt;&lt;li&gt;&lt;a href=|http://nlt.scripturetext.com/ezekiel/42.htm| title=|New Living Translation| target=|_top|&gt;NLT&lt;/a&gt;</v>
      </c>
      <c r="O844" t="str">
        <f t="shared" si="3372"/>
        <v>&lt;/li&gt;&lt;li&gt;&lt;a href=|http://nasb.scripturetext.com/ezekiel/42.htm| title=|New American Standard Bible| target=|_top|&gt;NAS&lt;/a&gt;</v>
      </c>
      <c r="P844" t="str">
        <f t="shared" si="3372"/>
        <v>&lt;/li&gt;&lt;li&gt;&lt;a href=|http://gwt.scripturetext.com/ezekiel/42.htm| title=|God's Word Translation| target=|_top|&gt;GWT&lt;/a&gt;</v>
      </c>
      <c r="Q844" t="str">
        <f t="shared" si="3372"/>
        <v>&lt;/li&gt;&lt;li&gt;&lt;a href=|http://kingjbible.com/ezekiel/42.htm| title=|King James Bible| target=|_top|&gt;KJV&lt;/a&gt;</v>
      </c>
      <c r="R844" t="str">
        <f t="shared" si="3372"/>
        <v>&lt;/li&gt;&lt;li&gt;&lt;a href=|http://asvbible.com/ezekiel/42.htm| title=|American Standard Version| target=|_top|&gt;ASV&lt;/a&gt;</v>
      </c>
      <c r="S844" t="str">
        <f t="shared" si="3372"/>
        <v>&lt;/li&gt;&lt;li&gt;&lt;a href=|http://drb.scripturetext.com/ezekiel/42.htm| title=|Douay-Rheims Bible| target=|_top|&gt;DRB&lt;/a&gt;</v>
      </c>
      <c r="T844" t="str">
        <f t="shared" si="3372"/>
        <v>&lt;/li&gt;&lt;li&gt;&lt;a href=|http://erv.scripturetext.com/ezekiel/42.htm| title=|English Revised Version| target=|_top|&gt;ERV&lt;/a&gt;</v>
      </c>
      <c r="V844" t="str">
        <f>CONCATENATE("&lt;/li&gt;&lt;li&gt;&lt;a href=|http://",V1191,"/ezekiel/42.htm","| ","title=|",V1190,"| target=|_top|&gt;",V1192,"&lt;/a&gt;")</f>
        <v>&lt;/li&gt;&lt;li&gt;&lt;a href=|http://study.interlinearbible.org/ezekiel/42.htm| title=|Hebrew Study Bible| target=|_top|&gt;Heb Study&lt;/a&gt;</v>
      </c>
      <c r="W844" t="str">
        <f t="shared" si="3372"/>
        <v>&lt;/li&gt;&lt;li&gt;&lt;a href=|http://apostolic.interlinearbible.org/ezekiel/42.htm| title=|Apostolic Bible Polyglot Interlinear| target=|_top|&gt;Polyglot&lt;/a&gt;</v>
      </c>
      <c r="X844" t="str">
        <f t="shared" si="3372"/>
        <v>&lt;/li&gt;&lt;li&gt;&lt;a href=|http://interlinearbible.org/ezekiel/42.htm| title=|Interlinear Bible| target=|_top|&gt;Interlin&lt;/a&gt;</v>
      </c>
      <c r="Y844" t="str">
        <f t="shared" ref="Y844" si="3373">CONCATENATE("&lt;/li&gt;&lt;li&gt;&lt;a href=|http://",Y1191,"/ezekiel/42.htm","| ","title=|",Y1190,"| target=|_top|&gt;",Y1192,"&lt;/a&gt;")</f>
        <v>&lt;/li&gt;&lt;li&gt;&lt;a href=|http://bibleoutline.org/ezekiel/42.htm| title=|Outline with People and Places List| target=|_top|&gt;Outline&lt;/a&gt;</v>
      </c>
      <c r="Z844" t="str">
        <f t="shared" si="3372"/>
        <v>&lt;/li&gt;&lt;li&gt;&lt;a href=|http://kjvs.scripturetext.com/ezekiel/42.htm| title=|King James Bible with Strong's Numbers| target=|_top|&gt;Strong's&lt;/a&gt;</v>
      </c>
      <c r="AA844" t="str">
        <f t="shared" si="3372"/>
        <v>&lt;/li&gt;&lt;li&gt;&lt;a href=|http://childrensbibleonline.com/ezekiel/42.htm| title=|The Children's Bible| target=|_top|&gt;Children's&lt;/a&gt;</v>
      </c>
      <c r="AB844" s="2" t="str">
        <f t="shared" si="3372"/>
        <v>&lt;/li&gt;&lt;li&gt;&lt;a href=|http://tsk.scripturetext.com/ezekiel/42.htm| title=|Treasury of Scripture Knowledge| target=|_top|&gt;TSK&lt;/a&gt;</v>
      </c>
      <c r="AC844" t="str">
        <f>CONCATENATE("&lt;a href=|http://",AC1191,"/ezekiel/42.htm","| ","title=|",AC1190,"| target=|_top|&gt;",AC1192,"&lt;/a&gt;")</f>
        <v>&lt;a href=|http://parallelbible.com/ezekiel/42.htm| title=|Parallel Chapters| target=|_top|&gt;PAR&lt;/a&gt;</v>
      </c>
      <c r="AD844" s="2" t="str">
        <f t="shared" ref="AD844:AK844" si="3374">CONCATENATE("&lt;/li&gt;&lt;li&gt;&lt;a href=|http://",AD1191,"/ezekiel/42.htm","| ","title=|",AD1190,"| target=|_top|&gt;",AD1192,"&lt;/a&gt;")</f>
        <v>&lt;/li&gt;&lt;li&gt;&lt;a href=|http://gsb.biblecommenter.com/ezekiel/42.htm| title=|Geneva Study Bible| target=|_top|&gt;GSB&lt;/a&gt;</v>
      </c>
      <c r="AE844" s="2" t="str">
        <f t="shared" si="3374"/>
        <v>&lt;/li&gt;&lt;li&gt;&lt;a href=|http://jfb.biblecommenter.com/ezekiel/42.htm| title=|Jamieson-Fausset-Brown Bible Commentary| target=|_top|&gt;JFB&lt;/a&gt;</v>
      </c>
      <c r="AF844" s="2" t="str">
        <f t="shared" si="3374"/>
        <v>&lt;/li&gt;&lt;li&gt;&lt;a href=|http://kjt.biblecommenter.com/ezekiel/42.htm| title=|King James Translators' Notes| target=|_top|&gt;KJT&lt;/a&gt;</v>
      </c>
      <c r="AG844" s="2" t="str">
        <f t="shared" si="3374"/>
        <v>&lt;/li&gt;&lt;li&gt;&lt;a href=|http://mhc.biblecommenter.com/ezekiel/42.htm| title=|Matthew Henry's Concise Commentary| target=|_top|&gt;MHC&lt;/a&gt;</v>
      </c>
      <c r="AH844" s="2" t="str">
        <f t="shared" si="3374"/>
        <v>&lt;/li&gt;&lt;li&gt;&lt;a href=|http://sco.biblecommenter.com/ezekiel/42.htm| title=|Scofield Reference Notes| target=|_top|&gt;SCO&lt;/a&gt;</v>
      </c>
      <c r="AI844" s="2" t="str">
        <f t="shared" si="3374"/>
        <v>&lt;/li&gt;&lt;li&gt;&lt;a href=|http://wes.biblecommenter.com/ezekiel/42.htm| title=|Wesley's Notes on the Bible| target=|_top|&gt;WES&lt;/a&gt;</v>
      </c>
      <c r="AJ844" t="str">
        <f t="shared" si="3374"/>
        <v>&lt;/li&gt;&lt;li&gt;&lt;a href=|http://worldebible.com/ezekiel/42.htm| title=|World English Bible| target=|_top|&gt;WEB&lt;/a&gt;</v>
      </c>
      <c r="AK844" t="str">
        <f t="shared" si="3374"/>
        <v>&lt;/li&gt;&lt;li&gt;&lt;a href=|http://yltbible.com/ezekiel/42.htm| title=|Young's Literal Translation| target=|_top|&gt;YLT&lt;/a&gt;</v>
      </c>
      <c r="AL844" t="str">
        <f>CONCATENATE("&lt;a href=|http://",AL1191,"/ezekiel/42.htm","| ","title=|",AL1190,"| target=|_top|&gt;",AL1192,"&lt;/a&gt;")</f>
        <v>&lt;a href=|http://kjv.us/ezekiel/42.htm| title=|American King James Version| target=|_top|&gt;AKJ&lt;/a&gt;</v>
      </c>
      <c r="AM844" t="str">
        <f t="shared" ref="AM844:AN844" si="3375">CONCATENATE("&lt;/li&gt;&lt;li&gt;&lt;a href=|http://",AM1191,"/ezekiel/42.htm","| ","title=|",AM1190,"| target=|_top|&gt;",AM1192,"&lt;/a&gt;")</f>
        <v>&lt;/li&gt;&lt;li&gt;&lt;a href=|http://basicenglishbible.com/ezekiel/42.htm| title=|Bible in Basic English| target=|_top|&gt;BBE&lt;/a&gt;</v>
      </c>
      <c r="AN844" t="str">
        <f t="shared" si="3375"/>
        <v>&lt;/li&gt;&lt;li&gt;&lt;a href=|http://darbybible.com/ezekiel/42.htm| title=|Darby Bible Translation| target=|_top|&gt;DBY&lt;/a&gt;</v>
      </c>
      <c r="AO84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4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4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44" t="str">
        <f>CONCATENATE("&lt;/li&gt;&lt;li&gt;&lt;a href=|http://",AR1191,"/ezekiel/42.htm","| ","title=|",AR1190,"| target=|_top|&gt;",AR1192,"&lt;/a&gt;")</f>
        <v>&lt;/li&gt;&lt;li&gt;&lt;a href=|http://websterbible.com/ezekiel/42.htm| title=|Webster's Bible Translation| target=|_top|&gt;WBS&lt;/a&gt;</v>
      </c>
      <c r="AS84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44" t="str">
        <f>CONCATENATE("&lt;/li&gt;&lt;li&gt;&lt;a href=|http://",AT1191,"/ezekiel/42-1.htm","| ","title=|",AT1190,"| target=|_top|&gt;",AT1192,"&lt;/a&gt;")</f>
        <v>&lt;/li&gt;&lt;li&gt;&lt;a href=|http://biblebrowser.com/ezekiel/42-1.htm| title=|Split View| target=|_top|&gt;Split&lt;/a&gt;</v>
      </c>
      <c r="AU844" s="2" t="s">
        <v>1276</v>
      </c>
      <c r="AV844" t="s">
        <v>64</v>
      </c>
    </row>
    <row r="845" spans="1:48">
      <c r="A845" t="s">
        <v>622</v>
      </c>
      <c r="B845" t="s">
        <v>886</v>
      </c>
      <c r="C845" t="s">
        <v>624</v>
      </c>
      <c r="D845" t="s">
        <v>1268</v>
      </c>
      <c r="E845" t="s">
        <v>1277</v>
      </c>
      <c r="F845" t="s">
        <v>1304</v>
      </c>
      <c r="G845" t="s">
        <v>1266</v>
      </c>
      <c r="H845" t="s">
        <v>1305</v>
      </c>
      <c r="I845" t="s">
        <v>1303</v>
      </c>
      <c r="J845" t="s">
        <v>1267</v>
      </c>
      <c r="K845" t="s">
        <v>1275</v>
      </c>
      <c r="L845" s="2" t="s">
        <v>1274</v>
      </c>
      <c r="M845" t="str">
        <f t="shared" ref="M845:AB845" si="3376">CONCATENATE("&lt;/li&gt;&lt;li&gt;&lt;a href=|http://",M1191,"/ezekiel/43.htm","| ","title=|",M1190,"| target=|_top|&gt;",M1192,"&lt;/a&gt;")</f>
        <v>&lt;/li&gt;&lt;li&gt;&lt;a href=|http://niv.scripturetext.com/ezekiel/43.htm| title=|New International Version| target=|_top|&gt;NIV&lt;/a&gt;</v>
      </c>
      <c r="N845" t="str">
        <f t="shared" si="3376"/>
        <v>&lt;/li&gt;&lt;li&gt;&lt;a href=|http://nlt.scripturetext.com/ezekiel/43.htm| title=|New Living Translation| target=|_top|&gt;NLT&lt;/a&gt;</v>
      </c>
      <c r="O845" t="str">
        <f t="shared" si="3376"/>
        <v>&lt;/li&gt;&lt;li&gt;&lt;a href=|http://nasb.scripturetext.com/ezekiel/43.htm| title=|New American Standard Bible| target=|_top|&gt;NAS&lt;/a&gt;</v>
      </c>
      <c r="P845" t="str">
        <f t="shared" si="3376"/>
        <v>&lt;/li&gt;&lt;li&gt;&lt;a href=|http://gwt.scripturetext.com/ezekiel/43.htm| title=|God's Word Translation| target=|_top|&gt;GWT&lt;/a&gt;</v>
      </c>
      <c r="Q845" t="str">
        <f t="shared" si="3376"/>
        <v>&lt;/li&gt;&lt;li&gt;&lt;a href=|http://kingjbible.com/ezekiel/43.htm| title=|King James Bible| target=|_top|&gt;KJV&lt;/a&gt;</v>
      </c>
      <c r="R845" t="str">
        <f t="shared" si="3376"/>
        <v>&lt;/li&gt;&lt;li&gt;&lt;a href=|http://asvbible.com/ezekiel/43.htm| title=|American Standard Version| target=|_top|&gt;ASV&lt;/a&gt;</v>
      </c>
      <c r="S845" t="str">
        <f t="shared" si="3376"/>
        <v>&lt;/li&gt;&lt;li&gt;&lt;a href=|http://drb.scripturetext.com/ezekiel/43.htm| title=|Douay-Rheims Bible| target=|_top|&gt;DRB&lt;/a&gt;</v>
      </c>
      <c r="T845" t="str">
        <f t="shared" si="3376"/>
        <v>&lt;/li&gt;&lt;li&gt;&lt;a href=|http://erv.scripturetext.com/ezekiel/43.htm| title=|English Revised Version| target=|_top|&gt;ERV&lt;/a&gt;</v>
      </c>
      <c r="V845" t="str">
        <f>CONCATENATE("&lt;/li&gt;&lt;li&gt;&lt;a href=|http://",V1191,"/ezekiel/43.htm","| ","title=|",V1190,"| target=|_top|&gt;",V1192,"&lt;/a&gt;")</f>
        <v>&lt;/li&gt;&lt;li&gt;&lt;a href=|http://study.interlinearbible.org/ezekiel/43.htm| title=|Hebrew Study Bible| target=|_top|&gt;Heb Study&lt;/a&gt;</v>
      </c>
      <c r="W845" t="str">
        <f t="shared" si="3376"/>
        <v>&lt;/li&gt;&lt;li&gt;&lt;a href=|http://apostolic.interlinearbible.org/ezekiel/43.htm| title=|Apostolic Bible Polyglot Interlinear| target=|_top|&gt;Polyglot&lt;/a&gt;</v>
      </c>
      <c r="X845" t="str">
        <f t="shared" si="3376"/>
        <v>&lt;/li&gt;&lt;li&gt;&lt;a href=|http://interlinearbible.org/ezekiel/43.htm| title=|Interlinear Bible| target=|_top|&gt;Interlin&lt;/a&gt;</v>
      </c>
      <c r="Y845" t="str">
        <f t="shared" ref="Y845" si="3377">CONCATENATE("&lt;/li&gt;&lt;li&gt;&lt;a href=|http://",Y1191,"/ezekiel/43.htm","| ","title=|",Y1190,"| target=|_top|&gt;",Y1192,"&lt;/a&gt;")</f>
        <v>&lt;/li&gt;&lt;li&gt;&lt;a href=|http://bibleoutline.org/ezekiel/43.htm| title=|Outline with People and Places List| target=|_top|&gt;Outline&lt;/a&gt;</v>
      </c>
      <c r="Z845" t="str">
        <f t="shared" si="3376"/>
        <v>&lt;/li&gt;&lt;li&gt;&lt;a href=|http://kjvs.scripturetext.com/ezekiel/43.htm| title=|King James Bible with Strong's Numbers| target=|_top|&gt;Strong's&lt;/a&gt;</v>
      </c>
      <c r="AA845" t="str">
        <f t="shared" si="3376"/>
        <v>&lt;/li&gt;&lt;li&gt;&lt;a href=|http://childrensbibleonline.com/ezekiel/43.htm| title=|The Children's Bible| target=|_top|&gt;Children's&lt;/a&gt;</v>
      </c>
      <c r="AB845" s="2" t="str">
        <f t="shared" si="3376"/>
        <v>&lt;/li&gt;&lt;li&gt;&lt;a href=|http://tsk.scripturetext.com/ezekiel/43.htm| title=|Treasury of Scripture Knowledge| target=|_top|&gt;TSK&lt;/a&gt;</v>
      </c>
      <c r="AC845" t="str">
        <f>CONCATENATE("&lt;a href=|http://",AC1191,"/ezekiel/43.htm","| ","title=|",AC1190,"| target=|_top|&gt;",AC1192,"&lt;/a&gt;")</f>
        <v>&lt;a href=|http://parallelbible.com/ezekiel/43.htm| title=|Parallel Chapters| target=|_top|&gt;PAR&lt;/a&gt;</v>
      </c>
      <c r="AD845" s="2" t="str">
        <f t="shared" ref="AD845:AK845" si="3378">CONCATENATE("&lt;/li&gt;&lt;li&gt;&lt;a href=|http://",AD1191,"/ezekiel/43.htm","| ","title=|",AD1190,"| target=|_top|&gt;",AD1192,"&lt;/a&gt;")</f>
        <v>&lt;/li&gt;&lt;li&gt;&lt;a href=|http://gsb.biblecommenter.com/ezekiel/43.htm| title=|Geneva Study Bible| target=|_top|&gt;GSB&lt;/a&gt;</v>
      </c>
      <c r="AE845" s="2" t="str">
        <f t="shared" si="3378"/>
        <v>&lt;/li&gt;&lt;li&gt;&lt;a href=|http://jfb.biblecommenter.com/ezekiel/43.htm| title=|Jamieson-Fausset-Brown Bible Commentary| target=|_top|&gt;JFB&lt;/a&gt;</v>
      </c>
      <c r="AF845" s="2" t="str">
        <f t="shared" si="3378"/>
        <v>&lt;/li&gt;&lt;li&gt;&lt;a href=|http://kjt.biblecommenter.com/ezekiel/43.htm| title=|King James Translators' Notes| target=|_top|&gt;KJT&lt;/a&gt;</v>
      </c>
      <c r="AG845" s="2" t="str">
        <f t="shared" si="3378"/>
        <v>&lt;/li&gt;&lt;li&gt;&lt;a href=|http://mhc.biblecommenter.com/ezekiel/43.htm| title=|Matthew Henry's Concise Commentary| target=|_top|&gt;MHC&lt;/a&gt;</v>
      </c>
      <c r="AH845" s="2" t="str">
        <f t="shared" si="3378"/>
        <v>&lt;/li&gt;&lt;li&gt;&lt;a href=|http://sco.biblecommenter.com/ezekiel/43.htm| title=|Scofield Reference Notes| target=|_top|&gt;SCO&lt;/a&gt;</v>
      </c>
      <c r="AI845" s="2" t="str">
        <f t="shared" si="3378"/>
        <v>&lt;/li&gt;&lt;li&gt;&lt;a href=|http://wes.biblecommenter.com/ezekiel/43.htm| title=|Wesley's Notes on the Bible| target=|_top|&gt;WES&lt;/a&gt;</v>
      </c>
      <c r="AJ845" t="str">
        <f t="shared" si="3378"/>
        <v>&lt;/li&gt;&lt;li&gt;&lt;a href=|http://worldebible.com/ezekiel/43.htm| title=|World English Bible| target=|_top|&gt;WEB&lt;/a&gt;</v>
      </c>
      <c r="AK845" t="str">
        <f t="shared" si="3378"/>
        <v>&lt;/li&gt;&lt;li&gt;&lt;a href=|http://yltbible.com/ezekiel/43.htm| title=|Young's Literal Translation| target=|_top|&gt;YLT&lt;/a&gt;</v>
      </c>
      <c r="AL845" t="str">
        <f>CONCATENATE("&lt;a href=|http://",AL1191,"/ezekiel/43.htm","| ","title=|",AL1190,"| target=|_top|&gt;",AL1192,"&lt;/a&gt;")</f>
        <v>&lt;a href=|http://kjv.us/ezekiel/43.htm| title=|American King James Version| target=|_top|&gt;AKJ&lt;/a&gt;</v>
      </c>
      <c r="AM845" t="str">
        <f t="shared" ref="AM845:AN845" si="3379">CONCATENATE("&lt;/li&gt;&lt;li&gt;&lt;a href=|http://",AM1191,"/ezekiel/43.htm","| ","title=|",AM1190,"| target=|_top|&gt;",AM1192,"&lt;/a&gt;")</f>
        <v>&lt;/li&gt;&lt;li&gt;&lt;a href=|http://basicenglishbible.com/ezekiel/43.htm| title=|Bible in Basic English| target=|_top|&gt;BBE&lt;/a&gt;</v>
      </c>
      <c r="AN845" t="str">
        <f t="shared" si="3379"/>
        <v>&lt;/li&gt;&lt;li&gt;&lt;a href=|http://darbybible.com/ezekiel/43.htm| title=|Darby Bible Translation| target=|_top|&gt;DBY&lt;/a&gt;</v>
      </c>
      <c r="AO84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4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4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45" t="str">
        <f>CONCATENATE("&lt;/li&gt;&lt;li&gt;&lt;a href=|http://",AR1191,"/ezekiel/43.htm","| ","title=|",AR1190,"| target=|_top|&gt;",AR1192,"&lt;/a&gt;")</f>
        <v>&lt;/li&gt;&lt;li&gt;&lt;a href=|http://websterbible.com/ezekiel/43.htm| title=|Webster's Bible Translation| target=|_top|&gt;WBS&lt;/a&gt;</v>
      </c>
      <c r="AS84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45" t="str">
        <f>CONCATENATE("&lt;/li&gt;&lt;li&gt;&lt;a href=|http://",AT1191,"/ezekiel/43-1.htm","| ","title=|",AT1190,"| target=|_top|&gt;",AT1192,"&lt;/a&gt;")</f>
        <v>&lt;/li&gt;&lt;li&gt;&lt;a href=|http://biblebrowser.com/ezekiel/43-1.htm| title=|Split View| target=|_top|&gt;Split&lt;/a&gt;</v>
      </c>
      <c r="AU845" s="2" t="s">
        <v>1276</v>
      </c>
      <c r="AV845" t="s">
        <v>64</v>
      </c>
    </row>
    <row r="846" spans="1:48">
      <c r="A846" t="s">
        <v>622</v>
      </c>
      <c r="B846" t="s">
        <v>887</v>
      </c>
      <c r="C846" t="s">
        <v>624</v>
      </c>
      <c r="D846" t="s">
        <v>1268</v>
      </c>
      <c r="E846" t="s">
        <v>1277</v>
      </c>
      <c r="F846" t="s">
        <v>1304</v>
      </c>
      <c r="G846" t="s">
        <v>1266</v>
      </c>
      <c r="H846" t="s">
        <v>1305</v>
      </c>
      <c r="I846" t="s">
        <v>1303</v>
      </c>
      <c r="J846" t="s">
        <v>1267</v>
      </c>
      <c r="K846" t="s">
        <v>1275</v>
      </c>
      <c r="L846" s="2" t="s">
        <v>1274</v>
      </c>
      <c r="M846" t="str">
        <f t="shared" ref="M846:AB846" si="3380">CONCATENATE("&lt;/li&gt;&lt;li&gt;&lt;a href=|http://",M1191,"/ezekiel/44.htm","| ","title=|",M1190,"| target=|_top|&gt;",M1192,"&lt;/a&gt;")</f>
        <v>&lt;/li&gt;&lt;li&gt;&lt;a href=|http://niv.scripturetext.com/ezekiel/44.htm| title=|New International Version| target=|_top|&gt;NIV&lt;/a&gt;</v>
      </c>
      <c r="N846" t="str">
        <f t="shared" si="3380"/>
        <v>&lt;/li&gt;&lt;li&gt;&lt;a href=|http://nlt.scripturetext.com/ezekiel/44.htm| title=|New Living Translation| target=|_top|&gt;NLT&lt;/a&gt;</v>
      </c>
      <c r="O846" t="str">
        <f t="shared" si="3380"/>
        <v>&lt;/li&gt;&lt;li&gt;&lt;a href=|http://nasb.scripturetext.com/ezekiel/44.htm| title=|New American Standard Bible| target=|_top|&gt;NAS&lt;/a&gt;</v>
      </c>
      <c r="P846" t="str">
        <f t="shared" si="3380"/>
        <v>&lt;/li&gt;&lt;li&gt;&lt;a href=|http://gwt.scripturetext.com/ezekiel/44.htm| title=|God's Word Translation| target=|_top|&gt;GWT&lt;/a&gt;</v>
      </c>
      <c r="Q846" t="str">
        <f t="shared" si="3380"/>
        <v>&lt;/li&gt;&lt;li&gt;&lt;a href=|http://kingjbible.com/ezekiel/44.htm| title=|King James Bible| target=|_top|&gt;KJV&lt;/a&gt;</v>
      </c>
      <c r="R846" t="str">
        <f t="shared" si="3380"/>
        <v>&lt;/li&gt;&lt;li&gt;&lt;a href=|http://asvbible.com/ezekiel/44.htm| title=|American Standard Version| target=|_top|&gt;ASV&lt;/a&gt;</v>
      </c>
      <c r="S846" t="str">
        <f t="shared" si="3380"/>
        <v>&lt;/li&gt;&lt;li&gt;&lt;a href=|http://drb.scripturetext.com/ezekiel/44.htm| title=|Douay-Rheims Bible| target=|_top|&gt;DRB&lt;/a&gt;</v>
      </c>
      <c r="T846" t="str">
        <f t="shared" si="3380"/>
        <v>&lt;/li&gt;&lt;li&gt;&lt;a href=|http://erv.scripturetext.com/ezekiel/44.htm| title=|English Revised Version| target=|_top|&gt;ERV&lt;/a&gt;</v>
      </c>
      <c r="V846" t="str">
        <f>CONCATENATE("&lt;/li&gt;&lt;li&gt;&lt;a href=|http://",V1191,"/ezekiel/44.htm","| ","title=|",V1190,"| target=|_top|&gt;",V1192,"&lt;/a&gt;")</f>
        <v>&lt;/li&gt;&lt;li&gt;&lt;a href=|http://study.interlinearbible.org/ezekiel/44.htm| title=|Hebrew Study Bible| target=|_top|&gt;Heb Study&lt;/a&gt;</v>
      </c>
      <c r="W846" t="str">
        <f t="shared" si="3380"/>
        <v>&lt;/li&gt;&lt;li&gt;&lt;a href=|http://apostolic.interlinearbible.org/ezekiel/44.htm| title=|Apostolic Bible Polyglot Interlinear| target=|_top|&gt;Polyglot&lt;/a&gt;</v>
      </c>
      <c r="X846" t="str">
        <f t="shared" si="3380"/>
        <v>&lt;/li&gt;&lt;li&gt;&lt;a href=|http://interlinearbible.org/ezekiel/44.htm| title=|Interlinear Bible| target=|_top|&gt;Interlin&lt;/a&gt;</v>
      </c>
      <c r="Y846" t="str">
        <f t="shared" ref="Y846" si="3381">CONCATENATE("&lt;/li&gt;&lt;li&gt;&lt;a href=|http://",Y1191,"/ezekiel/44.htm","| ","title=|",Y1190,"| target=|_top|&gt;",Y1192,"&lt;/a&gt;")</f>
        <v>&lt;/li&gt;&lt;li&gt;&lt;a href=|http://bibleoutline.org/ezekiel/44.htm| title=|Outline with People and Places List| target=|_top|&gt;Outline&lt;/a&gt;</v>
      </c>
      <c r="Z846" t="str">
        <f t="shared" si="3380"/>
        <v>&lt;/li&gt;&lt;li&gt;&lt;a href=|http://kjvs.scripturetext.com/ezekiel/44.htm| title=|King James Bible with Strong's Numbers| target=|_top|&gt;Strong's&lt;/a&gt;</v>
      </c>
      <c r="AA846" t="str">
        <f t="shared" si="3380"/>
        <v>&lt;/li&gt;&lt;li&gt;&lt;a href=|http://childrensbibleonline.com/ezekiel/44.htm| title=|The Children's Bible| target=|_top|&gt;Children's&lt;/a&gt;</v>
      </c>
      <c r="AB846" s="2" t="str">
        <f t="shared" si="3380"/>
        <v>&lt;/li&gt;&lt;li&gt;&lt;a href=|http://tsk.scripturetext.com/ezekiel/44.htm| title=|Treasury of Scripture Knowledge| target=|_top|&gt;TSK&lt;/a&gt;</v>
      </c>
      <c r="AC846" t="str">
        <f>CONCATENATE("&lt;a href=|http://",AC1191,"/ezekiel/44.htm","| ","title=|",AC1190,"| target=|_top|&gt;",AC1192,"&lt;/a&gt;")</f>
        <v>&lt;a href=|http://parallelbible.com/ezekiel/44.htm| title=|Parallel Chapters| target=|_top|&gt;PAR&lt;/a&gt;</v>
      </c>
      <c r="AD846" s="2" t="str">
        <f t="shared" ref="AD846:AK846" si="3382">CONCATENATE("&lt;/li&gt;&lt;li&gt;&lt;a href=|http://",AD1191,"/ezekiel/44.htm","| ","title=|",AD1190,"| target=|_top|&gt;",AD1192,"&lt;/a&gt;")</f>
        <v>&lt;/li&gt;&lt;li&gt;&lt;a href=|http://gsb.biblecommenter.com/ezekiel/44.htm| title=|Geneva Study Bible| target=|_top|&gt;GSB&lt;/a&gt;</v>
      </c>
      <c r="AE846" s="2" t="str">
        <f t="shared" si="3382"/>
        <v>&lt;/li&gt;&lt;li&gt;&lt;a href=|http://jfb.biblecommenter.com/ezekiel/44.htm| title=|Jamieson-Fausset-Brown Bible Commentary| target=|_top|&gt;JFB&lt;/a&gt;</v>
      </c>
      <c r="AF846" s="2" t="str">
        <f t="shared" si="3382"/>
        <v>&lt;/li&gt;&lt;li&gt;&lt;a href=|http://kjt.biblecommenter.com/ezekiel/44.htm| title=|King James Translators' Notes| target=|_top|&gt;KJT&lt;/a&gt;</v>
      </c>
      <c r="AG846" s="2" t="str">
        <f t="shared" si="3382"/>
        <v>&lt;/li&gt;&lt;li&gt;&lt;a href=|http://mhc.biblecommenter.com/ezekiel/44.htm| title=|Matthew Henry's Concise Commentary| target=|_top|&gt;MHC&lt;/a&gt;</v>
      </c>
      <c r="AH846" s="2" t="str">
        <f t="shared" si="3382"/>
        <v>&lt;/li&gt;&lt;li&gt;&lt;a href=|http://sco.biblecommenter.com/ezekiel/44.htm| title=|Scofield Reference Notes| target=|_top|&gt;SCO&lt;/a&gt;</v>
      </c>
      <c r="AI846" s="2" t="str">
        <f t="shared" si="3382"/>
        <v>&lt;/li&gt;&lt;li&gt;&lt;a href=|http://wes.biblecommenter.com/ezekiel/44.htm| title=|Wesley's Notes on the Bible| target=|_top|&gt;WES&lt;/a&gt;</v>
      </c>
      <c r="AJ846" t="str">
        <f t="shared" si="3382"/>
        <v>&lt;/li&gt;&lt;li&gt;&lt;a href=|http://worldebible.com/ezekiel/44.htm| title=|World English Bible| target=|_top|&gt;WEB&lt;/a&gt;</v>
      </c>
      <c r="AK846" t="str">
        <f t="shared" si="3382"/>
        <v>&lt;/li&gt;&lt;li&gt;&lt;a href=|http://yltbible.com/ezekiel/44.htm| title=|Young's Literal Translation| target=|_top|&gt;YLT&lt;/a&gt;</v>
      </c>
      <c r="AL846" t="str">
        <f>CONCATENATE("&lt;a href=|http://",AL1191,"/ezekiel/44.htm","| ","title=|",AL1190,"| target=|_top|&gt;",AL1192,"&lt;/a&gt;")</f>
        <v>&lt;a href=|http://kjv.us/ezekiel/44.htm| title=|American King James Version| target=|_top|&gt;AKJ&lt;/a&gt;</v>
      </c>
      <c r="AM846" t="str">
        <f t="shared" ref="AM846:AN846" si="3383">CONCATENATE("&lt;/li&gt;&lt;li&gt;&lt;a href=|http://",AM1191,"/ezekiel/44.htm","| ","title=|",AM1190,"| target=|_top|&gt;",AM1192,"&lt;/a&gt;")</f>
        <v>&lt;/li&gt;&lt;li&gt;&lt;a href=|http://basicenglishbible.com/ezekiel/44.htm| title=|Bible in Basic English| target=|_top|&gt;BBE&lt;/a&gt;</v>
      </c>
      <c r="AN846" t="str">
        <f t="shared" si="3383"/>
        <v>&lt;/li&gt;&lt;li&gt;&lt;a href=|http://darbybible.com/ezekiel/44.htm| title=|Darby Bible Translation| target=|_top|&gt;DBY&lt;/a&gt;</v>
      </c>
      <c r="AO84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4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4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46" t="str">
        <f>CONCATENATE("&lt;/li&gt;&lt;li&gt;&lt;a href=|http://",AR1191,"/ezekiel/44.htm","| ","title=|",AR1190,"| target=|_top|&gt;",AR1192,"&lt;/a&gt;")</f>
        <v>&lt;/li&gt;&lt;li&gt;&lt;a href=|http://websterbible.com/ezekiel/44.htm| title=|Webster's Bible Translation| target=|_top|&gt;WBS&lt;/a&gt;</v>
      </c>
      <c r="AS84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46" t="str">
        <f>CONCATENATE("&lt;/li&gt;&lt;li&gt;&lt;a href=|http://",AT1191,"/ezekiel/44-1.htm","| ","title=|",AT1190,"| target=|_top|&gt;",AT1192,"&lt;/a&gt;")</f>
        <v>&lt;/li&gt;&lt;li&gt;&lt;a href=|http://biblebrowser.com/ezekiel/44-1.htm| title=|Split View| target=|_top|&gt;Split&lt;/a&gt;</v>
      </c>
      <c r="AU846" s="2" t="s">
        <v>1276</v>
      </c>
      <c r="AV846" t="s">
        <v>64</v>
      </c>
    </row>
    <row r="847" spans="1:48">
      <c r="A847" t="s">
        <v>622</v>
      </c>
      <c r="B847" t="s">
        <v>888</v>
      </c>
      <c r="C847" t="s">
        <v>624</v>
      </c>
      <c r="D847" t="s">
        <v>1268</v>
      </c>
      <c r="E847" t="s">
        <v>1277</v>
      </c>
      <c r="F847" t="s">
        <v>1304</v>
      </c>
      <c r="G847" t="s">
        <v>1266</v>
      </c>
      <c r="H847" t="s">
        <v>1305</v>
      </c>
      <c r="I847" t="s">
        <v>1303</v>
      </c>
      <c r="J847" t="s">
        <v>1267</v>
      </c>
      <c r="K847" t="s">
        <v>1275</v>
      </c>
      <c r="L847" s="2" t="s">
        <v>1274</v>
      </c>
      <c r="M847" t="str">
        <f t="shared" ref="M847:AB847" si="3384">CONCATENATE("&lt;/li&gt;&lt;li&gt;&lt;a href=|http://",M1191,"/ezekiel/45.htm","| ","title=|",M1190,"| target=|_top|&gt;",M1192,"&lt;/a&gt;")</f>
        <v>&lt;/li&gt;&lt;li&gt;&lt;a href=|http://niv.scripturetext.com/ezekiel/45.htm| title=|New International Version| target=|_top|&gt;NIV&lt;/a&gt;</v>
      </c>
      <c r="N847" t="str">
        <f t="shared" si="3384"/>
        <v>&lt;/li&gt;&lt;li&gt;&lt;a href=|http://nlt.scripturetext.com/ezekiel/45.htm| title=|New Living Translation| target=|_top|&gt;NLT&lt;/a&gt;</v>
      </c>
      <c r="O847" t="str">
        <f t="shared" si="3384"/>
        <v>&lt;/li&gt;&lt;li&gt;&lt;a href=|http://nasb.scripturetext.com/ezekiel/45.htm| title=|New American Standard Bible| target=|_top|&gt;NAS&lt;/a&gt;</v>
      </c>
      <c r="P847" t="str">
        <f t="shared" si="3384"/>
        <v>&lt;/li&gt;&lt;li&gt;&lt;a href=|http://gwt.scripturetext.com/ezekiel/45.htm| title=|God's Word Translation| target=|_top|&gt;GWT&lt;/a&gt;</v>
      </c>
      <c r="Q847" t="str">
        <f t="shared" si="3384"/>
        <v>&lt;/li&gt;&lt;li&gt;&lt;a href=|http://kingjbible.com/ezekiel/45.htm| title=|King James Bible| target=|_top|&gt;KJV&lt;/a&gt;</v>
      </c>
      <c r="R847" t="str">
        <f t="shared" si="3384"/>
        <v>&lt;/li&gt;&lt;li&gt;&lt;a href=|http://asvbible.com/ezekiel/45.htm| title=|American Standard Version| target=|_top|&gt;ASV&lt;/a&gt;</v>
      </c>
      <c r="S847" t="str">
        <f t="shared" si="3384"/>
        <v>&lt;/li&gt;&lt;li&gt;&lt;a href=|http://drb.scripturetext.com/ezekiel/45.htm| title=|Douay-Rheims Bible| target=|_top|&gt;DRB&lt;/a&gt;</v>
      </c>
      <c r="T847" t="str">
        <f t="shared" si="3384"/>
        <v>&lt;/li&gt;&lt;li&gt;&lt;a href=|http://erv.scripturetext.com/ezekiel/45.htm| title=|English Revised Version| target=|_top|&gt;ERV&lt;/a&gt;</v>
      </c>
      <c r="V847" t="str">
        <f>CONCATENATE("&lt;/li&gt;&lt;li&gt;&lt;a href=|http://",V1191,"/ezekiel/45.htm","| ","title=|",V1190,"| target=|_top|&gt;",V1192,"&lt;/a&gt;")</f>
        <v>&lt;/li&gt;&lt;li&gt;&lt;a href=|http://study.interlinearbible.org/ezekiel/45.htm| title=|Hebrew Study Bible| target=|_top|&gt;Heb Study&lt;/a&gt;</v>
      </c>
      <c r="W847" t="str">
        <f t="shared" si="3384"/>
        <v>&lt;/li&gt;&lt;li&gt;&lt;a href=|http://apostolic.interlinearbible.org/ezekiel/45.htm| title=|Apostolic Bible Polyglot Interlinear| target=|_top|&gt;Polyglot&lt;/a&gt;</v>
      </c>
      <c r="X847" t="str">
        <f t="shared" si="3384"/>
        <v>&lt;/li&gt;&lt;li&gt;&lt;a href=|http://interlinearbible.org/ezekiel/45.htm| title=|Interlinear Bible| target=|_top|&gt;Interlin&lt;/a&gt;</v>
      </c>
      <c r="Y847" t="str">
        <f t="shared" ref="Y847" si="3385">CONCATENATE("&lt;/li&gt;&lt;li&gt;&lt;a href=|http://",Y1191,"/ezekiel/45.htm","| ","title=|",Y1190,"| target=|_top|&gt;",Y1192,"&lt;/a&gt;")</f>
        <v>&lt;/li&gt;&lt;li&gt;&lt;a href=|http://bibleoutline.org/ezekiel/45.htm| title=|Outline with People and Places List| target=|_top|&gt;Outline&lt;/a&gt;</v>
      </c>
      <c r="Z847" t="str">
        <f t="shared" si="3384"/>
        <v>&lt;/li&gt;&lt;li&gt;&lt;a href=|http://kjvs.scripturetext.com/ezekiel/45.htm| title=|King James Bible with Strong's Numbers| target=|_top|&gt;Strong's&lt;/a&gt;</v>
      </c>
      <c r="AA847" t="str">
        <f t="shared" si="3384"/>
        <v>&lt;/li&gt;&lt;li&gt;&lt;a href=|http://childrensbibleonline.com/ezekiel/45.htm| title=|The Children's Bible| target=|_top|&gt;Children's&lt;/a&gt;</v>
      </c>
      <c r="AB847" s="2" t="str">
        <f t="shared" si="3384"/>
        <v>&lt;/li&gt;&lt;li&gt;&lt;a href=|http://tsk.scripturetext.com/ezekiel/45.htm| title=|Treasury of Scripture Knowledge| target=|_top|&gt;TSK&lt;/a&gt;</v>
      </c>
      <c r="AC847" t="str">
        <f>CONCATENATE("&lt;a href=|http://",AC1191,"/ezekiel/45.htm","| ","title=|",AC1190,"| target=|_top|&gt;",AC1192,"&lt;/a&gt;")</f>
        <v>&lt;a href=|http://parallelbible.com/ezekiel/45.htm| title=|Parallel Chapters| target=|_top|&gt;PAR&lt;/a&gt;</v>
      </c>
      <c r="AD847" s="2" t="str">
        <f t="shared" ref="AD847:AK847" si="3386">CONCATENATE("&lt;/li&gt;&lt;li&gt;&lt;a href=|http://",AD1191,"/ezekiel/45.htm","| ","title=|",AD1190,"| target=|_top|&gt;",AD1192,"&lt;/a&gt;")</f>
        <v>&lt;/li&gt;&lt;li&gt;&lt;a href=|http://gsb.biblecommenter.com/ezekiel/45.htm| title=|Geneva Study Bible| target=|_top|&gt;GSB&lt;/a&gt;</v>
      </c>
      <c r="AE847" s="2" t="str">
        <f t="shared" si="3386"/>
        <v>&lt;/li&gt;&lt;li&gt;&lt;a href=|http://jfb.biblecommenter.com/ezekiel/45.htm| title=|Jamieson-Fausset-Brown Bible Commentary| target=|_top|&gt;JFB&lt;/a&gt;</v>
      </c>
      <c r="AF847" s="2" t="str">
        <f t="shared" si="3386"/>
        <v>&lt;/li&gt;&lt;li&gt;&lt;a href=|http://kjt.biblecommenter.com/ezekiel/45.htm| title=|King James Translators' Notes| target=|_top|&gt;KJT&lt;/a&gt;</v>
      </c>
      <c r="AG847" s="2" t="str">
        <f t="shared" si="3386"/>
        <v>&lt;/li&gt;&lt;li&gt;&lt;a href=|http://mhc.biblecommenter.com/ezekiel/45.htm| title=|Matthew Henry's Concise Commentary| target=|_top|&gt;MHC&lt;/a&gt;</v>
      </c>
      <c r="AH847" s="2" t="str">
        <f t="shared" si="3386"/>
        <v>&lt;/li&gt;&lt;li&gt;&lt;a href=|http://sco.biblecommenter.com/ezekiel/45.htm| title=|Scofield Reference Notes| target=|_top|&gt;SCO&lt;/a&gt;</v>
      </c>
      <c r="AI847" s="2" t="str">
        <f t="shared" si="3386"/>
        <v>&lt;/li&gt;&lt;li&gt;&lt;a href=|http://wes.biblecommenter.com/ezekiel/45.htm| title=|Wesley's Notes on the Bible| target=|_top|&gt;WES&lt;/a&gt;</v>
      </c>
      <c r="AJ847" t="str">
        <f t="shared" si="3386"/>
        <v>&lt;/li&gt;&lt;li&gt;&lt;a href=|http://worldebible.com/ezekiel/45.htm| title=|World English Bible| target=|_top|&gt;WEB&lt;/a&gt;</v>
      </c>
      <c r="AK847" t="str">
        <f t="shared" si="3386"/>
        <v>&lt;/li&gt;&lt;li&gt;&lt;a href=|http://yltbible.com/ezekiel/45.htm| title=|Young's Literal Translation| target=|_top|&gt;YLT&lt;/a&gt;</v>
      </c>
      <c r="AL847" t="str">
        <f>CONCATENATE("&lt;a href=|http://",AL1191,"/ezekiel/45.htm","| ","title=|",AL1190,"| target=|_top|&gt;",AL1192,"&lt;/a&gt;")</f>
        <v>&lt;a href=|http://kjv.us/ezekiel/45.htm| title=|American King James Version| target=|_top|&gt;AKJ&lt;/a&gt;</v>
      </c>
      <c r="AM847" t="str">
        <f t="shared" ref="AM847:AN847" si="3387">CONCATENATE("&lt;/li&gt;&lt;li&gt;&lt;a href=|http://",AM1191,"/ezekiel/45.htm","| ","title=|",AM1190,"| target=|_top|&gt;",AM1192,"&lt;/a&gt;")</f>
        <v>&lt;/li&gt;&lt;li&gt;&lt;a href=|http://basicenglishbible.com/ezekiel/45.htm| title=|Bible in Basic English| target=|_top|&gt;BBE&lt;/a&gt;</v>
      </c>
      <c r="AN847" t="str">
        <f t="shared" si="3387"/>
        <v>&lt;/li&gt;&lt;li&gt;&lt;a href=|http://darbybible.com/ezekiel/45.htm| title=|Darby Bible Translation| target=|_top|&gt;DBY&lt;/a&gt;</v>
      </c>
      <c r="AO84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4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4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47" t="str">
        <f>CONCATENATE("&lt;/li&gt;&lt;li&gt;&lt;a href=|http://",AR1191,"/ezekiel/45.htm","| ","title=|",AR1190,"| target=|_top|&gt;",AR1192,"&lt;/a&gt;")</f>
        <v>&lt;/li&gt;&lt;li&gt;&lt;a href=|http://websterbible.com/ezekiel/45.htm| title=|Webster's Bible Translation| target=|_top|&gt;WBS&lt;/a&gt;</v>
      </c>
      <c r="AS84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47" t="str">
        <f>CONCATENATE("&lt;/li&gt;&lt;li&gt;&lt;a href=|http://",AT1191,"/ezekiel/45-1.htm","| ","title=|",AT1190,"| target=|_top|&gt;",AT1192,"&lt;/a&gt;")</f>
        <v>&lt;/li&gt;&lt;li&gt;&lt;a href=|http://biblebrowser.com/ezekiel/45-1.htm| title=|Split View| target=|_top|&gt;Split&lt;/a&gt;</v>
      </c>
      <c r="AU847" s="2" t="s">
        <v>1276</v>
      </c>
      <c r="AV847" t="s">
        <v>64</v>
      </c>
    </row>
    <row r="848" spans="1:48">
      <c r="A848" t="s">
        <v>622</v>
      </c>
      <c r="B848" t="s">
        <v>889</v>
      </c>
      <c r="C848" t="s">
        <v>624</v>
      </c>
      <c r="D848" t="s">
        <v>1268</v>
      </c>
      <c r="E848" t="s">
        <v>1277</v>
      </c>
      <c r="F848" t="s">
        <v>1304</v>
      </c>
      <c r="G848" t="s">
        <v>1266</v>
      </c>
      <c r="H848" t="s">
        <v>1305</v>
      </c>
      <c r="I848" t="s">
        <v>1303</v>
      </c>
      <c r="J848" t="s">
        <v>1267</v>
      </c>
      <c r="K848" t="s">
        <v>1275</v>
      </c>
      <c r="L848" s="2" t="s">
        <v>1274</v>
      </c>
      <c r="M848" t="str">
        <f t="shared" ref="M848:AB848" si="3388">CONCATENATE("&lt;/li&gt;&lt;li&gt;&lt;a href=|http://",M1191,"/ezekiel/46.htm","| ","title=|",M1190,"| target=|_top|&gt;",M1192,"&lt;/a&gt;")</f>
        <v>&lt;/li&gt;&lt;li&gt;&lt;a href=|http://niv.scripturetext.com/ezekiel/46.htm| title=|New International Version| target=|_top|&gt;NIV&lt;/a&gt;</v>
      </c>
      <c r="N848" t="str">
        <f t="shared" si="3388"/>
        <v>&lt;/li&gt;&lt;li&gt;&lt;a href=|http://nlt.scripturetext.com/ezekiel/46.htm| title=|New Living Translation| target=|_top|&gt;NLT&lt;/a&gt;</v>
      </c>
      <c r="O848" t="str">
        <f t="shared" si="3388"/>
        <v>&lt;/li&gt;&lt;li&gt;&lt;a href=|http://nasb.scripturetext.com/ezekiel/46.htm| title=|New American Standard Bible| target=|_top|&gt;NAS&lt;/a&gt;</v>
      </c>
      <c r="P848" t="str">
        <f t="shared" si="3388"/>
        <v>&lt;/li&gt;&lt;li&gt;&lt;a href=|http://gwt.scripturetext.com/ezekiel/46.htm| title=|God's Word Translation| target=|_top|&gt;GWT&lt;/a&gt;</v>
      </c>
      <c r="Q848" t="str">
        <f t="shared" si="3388"/>
        <v>&lt;/li&gt;&lt;li&gt;&lt;a href=|http://kingjbible.com/ezekiel/46.htm| title=|King James Bible| target=|_top|&gt;KJV&lt;/a&gt;</v>
      </c>
      <c r="R848" t="str">
        <f t="shared" si="3388"/>
        <v>&lt;/li&gt;&lt;li&gt;&lt;a href=|http://asvbible.com/ezekiel/46.htm| title=|American Standard Version| target=|_top|&gt;ASV&lt;/a&gt;</v>
      </c>
      <c r="S848" t="str">
        <f t="shared" si="3388"/>
        <v>&lt;/li&gt;&lt;li&gt;&lt;a href=|http://drb.scripturetext.com/ezekiel/46.htm| title=|Douay-Rheims Bible| target=|_top|&gt;DRB&lt;/a&gt;</v>
      </c>
      <c r="T848" t="str">
        <f t="shared" si="3388"/>
        <v>&lt;/li&gt;&lt;li&gt;&lt;a href=|http://erv.scripturetext.com/ezekiel/46.htm| title=|English Revised Version| target=|_top|&gt;ERV&lt;/a&gt;</v>
      </c>
      <c r="V848" t="str">
        <f>CONCATENATE("&lt;/li&gt;&lt;li&gt;&lt;a href=|http://",V1191,"/ezekiel/46.htm","| ","title=|",V1190,"| target=|_top|&gt;",V1192,"&lt;/a&gt;")</f>
        <v>&lt;/li&gt;&lt;li&gt;&lt;a href=|http://study.interlinearbible.org/ezekiel/46.htm| title=|Hebrew Study Bible| target=|_top|&gt;Heb Study&lt;/a&gt;</v>
      </c>
      <c r="W848" t="str">
        <f t="shared" si="3388"/>
        <v>&lt;/li&gt;&lt;li&gt;&lt;a href=|http://apostolic.interlinearbible.org/ezekiel/46.htm| title=|Apostolic Bible Polyglot Interlinear| target=|_top|&gt;Polyglot&lt;/a&gt;</v>
      </c>
      <c r="X848" t="str">
        <f t="shared" si="3388"/>
        <v>&lt;/li&gt;&lt;li&gt;&lt;a href=|http://interlinearbible.org/ezekiel/46.htm| title=|Interlinear Bible| target=|_top|&gt;Interlin&lt;/a&gt;</v>
      </c>
      <c r="Y848" t="str">
        <f t="shared" ref="Y848" si="3389">CONCATENATE("&lt;/li&gt;&lt;li&gt;&lt;a href=|http://",Y1191,"/ezekiel/46.htm","| ","title=|",Y1190,"| target=|_top|&gt;",Y1192,"&lt;/a&gt;")</f>
        <v>&lt;/li&gt;&lt;li&gt;&lt;a href=|http://bibleoutline.org/ezekiel/46.htm| title=|Outline with People and Places List| target=|_top|&gt;Outline&lt;/a&gt;</v>
      </c>
      <c r="Z848" t="str">
        <f t="shared" si="3388"/>
        <v>&lt;/li&gt;&lt;li&gt;&lt;a href=|http://kjvs.scripturetext.com/ezekiel/46.htm| title=|King James Bible with Strong's Numbers| target=|_top|&gt;Strong's&lt;/a&gt;</v>
      </c>
      <c r="AA848" t="str">
        <f t="shared" si="3388"/>
        <v>&lt;/li&gt;&lt;li&gt;&lt;a href=|http://childrensbibleonline.com/ezekiel/46.htm| title=|The Children's Bible| target=|_top|&gt;Children's&lt;/a&gt;</v>
      </c>
      <c r="AB848" s="2" t="str">
        <f t="shared" si="3388"/>
        <v>&lt;/li&gt;&lt;li&gt;&lt;a href=|http://tsk.scripturetext.com/ezekiel/46.htm| title=|Treasury of Scripture Knowledge| target=|_top|&gt;TSK&lt;/a&gt;</v>
      </c>
      <c r="AC848" t="str">
        <f>CONCATENATE("&lt;a href=|http://",AC1191,"/ezekiel/46.htm","| ","title=|",AC1190,"| target=|_top|&gt;",AC1192,"&lt;/a&gt;")</f>
        <v>&lt;a href=|http://parallelbible.com/ezekiel/46.htm| title=|Parallel Chapters| target=|_top|&gt;PAR&lt;/a&gt;</v>
      </c>
      <c r="AD848" s="2" t="str">
        <f t="shared" ref="AD848:AK848" si="3390">CONCATENATE("&lt;/li&gt;&lt;li&gt;&lt;a href=|http://",AD1191,"/ezekiel/46.htm","| ","title=|",AD1190,"| target=|_top|&gt;",AD1192,"&lt;/a&gt;")</f>
        <v>&lt;/li&gt;&lt;li&gt;&lt;a href=|http://gsb.biblecommenter.com/ezekiel/46.htm| title=|Geneva Study Bible| target=|_top|&gt;GSB&lt;/a&gt;</v>
      </c>
      <c r="AE848" s="2" t="str">
        <f t="shared" si="3390"/>
        <v>&lt;/li&gt;&lt;li&gt;&lt;a href=|http://jfb.biblecommenter.com/ezekiel/46.htm| title=|Jamieson-Fausset-Brown Bible Commentary| target=|_top|&gt;JFB&lt;/a&gt;</v>
      </c>
      <c r="AF848" s="2" t="str">
        <f t="shared" si="3390"/>
        <v>&lt;/li&gt;&lt;li&gt;&lt;a href=|http://kjt.biblecommenter.com/ezekiel/46.htm| title=|King James Translators' Notes| target=|_top|&gt;KJT&lt;/a&gt;</v>
      </c>
      <c r="AG848" s="2" t="str">
        <f t="shared" si="3390"/>
        <v>&lt;/li&gt;&lt;li&gt;&lt;a href=|http://mhc.biblecommenter.com/ezekiel/46.htm| title=|Matthew Henry's Concise Commentary| target=|_top|&gt;MHC&lt;/a&gt;</v>
      </c>
      <c r="AH848" s="2" t="str">
        <f t="shared" si="3390"/>
        <v>&lt;/li&gt;&lt;li&gt;&lt;a href=|http://sco.biblecommenter.com/ezekiel/46.htm| title=|Scofield Reference Notes| target=|_top|&gt;SCO&lt;/a&gt;</v>
      </c>
      <c r="AI848" s="2" t="str">
        <f t="shared" si="3390"/>
        <v>&lt;/li&gt;&lt;li&gt;&lt;a href=|http://wes.biblecommenter.com/ezekiel/46.htm| title=|Wesley's Notes on the Bible| target=|_top|&gt;WES&lt;/a&gt;</v>
      </c>
      <c r="AJ848" t="str">
        <f t="shared" si="3390"/>
        <v>&lt;/li&gt;&lt;li&gt;&lt;a href=|http://worldebible.com/ezekiel/46.htm| title=|World English Bible| target=|_top|&gt;WEB&lt;/a&gt;</v>
      </c>
      <c r="AK848" t="str">
        <f t="shared" si="3390"/>
        <v>&lt;/li&gt;&lt;li&gt;&lt;a href=|http://yltbible.com/ezekiel/46.htm| title=|Young's Literal Translation| target=|_top|&gt;YLT&lt;/a&gt;</v>
      </c>
      <c r="AL848" t="str">
        <f>CONCATENATE("&lt;a href=|http://",AL1191,"/ezekiel/46.htm","| ","title=|",AL1190,"| target=|_top|&gt;",AL1192,"&lt;/a&gt;")</f>
        <v>&lt;a href=|http://kjv.us/ezekiel/46.htm| title=|American King James Version| target=|_top|&gt;AKJ&lt;/a&gt;</v>
      </c>
      <c r="AM848" t="str">
        <f t="shared" ref="AM848:AN848" si="3391">CONCATENATE("&lt;/li&gt;&lt;li&gt;&lt;a href=|http://",AM1191,"/ezekiel/46.htm","| ","title=|",AM1190,"| target=|_top|&gt;",AM1192,"&lt;/a&gt;")</f>
        <v>&lt;/li&gt;&lt;li&gt;&lt;a href=|http://basicenglishbible.com/ezekiel/46.htm| title=|Bible in Basic English| target=|_top|&gt;BBE&lt;/a&gt;</v>
      </c>
      <c r="AN848" t="str">
        <f t="shared" si="3391"/>
        <v>&lt;/li&gt;&lt;li&gt;&lt;a href=|http://darbybible.com/ezekiel/46.htm| title=|Darby Bible Translation| target=|_top|&gt;DBY&lt;/a&gt;</v>
      </c>
      <c r="AO84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4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4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48" t="str">
        <f>CONCATENATE("&lt;/li&gt;&lt;li&gt;&lt;a href=|http://",AR1191,"/ezekiel/46.htm","| ","title=|",AR1190,"| target=|_top|&gt;",AR1192,"&lt;/a&gt;")</f>
        <v>&lt;/li&gt;&lt;li&gt;&lt;a href=|http://websterbible.com/ezekiel/46.htm| title=|Webster's Bible Translation| target=|_top|&gt;WBS&lt;/a&gt;</v>
      </c>
      <c r="AS84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48" t="str">
        <f>CONCATENATE("&lt;/li&gt;&lt;li&gt;&lt;a href=|http://",AT1191,"/ezekiel/46-1.htm","| ","title=|",AT1190,"| target=|_top|&gt;",AT1192,"&lt;/a&gt;")</f>
        <v>&lt;/li&gt;&lt;li&gt;&lt;a href=|http://biblebrowser.com/ezekiel/46-1.htm| title=|Split View| target=|_top|&gt;Split&lt;/a&gt;</v>
      </c>
      <c r="AU848" s="2" t="s">
        <v>1276</v>
      </c>
      <c r="AV848" t="s">
        <v>64</v>
      </c>
    </row>
    <row r="849" spans="1:48">
      <c r="A849" t="s">
        <v>622</v>
      </c>
      <c r="B849" t="s">
        <v>890</v>
      </c>
      <c r="C849" t="s">
        <v>624</v>
      </c>
      <c r="D849" t="s">
        <v>1268</v>
      </c>
      <c r="E849" t="s">
        <v>1277</v>
      </c>
      <c r="F849" t="s">
        <v>1304</v>
      </c>
      <c r="G849" t="s">
        <v>1266</v>
      </c>
      <c r="H849" t="s">
        <v>1305</v>
      </c>
      <c r="I849" t="s">
        <v>1303</v>
      </c>
      <c r="J849" t="s">
        <v>1267</v>
      </c>
      <c r="K849" t="s">
        <v>1275</v>
      </c>
      <c r="L849" s="2" t="s">
        <v>1274</v>
      </c>
      <c r="M849" t="str">
        <f t="shared" ref="M849:AB849" si="3392">CONCATENATE("&lt;/li&gt;&lt;li&gt;&lt;a href=|http://",M1191,"/ezekiel/47.htm","| ","title=|",M1190,"| target=|_top|&gt;",M1192,"&lt;/a&gt;")</f>
        <v>&lt;/li&gt;&lt;li&gt;&lt;a href=|http://niv.scripturetext.com/ezekiel/47.htm| title=|New International Version| target=|_top|&gt;NIV&lt;/a&gt;</v>
      </c>
      <c r="N849" t="str">
        <f t="shared" si="3392"/>
        <v>&lt;/li&gt;&lt;li&gt;&lt;a href=|http://nlt.scripturetext.com/ezekiel/47.htm| title=|New Living Translation| target=|_top|&gt;NLT&lt;/a&gt;</v>
      </c>
      <c r="O849" t="str">
        <f t="shared" si="3392"/>
        <v>&lt;/li&gt;&lt;li&gt;&lt;a href=|http://nasb.scripturetext.com/ezekiel/47.htm| title=|New American Standard Bible| target=|_top|&gt;NAS&lt;/a&gt;</v>
      </c>
      <c r="P849" t="str">
        <f t="shared" si="3392"/>
        <v>&lt;/li&gt;&lt;li&gt;&lt;a href=|http://gwt.scripturetext.com/ezekiel/47.htm| title=|God's Word Translation| target=|_top|&gt;GWT&lt;/a&gt;</v>
      </c>
      <c r="Q849" t="str">
        <f t="shared" si="3392"/>
        <v>&lt;/li&gt;&lt;li&gt;&lt;a href=|http://kingjbible.com/ezekiel/47.htm| title=|King James Bible| target=|_top|&gt;KJV&lt;/a&gt;</v>
      </c>
      <c r="R849" t="str">
        <f t="shared" si="3392"/>
        <v>&lt;/li&gt;&lt;li&gt;&lt;a href=|http://asvbible.com/ezekiel/47.htm| title=|American Standard Version| target=|_top|&gt;ASV&lt;/a&gt;</v>
      </c>
      <c r="S849" t="str">
        <f t="shared" si="3392"/>
        <v>&lt;/li&gt;&lt;li&gt;&lt;a href=|http://drb.scripturetext.com/ezekiel/47.htm| title=|Douay-Rheims Bible| target=|_top|&gt;DRB&lt;/a&gt;</v>
      </c>
      <c r="T849" t="str">
        <f t="shared" si="3392"/>
        <v>&lt;/li&gt;&lt;li&gt;&lt;a href=|http://erv.scripturetext.com/ezekiel/47.htm| title=|English Revised Version| target=|_top|&gt;ERV&lt;/a&gt;</v>
      </c>
      <c r="V849" t="str">
        <f>CONCATENATE("&lt;/li&gt;&lt;li&gt;&lt;a href=|http://",V1191,"/ezekiel/47.htm","| ","title=|",V1190,"| target=|_top|&gt;",V1192,"&lt;/a&gt;")</f>
        <v>&lt;/li&gt;&lt;li&gt;&lt;a href=|http://study.interlinearbible.org/ezekiel/47.htm| title=|Hebrew Study Bible| target=|_top|&gt;Heb Study&lt;/a&gt;</v>
      </c>
      <c r="W849" t="str">
        <f t="shared" si="3392"/>
        <v>&lt;/li&gt;&lt;li&gt;&lt;a href=|http://apostolic.interlinearbible.org/ezekiel/47.htm| title=|Apostolic Bible Polyglot Interlinear| target=|_top|&gt;Polyglot&lt;/a&gt;</v>
      </c>
      <c r="X849" t="str">
        <f t="shared" si="3392"/>
        <v>&lt;/li&gt;&lt;li&gt;&lt;a href=|http://interlinearbible.org/ezekiel/47.htm| title=|Interlinear Bible| target=|_top|&gt;Interlin&lt;/a&gt;</v>
      </c>
      <c r="Y849" t="str">
        <f t="shared" ref="Y849" si="3393">CONCATENATE("&lt;/li&gt;&lt;li&gt;&lt;a href=|http://",Y1191,"/ezekiel/47.htm","| ","title=|",Y1190,"| target=|_top|&gt;",Y1192,"&lt;/a&gt;")</f>
        <v>&lt;/li&gt;&lt;li&gt;&lt;a href=|http://bibleoutline.org/ezekiel/47.htm| title=|Outline with People and Places List| target=|_top|&gt;Outline&lt;/a&gt;</v>
      </c>
      <c r="Z849" t="str">
        <f t="shared" si="3392"/>
        <v>&lt;/li&gt;&lt;li&gt;&lt;a href=|http://kjvs.scripturetext.com/ezekiel/47.htm| title=|King James Bible with Strong's Numbers| target=|_top|&gt;Strong's&lt;/a&gt;</v>
      </c>
      <c r="AA849" t="str">
        <f t="shared" si="3392"/>
        <v>&lt;/li&gt;&lt;li&gt;&lt;a href=|http://childrensbibleonline.com/ezekiel/47.htm| title=|The Children's Bible| target=|_top|&gt;Children's&lt;/a&gt;</v>
      </c>
      <c r="AB849" s="2" t="str">
        <f t="shared" si="3392"/>
        <v>&lt;/li&gt;&lt;li&gt;&lt;a href=|http://tsk.scripturetext.com/ezekiel/47.htm| title=|Treasury of Scripture Knowledge| target=|_top|&gt;TSK&lt;/a&gt;</v>
      </c>
      <c r="AC849" t="str">
        <f>CONCATENATE("&lt;a href=|http://",AC1191,"/ezekiel/47.htm","| ","title=|",AC1190,"| target=|_top|&gt;",AC1192,"&lt;/a&gt;")</f>
        <v>&lt;a href=|http://parallelbible.com/ezekiel/47.htm| title=|Parallel Chapters| target=|_top|&gt;PAR&lt;/a&gt;</v>
      </c>
      <c r="AD849" s="2" t="str">
        <f t="shared" ref="AD849:AK849" si="3394">CONCATENATE("&lt;/li&gt;&lt;li&gt;&lt;a href=|http://",AD1191,"/ezekiel/47.htm","| ","title=|",AD1190,"| target=|_top|&gt;",AD1192,"&lt;/a&gt;")</f>
        <v>&lt;/li&gt;&lt;li&gt;&lt;a href=|http://gsb.biblecommenter.com/ezekiel/47.htm| title=|Geneva Study Bible| target=|_top|&gt;GSB&lt;/a&gt;</v>
      </c>
      <c r="AE849" s="2" t="str">
        <f t="shared" si="3394"/>
        <v>&lt;/li&gt;&lt;li&gt;&lt;a href=|http://jfb.biblecommenter.com/ezekiel/47.htm| title=|Jamieson-Fausset-Brown Bible Commentary| target=|_top|&gt;JFB&lt;/a&gt;</v>
      </c>
      <c r="AF849" s="2" t="str">
        <f t="shared" si="3394"/>
        <v>&lt;/li&gt;&lt;li&gt;&lt;a href=|http://kjt.biblecommenter.com/ezekiel/47.htm| title=|King James Translators' Notes| target=|_top|&gt;KJT&lt;/a&gt;</v>
      </c>
      <c r="AG849" s="2" t="str">
        <f t="shared" si="3394"/>
        <v>&lt;/li&gt;&lt;li&gt;&lt;a href=|http://mhc.biblecommenter.com/ezekiel/47.htm| title=|Matthew Henry's Concise Commentary| target=|_top|&gt;MHC&lt;/a&gt;</v>
      </c>
      <c r="AH849" s="2" t="str">
        <f t="shared" si="3394"/>
        <v>&lt;/li&gt;&lt;li&gt;&lt;a href=|http://sco.biblecommenter.com/ezekiel/47.htm| title=|Scofield Reference Notes| target=|_top|&gt;SCO&lt;/a&gt;</v>
      </c>
      <c r="AI849" s="2" t="str">
        <f t="shared" si="3394"/>
        <v>&lt;/li&gt;&lt;li&gt;&lt;a href=|http://wes.biblecommenter.com/ezekiel/47.htm| title=|Wesley's Notes on the Bible| target=|_top|&gt;WES&lt;/a&gt;</v>
      </c>
      <c r="AJ849" t="str">
        <f t="shared" si="3394"/>
        <v>&lt;/li&gt;&lt;li&gt;&lt;a href=|http://worldebible.com/ezekiel/47.htm| title=|World English Bible| target=|_top|&gt;WEB&lt;/a&gt;</v>
      </c>
      <c r="AK849" t="str">
        <f t="shared" si="3394"/>
        <v>&lt;/li&gt;&lt;li&gt;&lt;a href=|http://yltbible.com/ezekiel/47.htm| title=|Young's Literal Translation| target=|_top|&gt;YLT&lt;/a&gt;</v>
      </c>
      <c r="AL849" t="str">
        <f>CONCATENATE("&lt;a href=|http://",AL1191,"/ezekiel/47.htm","| ","title=|",AL1190,"| target=|_top|&gt;",AL1192,"&lt;/a&gt;")</f>
        <v>&lt;a href=|http://kjv.us/ezekiel/47.htm| title=|American King James Version| target=|_top|&gt;AKJ&lt;/a&gt;</v>
      </c>
      <c r="AM849" t="str">
        <f t="shared" ref="AM849:AN849" si="3395">CONCATENATE("&lt;/li&gt;&lt;li&gt;&lt;a href=|http://",AM1191,"/ezekiel/47.htm","| ","title=|",AM1190,"| target=|_top|&gt;",AM1192,"&lt;/a&gt;")</f>
        <v>&lt;/li&gt;&lt;li&gt;&lt;a href=|http://basicenglishbible.com/ezekiel/47.htm| title=|Bible in Basic English| target=|_top|&gt;BBE&lt;/a&gt;</v>
      </c>
      <c r="AN849" t="str">
        <f t="shared" si="3395"/>
        <v>&lt;/li&gt;&lt;li&gt;&lt;a href=|http://darbybible.com/ezekiel/47.htm| title=|Darby Bible Translation| target=|_top|&gt;DBY&lt;/a&gt;</v>
      </c>
      <c r="AO84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4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4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49" t="str">
        <f>CONCATENATE("&lt;/li&gt;&lt;li&gt;&lt;a href=|http://",AR1191,"/ezekiel/47.htm","| ","title=|",AR1190,"| target=|_top|&gt;",AR1192,"&lt;/a&gt;")</f>
        <v>&lt;/li&gt;&lt;li&gt;&lt;a href=|http://websterbible.com/ezekiel/47.htm| title=|Webster's Bible Translation| target=|_top|&gt;WBS&lt;/a&gt;</v>
      </c>
      <c r="AS84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49" t="str">
        <f>CONCATENATE("&lt;/li&gt;&lt;li&gt;&lt;a href=|http://",AT1191,"/ezekiel/47-1.htm","| ","title=|",AT1190,"| target=|_top|&gt;",AT1192,"&lt;/a&gt;")</f>
        <v>&lt;/li&gt;&lt;li&gt;&lt;a href=|http://biblebrowser.com/ezekiel/47-1.htm| title=|Split View| target=|_top|&gt;Split&lt;/a&gt;</v>
      </c>
      <c r="AU849" s="2" t="s">
        <v>1276</v>
      </c>
      <c r="AV849" t="s">
        <v>64</v>
      </c>
    </row>
    <row r="850" spans="1:48">
      <c r="A850" t="s">
        <v>622</v>
      </c>
      <c r="B850" t="s">
        <v>891</v>
      </c>
      <c r="C850" t="s">
        <v>624</v>
      </c>
      <c r="D850" t="s">
        <v>1268</v>
      </c>
      <c r="E850" t="s">
        <v>1277</v>
      </c>
      <c r="F850" t="s">
        <v>1304</v>
      </c>
      <c r="G850" t="s">
        <v>1266</v>
      </c>
      <c r="H850" t="s">
        <v>1305</v>
      </c>
      <c r="I850" t="s">
        <v>1303</v>
      </c>
      <c r="J850" t="s">
        <v>1267</v>
      </c>
      <c r="K850" t="s">
        <v>1275</v>
      </c>
      <c r="L850" s="2" t="s">
        <v>1274</v>
      </c>
      <c r="M850" t="str">
        <f t="shared" ref="M850:AB850" si="3396">CONCATENATE("&lt;/li&gt;&lt;li&gt;&lt;a href=|http://",M1191,"/ezekiel/48.htm","| ","title=|",M1190,"| target=|_top|&gt;",M1192,"&lt;/a&gt;")</f>
        <v>&lt;/li&gt;&lt;li&gt;&lt;a href=|http://niv.scripturetext.com/ezekiel/48.htm| title=|New International Version| target=|_top|&gt;NIV&lt;/a&gt;</v>
      </c>
      <c r="N850" t="str">
        <f t="shared" si="3396"/>
        <v>&lt;/li&gt;&lt;li&gt;&lt;a href=|http://nlt.scripturetext.com/ezekiel/48.htm| title=|New Living Translation| target=|_top|&gt;NLT&lt;/a&gt;</v>
      </c>
      <c r="O850" t="str">
        <f t="shared" si="3396"/>
        <v>&lt;/li&gt;&lt;li&gt;&lt;a href=|http://nasb.scripturetext.com/ezekiel/48.htm| title=|New American Standard Bible| target=|_top|&gt;NAS&lt;/a&gt;</v>
      </c>
      <c r="P850" t="str">
        <f t="shared" si="3396"/>
        <v>&lt;/li&gt;&lt;li&gt;&lt;a href=|http://gwt.scripturetext.com/ezekiel/48.htm| title=|God's Word Translation| target=|_top|&gt;GWT&lt;/a&gt;</v>
      </c>
      <c r="Q850" t="str">
        <f t="shared" si="3396"/>
        <v>&lt;/li&gt;&lt;li&gt;&lt;a href=|http://kingjbible.com/ezekiel/48.htm| title=|King James Bible| target=|_top|&gt;KJV&lt;/a&gt;</v>
      </c>
      <c r="R850" t="str">
        <f t="shared" si="3396"/>
        <v>&lt;/li&gt;&lt;li&gt;&lt;a href=|http://asvbible.com/ezekiel/48.htm| title=|American Standard Version| target=|_top|&gt;ASV&lt;/a&gt;</v>
      </c>
      <c r="S850" t="str">
        <f t="shared" si="3396"/>
        <v>&lt;/li&gt;&lt;li&gt;&lt;a href=|http://drb.scripturetext.com/ezekiel/48.htm| title=|Douay-Rheims Bible| target=|_top|&gt;DRB&lt;/a&gt;</v>
      </c>
      <c r="T850" t="str">
        <f t="shared" si="3396"/>
        <v>&lt;/li&gt;&lt;li&gt;&lt;a href=|http://erv.scripturetext.com/ezekiel/48.htm| title=|English Revised Version| target=|_top|&gt;ERV&lt;/a&gt;</v>
      </c>
      <c r="V850" t="str">
        <f>CONCATENATE("&lt;/li&gt;&lt;li&gt;&lt;a href=|http://",V1191,"/ezekiel/48.htm","| ","title=|",V1190,"| target=|_top|&gt;",V1192,"&lt;/a&gt;")</f>
        <v>&lt;/li&gt;&lt;li&gt;&lt;a href=|http://study.interlinearbible.org/ezekiel/48.htm| title=|Hebrew Study Bible| target=|_top|&gt;Heb Study&lt;/a&gt;</v>
      </c>
      <c r="W850" t="str">
        <f t="shared" si="3396"/>
        <v>&lt;/li&gt;&lt;li&gt;&lt;a href=|http://apostolic.interlinearbible.org/ezekiel/48.htm| title=|Apostolic Bible Polyglot Interlinear| target=|_top|&gt;Polyglot&lt;/a&gt;</v>
      </c>
      <c r="X850" t="str">
        <f t="shared" si="3396"/>
        <v>&lt;/li&gt;&lt;li&gt;&lt;a href=|http://interlinearbible.org/ezekiel/48.htm| title=|Interlinear Bible| target=|_top|&gt;Interlin&lt;/a&gt;</v>
      </c>
      <c r="Y850" t="str">
        <f t="shared" ref="Y850" si="3397">CONCATENATE("&lt;/li&gt;&lt;li&gt;&lt;a href=|http://",Y1191,"/ezekiel/48.htm","| ","title=|",Y1190,"| target=|_top|&gt;",Y1192,"&lt;/a&gt;")</f>
        <v>&lt;/li&gt;&lt;li&gt;&lt;a href=|http://bibleoutline.org/ezekiel/48.htm| title=|Outline with People and Places List| target=|_top|&gt;Outline&lt;/a&gt;</v>
      </c>
      <c r="Z850" t="str">
        <f t="shared" si="3396"/>
        <v>&lt;/li&gt;&lt;li&gt;&lt;a href=|http://kjvs.scripturetext.com/ezekiel/48.htm| title=|King James Bible with Strong's Numbers| target=|_top|&gt;Strong's&lt;/a&gt;</v>
      </c>
      <c r="AA850" t="str">
        <f t="shared" si="3396"/>
        <v>&lt;/li&gt;&lt;li&gt;&lt;a href=|http://childrensbibleonline.com/ezekiel/48.htm| title=|The Children's Bible| target=|_top|&gt;Children's&lt;/a&gt;</v>
      </c>
      <c r="AB850" s="2" t="str">
        <f t="shared" si="3396"/>
        <v>&lt;/li&gt;&lt;li&gt;&lt;a href=|http://tsk.scripturetext.com/ezekiel/48.htm| title=|Treasury of Scripture Knowledge| target=|_top|&gt;TSK&lt;/a&gt;</v>
      </c>
      <c r="AC850" t="str">
        <f>CONCATENATE("&lt;a href=|http://",AC1191,"/ezekiel/48.htm","| ","title=|",AC1190,"| target=|_top|&gt;",AC1192,"&lt;/a&gt;")</f>
        <v>&lt;a href=|http://parallelbible.com/ezekiel/48.htm| title=|Parallel Chapters| target=|_top|&gt;PAR&lt;/a&gt;</v>
      </c>
      <c r="AD850" s="2" t="str">
        <f t="shared" ref="AD850:AK850" si="3398">CONCATENATE("&lt;/li&gt;&lt;li&gt;&lt;a href=|http://",AD1191,"/ezekiel/48.htm","| ","title=|",AD1190,"| target=|_top|&gt;",AD1192,"&lt;/a&gt;")</f>
        <v>&lt;/li&gt;&lt;li&gt;&lt;a href=|http://gsb.biblecommenter.com/ezekiel/48.htm| title=|Geneva Study Bible| target=|_top|&gt;GSB&lt;/a&gt;</v>
      </c>
      <c r="AE850" s="2" t="str">
        <f t="shared" si="3398"/>
        <v>&lt;/li&gt;&lt;li&gt;&lt;a href=|http://jfb.biblecommenter.com/ezekiel/48.htm| title=|Jamieson-Fausset-Brown Bible Commentary| target=|_top|&gt;JFB&lt;/a&gt;</v>
      </c>
      <c r="AF850" s="2" t="str">
        <f t="shared" si="3398"/>
        <v>&lt;/li&gt;&lt;li&gt;&lt;a href=|http://kjt.biblecommenter.com/ezekiel/48.htm| title=|King James Translators' Notes| target=|_top|&gt;KJT&lt;/a&gt;</v>
      </c>
      <c r="AG850" s="2" t="str">
        <f t="shared" si="3398"/>
        <v>&lt;/li&gt;&lt;li&gt;&lt;a href=|http://mhc.biblecommenter.com/ezekiel/48.htm| title=|Matthew Henry's Concise Commentary| target=|_top|&gt;MHC&lt;/a&gt;</v>
      </c>
      <c r="AH850" s="2" t="str">
        <f t="shared" si="3398"/>
        <v>&lt;/li&gt;&lt;li&gt;&lt;a href=|http://sco.biblecommenter.com/ezekiel/48.htm| title=|Scofield Reference Notes| target=|_top|&gt;SCO&lt;/a&gt;</v>
      </c>
      <c r="AI850" s="2" t="str">
        <f t="shared" si="3398"/>
        <v>&lt;/li&gt;&lt;li&gt;&lt;a href=|http://wes.biblecommenter.com/ezekiel/48.htm| title=|Wesley's Notes on the Bible| target=|_top|&gt;WES&lt;/a&gt;</v>
      </c>
      <c r="AJ850" t="str">
        <f t="shared" si="3398"/>
        <v>&lt;/li&gt;&lt;li&gt;&lt;a href=|http://worldebible.com/ezekiel/48.htm| title=|World English Bible| target=|_top|&gt;WEB&lt;/a&gt;</v>
      </c>
      <c r="AK850" t="str">
        <f t="shared" si="3398"/>
        <v>&lt;/li&gt;&lt;li&gt;&lt;a href=|http://yltbible.com/ezekiel/48.htm| title=|Young's Literal Translation| target=|_top|&gt;YLT&lt;/a&gt;</v>
      </c>
      <c r="AL850" t="str">
        <f>CONCATENATE("&lt;a href=|http://",AL1191,"/ezekiel/48.htm","| ","title=|",AL1190,"| target=|_top|&gt;",AL1192,"&lt;/a&gt;")</f>
        <v>&lt;a href=|http://kjv.us/ezekiel/48.htm| title=|American King James Version| target=|_top|&gt;AKJ&lt;/a&gt;</v>
      </c>
      <c r="AM850" t="str">
        <f t="shared" ref="AM850:AN850" si="3399">CONCATENATE("&lt;/li&gt;&lt;li&gt;&lt;a href=|http://",AM1191,"/ezekiel/48.htm","| ","title=|",AM1190,"| target=|_top|&gt;",AM1192,"&lt;/a&gt;")</f>
        <v>&lt;/li&gt;&lt;li&gt;&lt;a href=|http://basicenglishbible.com/ezekiel/48.htm| title=|Bible in Basic English| target=|_top|&gt;BBE&lt;/a&gt;</v>
      </c>
      <c r="AN850" t="str">
        <f t="shared" si="3399"/>
        <v>&lt;/li&gt;&lt;li&gt;&lt;a href=|http://darbybible.com/ezekiel/48.htm| title=|Darby Bible Translation| target=|_top|&gt;DBY&lt;/a&gt;</v>
      </c>
      <c r="AO85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5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5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50" t="str">
        <f>CONCATENATE("&lt;/li&gt;&lt;li&gt;&lt;a href=|http://",AR1191,"/ezekiel/48.htm","| ","title=|",AR1190,"| target=|_top|&gt;",AR1192,"&lt;/a&gt;")</f>
        <v>&lt;/li&gt;&lt;li&gt;&lt;a href=|http://websterbible.com/ezekiel/48.htm| title=|Webster's Bible Translation| target=|_top|&gt;WBS&lt;/a&gt;</v>
      </c>
      <c r="AS85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50" t="str">
        <f>CONCATENATE("&lt;/li&gt;&lt;li&gt;&lt;a href=|http://",AT1191,"/ezekiel/48-1.htm","| ","title=|",AT1190,"| target=|_top|&gt;",AT1192,"&lt;/a&gt;")</f>
        <v>&lt;/li&gt;&lt;li&gt;&lt;a href=|http://biblebrowser.com/ezekiel/48-1.htm| title=|Split View| target=|_top|&gt;Split&lt;/a&gt;</v>
      </c>
      <c r="AU850" s="2" t="s">
        <v>1276</v>
      </c>
      <c r="AV850" t="s">
        <v>64</v>
      </c>
    </row>
    <row r="851" spans="1:48">
      <c r="A851" t="s">
        <v>622</v>
      </c>
      <c r="B851" t="s">
        <v>892</v>
      </c>
      <c r="C851" t="s">
        <v>624</v>
      </c>
      <c r="D851" t="s">
        <v>1268</v>
      </c>
      <c r="E851" t="s">
        <v>1277</v>
      </c>
      <c r="F851" t="s">
        <v>1304</v>
      </c>
      <c r="G851" t="s">
        <v>1266</v>
      </c>
      <c r="H851" t="s">
        <v>1305</v>
      </c>
      <c r="I851" t="s">
        <v>1303</v>
      </c>
      <c r="J851" t="s">
        <v>1267</v>
      </c>
      <c r="K851" t="s">
        <v>1275</v>
      </c>
      <c r="L851" s="2" t="s">
        <v>1274</v>
      </c>
      <c r="M851" t="str">
        <f t="shared" ref="M851:AB851" si="3400">CONCATENATE("&lt;/li&gt;&lt;li&gt;&lt;a href=|http://",M1191,"/daniel/1.htm","| ","title=|",M1190,"| target=|_top|&gt;",M1192,"&lt;/a&gt;")</f>
        <v>&lt;/li&gt;&lt;li&gt;&lt;a href=|http://niv.scripturetext.com/daniel/1.htm| title=|New International Version| target=|_top|&gt;NIV&lt;/a&gt;</v>
      </c>
      <c r="N851" t="str">
        <f t="shared" si="3400"/>
        <v>&lt;/li&gt;&lt;li&gt;&lt;a href=|http://nlt.scripturetext.com/daniel/1.htm| title=|New Living Translation| target=|_top|&gt;NLT&lt;/a&gt;</v>
      </c>
      <c r="O851" t="str">
        <f t="shared" si="3400"/>
        <v>&lt;/li&gt;&lt;li&gt;&lt;a href=|http://nasb.scripturetext.com/daniel/1.htm| title=|New American Standard Bible| target=|_top|&gt;NAS&lt;/a&gt;</v>
      </c>
      <c r="P851" t="str">
        <f t="shared" si="3400"/>
        <v>&lt;/li&gt;&lt;li&gt;&lt;a href=|http://gwt.scripturetext.com/daniel/1.htm| title=|God's Word Translation| target=|_top|&gt;GWT&lt;/a&gt;</v>
      </c>
      <c r="Q851" t="str">
        <f t="shared" si="3400"/>
        <v>&lt;/li&gt;&lt;li&gt;&lt;a href=|http://kingjbible.com/daniel/1.htm| title=|King James Bible| target=|_top|&gt;KJV&lt;/a&gt;</v>
      </c>
      <c r="R851" t="str">
        <f t="shared" si="3400"/>
        <v>&lt;/li&gt;&lt;li&gt;&lt;a href=|http://asvbible.com/daniel/1.htm| title=|American Standard Version| target=|_top|&gt;ASV&lt;/a&gt;</v>
      </c>
      <c r="S851" t="str">
        <f t="shared" si="3400"/>
        <v>&lt;/li&gt;&lt;li&gt;&lt;a href=|http://drb.scripturetext.com/daniel/1.htm| title=|Douay-Rheims Bible| target=|_top|&gt;DRB&lt;/a&gt;</v>
      </c>
      <c r="T851" t="str">
        <f t="shared" si="3400"/>
        <v>&lt;/li&gt;&lt;li&gt;&lt;a href=|http://erv.scripturetext.com/daniel/1.htm| title=|English Revised Version| target=|_top|&gt;ERV&lt;/a&gt;</v>
      </c>
      <c r="V851" t="str">
        <f>CONCATENATE("&lt;/li&gt;&lt;li&gt;&lt;a href=|http://",V1191,"/daniel/1.htm","| ","title=|",V1190,"| target=|_top|&gt;",V1192,"&lt;/a&gt;")</f>
        <v>&lt;/li&gt;&lt;li&gt;&lt;a href=|http://study.interlinearbible.org/daniel/1.htm| title=|Hebrew Study Bible| target=|_top|&gt;Heb Study&lt;/a&gt;</v>
      </c>
      <c r="W851" t="str">
        <f t="shared" si="3400"/>
        <v>&lt;/li&gt;&lt;li&gt;&lt;a href=|http://apostolic.interlinearbible.org/daniel/1.htm| title=|Apostolic Bible Polyglot Interlinear| target=|_top|&gt;Polyglot&lt;/a&gt;</v>
      </c>
      <c r="X851" t="str">
        <f t="shared" si="3400"/>
        <v>&lt;/li&gt;&lt;li&gt;&lt;a href=|http://interlinearbible.org/daniel/1.htm| title=|Interlinear Bible| target=|_top|&gt;Interlin&lt;/a&gt;</v>
      </c>
      <c r="Y851" t="str">
        <f t="shared" ref="Y851" si="3401">CONCATENATE("&lt;/li&gt;&lt;li&gt;&lt;a href=|http://",Y1191,"/daniel/1.htm","| ","title=|",Y1190,"| target=|_top|&gt;",Y1192,"&lt;/a&gt;")</f>
        <v>&lt;/li&gt;&lt;li&gt;&lt;a href=|http://bibleoutline.org/daniel/1.htm| title=|Outline with People and Places List| target=|_top|&gt;Outline&lt;/a&gt;</v>
      </c>
      <c r="Z851" t="str">
        <f t="shared" si="3400"/>
        <v>&lt;/li&gt;&lt;li&gt;&lt;a href=|http://kjvs.scripturetext.com/daniel/1.htm| title=|King James Bible with Strong's Numbers| target=|_top|&gt;Strong's&lt;/a&gt;</v>
      </c>
      <c r="AA851" t="str">
        <f t="shared" si="3400"/>
        <v>&lt;/li&gt;&lt;li&gt;&lt;a href=|http://childrensbibleonline.com/daniel/1.htm| title=|The Children's Bible| target=|_top|&gt;Children's&lt;/a&gt;</v>
      </c>
      <c r="AB851" s="2" t="str">
        <f t="shared" si="3400"/>
        <v>&lt;/li&gt;&lt;li&gt;&lt;a href=|http://tsk.scripturetext.com/daniel/1.htm| title=|Treasury of Scripture Knowledge| target=|_top|&gt;TSK&lt;/a&gt;</v>
      </c>
      <c r="AC851" t="str">
        <f>CONCATENATE("&lt;a href=|http://",AC1191,"/daniel/1.htm","| ","title=|",AC1190,"| target=|_top|&gt;",AC1192,"&lt;/a&gt;")</f>
        <v>&lt;a href=|http://parallelbible.com/daniel/1.htm| title=|Parallel Chapters| target=|_top|&gt;PAR&lt;/a&gt;</v>
      </c>
      <c r="AD851" s="2" t="str">
        <f t="shared" ref="AD851:AK851" si="3402">CONCATENATE("&lt;/li&gt;&lt;li&gt;&lt;a href=|http://",AD1191,"/daniel/1.htm","| ","title=|",AD1190,"| target=|_top|&gt;",AD1192,"&lt;/a&gt;")</f>
        <v>&lt;/li&gt;&lt;li&gt;&lt;a href=|http://gsb.biblecommenter.com/daniel/1.htm| title=|Geneva Study Bible| target=|_top|&gt;GSB&lt;/a&gt;</v>
      </c>
      <c r="AE851" s="2" t="str">
        <f t="shared" si="3402"/>
        <v>&lt;/li&gt;&lt;li&gt;&lt;a href=|http://jfb.biblecommenter.com/daniel/1.htm| title=|Jamieson-Fausset-Brown Bible Commentary| target=|_top|&gt;JFB&lt;/a&gt;</v>
      </c>
      <c r="AF851" s="2" t="str">
        <f t="shared" si="3402"/>
        <v>&lt;/li&gt;&lt;li&gt;&lt;a href=|http://kjt.biblecommenter.com/daniel/1.htm| title=|King James Translators' Notes| target=|_top|&gt;KJT&lt;/a&gt;</v>
      </c>
      <c r="AG851" s="2" t="str">
        <f t="shared" si="3402"/>
        <v>&lt;/li&gt;&lt;li&gt;&lt;a href=|http://mhc.biblecommenter.com/daniel/1.htm| title=|Matthew Henry's Concise Commentary| target=|_top|&gt;MHC&lt;/a&gt;</v>
      </c>
      <c r="AH851" s="2" t="str">
        <f t="shared" si="3402"/>
        <v>&lt;/li&gt;&lt;li&gt;&lt;a href=|http://sco.biblecommenter.com/daniel/1.htm| title=|Scofield Reference Notes| target=|_top|&gt;SCO&lt;/a&gt;</v>
      </c>
      <c r="AI851" s="2" t="str">
        <f t="shared" si="3402"/>
        <v>&lt;/li&gt;&lt;li&gt;&lt;a href=|http://wes.biblecommenter.com/daniel/1.htm| title=|Wesley's Notes on the Bible| target=|_top|&gt;WES&lt;/a&gt;</v>
      </c>
      <c r="AJ851" t="str">
        <f t="shared" si="3402"/>
        <v>&lt;/li&gt;&lt;li&gt;&lt;a href=|http://worldebible.com/daniel/1.htm| title=|World English Bible| target=|_top|&gt;WEB&lt;/a&gt;</v>
      </c>
      <c r="AK851" t="str">
        <f t="shared" si="3402"/>
        <v>&lt;/li&gt;&lt;li&gt;&lt;a href=|http://yltbible.com/daniel/1.htm| title=|Young's Literal Translation| target=|_top|&gt;YLT&lt;/a&gt;</v>
      </c>
      <c r="AL851" t="str">
        <f>CONCATENATE("&lt;a href=|http://",AL1191,"/daniel/1.htm","| ","title=|",AL1190,"| target=|_top|&gt;",AL1192,"&lt;/a&gt;")</f>
        <v>&lt;a href=|http://kjv.us/daniel/1.htm| title=|American King James Version| target=|_top|&gt;AKJ&lt;/a&gt;</v>
      </c>
      <c r="AM851" t="str">
        <f t="shared" ref="AM851:AN851" si="3403">CONCATENATE("&lt;/li&gt;&lt;li&gt;&lt;a href=|http://",AM1191,"/daniel/1.htm","| ","title=|",AM1190,"| target=|_top|&gt;",AM1192,"&lt;/a&gt;")</f>
        <v>&lt;/li&gt;&lt;li&gt;&lt;a href=|http://basicenglishbible.com/daniel/1.htm| title=|Bible in Basic English| target=|_top|&gt;BBE&lt;/a&gt;</v>
      </c>
      <c r="AN851" t="str">
        <f t="shared" si="3403"/>
        <v>&lt;/li&gt;&lt;li&gt;&lt;a href=|http://darbybible.com/daniel/1.htm| title=|Darby Bible Translation| target=|_top|&gt;DBY&lt;/a&gt;</v>
      </c>
      <c r="AO85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5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5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51" t="str">
        <f>CONCATENATE("&lt;/li&gt;&lt;li&gt;&lt;a href=|http://",AR1191,"/daniel/1.htm","| ","title=|",AR1190,"| target=|_top|&gt;",AR1192,"&lt;/a&gt;")</f>
        <v>&lt;/li&gt;&lt;li&gt;&lt;a href=|http://websterbible.com/daniel/1.htm| title=|Webster's Bible Translation| target=|_top|&gt;WBS&lt;/a&gt;</v>
      </c>
      <c r="AS85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51" t="str">
        <f>CONCATENATE("&lt;/li&gt;&lt;li&gt;&lt;a href=|http://",AT1191,"/daniel/1-1.htm","| ","title=|",AT1190,"| target=|_top|&gt;",AT1192,"&lt;/a&gt;")</f>
        <v>&lt;/li&gt;&lt;li&gt;&lt;a href=|http://biblebrowser.com/daniel/1-1.htm| title=|Split View| target=|_top|&gt;Split&lt;/a&gt;</v>
      </c>
      <c r="AU851" s="2" t="s">
        <v>1276</v>
      </c>
      <c r="AV851" t="s">
        <v>64</v>
      </c>
    </row>
    <row r="852" spans="1:48">
      <c r="A852" t="s">
        <v>622</v>
      </c>
      <c r="B852" t="s">
        <v>893</v>
      </c>
      <c r="C852" t="s">
        <v>624</v>
      </c>
      <c r="D852" t="s">
        <v>1268</v>
      </c>
      <c r="E852" t="s">
        <v>1277</v>
      </c>
      <c r="F852" t="s">
        <v>1304</v>
      </c>
      <c r="G852" t="s">
        <v>1266</v>
      </c>
      <c r="H852" t="s">
        <v>1305</v>
      </c>
      <c r="I852" t="s">
        <v>1303</v>
      </c>
      <c r="J852" t="s">
        <v>1267</v>
      </c>
      <c r="K852" t="s">
        <v>1275</v>
      </c>
      <c r="L852" s="2" t="s">
        <v>1274</v>
      </c>
      <c r="M852" t="str">
        <f t="shared" ref="M852:AB852" si="3404">CONCATENATE("&lt;/li&gt;&lt;li&gt;&lt;a href=|http://",M1191,"/daniel/2.htm","| ","title=|",M1190,"| target=|_top|&gt;",M1192,"&lt;/a&gt;")</f>
        <v>&lt;/li&gt;&lt;li&gt;&lt;a href=|http://niv.scripturetext.com/daniel/2.htm| title=|New International Version| target=|_top|&gt;NIV&lt;/a&gt;</v>
      </c>
      <c r="N852" t="str">
        <f t="shared" si="3404"/>
        <v>&lt;/li&gt;&lt;li&gt;&lt;a href=|http://nlt.scripturetext.com/daniel/2.htm| title=|New Living Translation| target=|_top|&gt;NLT&lt;/a&gt;</v>
      </c>
      <c r="O852" t="str">
        <f t="shared" si="3404"/>
        <v>&lt;/li&gt;&lt;li&gt;&lt;a href=|http://nasb.scripturetext.com/daniel/2.htm| title=|New American Standard Bible| target=|_top|&gt;NAS&lt;/a&gt;</v>
      </c>
      <c r="P852" t="str">
        <f t="shared" si="3404"/>
        <v>&lt;/li&gt;&lt;li&gt;&lt;a href=|http://gwt.scripturetext.com/daniel/2.htm| title=|God's Word Translation| target=|_top|&gt;GWT&lt;/a&gt;</v>
      </c>
      <c r="Q852" t="str">
        <f t="shared" si="3404"/>
        <v>&lt;/li&gt;&lt;li&gt;&lt;a href=|http://kingjbible.com/daniel/2.htm| title=|King James Bible| target=|_top|&gt;KJV&lt;/a&gt;</v>
      </c>
      <c r="R852" t="str">
        <f t="shared" si="3404"/>
        <v>&lt;/li&gt;&lt;li&gt;&lt;a href=|http://asvbible.com/daniel/2.htm| title=|American Standard Version| target=|_top|&gt;ASV&lt;/a&gt;</v>
      </c>
      <c r="S852" t="str">
        <f t="shared" si="3404"/>
        <v>&lt;/li&gt;&lt;li&gt;&lt;a href=|http://drb.scripturetext.com/daniel/2.htm| title=|Douay-Rheims Bible| target=|_top|&gt;DRB&lt;/a&gt;</v>
      </c>
      <c r="T852" t="str">
        <f t="shared" si="3404"/>
        <v>&lt;/li&gt;&lt;li&gt;&lt;a href=|http://erv.scripturetext.com/daniel/2.htm| title=|English Revised Version| target=|_top|&gt;ERV&lt;/a&gt;</v>
      </c>
      <c r="V852" t="str">
        <f>CONCATENATE("&lt;/li&gt;&lt;li&gt;&lt;a href=|http://",V1191,"/daniel/2.htm","| ","title=|",V1190,"| target=|_top|&gt;",V1192,"&lt;/a&gt;")</f>
        <v>&lt;/li&gt;&lt;li&gt;&lt;a href=|http://study.interlinearbible.org/daniel/2.htm| title=|Hebrew Study Bible| target=|_top|&gt;Heb Study&lt;/a&gt;</v>
      </c>
      <c r="W852" t="str">
        <f t="shared" si="3404"/>
        <v>&lt;/li&gt;&lt;li&gt;&lt;a href=|http://apostolic.interlinearbible.org/daniel/2.htm| title=|Apostolic Bible Polyglot Interlinear| target=|_top|&gt;Polyglot&lt;/a&gt;</v>
      </c>
      <c r="X852" t="str">
        <f t="shared" si="3404"/>
        <v>&lt;/li&gt;&lt;li&gt;&lt;a href=|http://interlinearbible.org/daniel/2.htm| title=|Interlinear Bible| target=|_top|&gt;Interlin&lt;/a&gt;</v>
      </c>
      <c r="Y852" t="str">
        <f t="shared" ref="Y852" si="3405">CONCATENATE("&lt;/li&gt;&lt;li&gt;&lt;a href=|http://",Y1191,"/daniel/2.htm","| ","title=|",Y1190,"| target=|_top|&gt;",Y1192,"&lt;/a&gt;")</f>
        <v>&lt;/li&gt;&lt;li&gt;&lt;a href=|http://bibleoutline.org/daniel/2.htm| title=|Outline with People and Places List| target=|_top|&gt;Outline&lt;/a&gt;</v>
      </c>
      <c r="Z852" t="str">
        <f t="shared" si="3404"/>
        <v>&lt;/li&gt;&lt;li&gt;&lt;a href=|http://kjvs.scripturetext.com/daniel/2.htm| title=|King James Bible with Strong's Numbers| target=|_top|&gt;Strong's&lt;/a&gt;</v>
      </c>
      <c r="AA852" t="str">
        <f t="shared" si="3404"/>
        <v>&lt;/li&gt;&lt;li&gt;&lt;a href=|http://childrensbibleonline.com/daniel/2.htm| title=|The Children's Bible| target=|_top|&gt;Children's&lt;/a&gt;</v>
      </c>
      <c r="AB852" s="2" t="str">
        <f t="shared" si="3404"/>
        <v>&lt;/li&gt;&lt;li&gt;&lt;a href=|http://tsk.scripturetext.com/daniel/2.htm| title=|Treasury of Scripture Knowledge| target=|_top|&gt;TSK&lt;/a&gt;</v>
      </c>
      <c r="AC852" t="str">
        <f>CONCATENATE("&lt;a href=|http://",AC1191,"/daniel/2.htm","| ","title=|",AC1190,"| target=|_top|&gt;",AC1192,"&lt;/a&gt;")</f>
        <v>&lt;a href=|http://parallelbible.com/daniel/2.htm| title=|Parallel Chapters| target=|_top|&gt;PAR&lt;/a&gt;</v>
      </c>
      <c r="AD852" s="2" t="str">
        <f t="shared" ref="AD852:AK852" si="3406">CONCATENATE("&lt;/li&gt;&lt;li&gt;&lt;a href=|http://",AD1191,"/daniel/2.htm","| ","title=|",AD1190,"| target=|_top|&gt;",AD1192,"&lt;/a&gt;")</f>
        <v>&lt;/li&gt;&lt;li&gt;&lt;a href=|http://gsb.biblecommenter.com/daniel/2.htm| title=|Geneva Study Bible| target=|_top|&gt;GSB&lt;/a&gt;</v>
      </c>
      <c r="AE852" s="2" t="str">
        <f t="shared" si="3406"/>
        <v>&lt;/li&gt;&lt;li&gt;&lt;a href=|http://jfb.biblecommenter.com/daniel/2.htm| title=|Jamieson-Fausset-Brown Bible Commentary| target=|_top|&gt;JFB&lt;/a&gt;</v>
      </c>
      <c r="AF852" s="2" t="str">
        <f t="shared" si="3406"/>
        <v>&lt;/li&gt;&lt;li&gt;&lt;a href=|http://kjt.biblecommenter.com/daniel/2.htm| title=|King James Translators' Notes| target=|_top|&gt;KJT&lt;/a&gt;</v>
      </c>
      <c r="AG852" s="2" t="str">
        <f t="shared" si="3406"/>
        <v>&lt;/li&gt;&lt;li&gt;&lt;a href=|http://mhc.biblecommenter.com/daniel/2.htm| title=|Matthew Henry's Concise Commentary| target=|_top|&gt;MHC&lt;/a&gt;</v>
      </c>
      <c r="AH852" s="2" t="str">
        <f t="shared" si="3406"/>
        <v>&lt;/li&gt;&lt;li&gt;&lt;a href=|http://sco.biblecommenter.com/daniel/2.htm| title=|Scofield Reference Notes| target=|_top|&gt;SCO&lt;/a&gt;</v>
      </c>
      <c r="AI852" s="2" t="str">
        <f t="shared" si="3406"/>
        <v>&lt;/li&gt;&lt;li&gt;&lt;a href=|http://wes.biblecommenter.com/daniel/2.htm| title=|Wesley's Notes on the Bible| target=|_top|&gt;WES&lt;/a&gt;</v>
      </c>
      <c r="AJ852" t="str">
        <f t="shared" si="3406"/>
        <v>&lt;/li&gt;&lt;li&gt;&lt;a href=|http://worldebible.com/daniel/2.htm| title=|World English Bible| target=|_top|&gt;WEB&lt;/a&gt;</v>
      </c>
      <c r="AK852" t="str">
        <f t="shared" si="3406"/>
        <v>&lt;/li&gt;&lt;li&gt;&lt;a href=|http://yltbible.com/daniel/2.htm| title=|Young's Literal Translation| target=|_top|&gt;YLT&lt;/a&gt;</v>
      </c>
      <c r="AL852" t="str">
        <f>CONCATENATE("&lt;a href=|http://",AL1191,"/daniel/2.htm","| ","title=|",AL1190,"| target=|_top|&gt;",AL1192,"&lt;/a&gt;")</f>
        <v>&lt;a href=|http://kjv.us/daniel/2.htm| title=|American King James Version| target=|_top|&gt;AKJ&lt;/a&gt;</v>
      </c>
      <c r="AM852" t="str">
        <f t="shared" ref="AM852:AN852" si="3407">CONCATENATE("&lt;/li&gt;&lt;li&gt;&lt;a href=|http://",AM1191,"/daniel/2.htm","| ","title=|",AM1190,"| target=|_top|&gt;",AM1192,"&lt;/a&gt;")</f>
        <v>&lt;/li&gt;&lt;li&gt;&lt;a href=|http://basicenglishbible.com/daniel/2.htm| title=|Bible in Basic English| target=|_top|&gt;BBE&lt;/a&gt;</v>
      </c>
      <c r="AN852" t="str">
        <f t="shared" si="3407"/>
        <v>&lt;/li&gt;&lt;li&gt;&lt;a href=|http://darbybible.com/daniel/2.htm| title=|Darby Bible Translation| target=|_top|&gt;DBY&lt;/a&gt;</v>
      </c>
      <c r="AO85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5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5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52" t="str">
        <f>CONCATENATE("&lt;/li&gt;&lt;li&gt;&lt;a href=|http://",AR1191,"/daniel/2.htm","| ","title=|",AR1190,"| target=|_top|&gt;",AR1192,"&lt;/a&gt;")</f>
        <v>&lt;/li&gt;&lt;li&gt;&lt;a href=|http://websterbible.com/daniel/2.htm| title=|Webster's Bible Translation| target=|_top|&gt;WBS&lt;/a&gt;</v>
      </c>
      <c r="AS85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52" t="str">
        <f>CONCATENATE("&lt;/li&gt;&lt;li&gt;&lt;a href=|http://",AT1191,"/daniel/2-1.htm","| ","title=|",AT1190,"| target=|_top|&gt;",AT1192,"&lt;/a&gt;")</f>
        <v>&lt;/li&gt;&lt;li&gt;&lt;a href=|http://biblebrowser.com/daniel/2-1.htm| title=|Split View| target=|_top|&gt;Split&lt;/a&gt;</v>
      </c>
      <c r="AU852" s="2" t="s">
        <v>1276</v>
      </c>
      <c r="AV852" t="s">
        <v>64</v>
      </c>
    </row>
    <row r="853" spans="1:48">
      <c r="A853" t="s">
        <v>622</v>
      </c>
      <c r="B853" t="s">
        <v>894</v>
      </c>
      <c r="C853" t="s">
        <v>624</v>
      </c>
      <c r="D853" t="s">
        <v>1268</v>
      </c>
      <c r="E853" t="s">
        <v>1277</v>
      </c>
      <c r="F853" t="s">
        <v>1304</v>
      </c>
      <c r="G853" t="s">
        <v>1266</v>
      </c>
      <c r="H853" t="s">
        <v>1305</v>
      </c>
      <c r="I853" t="s">
        <v>1303</v>
      </c>
      <c r="J853" t="s">
        <v>1267</v>
      </c>
      <c r="K853" t="s">
        <v>1275</v>
      </c>
      <c r="L853" s="2" t="s">
        <v>1274</v>
      </c>
      <c r="M853" t="str">
        <f t="shared" ref="M853:AB853" si="3408">CONCATENATE("&lt;/li&gt;&lt;li&gt;&lt;a href=|http://",M1191,"/daniel/3.htm","| ","title=|",M1190,"| target=|_top|&gt;",M1192,"&lt;/a&gt;")</f>
        <v>&lt;/li&gt;&lt;li&gt;&lt;a href=|http://niv.scripturetext.com/daniel/3.htm| title=|New International Version| target=|_top|&gt;NIV&lt;/a&gt;</v>
      </c>
      <c r="N853" t="str">
        <f t="shared" si="3408"/>
        <v>&lt;/li&gt;&lt;li&gt;&lt;a href=|http://nlt.scripturetext.com/daniel/3.htm| title=|New Living Translation| target=|_top|&gt;NLT&lt;/a&gt;</v>
      </c>
      <c r="O853" t="str">
        <f t="shared" si="3408"/>
        <v>&lt;/li&gt;&lt;li&gt;&lt;a href=|http://nasb.scripturetext.com/daniel/3.htm| title=|New American Standard Bible| target=|_top|&gt;NAS&lt;/a&gt;</v>
      </c>
      <c r="P853" t="str">
        <f t="shared" si="3408"/>
        <v>&lt;/li&gt;&lt;li&gt;&lt;a href=|http://gwt.scripturetext.com/daniel/3.htm| title=|God's Word Translation| target=|_top|&gt;GWT&lt;/a&gt;</v>
      </c>
      <c r="Q853" t="str">
        <f t="shared" si="3408"/>
        <v>&lt;/li&gt;&lt;li&gt;&lt;a href=|http://kingjbible.com/daniel/3.htm| title=|King James Bible| target=|_top|&gt;KJV&lt;/a&gt;</v>
      </c>
      <c r="R853" t="str">
        <f t="shared" si="3408"/>
        <v>&lt;/li&gt;&lt;li&gt;&lt;a href=|http://asvbible.com/daniel/3.htm| title=|American Standard Version| target=|_top|&gt;ASV&lt;/a&gt;</v>
      </c>
      <c r="S853" t="str">
        <f t="shared" si="3408"/>
        <v>&lt;/li&gt;&lt;li&gt;&lt;a href=|http://drb.scripturetext.com/daniel/3.htm| title=|Douay-Rheims Bible| target=|_top|&gt;DRB&lt;/a&gt;</v>
      </c>
      <c r="T853" t="str">
        <f t="shared" si="3408"/>
        <v>&lt;/li&gt;&lt;li&gt;&lt;a href=|http://erv.scripturetext.com/daniel/3.htm| title=|English Revised Version| target=|_top|&gt;ERV&lt;/a&gt;</v>
      </c>
      <c r="V853" t="str">
        <f>CONCATENATE("&lt;/li&gt;&lt;li&gt;&lt;a href=|http://",V1191,"/daniel/3.htm","| ","title=|",V1190,"| target=|_top|&gt;",V1192,"&lt;/a&gt;")</f>
        <v>&lt;/li&gt;&lt;li&gt;&lt;a href=|http://study.interlinearbible.org/daniel/3.htm| title=|Hebrew Study Bible| target=|_top|&gt;Heb Study&lt;/a&gt;</v>
      </c>
      <c r="W853" t="str">
        <f t="shared" si="3408"/>
        <v>&lt;/li&gt;&lt;li&gt;&lt;a href=|http://apostolic.interlinearbible.org/daniel/3.htm| title=|Apostolic Bible Polyglot Interlinear| target=|_top|&gt;Polyglot&lt;/a&gt;</v>
      </c>
      <c r="X853" t="str">
        <f t="shared" si="3408"/>
        <v>&lt;/li&gt;&lt;li&gt;&lt;a href=|http://interlinearbible.org/daniel/3.htm| title=|Interlinear Bible| target=|_top|&gt;Interlin&lt;/a&gt;</v>
      </c>
      <c r="Y853" t="str">
        <f t="shared" ref="Y853" si="3409">CONCATENATE("&lt;/li&gt;&lt;li&gt;&lt;a href=|http://",Y1191,"/daniel/3.htm","| ","title=|",Y1190,"| target=|_top|&gt;",Y1192,"&lt;/a&gt;")</f>
        <v>&lt;/li&gt;&lt;li&gt;&lt;a href=|http://bibleoutline.org/daniel/3.htm| title=|Outline with People and Places List| target=|_top|&gt;Outline&lt;/a&gt;</v>
      </c>
      <c r="Z853" t="str">
        <f t="shared" si="3408"/>
        <v>&lt;/li&gt;&lt;li&gt;&lt;a href=|http://kjvs.scripturetext.com/daniel/3.htm| title=|King James Bible with Strong's Numbers| target=|_top|&gt;Strong's&lt;/a&gt;</v>
      </c>
      <c r="AA853" t="str">
        <f t="shared" si="3408"/>
        <v>&lt;/li&gt;&lt;li&gt;&lt;a href=|http://childrensbibleonline.com/daniel/3.htm| title=|The Children's Bible| target=|_top|&gt;Children's&lt;/a&gt;</v>
      </c>
      <c r="AB853" s="2" t="str">
        <f t="shared" si="3408"/>
        <v>&lt;/li&gt;&lt;li&gt;&lt;a href=|http://tsk.scripturetext.com/daniel/3.htm| title=|Treasury of Scripture Knowledge| target=|_top|&gt;TSK&lt;/a&gt;</v>
      </c>
      <c r="AC853" t="str">
        <f>CONCATENATE("&lt;a href=|http://",AC1191,"/daniel/3.htm","| ","title=|",AC1190,"| target=|_top|&gt;",AC1192,"&lt;/a&gt;")</f>
        <v>&lt;a href=|http://parallelbible.com/daniel/3.htm| title=|Parallel Chapters| target=|_top|&gt;PAR&lt;/a&gt;</v>
      </c>
      <c r="AD853" s="2" t="str">
        <f t="shared" ref="AD853:AK853" si="3410">CONCATENATE("&lt;/li&gt;&lt;li&gt;&lt;a href=|http://",AD1191,"/daniel/3.htm","| ","title=|",AD1190,"| target=|_top|&gt;",AD1192,"&lt;/a&gt;")</f>
        <v>&lt;/li&gt;&lt;li&gt;&lt;a href=|http://gsb.biblecommenter.com/daniel/3.htm| title=|Geneva Study Bible| target=|_top|&gt;GSB&lt;/a&gt;</v>
      </c>
      <c r="AE853" s="2" t="str">
        <f t="shared" si="3410"/>
        <v>&lt;/li&gt;&lt;li&gt;&lt;a href=|http://jfb.biblecommenter.com/daniel/3.htm| title=|Jamieson-Fausset-Brown Bible Commentary| target=|_top|&gt;JFB&lt;/a&gt;</v>
      </c>
      <c r="AF853" s="2" t="str">
        <f t="shared" si="3410"/>
        <v>&lt;/li&gt;&lt;li&gt;&lt;a href=|http://kjt.biblecommenter.com/daniel/3.htm| title=|King James Translators' Notes| target=|_top|&gt;KJT&lt;/a&gt;</v>
      </c>
      <c r="AG853" s="2" t="str">
        <f t="shared" si="3410"/>
        <v>&lt;/li&gt;&lt;li&gt;&lt;a href=|http://mhc.biblecommenter.com/daniel/3.htm| title=|Matthew Henry's Concise Commentary| target=|_top|&gt;MHC&lt;/a&gt;</v>
      </c>
      <c r="AH853" s="2" t="str">
        <f t="shared" si="3410"/>
        <v>&lt;/li&gt;&lt;li&gt;&lt;a href=|http://sco.biblecommenter.com/daniel/3.htm| title=|Scofield Reference Notes| target=|_top|&gt;SCO&lt;/a&gt;</v>
      </c>
      <c r="AI853" s="2" t="str">
        <f t="shared" si="3410"/>
        <v>&lt;/li&gt;&lt;li&gt;&lt;a href=|http://wes.biblecommenter.com/daniel/3.htm| title=|Wesley's Notes on the Bible| target=|_top|&gt;WES&lt;/a&gt;</v>
      </c>
      <c r="AJ853" t="str">
        <f t="shared" si="3410"/>
        <v>&lt;/li&gt;&lt;li&gt;&lt;a href=|http://worldebible.com/daniel/3.htm| title=|World English Bible| target=|_top|&gt;WEB&lt;/a&gt;</v>
      </c>
      <c r="AK853" t="str">
        <f t="shared" si="3410"/>
        <v>&lt;/li&gt;&lt;li&gt;&lt;a href=|http://yltbible.com/daniel/3.htm| title=|Young's Literal Translation| target=|_top|&gt;YLT&lt;/a&gt;</v>
      </c>
      <c r="AL853" t="str">
        <f>CONCATENATE("&lt;a href=|http://",AL1191,"/daniel/3.htm","| ","title=|",AL1190,"| target=|_top|&gt;",AL1192,"&lt;/a&gt;")</f>
        <v>&lt;a href=|http://kjv.us/daniel/3.htm| title=|American King James Version| target=|_top|&gt;AKJ&lt;/a&gt;</v>
      </c>
      <c r="AM853" t="str">
        <f t="shared" ref="AM853:AN853" si="3411">CONCATENATE("&lt;/li&gt;&lt;li&gt;&lt;a href=|http://",AM1191,"/daniel/3.htm","| ","title=|",AM1190,"| target=|_top|&gt;",AM1192,"&lt;/a&gt;")</f>
        <v>&lt;/li&gt;&lt;li&gt;&lt;a href=|http://basicenglishbible.com/daniel/3.htm| title=|Bible in Basic English| target=|_top|&gt;BBE&lt;/a&gt;</v>
      </c>
      <c r="AN853" t="str">
        <f t="shared" si="3411"/>
        <v>&lt;/li&gt;&lt;li&gt;&lt;a href=|http://darbybible.com/daniel/3.htm| title=|Darby Bible Translation| target=|_top|&gt;DBY&lt;/a&gt;</v>
      </c>
      <c r="AO85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5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5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53" t="str">
        <f>CONCATENATE("&lt;/li&gt;&lt;li&gt;&lt;a href=|http://",AR1191,"/daniel/3.htm","| ","title=|",AR1190,"| target=|_top|&gt;",AR1192,"&lt;/a&gt;")</f>
        <v>&lt;/li&gt;&lt;li&gt;&lt;a href=|http://websterbible.com/daniel/3.htm| title=|Webster's Bible Translation| target=|_top|&gt;WBS&lt;/a&gt;</v>
      </c>
      <c r="AS85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53" t="str">
        <f>CONCATENATE("&lt;/li&gt;&lt;li&gt;&lt;a href=|http://",AT1191,"/daniel/3-1.htm","| ","title=|",AT1190,"| target=|_top|&gt;",AT1192,"&lt;/a&gt;")</f>
        <v>&lt;/li&gt;&lt;li&gt;&lt;a href=|http://biblebrowser.com/daniel/3-1.htm| title=|Split View| target=|_top|&gt;Split&lt;/a&gt;</v>
      </c>
      <c r="AU853" s="2" t="s">
        <v>1276</v>
      </c>
      <c r="AV853" t="s">
        <v>64</v>
      </c>
    </row>
    <row r="854" spans="1:48">
      <c r="A854" t="s">
        <v>622</v>
      </c>
      <c r="B854" t="s">
        <v>895</v>
      </c>
      <c r="C854" t="s">
        <v>624</v>
      </c>
      <c r="D854" t="s">
        <v>1268</v>
      </c>
      <c r="E854" t="s">
        <v>1277</v>
      </c>
      <c r="F854" t="s">
        <v>1304</v>
      </c>
      <c r="G854" t="s">
        <v>1266</v>
      </c>
      <c r="H854" t="s">
        <v>1305</v>
      </c>
      <c r="I854" t="s">
        <v>1303</v>
      </c>
      <c r="J854" t="s">
        <v>1267</v>
      </c>
      <c r="K854" t="s">
        <v>1275</v>
      </c>
      <c r="L854" s="2" t="s">
        <v>1274</v>
      </c>
      <c r="M854" t="str">
        <f t="shared" ref="M854:AB854" si="3412">CONCATENATE("&lt;/li&gt;&lt;li&gt;&lt;a href=|http://",M1191,"/daniel/4.htm","| ","title=|",M1190,"| target=|_top|&gt;",M1192,"&lt;/a&gt;")</f>
        <v>&lt;/li&gt;&lt;li&gt;&lt;a href=|http://niv.scripturetext.com/daniel/4.htm| title=|New International Version| target=|_top|&gt;NIV&lt;/a&gt;</v>
      </c>
      <c r="N854" t="str">
        <f t="shared" si="3412"/>
        <v>&lt;/li&gt;&lt;li&gt;&lt;a href=|http://nlt.scripturetext.com/daniel/4.htm| title=|New Living Translation| target=|_top|&gt;NLT&lt;/a&gt;</v>
      </c>
      <c r="O854" t="str">
        <f t="shared" si="3412"/>
        <v>&lt;/li&gt;&lt;li&gt;&lt;a href=|http://nasb.scripturetext.com/daniel/4.htm| title=|New American Standard Bible| target=|_top|&gt;NAS&lt;/a&gt;</v>
      </c>
      <c r="P854" t="str">
        <f t="shared" si="3412"/>
        <v>&lt;/li&gt;&lt;li&gt;&lt;a href=|http://gwt.scripturetext.com/daniel/4.htm| title=|God's Word Translation| target=|_top|&gt;GWT&lt;/a&gt;</v>
      </c>
      <c r="Q854" t="str">
        <f t="shared" si="3412"/>
        <v>&lt;/li&gt;&lt;li&gt;&lt;a href=|http://kingjbible.com/daniel/4.htm| title=|King James Bible| target=|_top|&gt;KJV&lt;/a&gt;</v>
      </c>
      <c r="R854" t="str">
        <f t="shared" si="3412"/>
        <v>&lt;/li&gt;&lt;li&gt;&lt;a href=|http://asvbible.com/daniel/4.htm| title=|American Standard Version| target=|_top|&gt;ASV&lt;/a&gt;</v>
      </c>
      <c r="S854" t="str">
        <f t="shared" si="3412"/>
        <v>&lt;/li&gt;&lt;li&gt;&lt;a href=|http://drb.scripturetext.com/daniel/4.htm| title=|Douay-Rheims Bible| target=|_top|&gt;DRB&lt;/a&gt;</v>
      </c>
      <c r="T854" t="str">
        <f t="shared" si="3412"/>
        <v>&lt;/li&gt;&lt;li&gt;&lt;a href=|http://erv.scripturetext.com/daniel/4.htm| title=|English Revised Version| target=|_top|&gt;ERV&lt;/a&gt;</v>
      </c>
      <c r="V854" t="str">
        <f>CONCATENATE("&lt;/li&gt;&lt;li&gt;&lt;a href=|http://",V1191,"/daniel/4.htm","| ","title=|",V1190,"| target=|_top|&gt;",V1192,"&lt;/a&gt;")</f>
        <v>&lt;/li&gt;&lt;li&gt;&lt;a href=|http://study.interlinearbible.org/daniel/4.htm| title=|Hebrew Study Bible| target=|_top|&gt;Heb Study&lt;/a&gt;</v>
      </c>
      <c r="W854" t="str">
        <f t="shared" si="3412"/>
        <v>&lt;/li&gt;&lt;li&gt;&lt;a href=|http://apostolic.interlinearbible.org/daniel/4.htm| title=|Apostolic Bible Polyglot Interlinear| target=|_top|&gt;Polyglot&lt;/a&gt;</v>
      </c>
      <c r="X854" t="str">
        <f t="shared" si="3412"/>
        <v>&lt;/li&gt;&lt;li&gt;&lt;a href=|http://interlinearbible.org/daniel/4.htm| title=|Interlinear Bible| target=|_top|&gt;Interlin&lt;/a&gt;</v>
      </c>
      <c r="Y854" t="str">
        <f t="shared" ref="Y854" si="3413">CONCATENATE("&lt;/li&gt;&lt;li&gt;&lt;a href=|http://",Y1191,"/daniel/4.htm","| ","title=|",Y1190,"| target=|_top|&gt;",Y1192,"&lt;/a&gt;")</f>
        <v>&lt;/li&gt;&lt;li&gt;&lt;a href=|http://bibleoutline.org/daniel/4.htm| title=|Outline with People and Places List| target=|_top|&gt;Outline&lt;/a&gt;</v>
      </c>
      <c r="Z854" t="str">
        <f t="shared" si="3412"/>
        <v>&lt;/li&gt;&lt;li&gt;&lt;a href=|http://kjvs.scripturetext.com/daniel/4.htm| title=|King James Bible with Strong's Numbers| target=|_top|&gt;Strong's&lt;/a&gt;</v>
      </c>
      <c r="AA854" t="str">
        <f t="shared" si="3412"/>
        <v>&lt;/li&gt;&lt;li&gt;&lt;a href=|http://childrensbibleonline.com/daniel/4.htm| title=|The Children's Bible| target=|_top|&gt;Children's&lt;/a&gt;</v>
      </c>
      <c r="AB854" s="2" t="str">
        <f t="shared" si="3412"/>
        <v>&lt;/li&gt;&lt;li&gt;&lt;a href=|http://tsk.scripturetext.com/daniel/4.htm| title=|Treasury of Scripture Knowledge| target=|_top|&gt;TSK&lt;/a&gt;</v>
      </c>
      <c r="AC854" t="str">
        <f>CONCATENATE("&lt;a href=|http://",AC1191,"/daniel/4.htm","| ","title=|",AC1190,"| target=|_top|&gt;",AC1192,"&lt;/a&gt;")</f>
        <v>&lt;a href=|http://parallelbible.com/daniel/4.htm| title=|Parallel Chapters| target=|_top|&gt;PAR&lt;/a&gt;</v>
      </c>
      <c r="AD854" s="2" t="str">
        <f t="shared" ref="AD854:AK854" si="3414">CONCATENATE("&lt;/li&gt;&lt;li&gt;&lt;a href=|http://",AD1191,"/daniel/4.htm","| ","title=|",AD1190,"| target=|_top|&gt;",AD1192,"&lt;/a&gt;")</f>
        <v>&lt;/li&gt;&lt;li&gt;&lt;a href=|http://gsb.biblecommenter.com/daniel/4.htm| title=|Geneva Study Bible| target=|_top|&gt;GSB&lt;/a&gt;</v>
      </c>
      <c r="AE854" s="2" t="str">
        <f t="shared" si="3414"/>
        <v>&lt;/li&gt;&lt;li&gt;&lt;a href=|http://jfb.biblecommenter.com/daniel/4.htm| title=|Jamieson-Fausset-Brown Bible Commentary| target=|_top|&gt;JFB&lt;/a&gt;</v>
      </c>
      <c r="AF854" s="2" t="str">
        <f t="shared" si="3414"/>
        <v>&lt;/li&gt;&lt;li&gt;&lt;a href=|http://kjt.biblecommenter.com/daniel/4.htm| title=|King James Translators' Notes| target=|_top|&gt;KJT&lt;/a&gt;</v>
      </c>
      <c r="AG854" s="2" t="str">
        <f t="shared" si="3414"/>
        <v>&lt;/li&gt;&lt;li&gt;&lt;a href=|http://mhc.biblecommenter.com/daniel/4.htm| title=|Matthew Henry's Concise Commentary| target=|_top|&gt;MHC&lt;/a&gt;</v>
      </c>
      <c r="AH854" s="2" t="str">
        <f t="shared" si="3414"/>
        <v>&lt;/li&gt;&lt;li&gt;&lt;a href=|http://sco.biblecommenter.com/daniel/4.htm| title=|Scofield Reference Notes| target=|_top|&gt;SCO&lt;/a&gt;</v>
      </c>
      <c r="AI854" s="2" t="str">
        <f t="shared" si="3414"/>
        <v>&lt;/li&gt;&lt;li&gt;&lt;a href=|http://wes.biblecommenter.com/daniel/4.htm| title=|Wesley's Notes on the Bible| target=|_top|&gt;WES&lt;/a&gt;</v>
      </c>
      <c r="AJ854" t="str">
        <f t="shared" si="3414"/>
        <v>&lt;/li&gt;&lt;li&gt;&lt;a href=|http://worldebible.com/daniel/4.htm| title=|World English Bible| target=|_top|&gt;WEB&lt;/a&gt;</v>
      </c>
      <c r="AK854" t="str">
        <f t="shared" si="3414"/>
        <v>&lt;/li&gt;&lt;li&gt;&lt;a href=|http://yltbible.com/daniel/4.htm| title=|Young's Literal Translation| target=|_top|&gt;YLT&lt;/a&gt;</v>
      </c>
      <c r="AL854" t="str">
        <f>CONCATENATE("&lt;a href=|http://",AL1191,"/daniel/4.htm","| ","title=|",AL1190,"| target=|_top|&gt;",AL1192,"&lt;/a&gt;")</f>
        <v>&lt;a href=|http://kjv.us/daniel/4.htm| title=|American King James Version| target=|_top|&gt;AKJ&lt;/a&gt;</v>
      </c>
      <c r="AM854" t="str">
        <f t="shared" ref="AM854:AN854" si="3415">CONCATENATE("&lt;/li&gt;&lt;li&gt;&lt;a href=|http://",AM1191,"/daniel/4.htm","| ","title=|",AM1190,"| target=|_top|&gt;",AM1192,"&lt;/a&gt;")</f>
        <v>&lt;/li&gt;&lt;li&gt;&lt;a href=|http://basicenglishbible.com/daniel/4.htm| title=|Bible in Basic English| target=|_top|&gt;BBE&lt;/a&gt;</v>
      </c>
      <c r="AN854" t="str">
        <f t="shared" si="3415"/>
        <v>&lt;/li&gt;&lt;li&gt;&lt;a href=|http://darbybible.com/daniel/4.htm| title=|Darby Bible Translation| target=|_top|&gt;DBY&lt;/a&gt;</v>
      </c>
      <c r="AO85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5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5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54" t="str">
        <f>CONCATENATE("&lt;/li&gt;&lt;li&gt;&lt;a href=|http://",AR1191,"/daniel/4.htm","| ","title=|",AR1190,"| target=|_top|&gt;",AR1192,"&lt;/a&gt;")</f>
        <v>&lt;/li&gt;&lt;li&gt;&lt;a href=|http://websterbible.com/daniel/4.htm| title=|Webster's Bible Translation| target=|_top|&gt;WBS&lt;/a&gt;</v>
      </c>
      <c r="AS85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54" t="str">
        <f>CONCATENATE("&lt;/li&gt;&lt;li&gt;&lt;a href=|http://",AT1191,"/daniel/4-1.htm","| ","title=|",AT1190,"| target=|_top|&gt;",AT1192,"&lt;/a&gt;")</f>
        <v>&lt;/li&gt;&lt;li&gt;&lt;a href=|http://biblebrowser.com/daniel/4-1.htm| title=|Split View| target=|_top|&gt;Split&lt;/a&gt;</v>
      </c>
      <c r="AU854" s="2" t="s">
        <v>1276</v>
      </c>
      <c r="AV854" t="s">
        <v>64</v>
      </c>
    </row>
    <row r="855" spans="1:48">
      <c r="A855" t="s">
        <v>622</v>
      </c>
      <c r="B855" t="s">
        <v>896</v>
      </c>
      <c r="C855" t="s">
        <v>624</v>
      </c>
      <c r="D855" t="s">
        <v>1268</v>
      </c>
      <c r="E855" t="s">
        <v>1277</v>
      </c>
      <c r="F855" t="s">
        <v>1304</v>
      </c>
      <c r="G855" t="s">
        <v>1266</v>
      </c>
      <c r="H855" t="s">
        <v>1305</v>
      </c>
      <c r="I855" t="s">
        <v>1303</v>
      </c>
      <c r="J855" t="s">
        <v>1267</v>
      </c>
      <c r="K855" t="s">
        <v>1275</v>
      </c>
      <c r="L855" s="2" t="s">
        <v>1274</v>
      </c>
      <c r="M855" t="str">
        <f t="shared" ref="M855:AB855" si="3416">CONCATENATE("&lt;/li&gt;&lt;li&gt;&lt;a href=|http://",M1191,"/daniel/5.htm","| ","title=|",M1190,"| target=|_top|&gt;",M1192,"&lt;/a&gt;")</f>
        <v>&lt;/li&gt;&lt;li&gt;&lt;a href=|http://niv.scripturetext.com/daniel/5.htm| title=|New International Version| target=|_top|&gt;NIV&lt;/a&gt;</v>
      </c>
      <c r="N855" t="str">
        <f t="shared" si="3416"/>
        <v>&lt;/li&gt;&lt;li&gt;&lt;a href=|http://nlt.scripturetext.com/daniel/5.htm| title=|New Living Translation| target=|_top|&gt;NLT&lt;/a&gt;</v>
      </c>
      <c r="O855" t="str">
        <f t="shared" si="3416"/>
        <v>&lt;/li&gt;&lt;li&gt;&lt;a href=|http://nasb.scripturetext.com/daniel/5.htm| title=|New American Standard Bible| target=|_top|&gt;NAS&lt;/a&gt;</v>
      </c>
      <c r="P855" t="str">
        <f t="shared" si="3416"/>
        <v>&lt;/li&gt;&lt;li&gt;&lt;a href=|http://gwt.scripturetext.com/daniel/5.htm| title=|God's Word Translation| target=|_top|&gt;GWT&lt;/a&gt;</v>
      </c>
      <c r="Q855" t="str">
        <f t="shared" si="3416"/>
        <v>&lt;/li&gt;&lt;li&gt;&lt;a href=|http://kingjbible.com/daniel/5.htm| title=|King James Bible| target=|_top|&gt;KJV&lt;/a&gt;</v>
      </c>
      <c r="R855" t="str">
        <f t="shared" si="3416"/>
        <v>&lt;/li&gt;&lt;li&gt;&lt;a href=|http://asvbible.com/daniel/5.htm| title=|American Standard Version| target=|_top|&gt;ASV&lt;/a&gt;</v>
      </c>
      <c r="S855" t="str">
        <f t="shared" si="3416"/>
        <v>&lt;/li&gt;&lt;li&gt;&lt;a href=|http://drb.scripturetext.com/daniel/5.htm| title=|Douay-Rheims Bible| target=|_top|&gt;DRB&lt;/a&gt;</v>
      </c>
      <c r="T855" t="str">
        <f t="shared" si="3416"/>
        <v>&lt;/li&gt;&lt;li&gt;&lt;a href=|http://erv.scripturetext.com/daniel/5.htm| title=|English Revised Version| target=|_top|&gt;ERV&lt;/a&gt;</v>
      </c>
      <c r="V855" t="str">
        <f>CONCATENATE("&lt;/li&gt;&lt;li&gt;&lt;a href=|http://",V1191,"/daniel/5.htm","| ","title=|",V1190,"| target=|_top|&gt;",V1192,"&lt;/a&gt;")</f>
        <v>&lt;/li&gt;&lt;li&gt;&lt;a href=|http://study.interlinearbible.org/daniel/5.htm| title=|Hebrew Study Bible| target=|_top|&gt;Heb Study&lt;/a&gt;</v>
      </c>
      <c r="W855" t="str">
        <f t="shared" si="3416"/>
        <v>&lt;/li&gt;&lt;li&gt;&lt;a href=|http://apostolic.interlinearbible.org/daniel/5.htm| title=|Apostolic Bible Polyglot Interlinear| target=|_top|&gt;Polyglot&lt;/a&gt;</v>
      </c>
      <c r="X855" t="str">
        <f t="shared" si="3416"/>
        <v>&lt;/li&gt;&lt;li&gt;&lt;a href=|http://interlinearbible.org/daniel/5.htm| title=|Interlinear Bible| target=|_top|&gt;Interlin&lt;/a&gt;</v>
      </c>
      <c r="Y855" t="str">
        <f t="shared" ref="Y855" si="3417">CONCATENATE("&lt;/li&gt;&lt;li&gt;&lt;a href=|http://",Y1191,"/daniel/5.htm","| ","title=|",Y1190,"| target=|_top|&gt;",Y1192,"&lt;/a&gt;")</f>
        <v>&lt;/li&gt;&lt;li&gt;&lt;a href=|http://bibleoutline.org/daniel/5.htm| title=|Outline with People and Places List| target=|_top|&gt;Outline&lt;/a&gt;</v>
      </c>
      <c r="Z855" t="str">
        <f t="shared" si="3416"/>
        <v>&lt;/li&gt;&lt;li&gt;&lt;a href=|http://kjvs.scripturetext.com/daniel/5.htm| title=|King James Bible with Strong's Numbers| target=|_top|&gt;Strong's&lt;/a&gt;</v>
      </c>
      <c r="AA855" t="str">
        <f t="shared" si="3416"/>
        <v>&lt;/li&gt;&lt;li&gt;&lt;a href=|http://childrensbibleonline.com/daniel/5.htm| title=|The Children's Bible| target=|_top|&gt;Children's&lt;/a&gt;</v>
      </c>
      <c r="AB855" s="2" t="str">
        <f t="shared" si="3416"/>
        <v>&lt;/li&gt;&lt;li&gt;&lt;a href=|http://tsk.scripturetext.com/daniel/5.htm| title=|Treasury of Scripture Knowledge| target=|_top|&gt;TSK&lt;/a&gt;</v>
      </c>
      <c r="AC855" t="str">
        <f>CONCATENATE("&lt;a href=|http://",AC1191,"/daniel/5.htm","| ","title=|",AC1190,"| target=|_top|&gt;",AC1192,"&lt;/a&gt;")</f>
        <v>&lt;a href=|http://parallelbible.com/daniel/5.htm| title=|Parallel Chapters| target=|_top|&gt;PAR&lt;/a&gt;</v>
      </c>
      <c r="AD855" s="2" t="str">
        <f t="shared" ref="AD855:AK855" si="3418">CONCATENATE("&lt;/li&gt;&lt;li&gt;&lt;a href=|http://",AD1191,"/daniel/5.htm","| ","title=|",AD1190,"| target=|_top|&gt;",AD1192,"&lt;/a&gt;")</f>
        <v>&lt;/li&gt;&lt;li&gt;&lt;a href=|http://gsb.biblecommenter.com/daniel/5.htm| title=|Geneva Study Bible| target=|_top|&gt;GSB&lt;/a&gt;</v>
      </c>
      <c r="AE855" s="2" t="str">
        <f t="shared" si="3418"/>
        <v>&lt;/li&gt;&lt;li&gt;&lt;a href=|http://jfb.biblecommenter.com/daniel/5.htm| title=|Jamieson-Fausset-Brown Bible Commentary| target=|_top|&gt;JFB&lt;/a&gt;</v>
      </c>
      <c r="AF855" s="2" t="str">
        <f t="shared" si="3418"/>
        <v>&lt;/li&gt;&lt;li&gt;&lt;a href=|http://kjt.biblecommenter.com/daniel/5.htm| title=|King James Translators' Notes| target=|_top|&gt;KJT&lt;/a&gt;</v>
      </c>
      <c r="AG855" s="2" t="str">
        <f t="shared" si="3418"/>
        <v>&lt;/li&gt;&lt;li&gt;&lt;a href=|http://mhc.biblecommenter.com/daniel/5.htm| title=|Matthew Henry's Concise Commentary| target=|_top|&gt;MHC&lt;/a&gt;</v>
      </c>
      <c r="AH855" s="2" t="str">
        <f t="shared" si="3418"/>
        <v>&lt;/li&gt;&lt;li&gt;&lt;a href=|http://sco.biblecommenter.com/daniel/5.htm| title=|Scofield Reference Notes| target=|_top|&gt;SCO&lt;/a&gt;</v>
      </c>
      <c r="AI855" s="2" t="str">
        <f t="shared" si="3418"/>
        <v>&lt;/li&gt;&lt;li&gt;&lt;a href=|http://wes.biblecommenter.com/daniel/5.htm| title=|Wesley's Notes on the Bible| target=|_top|&gt;WES&lt;/a&gt;</v>
      </c>
      <c r="AJ855" t="str">
        <f t="shared" si="3418"/>
        <v>&lt;/li&gt;&lt;li&gt;&lt;a href=|http://worldebible.com/daniel/5.htm| title=|World English Bible| target=|_top|&gt;WEB&lt;/a&gt;</v>
      </c>
      <c r="AK855" t="str">
        <f t="shared" si="3418"/>
        <v>&lt;/li&gt;&lt;li&gt;&lt;a href=|http://yltbible.com/daniel/5.htm| title=|Young's Literal Translation| target=|_top|&gt;YLT&lt;/a&gt;</v>
      </c>
      <c r="AL855" t="str">
        <f>CONCATENATE("&lt;a href=|http://",AL1191,"/daniel/5.htm","| ","title=|",AL1190,"| target=|_top|&gt;",AL1192,"&lt;/a&gt;")</f>
        <v>&lt;a href=|http://kjv.us/daniel/5.htm| title=|American King James Version| target=|_top|&gt;AKJ&lt;/a&gt;</v>
      </c>
      <c r="AM855" t="str">
        <f t="shared" ref="AM855:AN855" si="3419">CONCATENATE("&lt;/li&gt;&lt;li&gt;&lt;a href=|http://",AM1191,"/daniel/5.htm","| ","title=|",AM1190,"| target=|_top|&gt;",AM1192,"&lt;/a&gt;")</f>
        <v>&lt;/li&gt;&lt;li&gt;&lt;a href=|http://basicenglishbible.com/daniel/5.htm| title=|Bible in Basic English| target=|_top|&gt;BBE&lt;/a&gt;</v>
      </c>
      <c r="AN855" t="str">
        <f t="shared" si="3419"/>
        <v>&lt;/li&gt;&lt;li&gt;&lt;a href=|http://darbybible.com/daniel/5.htm| title=|Darby Bible Translation| target=|_top|&gt;DBY&lt;/a&gt;</v>
      </c>
      <c r="AO85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5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5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55" t="str">
        <f>CONCATENATE("&lt;/li&gt;&lt;li&gt;&lt;a href=|http://",AR1191,"/daniel/5.htm","| ","title=|",AR1190,"| target=|_top|&gt;",AR1192,"&lt;/a&gt;")</f>
        <v>&lt;/li&gt;&lt;li&gt;&lt;a href=|http://websterbible.com/daniel/5.htm| title=|Webster's Bible Translation| target=|_top|&gt;WBS&lt;/a&gt;</v>
      </c>
      <c r="AS85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55" t="str">
        <f>CONCATENATE("&lt;/li&gt;&lt;li&gt;&lt;a href=|http://",AT1191,"/daniel/5-1.htm","| ","title=|",AT1190,"| target=|_top|&gt;",AT1192,"&lt;/a&gt;")</f>
        <v>&lt;/li&gt;&lt;li&gt;&lt;a href=|http://biblebrowser.com/daniel/5-1.htm| title=|Split View| target=|_top|&gt;Split&lt;/a&gt;</v>
      </c>
      <c r="AU855" s="2" t="s">
        <v>1276</v>
      </c>
      <c r="AV855" t="s">
        <v>64</v>
      </c>
    </row>
    <row r="856" spans="1:48">
      <c r="A856" t="s">
        <v>622</v>
      </c>
      <c r="B856" t="s">
        <v>897</v>
      </c>
      <c r="C856" t="s">
        <v>624</v>
      </c>
      <c r="D856" t="s">
        <v>1268</v>
      </c>
      <c r="E856" t="s">
        <v>1277</v>
      </c>
      <c r="F856" t="s">
        <v>1304</v>
      </c>
      <c r="G856" t="s">
        <v>1266</v>
      </c>
      <c r="H856" t="s">
        <v>1305</v>
      </c>
      <c r="I856" t="s">
        <v>1303</v>
      </c>
      <c r="J856" t="s">
        <v>1267</v>
      </c>
      <c r="K856" t="s">
        <v>1275</v>
      </c>
      <c r="L856" s="2" t="s">
        <v>1274</v>
      </c>
      <c r="M856" t="str">
        <f t="shared" ref="M856:AB856" si="3420">CONCATENATE("&lt;/li&gt;&lt;li&gt;&lt;a href=|http://",M1191,"/daniel/6.htm","| ","title=|",M1190,"| target=|_top|&gt;",M1192,"&lt;/a&gt;")</f>
        <v>&lt;/li&gt;&lt;li&gt;&lt;a href=|http://niv.scripturetext.com/daniel/6.htm| title=|New International Version| target=|_top|&gt;NIV&lt;/a&gt;</v>
      </c>
      <c r="N856" t="str">
        <f t="shared" si="3420"/>
        <v>&lt;/li&gt;&lt;li&gt;&lt;a href=|http://nlt.scripturetext.com/daniel/6.htm| title=|New Living Translation| target=|_top|&gt;NLT&lt;/a&gt;</v>
      </c>
      <c r="O856" t="str">
        <f t="shared" si="3420"/>
        <v>&lt;/li&gt;&lt;li&gt;&lt;a href=|http://nasb.scripturetext.com/daniel/6.htm| title=|New American Standard Bible| target=|_top|&gt;NAS&lt;/a&gt;</v>
      </c>
      <c r="P856" t="str">
        <f t="shared" si="3420"/>
        <v>&lt;/li&gt;&lt;li&gt;&lt;a href=|http://gwt.scripturetext.com/daniel/6.htm| title=|God's Word Translation| target=|_top|&gt;GWT&lt;/a&gt;</v>
      </c>
      <c r="Q856" t="str">
        <f t="shared" si="3420"/>
        <v>&lt;/li&gt;&lt;li&gt;&lt;a href=|http://kingjbible.com/daniel/6.htm| title=|King James Bible| target=|_top|&gt;KJV&lt;/a&gt;</v>
      </c>
      <c r="R856" t="str">
        <f t="shared" si="3420"/>
        <v>&lt;/li&gt;&lt;li&gt;&lt;a href=|http://asvbible.com/daniel/6.htm| title=|American Standard Version| target=|_top|&gt;ASV&lt;/a&gt;</v>
      </c>
      <c r="S856" t="str">
        <f t="shared" si="3420"/>
        <v>&lt;/li&gt;&lt;li&gt;&lt;a href=|http://drb.scripturetext.com/daniel/6.htm| title=|Douay-Rheims Bible| target=|_top|&gt;DRB&lt;/a&gt;</v>
      </c>
      <c r="T856" t="str">
        <f t="shared" si="3420"/>
        <v>&lt;/li&gt;&lt;li&gt;&lt;a href=|http://erv.scripturetext.com/daniel/6.htm| title=|English Revised Version| target=|_top|&gt;ERV&lt;/a&gt;</v>
      </c>
      <c r="V856" t="str">
        <f>CONCATENATE("&lt;/li&gt;&lt;li&gt;&lt;a href=|http://",V1191,"/daniel/6.htm","| ","title=|",V1190,"| target=|_top|&gt;",V1192,"&lt;/a&gt;")</f>
        <v>&lt;/li&gt;&lt;li&gt;&lt;a href=|http://study.interlinearbible.org/daniel/6.htm| title=|Hebrew Study Bible| target=|_top|&gt;Heb Study&lt;/a&gt;</v>
      </c>
      <c r="W856" t="str">
        <f t="shared" si="3420"/>
        <v>&lt;/li&gt;&lt;li&gt;&lt;a href=|http://apostolic.interlinearbible.org/daniel/6.htm| title=|Apostolic Bible Polyglot Interlinear| target=|_top|&gt;Polyglot&lt;/a&gt;</v>
      </c>
      <c r="X856" t="str">
        <f t="shared" si="3420"/>
        <v>&lt;/li&gt;&lt;li&gt;&lt;a href=|http://interlinearbible.org/daniel/6.htm| title=|Interlinear Bible| target=|_top|&gt;Interlin&lt;/a&gt;</v>
      </c>
      <c r="Y856" t="str">
        <f t="shared" ref="Y856" si="3421">CONCATENATE("&lt;/li&gt;&lt;li&gt;&lt;a href=|http://",Y1191,"/daniel/6.htm","| ","title=|",Y1190,"| target=|_top|&gt;",Y1192,"&lt;/a&gt;")</f>
        <v>&lt;/li&gt;&lt;li&gt;&lt;a href=|http://bibleoutline.org/daniel/6.htm| title=|Outline with People and Places List| target=|_top|&gt;Outline&lt;/a&gt;</v>
      </c>
      <c r="Z856" t="str">
        <f t="shared" si="3420"/>
        <v>&lt;/li&gt;&lt;li&gt;&lt;a href=|http://kjvs.scripturetext.com/daniel/6.htm| title=|King James Bible with Strong's Numbers| target=|_top|&gt;Strong's&lt;/a&gt;</v>
      </c>
      <c r="AA856" t="str">
        <f t="shared" si="3420"/>
        <v>&lt;/li&gt;&lt;li&gt;&lt;a href=|http://childrensbibleonline.com/daniel/6.htm| title=|The Children's Bible| target=|_top|&gt;Children's&lt;/a&gt;</v>
      </c>
      <c r="AB856" s="2" t="str">
        <f t="shared" si="3420"/>
        <v>&lt;/li&gt;&lt;li&gt;&lt;a href=|http://tsk.scripturetext.com/daniel/6.htm| title=|Treasury of Scripture Knowledge| target=|_top|&gt;TSK&lt;/a&gt;</v>
      </c>
      <c r="AC856" t="str">
        <f>CONCATENATE("&lt;a href=|http://",AC1191,"/daniel/6.htm","| ","title=|",AC1190,"| target=|_top|&gt;",AC1192,"&lt;/a&gt;")</f>
        <v>&lt;a href=|http://parallelbible.com/daniel/6.htm| title=|Parallel Chapters| target=|_top|&gt;PAR&lt;/a&gt;</v>
      </c>
      <c r="AD856" s="2" t="str">
        <f t="shared" ref="AD856:AK856" si="3422">CONCATENATE("&lt;/li&gt;&lt;li&gt;&lt;a href=|http://",AD1191,"/daniel/6.htm","| ","title=|",AD1190,"| target=|_top|&gt;",AD1192,"&lt;/a&gt;")</f>
        <v>&lt;/li&gt;&lt;li&gt;&lt;a href=|http://gsb.biblecommenter.com/daniel/6.htm| title=|Geneva Study Bible| target=|_top|&gt;GSB&lt;/a&gt;</v>
      </c>
      <c r="AE856" s="2" t="str">
        <f t="shared" si="3422"/>
        <v>&lt;/li&gt;&lt;li&gt;&lt;a href=|http://jfb.biblecommenter.com/daniel/6.htm| title=|Jamieson-Fausset-Brown Bible Commentary| target=|_top|&gt;JFB&lt;/a&gt;</v>
      </c>
      <c r="AF856" s="2" t="str">
        <f t="shared" si="3422"/>
        <v>&lt;/li&gt;&lt;li&gt;&lt;a href=|http://kjt.biblecommenter.com/daniel/6.htm| title=|King James Translators' Notes| target=|_top|&gt;KJT&lt;/a&gt;</v>
      </c>
      <c r="AG856" s="2" t="str">
        <f t="shared" si="3422"/>
        <v>&lt;/li&gt;&lt;li&gt;&lt;a href=|http://mhc.biblecommenter.com/daniel/6.htm| title=|Matthew Henry's Concise Commentary| target=|_top|&gt;MHC&lt;/a&gt;</v>
      </c>
      <c r="AH856" s="2" t="str">
        <f t="shared" si="3422"/>
        <v>&lt;/li&gt;&lt;li&gt;&lt;a href=|http://sco.biblecommenter.com/daniel/6.htm| title=|Scofield Reference Notes| target=|_top|&gt;SCO&lt;/a&gt;</v>
      </c>
      <c r="AI856" s="2" t="str">
        <f t="shared" si="3422"/>
        <v>&lt;/li&gt;&lt;li&gt;&lt;a href=|http://wes.biblecommenter.com/daniel/6.htm| title=|Wesley's Notes on the Bible| target=|_top|&gt;WES&lt;/a&gt;</v>
      </c>
      <c r="AJ856" t="str">
        <f t="shared" si="3422"/>
        <v>&lt;/li&gt;&lt;li&gt;&lt;a href=|http://worldebible.com/daniel/6.htm| title=|World English Bible| target=|_top|&gt;WEB&lt;/a&gt;</v>
      </c>
      <c r="AK856" t="str">
        <f t="shared" si="3422"/>
        <v>&lt;/li&gt;&lt;li&gt;&lt;a href=|http://yltbible.com/daniel/6.htm| title=|Young's Literal Translation| target=|_top|&gt;YLT&lt;/a&gt;</v>
      </c>
      <c r="AL856" t="str">
        <f>CONCATENATE("&lt;a href=|http://",AL1191,"/daniel/6.htm","| ","title=|",AL1190,"| target=|_top|&gt;",AL1192,"&lt;/a&gt;")</f>
        <v>&lt;a href=|http://kjv.us/daniel/6.htm| title=|American King James Version| target=|_top|&gt;AKJ&lt;/a&gt;</v>
      </c>
      <c r="AM856" t="str">
        <f t="shared" ref="AM856:AN856" si="3423">CONCATENATE("&lt;/li&gt;&lt;li&gt;&lt;a href=|http://",AM1191,"/daniel/6.htm","| ","title=|",AM1190,"| target=|_top|&gt;",AM1192,"&lt;/a&gt;")</f>
        <v>&lt;/li&gt;&lt;li&gt;&lt;a href=|http://basicenglishbible.com/daniel/6.htm| title=|Bible in Basic English| target=|_top|&gt;BBE&lt;/a&gt;</v>
      </c>
      <c r="AN856" t="str">
        <f t="shared" si="3423"/>
        <v>&lt;/li&gt;&lt;li&gt;&lt;a href=|http://darbybible.com/daniel/6.htm| title=|Darby Bible Translation| target=|_top|&gt;DBY&lt;/a&gt;</v>
      </c>
      <c r="AO85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5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5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56" t="str">
        <f>CONCATENATE("&lt;/li&gt;&lt;li&gt;&lt;a href=|http://",AR1191,"/daniel/6.htm","| ","title=|",AR1190,"| target=|_top|&gt;",AR1192,"&lt;/a&gt;")</f>
        <v>&lt;/li&gt;&lt;li&gt;&lt;a href=|http://websterbible.com/daniel/6.htm| title=|Webster's Bible Translation| target=|_top|&gt;WBS&lt;/a&gt;</v>
      </c>
      <c r="AS85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56" t="str">
        <f>CONCATENATE("&lt;/li&gt;&lt;li&gt;&lt;a href=|http://",AT1191,"/daniel/6-1.htm","| ","title=|",AT1190,"| target=|_top|&gt;",AT1192,"&lt;/a&gt;")</f>
        <v>&lt;/li&gt;&lt;li&gt;&lt;a href=|http://biblebrowser.com/daniel/6-1.htm| title=|Split View| target=|_top|&gt;Split&lt;/a&gt;</v>
      </c>
      <c r="AU856" s="2" t="s">
        <v>1276</v>
      </c>
      <c r="AV856" t="s">
        <v>64</v>
      </c>
    </row>
    <row r="857" spans="1:48">
      <c r="A857" t="s">
        <v>622</v>
      </c>
      <c r="B857" t="s">
        <v>898</v>
      </c>
      <c r="C857" t="s">
        <v>624</v>
      </c>
      <c r="D857" t="s">
        <v>1268</v>
      </c>
      <c r="E857" t="s">
        <v>1277</v>
      </c>
      <c r="F857" t="s">
        <v>1304</v>
      </c>
      <c r="G857" t="s">
        <v>1266</v>
      </c>
      <c r="H857" t="s">
        <v>1305</v>
      </c>
      <c r="I857" t="s">
        <v>1303</v>
      </c>
      <c r="J857" t="s">
        <v>1267</v>
      </c>
      <c r="K857" t="s">
        <v>1275</v>
      </c>
      <c r="L857" s="2" t="s">
        <v>1274</v>
      </c>
      <c r="M857" t="str">
        <f t="shared" ref="M857:AB857" si="3424">CONCATENATE("&lt;/li&gt;&lt;li&gt;&lt;a href=|http://",M1191,"/daniel/7.htm","| ","title=|",M1190,"| target=|_top|&gt;",M1192,"&lt;/a&gt;")</f>
        <v>&lt;/li&gt;&lt;li&gt;&lt;a href=|http://niv.scripturetext.com/daniel/7.htm| title=|New International Version| target=|_top|&gt;NIV&lt;/a&gt;</v>
      </c>
      <c r="N857" t="str">
        <f t="shared" si="3424"/>
        <v>&lt;/li&gt;&lt;li&gt;&lt;a href=|http://nlt.scripturetext.com/daniel/7.htm| title=|New Living Translation| target=|_top|&gt;NLT&lt;/a&gt;</v>
      </c>
      <c r="O857" t="str">
        <f t="shared" si="3424"/>
        <v>&lt;/li&gt;&lt;li&gt;&lt;a href=|http://nasb.scripturetext.com/daniel/7.htm| title=|New American Standard Bible| target=|_top|&gt;NAS&lt;/a&gt;</v>
      </c>
      <c r="P857" t="str">
        <f t="shared" si="3424"/>
        <v>&lt;/li&gt;&lt;li&gt;&lt;a href=|http://gwt.scripturetext.com/daniel/7.htm| title=|God's Word Translation| target=|_top|&gt;GWT&lt;/a&gt;</v>
      </c>
      <c r="Q857" t="str">
        <f t="shared" si="3424"/>
        <v>&lt;/li&gt;&lt;li&gt;&lt;a href=|http://kingjbible.com/daniel/7.htm| title=|King James Bible| target=|_top|&gt;KJV&lt;/a&gt;</v>
      </c>
      <c r="R857" t="str">
        <f t="shared" si="3424"/>
        <v>&lt;/li&gt;&lt;li&gt;&lt;a href=|http://asvbible.com/daniel/7.htm| title=|American Standard Version| target=|_top|&gt;ASV&lt;/a&gt;</v>
      </c>
      <c r="S857" t="str">
        <f t="shared" si="3424"/>
        <v>&lt;/li&gt;&lt;li&gt;&lt;a href=|http://drb.scripturetext.com/daniel/7.htm| title=|Douay-Rheims Bible| target=|_top|&gt;DRB&lt;/a&gt;</v>
      </c>
      <c r="T857" t="str">
        <f t="shared" si="3424"/>
        <v>&lt;/li&gt;&lt;li&gt;&lt;a href=|http://erv.scripturetext.com/daniel/7.htm| title=|English Revised Version| target=|_top|&gt;ERV&lt;/a&gt;</v>
      </c>
      <c r="V857" t="str">
        <f>CONCATENATE("&lt;/li&gt;&lt;li&gt;&lt;a href=|http://",V1191,"/daniel/7.htm","| ","title=|",V1190,"| target=|_top|&gt;",V1192,"&lt;/a&gt;")</f>
        <v>&lt;/li&gt;&lt;li&gt;&lt;a href=|http://study.interlinearbible.org/daniel/7.htm| title=|Hebrew Study Bible| target=|_top|&gt;Heb Study&lt;/a&gt;</v>
      </c>
      <c r="W857" t="str">
        <f t="shared" si="3424"/>
        <v>&lt;/li&gt;&lt;li&gt;&lt;a href=|http://apostolic.interlinearbible.org/daniel/7.htm| title=|Apostolic Bible Polyglot Interlinear| target=|_top|&gt;Polyglot&lt;/a&gt;</v>
      </c>
      <c r="X857" t="str">
        <f t="shared" si="3424"/>
        <v>&lt;/li&gt;&lt;li&gt;&lt;a href=|http://interlinearbible.org/daniel/7.htm| title=|Interlinear Bible| target=|_top|&gt;Interlin&lt;/a&gt;</v>
      </c>
      <c r="Y857" t="str">
        <f t="shared" ref="Y857" si="3425">CONCATENATE("&lt;/li&gt;&lt;li&gt;&lt;a href=|http://",Y1191,"/daniel/7.htm","| ","title=|",Y1190,"| target=|_top|&gt;",Y1192,"&lt;/a&gt;")</f>
        <v>&lt;/li&gt;&lt;li&gt;&lt;a href=|http://bibleoutline.org/daniel/7.htm| title=|Outline with People and Places List| target=|_top|&gt;Outline&lt;/a&gt;</v>
      </c>
      <c r="Z857" t="str">
        <f t="shared" si="3424"/>
        <v>&lt;/li&gt;&lt;li&gt;&lt;a href=|http://kjvs.scripturetext.com/daniel/7.htm| title=|King James Bible with Strong's Numbers| target=|_top|&gt;Strong's&lt;/a&gt;</v>
      </c>
      <c r="AA857" t="str">
        <f t="shared" si="3424"/>
        <v>&lt;/li&gt;&lt;li&gt;&lt;a href=|http://childrensbibleonline.com/daniel/7.htm| title=|The Children's Bible| target=|_top|&gt;Children's&lt;/a&gt;</v>
      </c>
      <c r="AB857" s="2" t="str">
        <f t="shared" si="3424"/>
        <v>&lt;/li&gt;&lt;li&gt;&lt;a href=|http://tsk.scripturetext.com/daniel/7.htm| title=|Treasury of Scripture Knowledge| target=|_top|&gt;TSK&lt;/a&gt;</v>
      </c>
      <c r="AC857" t="str">
        <f>CONCATENATE("&lt;a href=|http://",AC1191,"/daniel/7.htm","| ","title=|",AC1190,"| target=|_top|&gt;",AC1192,"&lt;/a&gt;")</f>
        <v>&lt;a href=|http://parallelbible.com/daniel/7.htm| title=|Parallel Chapters| target=|_top|&gt;PAR&lt;/a&gt;</v>
      </c>
      <c r="AD857" s="2" t="str">
        <f t="shared" ref="AD857:AK857" si="3426">CONCATENATE("&lt;/li&gt;&lt;li&gt;&lt;a href=|http://",AD1191,"/daniel/7.htm","| ","title=|",AD1190,"| target=|_top|&gt;",AD1192,"&lt;/a&gt;")</f>
        <v>&lt;/li&gt;&lt;li&gt;&lt;a href=|http://gsb.biblecommenter.com/daniel/7.htm| title=|Geneva Study Bible| target=|_top|&gt;GSB&lt;/a&gt;</v>
      </c>
      <c r="AE857" s="2" t="str">
        <f t="shared" si="3426"/>
        <v>&lt;/li&gt;&lt;li&gt;&lt;a href=|http://jfb.biblecommenter.com/daniel/7.htm| title=|Jamieson-Fausset-Brown Bible Commentary| target=|_top|&gt;JFB&lt;/a&gt;</v>
      </c>
      <c r="AF857" s="2" t="str">
        <f t="shared" si="3426"/>
        <v>&lt;/li&gt;&lt;li&gt;&lt;a href=|http://kjt.biblecommenter.com/daniel/7.htm| title=|King James Translators' Notes| target=|_top|&gt;KJT&lt;/a&gt;</v>
      </c>
      <c r="AG857" s="2" t="str">
        <f t="shared" si="3426"/>
        <v>&lt;/li&gt;&lt;li&gt;&lt;a href=|http://mhc.biblecommenter.com/daniel/7.htm| title=|Matthew Henry's Concise Commentary| target=|_top|&gt;MHC&lt;/a&gt;</v>
      </c>
      <c r="AH857" s="2" t="str">
        <f t="shared" si="3426"/>
        <v>&lt;/li&gt;&lt;li&gt;&lt;a href=|http://sco.biblecommenter.com/daniel/7.htm| title=|Scofield Reference Notes| target=|_top|&gt;SCO&lt;/a&gt;</v>
      </c>
      <c r="AI857" s="2" t="str">
        <f t="shared" si="3426"/>
        <v>&lt;/li&gt;&lt;li&gt;&lt;a href=|http://wes.biblecommenter.com/daniel/7.htm| title=|Wesley's Notes on the Bible| target=|_top|&gt;WES&lt;/a&gt;</v>
      </c>
      <c r="AJ857" t="str">
        <f t="shared" si="3426"/>
        <v>&lt;/li&gt;&lt;li&gt;&lt;a href=|http://worldebible.com/daniel/7.htm| title=|World English Bible| target=|_top|&gt;WEB&lt;/a&gt;</v>
      </c>
      <c r="AK857" t="str">
        <f t="shared" si="3426"/>
        <v>&lt;/li&gt;&lt;li&gt;&lt;a href=|http://yltbible.com/daniel/7.htm| title=|Young's Literal Translation| target=|_top|&gt;YLT&lt;/a&gt;</v>
      </c>
      <c r="AL857" t="str">
        <f>CONCATENATE("&lt;a href=|http://",AL1191,"/daniel/7.htm","| ","title=|",AL1190,"| target=|_top|&gt;",AL1192,"&lt;/a&gt;")</f>
        <v>&lt;a href=|http://kjv.us/daniel/7.htm| title=|American King James Version| target=|_top|&gt;AKJ&lt;/a&gt;</v>
      </c>
      <c r="AM857" t="str">
        <f t="shared" ref="AM857:AN857" si="3427">CONCATENATE("&lt;/li&gt;&lt;li&gt;&lt;a href=|http://",AM1191,"/daniel/7.htm","| ","title=|",AM1190,"| target=|_top|&gt;",AM1192,"&lt;/a&gt;")</f>
        <v>&lt;/li&gt;&lt;li&gt;&lt;a href=|http://basicenglishbible.com/daniel/7.htm| title=|Bible in Basic English| target=|_top|&gt;BBE&lt;/a&gt;</v>
      </c>
      <c r="AN857" t="str">
        <f t="shared" si="3427"/>
        <v>&lt;/li&gt;&lt;li&gt;&lt;a href=|http://darbybible.com/daniel/7.htm| title=|Darby Bible Translation| target=|_top|&gt;DBY&lt;/a&gt;</v>
      </c>
      <c r="AO85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5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5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57" t="str">
        <f>CONCATENATE("&lt;/li&gt;&lt;li&gt;&lt;a href=|http://",AR1191,"/daniel/7.htm","| ","title=|",AR1190,"| target=|_top|&gt;",AR1192,"&lt;/a&gt;")</f>
        <v>&lt;/li&gt;&lt;li&gt;&lt;a href=|http://websterbible.com/daniel/7.htm| title=|Webster's Bible Translation| target=|_top|&gt;WBS&lt;/a&gt;</v>
      </c>
      <c r="AS85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57" t="str">
        <f>CONCATENATE("&lt;/li&gt;&lt;li&gt;&lt;a href=|http://",AT1191,"/daniel/7-1.htm","| ","title=|",AT1190,"| target=|_top|&gt;",AT1192,"&lt;/a&gt;")</f>
        <v>&lt;/li&gt;&lt;li&gt;&lt;a href=|http://biblebrowser.com/daniel/7-1.htm| title=|Split View| target=|_top|&gt;Split&lt;/a&gt;</v>
      </c>
      <c r="AU857" s="2" t="s">
        <v>1276</v>
      </c>
      <c r="AV857" t="s">
        <v>64</v>
      </c>
    </row>
    <row r="858" spans="1:48">
      <c r="A858" t="s">
        <v>622</v>
      </c>
      <c r="B858" t="s">
        <v>899</v>
      </c>
      <c r="C858" t="s">
        <v>624</v>
      </c>
      <c r="D858" t="s">
        <v>1268</v>
      </c>
      <c r="E858" t="s">
        <v>1277</v>
      </c>
      <c r="F858" t="s">
        <v>1304</v>
      </c>
      <c r="G858" t="s">
        <v>1266</v>
      </c>
      <c r="H858" t="s">
        <v>1305</v>
      </c>
      <c r="I858" t="s">
        <v>1303</v>
      </c>
      <c r="J858" t="s">
        <v>1267</v>
      </c>
      <c r="K858" t="s">
        <v>1275</v>
      </c>
      <c r="L858" s="2" t="s">
        <v>1274</v>
      </c>
      <c r="M858" t="str">
        <f t="shared" ref="M858:AB858" si="3428">CONCATENATE("&lt;/li&gt;&lt;li&gt;&lt;a href=|http://",M1191,"/daniel/8.htm","| ","title=|",M1190,"| target=|_top|&gt;",M1192,"&lt;/a&gt;")</f>
        <v>&lt;/li&gt;&lt;li&gt;&lt;a href=|http://niv.scripturetext.com/daniel/8.htm| title=|New International Version| target=|_top|&gt;NIV&lt;/a&gt;</v>
      </c>
      <c r="N858" t="str">
        <f t="shared" si="3428"/>
        <v>&lt;/li&gt;&lt;li&gt;&lt;a href=|http://nlt.scripturetext.com/daniel/8.htm| title=|New Living Translation| target=|_top|&gt;NLT&lt;/a&gt;</v>
      </c>
      <c r="O858" t="str">
        <f t="shared" si="3428"/>
        <v>&lt;/li&gt;&lt;li&gt;&lt;a href=|http://nasb.scripturetext.com/daniel/8.htm| title=|New American Standard Bible| target=|_top|&gt;NAS&lt;/a&gt;</v>
      </c>
      <c r="P858" t="str">
        <f t="shared" si="3428"/>
        <v>&lt;/li&gt;&lt;li&gt;&lt;a href=|http://gwt.scripturetext.com/daniel/8.htm| title=|God's Word Translation| target=|_top|&gt;GWT&lt;/a&gt;</v>
      </c>
      <c r="Q858" t="str">
        <f t="shared" si="3428"/>
        <v>&lt;/li&gt;&lt;li&gt;&lt;a href=|http://kingjbible.com/daniel/8.htm| title=|King James Bible| target=|_top|&gt;KJV&lt;/a&gt;</v>
      </c>
      <c r="R858" t="str">
        <f t="shared" si="3428"/>
        <v>&lt;/li&gt;&lt;li&gt;&lt;a href=|http://asvbible.com/daniel/8.htm| title=|American Standard Version| target=|_top|&gt;ASV&lt;/a&gt;</v>
      </c>
      <c r="S858" t="str">
        <f t="shared" si="3428"/>
        <v>&lt;/li&gt;&lt;li&gt;&lt;a href=|http://drb.scripturetext.com/daniel/8.htm| title=|Douay-Rheims Bible| target=|_top|&gt;DRB&lt;/a&gt;</v>
      </c>
      <c r="T858" t="str">
        <f t="shared" si="3428"/>
        <v>&lt;/li&gt;&lt;li&gt;&lt;a href=|http://erv.scripturetext.com/daniel/8.htm| title=|English Revised Version| target=|_top|&gt;ERV&lt;/a&gt;</v>
      </c>
      <c r="V858" t="str">
        <f>CONCATENATE("&lt;/li&gt;&lt;li&gt;&lt;a href=|http://",V1191,"/daniel/8.htm","| ","title=|",V1190,"| target=|_top|&gt;",V1192,"&lt;/a&gt;")</f>
        <v>&lt;/li&gt;&lt;li&gt;&lt;a href=|http://study.interlinearbible.org/daniel/8.htm| title=|Hebrew Study Bible| target=|_top|&gt;Heb Study&lt;/a&gt;</v>
      </c>
      <c r="W858" t="str">
        <f t="shared" si="3428"/>
        <v>&lt;/li&gt;&lt;li&gt;&lt;a href=|http://apostolic.interlinearbible.org/daniel/8.htm| title=|Apostolic Bible Polyglot Interlinear| target=|_top|&gt;Polyglot&lt;/a&gt;</v>
      </c>
      <c r="X858" t="str">
        <f t="shared" si="3428"/>
        <v>&lt;/li&gt;&lt;li&gt;&lt;a href=|http://interlinearbible.org/daniel/8.htm| title=|Interlinear Bible| target=|_top|&gt;Interlin&lt;/a&gt;</v>
      </c>
      <c r="Y858" t="str">
        <f t="shared" ref="Y858" si="3429">CONCATENATE("&lt;/li&gt;&lt;li&gt;&lt;a href=|http://",Y1191,"/daniel/8.htm","| ","title=|",Y1190,"| target=|_top|&gt;",Y1192,"&lt;/a&gt;")</f>
        <v>&lt;/li&gt;&lt;li&gt;&lt;a href=|http://bibleoutline.org/daniel/8.htm| title=|Outline with People and Places List| target=|_top|&gt;Outline&lt;/a&gt;</v>
      </c>
      <c r="Z858" t="str">
        <f t="shared" si="3428"/>
        <v>&lt;/li&gt;&lt;li&gt;&lt;a href=|http://kjvs.scripturetext.com/daniel/8.htm| title=|King James Bible with Strong's Numbers| target=|_top|&gt;Strong's&lt;/a&gt;</v>
      </c>
      <c r="AA858" t="str">
        <f t="shared" si="3428"/>
        <v>&lt;/li&gt;&lt;li&gt;&lt;a href=|http://childrensbibleonline.com/daniel/8.htm| title=|The Children's Bible| target=|_top|&gt;Children's&lt;/a&gt;</v>
      </c>
      <c r="AB858" s="2" t="str">
        <f t="shared" si="3428"/>
        <v>&lt;/li&gt;&lt;li&gt;&lt;a href=|http://tsk.scripturetext.com/daniel/8.htm| title=|Treasury of Scripture Knowledge| target=|_top|&gt;TSK&lt;/a&gt;</v>
      </c>
      <c r="AC858" t="str">
        <f>CONCATENATE("&lt;a href=|http://",AC1191,"/daniel/8.htm","| ","title=|",AC1190,"| target=|_top|&gt;",AC1192,"&lt;/a&gt;")</f>
        <v>&lt;a href=|http://parallelbible.com/daniel/8.htm| title=|Parallel Chapters| target=|_top|&gt;PAR&lt;/a&gt;</v>
      </c>
      <c r="AD858" s="2" t="str">
        <f t="shared" ref="AD858:AK858" si="3430">CONCATENATE("&lt;/li&gt;&lt;li&gt;&lt;a href=|http://",AD1191,"/daniel/8.htm","| ","title=|",AD1190,"| target=|_top|&gt;",AD1192,"&lt;/a&gt;")</f>
        <v>&lt;/li&gt;&lt;li&gt;&lt;a href=|http://gsb.biblecommenter.com/daniel/8.htm| title=|Geneva Study Bible| target=|_top|&gt;GSB&lt;/a&gt;</v>
      </c>
      <c r="AE858" s="2" t="str">
        <f t="shared" si="3430"/>
        <v>&lt;/li&gt;&lt;li&gt;&lt;a href=|http://jfb.biblecommenter.com/daniel/8.htm| title=|Jamieson-Fausset-Brown Bible Commentary| target=|_top|&gt;JFB&lt;/a&gt;</v>
      </c>
      <c r="AF858" s="2" t="str">
        <f t="shared" si="3430"/>
        <v>&lt;/li&gt;&lt;li&gt;&lt;a href=|http://kjt.biblecommenter.com/daniel/8.htm| title=|King James Translators' Notes| target=|_top|&gt;KJT&lt;/a&gt;</v>
      </c>
      <c r="AG858" s="2" t="str">
        <f t="shared" si="3430"/>
        <v>&lt;/li&gt;&lt;li&gt;&lt;a href=|http://mhc.biblecommenter.com/daniel/8.htm| title=|Matthew Henry's Concise Commentary| target=|_top|&gt;MHC&lt;/a&gt;</v>
      </c>
      <c r="AH858" s="2" t="str">
        <f t="shared" si="3430"/>
        <v>&lt;/li&gt;&lt;li&gt;&lt;a href=|http://sco.biblecommenter.com/daniel/8.htm| title=|Scofield Reference Notes| target=|_top|&gt;SCO&lt;/a&gt;</v>
      </c>
      <c r="AI858" s="2" t="str">
        <f t="shared" si="3430"/>
        <v>&lt;/li&gt;&lt;li&gt;&lt;a href=|http://wes.biblecommenter.com/daniel/8.htm| title=|Wesley's Notes on the Bible| target=|_top|&gt;WES&lt;/a&gt;</v>
      </c>
      <c r="AJ858" t="str">
        <f t="shared" si="3430"/>
        <v>&lt;/li&gt;&lt;li&gt;&lt;a href=|http://worldebible.com/daniel/8.htm| title=|World English Bible| target=|_top|&gt;WEB&lt;/a&gt;</v>
      </c>
      <c r="AK858" t="str">
        <f t="shared" si="3430"/>
        <v>&lt;/li&gt;&lt;li&gt;&lt;a href=|http://yltbible.com/daniel/8.htm| title=|Young's Literal Translation| target=|_top|&gt;YLT&lt;/a&gt;</v>
      </c>
      <c r="AL858" t="str">
        <f>CONCATENATE("&lt;a href=|http://",AL1191,"/daniel/8.htm","| ","title=|",AL1190,"| target=|_top|&gt;",AL1192,"&lt;/a&gt;")</f>
        <v>&lt;a href=|http://kjv.us/daniel/8.htm| title=|American King James Version| target=|_top|&gt;AKJ&lt;/a&gt;</v>
      </c>
      <c r="AM858" t="str">
        <f t="shared" ref="AM858:AN858" si="3431">CONCATENATE("&lt;/li&gt;&lt;li&gt;&lt;a href=|http://",AM1191,"/daniel/8.htm","| ","title=|",AM1190,"| target=|_top|&gt;",AM1192,"&lt;/a&gt;")</f>
        <v>&lt;/li&gt;&lt;li&gt;&lt;a href=|http://basicenglishbible.com/daniel/8.htm| title=|Bible in Basic English| target=|_top|&gt;BBE&lt;/a&gt;</v>
      </c>
      <c r="AN858" t="str">
        <f t="shared" si="3431"/>
        <v>&lt;/li&gt;&lt;li&gt;&lt;a href=|http://darbybible.com/daniel/8.htm| title=|Darby Bible Translation| target=|_top|&gt;DBY&lt;/a&gt;</v>
      </c>
      <c r="AO85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5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5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58" t="str">
        <f>CONCATENATE("&lt;/li&gt;&lt;li&gt;&lt;a href=|http://",AR1191,"/daniel/8.htm","| ","title=|",AR1190,"| target=|_top|&gt;",AR1192,"&lt;/a&gt;")</f>
        <v>&lt;/li&gt;&lt;li&gt;&lt;a href=|http://websterbible.com/daniel/8.htm| title=|Webster's Bible Translation| target=|_top|&gt;WBS&lt;/a&gt;</v>
      </c>
      <c r="AS85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58" t="str">
        <f>CONCATENATE("&lt;/li&gt;&lt;li&gt;&lt;a href=|http://",AT1191,"/daniel/8-1.htm","| ","title=|",AT1190,"| target=|_top|&gt;",AT1192,"&lt;/a&gt;")</f>
        <v>&lt;/li&gt;&lt;li&gt;&lt;a href=|http://biblebrowser.com/daniel/8-1.htm| title=|Split View| target=|_top|&gt;Split&lt;/a&gt;</v>
      </c>
      <c r="AU858" s="2" t="s">
        <v>1276</v>
      </c>
      <c r="AV858" t="s">
        <v>64</v>
      </c>
    </row>
    <row r="859" spans="1:48">
      <c r="A859" t="s">
        <v>622</v>
      </c>
      <c r="B859" t="s">
        <v>900</v>
      </c>
      <c r="C859" t="s">
        <v>624</v>
      </c>
      <c r="D859" t="s">
        <v>1268</v>
      </c>
      <c r="E859" t="s">
        <v>1277</v>
      </c>
      <c r="F859" t="s">
        <v>1304</v>
      </c>
      <c r="G859" t="s">
        <v>1266</v>
      </c>
      <c r="H859" t="s">
        <v>1305</v>
      </c>
      <c r="I859" t="s">
        <v>1303</v>
      </c>
      <c r="J859" t="s">
        <v>1267</v>
      </c>
      <c r="K859" t="s">
        <v>1275</v>
      </c>
      <c r="L859" s="2" t="s">
        <v>1274</v>
      </c>
      <c r="M859" t="str">
        <f t="shared" ref="M859:AB859" si="3432">CONCATENATE("&lt;/li&gt;&lt;li&gt;&lt;a href=|http://",M1191,"/daniel/9.htm","| ","title=|",M1190,"| target=|_top|&gt;",M1192,"&lt;/a&gt;")</f>
        <v>&lt;/li&gt;&lt;li&gt;&lt;a href=|http://niv.scripturetext.com/daniel/9.htm| title=|New International Version| target=|_top|&gt;NIV&lt;/a&gt;</v>
      </c>
      <c r="N859" t="str">
        <f t="shared" si="3432"/>
        <v>&lt;/li&gt;&lt;li&gt;&lt;a href=|http://nlt.scripturetext.com/daniel/9.htm| title=|New Living Translation| target=|_top|&gt;NLT&lt;/a&gt;</v>
      </c>
      <c r="O859" t="str">
        <f t="shared" si="3432"/>
        <v>&lt;/li&gt;&lt;li&gt;&lt;a href=|http://nasb.scripturetext.com/daniel/9.htm| title=|New American Standard Bible| target=|_top|&gt;NAS&lt;/a&gt;</v>
      </c>
      <c r="P859" t="str">
        <f t="shared" si="3432"/>
        <v>&lt;/li&gt;&lt;li&gt;&lt;a href=|http://gwt.scripturetext.com/daniel/9.htm| title=|God's Word Translation| target=|_top|&gt;GWT&lt;/a&gt;</v>
      </c>
      <c r="Q859" t="str">
        <f t="shared" si="3432"/>
        <v>&lt;/li&gt;&lt;li&gt;&lt;a href=|http://kingjbible.com/daniel/9.htm| title=|King James Bible| target=|_top|&gt;KJV&lt;/a&gt;</v>
      </c>
      <c r="R859" t="str">
        <f t="shared" si="3432"/>
        <v>&lt;/li&gt;&lt;li&gt;&lt;a href=|http://asvbible.com/daniel/9.htm| title=|American Standard Version| target=|_top|&gt;ASV&lt;/a&gt;</v>
      </c>
      <c r="S859" t="str">
        <f t="shared" si="3432"/>
        <v>&lt;/li&gt;&lt;li&gt;&lt;a href=|http://drb.scripturetext.com/daniel/9.htm| title=|Douay-Rheims Bible| target=|_top|&gt;DRB&lt;/a&gt;</v>
      </c>
      <c r="T859" t="str">
        <f t="shared" si="3432"/>
        <v>&lt;/li&gt;&lt;li&gt;&lt;a href=|http://erv.scripturetext.com/daniel/9.htm| title=|English Revised Version| target=|_top|&gt;ERV&lt;/a&gt;</v>
      </c>
      <c r="V859" t="str">
        <f>CONCATENATE("&lt;/li&gt;&lt;li&gt;&lt;a href=|http://",V1191,"/daniel/9.htm","| ","title=|",V1190,"| target=|_top|&gt;",V1192,"&lt;/a&gt;")</f>
        <v>&lt;/li&gt;&lt;li&gt;&lt;a href=|http://study.interlinearbible.org/daniel/9.htm| title=|Hebrew Study Bible| target=|_top|&gt;Heb Study&lt;/a&gt;</v>
      </c>
      <c r="W859" t="str">
        <f t="shared" si="3432"/>
        <v>&lt;/li&gt;&lt;li&gt;&lt;a href=|http://apostolic.interlinearbible.org/daniel/9.htm| title=|Apostolic Bible Polyglot Interlinear| target=|_top|&gt;Polyglot&lt;/a&gt;</v>
      </c>
      <c r="X859" t="str">
        <f t="shared" si="3432"/>
        <v>&lt;/li&gt;&lt;li&gt;&lt;a href=|http://interlinearbible.org/daniel/9.htm| title=|Interlinear Bible| target=|_top|&gt;Interlin&lt;/a&gt;</v>
      </c>
      <c r="Y859" t="str">
        <f t="shared" ref="Y859" si="3433">CONCATENATE("&lt;/li&gt;&lt;li&gt;&lt;a href=|http://",Y1191,"/daniel/9.htm","| ","title=|",Y1190,"| target=|_top|&gt;",Y1192,"&lt;/a&gt;")</f>
        <v>&lt;/li&gt;&lt;li&gt;&lt;a href=|http://bibleoutline.org/daniel/9.htm| title=|Outline with People and Places List| target=|_top|&gt;Outline&lt;/a&gt;</v>
      </c>
      <c r="Z859" t="str">
        <f t="shared" si="3432"/>
        <v>&lt;/li&gt;&lt;li&gt;&lt;a href=|http://kjvs.scripturetext.com/daniel/9.htm| title=|King James Bible with Strong's Numbers| target=|_top|&gt;Strong's&lt;/a&gt;</v>
      </c>
      <c r="AA859" t="str">
        <f t="shared" si="3432"/>
        <v>&lt;/li&gt;&lt;li&gt;&lt;a href=|http://childrensbibleonline.com/daniel/9.htm| title=|The Children's Bible| target=|_top|&gt;Children's&lt;/a&gt;</v>
      </c>
      <c r="AB859" s="2" t="str">
        <f t="shared" si="3432"/>
        <v>&lt;/li&gt;&lt;li&gt;&lt;a href=|http://tsk.scripturetext.com/daniel/9.htm| title=|Treasury of Scripture Knowledge| target=|_top|&gt;TSK&lt;/a&gt;</v>
      </c>
      <c r="AC859" t="str">
        <f>CONCATENATE("&lt;a href=|http://",AC1191,"/daniel/9.htm","| ","title=|",AC1190,"| target=|_top|&gt;",AC1192,"&lt;/a&gt;")</f>
        <v>&lt;a href=|http://parallelbible.com/daniel/9.htm| title=|Parallel Chapters| target=|_top|&gt;PAR&lt;/a&gt;</v>
      </c>
      <c r="AD859" s="2" t="str">
        <f t="shared" ref="AD859:AK859" si="3434">CONCATENATE("&lt;/li&gt;&lt;li&gt;&lt;a href=|http://",AD1191,"/daniel/9.htm","| ","title=|",AD1190,"| target=|_top|&gt;",AD1192,"&lt;/a&gt;")</f>
        <v>&lt;/li&gt;&lt;li&gt;&lt;a href=|http://gsb.biblecommenter.com/daniel/9.htm| title=|Geneva Study Bible| target=|_top|&gt;GSB&lt;/a&gt;</v>
      </c>
      <c r="AE859" s="2" t="str">
        <f t="shared" si="3434"/>
        <v>&lt;/li&gt;&lt;li&gt;&lt;a href=|http://jfb.biblecommenter.com/daniel/9.htm| title=|Jamieson-Fausset-Brown Bible Commentary| target=|_top|&gt;JFB&lt;/a&gt;</v>
      </c>
      <c r="AF859" s="2" t="str">
        <f t="shared" si="3434"/>
        <v>&lt;/li&gt;&lt;li&gt;&lt;a href=|http://kjt.biblecommenter.com/daniel/9.htm| title=|King James Translators' Notes| target=|_top|&gt;KJT&lt;/a&gt;</v>
      </c>
      <c r="AG859" s="2" t="str">
        <f t="shared" si="3434"/>
        <v>&lt;/li&gt;&lt;li&gt;&lt;a href=|http://mhc.biblecommenter.com/daniel/9.htm| title=|Matthew Henry's Concise Commentary| target=|_top|&gt;MHC&lt;/a&gt;</v>
      </c>
      <c r="AH859" s="2" t="str">
        <f t="shared" si="3434"/>
        <v>&lt;/li&gt;&lt;li&gt;&lt;a href=|http://sco.biblecommenter.com/daniel/9.htm| title=|Scofield Reference Notes| target=|_top|&gt;SCO&lt;/a&gt;</v>
      </c>
      <c r="AI859" s="2" t="str">
        <f t="shared" si="3434"/>
        <v>&lt;/li&gt;&lt;li&gt;&lt;a href=|http://wes.biblecommenter.com/daniel/9.htm| title=|Wesley's Notes on the Bible| target=|_top|&gt;WES&lt;/a&gt;</v>
      </c>
      <c r="AJ859" t="str">
        <f t="shared" si="3434"/>
        <v>&lt;/li&gt;&lt;li&gt;&lt;a href=|http://worldebible.com/daniel/9.htm| title=|World English Bible| target=|_top|&gt;WEB&lt;/a&gt;</v>
      </c>
      <c r="AK859" t="str">
        <f t="shared" si="3434"/>
        <v>&lt;/li&gt;&lt;li&gt;&lt;a href=|http://yltbible.com/daniel/9.htm| title=|Young's Literal Translation| target=|_top|&gt;YLT&lt;/a&gt;</v>
      </c>
      <c r="AL859" t="str">
        <f>CONCATENATE("&lt;a href=|http://",AL1191,"/daniel/9.htm","| ","title=|",AL1190,"| target=|_top|&gt;",AL1192,"&lt;/a&gt;")</f>
        <v>&lt;a href=|http://kjv.us/daniel/9.htm| title=|American King James Version| target=|_top|&gt;AKJ&lt;/a&gt;</v>
      </c>
      <c r="AM859" t="str">
        <f t="shared" ref="AM859:AN859" si="3435">CONCATENATE("&lt;/li&gt;&lt;li&gt;&lt;a href=|http://",AM1191,"/daniel/9.htm","| ","title=|",AM1190,"| target=|_top|&gt;",AM1192,"&lt;/a&gt;")</f>
        <v>&lt;/li&gt;&lt;li&gt;&lt;a href=|http://basicenglishbible.com/daniel/9.htm| title=|Bible in Basic English| target=|_top|&gt;BBE&lt;/a&gt;</v>
      </c>
      <c r="AN859" t="str">
        <f t="shared" si="3435"/>
        <v>&lt;/li&gt;&lt;li&gt;&lt;a href=|http://darbybible.com/daniel/9.htm| title=|Darby Bible Translation| target=|_top|&gt;DBY&lt;/a&gt;</v>
      </c>
      <c r="AO85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5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5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59" t="str">
        <f>CONCATENATE("&lt;/li&gt;&lt;li&gt;&lt;a href=|http://",AR1191,"/daniel/9.htm","| ","title=|",AR1190,"| target=|_top|&gt;",AR1192,"&lt;/a&gt;")</f>
        <v>&lt;/li&gt;&lt;li&gt;&lt;a href=|http://websterbible.com/daniel/9.htm| title=|Webster's Bible Translation| target=|_top|&gt;WBS&lt;/a&gt;</v>
      </c>
      <c r="AS85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59" t="str">
        <f>CONCATENATE("&lt;/li&gt;&lt;li&gt;&lt;a href=|http://",AT1191,"/daniel/9-1.htm","| ","title=|",AT1190,"| target=|_top|&gt;",AT1192,"&lt;/a&gt;")</f>
        <v>&lt;/li&gt;&lt;li&gt;&lt;a href=|http://biblebrowser.com/daniel/9-1.htm| title=|Split View| target=|_top|&gt;Split&lt;/a&gt;</v>
      </c>
      <c r="AU859" s="2" t="s">
        <v>1276</v>
      </c>
      <c r="AV859" t="s">
        <v>64</v>
      </c>
    </row>
    <row r="860" spans="1:48">
      <c r="A860" t="s">
        <v>622</v>
      </c>
      <c r="B860" t="s">
        <v>901</v>
      </c>
      <c r="C860" t="s">
        <v>624</v>
      </c>
      <c r="D860" t="s">
        <v>1268</v>
      </c>
      <c r="E860" t="s">
        <v>1277</v>
      </c>
      <c r="F860" t="s">
        <v>1304</v>
      </c>
      <c r="G860" t="s">
        <v>1266</v>
      </c>
      <c r="H860" t="s">
        <v>1305</v>
      </c>
      <c r="I860" t="s">
        <v>1303</v>
      </c>
      <c r="J860" t="s">
        <v>1267</v>
      </c>
      <c r="K860" t="s">
        <v>1275</v>
      </c>
      <c r="L860" s="2" t="s">
        <v>1274</v>
      </c>
      <c r="M860" t="str">
        <f t="shared" ref="M860:AB860" si="3436">CONCATENATE("&lt;/li&gt;&lt;li&gt;&lt;a href=|http://",M1191,"/daniel/10.htm","| ","title=|",M1190,"| target=|_top|&gt;",M1192,"&lt;/a&gt;")</f>
        <v>&lt;/li&gt;&lt;li&gt;&lt;a href=|http://niv.scripturetext.com/daniel/10.htm| title=|New International Version| target=|_top|&gt;NIV&lt;/a&gt;</v>
      </c>
      <c r="N860" t="str">
        <f t="shared" si="3436"/>
        <v>&lt;/li&gt;&lt;li&gt;&lt;a href=|http://nlt.scripturetext.com/daniel/10.htm| title=|New Living Translation| target=|_top|&gt;NLT&lt;/a&gt;</v>
      </c>
      <c r="O860" t="str">
        <f t="shared" si="3436"/>
        <v>&lt;/li&gt;&lt;li&gt;&lt;a href=|http://nasb.scripturetext.com/daniel/10.htm| title=|New American Standard Bible| target=|_top|&gt;NAS&lt;/a&gt;</v>
      </c>
      <c r="P860" t="str">
        <f t="shared" si="3436"/>
        <v>&lt;/li&gt;&lt;li&gt;&lt;a href=|http://gwt.scripturetext.com/daniel/10.htm| title=|God's Word Translation| target=|_top|&gt;GWT&lt;/a&gt;</v>
      </c>
      <c r="Q860" t="str">
        <f t="shared" si="3436"/>
        <v>&lt;/li&gt;&lt;li&gt;&lt;a href=|http://kingjbible.com/daniel/10.htm| title=|King James Bible| target=|_top|&gt;KJV&lt;/a&gt;</v>
      </c>
      <c r="R860" t="str">
        <f t="shared" si="3436"/>
        <v>&lt;/li&gt;&lt;li&gt;&lt;a href=|http://asvbible.com/daniel/10.htm| title=|American Standard Version| target=|_top|&gt;ASV&lt;/a&gt;</v>
      </c>
      <c r="S860" t="str">
        <f t="shared" si="3436"/>
        <v>&lt;/li&gt;&lt;li&gt;&lt;a href=|http://drb.scripturetext.com/daniel/10.htm| title=|Douay-Rheims Bible| target=|_top|&gt;DRB&lt;/a&gt;</v>
      </c>
      <c r="T860" t="str">
        <f t="shared" si="3436"/>
        <v>&lt;/li&gt;&lt;li&gt;&lt;a href=|http://erv.scripturetext.com/daniel/10.htm| title=|English Revised Version| target=|_top|&gt;ERV&lt;/a&gt;</v>
      </c>
      <c r="V860" t="str">
        <f>CONCATENATE("&lt;/li&gt;&lt;li&gt;&lt;a href=|http://",V1191,"/daniel/10.htm","| ","title=|",V1190,"| target=|_top|&gt;",V1192,"&lt;/a&gt;")</f>
        <v>&lt;/li&gt;&lt;li&gt;&lt;a href=|http://study.interlinearbible.org/daniel/10.htm| title=|Hebrew Study Bible| target=|_top|&gt;Heb Study&lt;/a&gt;</v>
      </c>
      <c r="W860" t="str">
        <f t="shared" si="3436"/>
        <v>&lt;/li&gt;&lt;li&gt;&lt;a href=|http://apostolic.interlinearbible.org/daniel/10.htm| title=|Apostolic Bible Polyglot Interlinear| target=|_top|&gt;Polyglot&lt;/a&gt;</v>
      </c>
      <c r="X860" t="str">
        <f t="shared" si="3436"/>
        <v>&lt;/li&gt;&lt;li&gt;&lt;a href=|http://interlinearbible.org/daniel/10.htm| title=|Interlinear Bible| target=|_top|&gt;Interlin&lt;/a&gt;</v>
      </c>
      <c r="Y860" t="str">
        <f t="shared" ref="Y860" si="3437">CONCATENATE("&lt;/li&gt;&lt;li&gt;&lt;a href=|http://",Y1191,"/daniel/10.htm","| ","title=|",Y1190,"| target=|_top|&gt;",Y1192,"&lt;/a&gt;")</f>
        <v>&lt;/li&gt;&lt;li&gt;&lt;a href=|http://bibleoutline.org/daniel/10.htm| title=|Outline with People and Places List| target=|_top|&gt;Outline&lt;/a&gt;</v>
      </c>
      <c r="Z860" t="str">
        <f t="shared" si="3436"/>
        <v>&lt;/li&gt;&lt;li&gt;&lt;a href=|http://kjvs.scripturetext.com/daniel/10.htm| title=|King James Bible with Strong's Numbers| target=|_top|&gt;Strong's&lt;/a&gt;</v>
      </c>
      <c r="AA860" t="str">
        <f t="shared" si="3436"/>
        <v>&lt;/li&gt;&lt;li&gt;&lt;a href=|http://childrensbibleonline.com/daniel/10.htm| title=|The Children's Bible| target=|_top|&gt;Children's&lt;/a&gt;</v>
      </c>
      <c r="AB860" s="2" t="str">
        <f t="shared" si="3436"/>
        <v>&lt;/li&gt;&lt;li&gt;&lt;a href=|http://tsk.scripturetext.com/daniel/10.htm| title=|Treasury of Scripture Knowledge| target=|_top|&gt;TSK&lt;/a&gt;</v>
      </c>
      <c r="AC860" t="str">
        <f>CONCATENATE("&lt;a href=|http://",AC1191,"/daniel/10.htm","| ","title=|",AC1190,"| target=|_top|&gt;",AC1192,"&lt;/a&gt;")</f>
        <v>&lt;a href=|http://parallelbible.com/daniel/10.htm| title=|Parallel Chapters| target=|_top|&gt;PAR&lt;/a&gt;</v>
      </c>
      <c r="AD860" s="2" t="str">
        <f t="shared" ref="AD860:AK860" si="3438">CONCATENATE("&lt;/li&gt;&lt;li&gt;&lt;a href=|http://",AD1191,"/daniel/10.htm","| ","title=|",AD1190,"| target=|_top|&gt;",AD1192,"&lt;/a&gt;")</f>
        <v>&lt;/li&gt;&lt;li&gt;&lt;a href=|http://gsb.biblecommenter.com/daniel/10.htm| title=|Geneva Study Bible| target=|_top|&gt;GSB&lt;/a&gt;</v>
      </c>
      <c r="AE860" s="2" t="str">
        <f t="shared" si="3438"/>
        <v>&lt;/li&gt;&lt;li&gt;&lt;a href=|http://jfb.biblecommenter.com/daniel/10.htm| title=|Jamieson-Fausset-Brown Bible Commentary| target=|_top|&gt;JFB&lt;/a&gt;</v>
      </c>
      <c r="AF860" s="2" t="str">
        <f t="shared" si="3438"/>
        <v>&lt;/li&gt;&lt;li&gt;&lt;a href=|http://kjt.biblecommenter.com/daniel/10.htm| title=|King James Translators' Notes| target=|_top|&gt;KJT&lt;/a&gt;</v>
      </c>
      <c r="AG860" s="2" t="str">
        <f t="shared" si="3438"/>
        <v>&lt;/li&gt;&lt;li&gt;&lt;a href=|http://mhc.biblecommenter.com/daniel/10.htm| title=|Matthew Henry's Concise Commentary| target=|_top|&gt;MHC&lt;/a&gt;</v>
      </c>
      <c r="AH860" s="2" t="str">
        <f t="shared" si="3438"/>
        <v>&lt;/li&gt;&lt;li&gt;&lt;a href=|http://sco.biblecommenter.com/daniel/10.htm| title=|Scofield Reference Notes| target=|_top|&gt;SCO&lt;/a&gt;</v>
      </c>
      <c r="AI860" s="2" t="str">
        <f t="shared" si="3438"/>
        <v>&lt;/li&gt;&lt;li&gt;&lt;a href=|http://wes.biblecommenter.com/daniel/10.htm| title=|Wesley's Notes on the Bible| target=|_top|&gt;WES&lt;/a&gt;</v>
      </c>
      <c r="AJ860" t="str">
        <f t="shared" si="3438"/>
        <v>&lt;/li&gt;&lt;li&gt;&lt;a href=|http://worldebible.com/daniel/10.htm| title=|World English Bible| target=|_top|&gt;WEB&lt;/a&gt;</v>
      </c>
      <c r="AK860" t="str">
        <f t="shared" si="3438"/>
        <v>&lt;/li&gt;&lt;li&gt;&lt;a href=|http://yltbible.com/daniel/10.htm| title=|Young's Literal Translation| target=|_top|&gt;YLT&lt;/a&gt;</v>
      </c>
      <c r="AL860" t="str">
        <f>CONCATENATE("&lt;a href=|http://",AL1191,"/daniel/10.htm","| ","title=|",AL1190,"| target=|_top|&gt;",AL1192,"&lt;/a&gt;")</f>
        <v>&lt;a href=|http://kjv.us/daniel/10.htm| title=|American King James Version| target=|_top|&gt;AKJ&lt;/a&gt;</v>
      </c>
      <c r="AM860" t="str">
        <f t="shared" ref="AM860:AN860" si="3439">CONCATENATE("&lt;/li&gt;&lt;li&gt;&lt;a href=|http://",AM1191,"/daniel/10.htm","| ","title=|",AM1190,"| target=|_top|&gt;",AM1192,"&lt;/a&gt;")</f>
        <v>&lt;/li&gt;&lt;li&gt;&lt;a href=|http://basicenglishbible.com/daniel/10.htm| title=|Bible in Basic English| target=|_top|&gt;BBE&lt;/a&gt;</v>
      </c>
      <c r="AN860" t="str">
        <f t="shared" si="3439"/>
        <v>&lt;/li&gt;&lt;li&gt;&lt;a href=|http://darbybible.com/daniel/10.htm| title=|Darby Bible Translation| target=|_top|&gt;DBY&lt;/a&gt;</v>
      </c>
      <c r="AO86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6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6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60" t="str">
        <f>CONCATENATE("&lt;/li&gt;&lt;li&gt;&lt;a href=|http://",AR1191,"/daniel/10.htm","| ","title=|",AR1190,"| target=|_top|&gt;",AR1192,"&lt;/a&gt;")</f>
        <v>&lt;/li&gt;&lt;li&gt;&lt;a href=|http://websterbible.com/daniel/10.htm| title=|Webster's Bible Translation| target=|_top|&gt;WBS&lt;/a&gt;</v>
      </c>
      <c r="AS86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60" t="str">
        <f>CONCATENATE("&lt;/li&gt;&lt;li&gt;&lt;a href=|http://",AT1191,"/daniel/10-1.htm","| ","title=|",AT1190,"| target=|_top|&gt;",AT1192,"&lt;/a&gt;")</f>
        <v>&lt;/li&gt;&lt;li&gt;&lt;a href=|http://biblebrowser.com/daniel/10-1.htm| title=|Split View| target=|_top|&gt;Split&lt;/a&gt;</v>
      </c>
      <c r="AU860" s="2" t="s">
        <v>1276</v>
      </c>
      <c r="AV860" t="s">
        <v>64</v>
      </c>
    </row>
    <row r="861" spans="1:48">
      <c r="A861" t="s">
        <v>622</v>
      </c>
      <c r="B861" t="s">
        <v>902</v>
      </c>
      <c r="C861" t="s">
        <v>624</v>
      </c>
      <c r="D861" t="s">
        <v>1268</v>
      </c>
      <c r="E861" t="s">
        <v>1277</v>
      </c>
      <c r="F861" t="s">
        <v>1304</v>
      </c>
      <c r="G861" t="s">
        <v>1266</v>
      </c>
      <c r="H861" t="s">
        <v>1305</v>
      </c>
      <c r="I861" t="s">
        <v>1303</v>
      </c>
      <c r="J861" t="s">
        <v>1267</v>
      </c>
      <c r="K861" t="s">
        <v>1275</v>
      </c>
      <c r="L861" s="2" t="s">
        <v>1274</v>
      </c>
      <c r="M861" t="str">
        <f t="shared" ref="M861:AB861" si="3440">CONCATENATE("&lt;/li&gt;&lt;li&gt;&lt;a href=|http://",M1191,"/daniel/11.htm","| ","title=|",M1190,"| target=|_top|&gt;",M1192,"&lt;/a&gt;")</f>
        <v>&lt;/li&gt;&lt;li&gt;&lt;a href=|http://niv.scripturetext.com/daniel/11.htm| title=|New International Version| target=|_top|&gt;NIV&lt;/a&gt;</v>
      </c>
      <c r="N861" t="str">
        <f t="shared" si="3440"/>
        <v>&lt;/li&gt;&lt;li&gt;&lt;a href=|http://nlt.scripturetext.com/daniel/11.htm| title=|New Living Translation| target=|_top|&gt;NLT&lt;/a&gt;</v>
      </c>
      <c r="O861" t="str">
        <f t="shared" si="3440"/>
        <v>&lt;/li&gt;&lt;li&gt;&lt;a href=|http://nasb.scripturetext.com/daniel/11.htm| title=|New American Standard Bible| target=|_top|&gt;NAS&lt;/a&gt;</v>
      </c>
      <c r="P861" t="str">
        <f t="shared" si="3440"/>
        <v>&lt;/li&gt;&lt;li&gt;&lt;a href=|http://gwt.scripturetext.com/daniel/11.htm| title=|God's Word Translation| target=|_top|&gt;GWT&lt;/a&gt;</v>
      </c>
      <c r="Q861" t="str">
        <f t="shared" si="3440"/>
        <v>&lt;/li&gt;&lt;li&gt;&lt;a href=|http://kingjbible.com/daniel/11.htm| title=|King James Bible| target=|_top|&gt;KJV&lt;/a&gt;</v>
      </c>
      <c r="R861" t="str">
        <f t="shared" si="3440"/>
        <v>&lt;/li&gt;&lt;li&gt;&lt;a href=|http://asvbible.com/daniel/11.htm| title=|American Standard Version| target=|_top|&gt;ASV&lt;/a&gt;</v>
      </c>
      <c r="S861" t="str">
        <f t="shared" si="3440"/>
        <v>&lt;/li&gt;&lt;li&gt;&lt;a href=|http://drb.scripturetext.com/daniel/11.htm| title=|Douay-Rheims Bible| target=|_top|&gt;DRB&lt;/a&gt;</v>
      </c>
      <c r="T861" t="str">
        <f t="shared" si="3440"/>
        <v>&lt;/li&gt;&lt;li&gt;&lt;a href=|http://erv.scripturetext.com/daniel/11.htm| title=|English Revised Version| target=|_top|&gt;ERV&lt;/a&gt;</v>
      </c>
      <c r="V861" t="str">
        <f>CONCATENATE("&lt;/li&gt;&lt;li&gt;&lt;a href=|http://",V1191,"/daniel/11.htm","| ","title=|",V1190,"| target=|_top|&gt;",V1192,"&lt;/a&gt;")</f>
        <v>&lt;/li&gt;&lt;li&gt;&lt;a href=|http://study.interlinearbible.org/daniel/11.htm| title=|Hebrew Study Bible| target=|_top|&gt;Heb Study&lt;/a&gt;</v>
      </c>
      <c r="W861" t="str">
        <f t="shared" si="3440"/>
        <v>&lt;/li&gt;&lt;li&gt;&lt;a href=|http://apostolic.interlinearbible.org/daniel/11.htm| title=|Apostolic Bible Polyglot Interlinear| target=|_top|&gt;Polyglot&lt;/a&gt;</v>
      </c>
      <c r="X861" t="str">
        <f t="shared" si="3440"/>
        <v>&lt;/li&gt;&lt;li&gt;&lt;a href=|http://interlinearbible.org/daniel/11.htm| title=|Interlinear Bible| target=|_top|&gt;Interlin&lt;/a&gt;</v>
      </c>
      <c r="Y861" t="str">
        <f t="shared" ref="Y861" si="3441">CONCATENATE("&lt;/li&gt;&lt;li&gt;&lt;a href=|http://",Y1191,"/daniel/11.htm","| ","title=|",Y1190,"| target=|_top|&gt;",Y1192,"&lt;/a&gt;")</f>
        <v>&lt;/li&gt;&lt;li&gt;&lt;a href=|http://bibleoutline.org/daniel/11.htm| title=|Outline with People and Places List| target=|_top|&gt;Outline&lt;/a&gt;</v>
      </c>
      <c r="Z861" t="str">
        <f t="shared" si="3440"/>
        <v>&lt;/li&gt;&lt;li&gt;&lt;a href=|http://kjvs.scripturetext.com/daniel/11.htm| title=|King James Bible with Strong's Numbers| target=|_top|&gt;Strong's&lt;/a&gt;</v>
      </c>
      <c r="AA861" t="str">
        <f t="shared" si="3440"/>
        <v>&lt;/li&gt;&lt;li&gt;&lt;a href=|http://childrensbibleonline.com/daniel/11.htm| title=|The Children's Bible| target=|_top|&gt;Children's&lt;/a&gt;</v>
      </c>
      <c r="AB861" s="2" t="str">
        <f t="shared" si="3440"/>
        <v>&lt;/li&gt;&lt;li&gt;&lt;a href=|http://tsk.scripturetext.com/daniel/11.htm| title=|Treasury of Scripture Knowledge| target=|_top|&gt;TSK&lt;/a&gt;</v>
      </c>
      <c r="AC861" t="str">
        <f>CONCATENATE("&lt;a href=|http://",AC1191,"/daniel/11.htm","| ","title=|",AC1190,"| target=|_top|&gt;",AC1192,"&lt;/a&gt;")</f>
        <v>&lt;a href=|http://parallelbible.com/daniel/11.htm| title=|Parallel Chapters| target=|_top|&gt;PAR&lt;/a&gt;</v>
      </c>
      <c r="AD861" s="2" t="str">
        <f t="shared" ref="AD861:AK861" si="3442">CONCATENATE("&lt;/li&gt;&lt;li&gt;&lt;a href=|http://",AD1191,"/daniel/11.htm","| ","title=|",AD1190,"| target=|_top|&gt;",AD1192,"&lt;/a&gt;")</f>
        <v>&lt;/li&gt;&lt;li&gt;&lt;a href=|http://gsb.biblecommenter.com/daniel/11.htm| title=|Geneva Study Bible| target=|_top|&gt;GSB&lt;/a&gt;</v>
      </c>
      <c r="AE861" s="2" t="str">
        <f t="shared" si="3442"/>
        <v>&lt;/li&gt;&lt;li&gt;&lt;a href=|http://jfb.biblecommenter.com/daniel/11.htm| title=|Jamieson-Fausset-Brown Bible Commentary| target=|_top|&gt;JFB&lt;/a&gt;</v>
      </c>
      <c r="AF861" s="2" t="str">
        <f t="shared" si="3442"/>
        <v>&lt;/li&gt;&lt;li&gt;&lt;a href=|http://kjt.biblecommenter.com/daniel/11.htm| title=|King James Translators' Notes| target=|_top|&gt;KJT&lt;/a&gt;</v>
      </c>
      <c r="AG861" s="2" t="str">
        <f t="shared" si="3442"/>
        <v>&lt;/li&gt;&lt;li&gt;&lt;a href=|http://mhc.biblecommenter.com/daniel/11.htm| title=|Matthew Henry's Concise Commentary| target=|_top|&gt;MHC&lt;/a&gt;</v>
      </c>
      <c r="AH861" s="2" t="str">
        <f t="shared" si="3442"/>
        <v>&lt;/li&gt;&lt;li&gt;&lt;a href=|http://sco.biblecommenter.com/daniel/11.htm| title=|Scofield Reference Notes| target=|_top|&gt;SCO&lt;/a&gt;</v>
      </c>
      <c r="AI861" s="2" t="str">
        <f t="shared" si="3442"/>
        <v>&lt;/li&gt;&lt;li&gt;&lt;a href=|http://wes.biblecommenter.com/daniel/11.htm| title=|Wesley's Notes on the Bible| target=|_top|&gt;WES&lt;/a&gt;</v>
      </c>
      <c r="AJ861" t="str">
        <f t="shared" si="3442"/>
        <v>&lt;/li&gt;&lt;li&gt;&lt;a href=|http://worldebible.com/daniel/11.htm| title=|World English Bible| target=|_top|&gt;WEB&lt;/a&gt;</v>
      </c>
      <c r="AK861" t="str">
        <f t="shared" si="3442"/>
        <v>&lt;/li&gt;&lt;li&gt;&lt;a href=|http://yltbible.com/daniel/11.htm| title=|Young's Literal Translation| target=|_top|&gt;YLT&lt;/a&gt;</v>
      </c>
      <c r="AL861" t="str">
        <f>CONCATENATE("&lt;a href=|http://",AL1191,"/daniel/11.htm","| ","title=|",AL1190,"| target=|_top|&gt;",AL1192,"&lt;/a&gt;")</f>
        <v>&lt;a href=|http://kjv.us/daniel/11.htm| title=|American King James Version| target=|_top|&gt;AKJ&lt;/a&gt;</v>
      </c>
      <c r="AM861" t="str">
        <f t="shared" ref="AM861:AN861" si="3443">CONCATENATE("&lt;/li&gt;&lt;li&gt;&lt;a href=|http://",AM1191,"/daniel/11.htm","| ","title=|",AM1190,"| target=|_top|&gt;",AM1192,"&lt;/a&gt;")</f>
        <v>&lt;/li&gt;&lt;li&gt;&lt;a href=|http://basicenglishbible.com/daniel/11.htm| title=|Bible in Basic English| target=|_top|&gt;BBE&lt;/a&gt;</v>
      </c>
      <c r="AN861" t="str">
        <f t="shared" si="3443"/>
        <v>&lt;/li&gt;&lt;li&gt;&lt;a href=|http://darbybible.com/daniel/11.htm| title=|Darby Bible Translation| target=|_top|&gt;DBY&lt;/a&gt;</v>
      </c>
      <c r="AO86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6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6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61" t="str">
        <f>CONCATENATE("&lt;/li&gt;&lt;li&gt;&lt;a href=|http://",AR1191,"/daniel/11.htm","| ","title=|",AR1190,"| target=|_top|&gt;",AR1192,"&lt;/a&gt;")</f>
        <v>&lt;/li&gt;&lt;li&gt;&lt;a href=|http://websterbible.com/daniel/11.htm| title=|Webster's Bible Translation| target=|_top|&gt;WBS&lt;/a&gt;</v>
      </c>
      <c r="AS86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61" t="str">
        <f>CONCATENATE("&lt;/li&gt;&lt;li&gt;&lt;a href=|http://",AT1191,"/daniel/11-1.htm","| ","title=|",AT1190,"| target=|_top|&gt;",AT1192,"&lt;/a&gt;")</f>
        <v>&lt;/li&gt;&lt;li&gt;&lt;a href=|http://biblebrowser.com/daniel/11-1.htm| title=|Split View| target=|_top|&gt;Split&lt;/a&gt;</v>
      </c>
      <c r="AU861" s="2" t="s">
        <v>1276</v>
      </c>
      <c r="AV861" t="s">
        <v>64</v>
      </c>
    </row>
    <row r="862" spans="1:48">
      <c r="A862" t="s">
        <v>622</v>
      </c>
      <c r="B862" t="s">
        <v>903</v>
      </c>
      <c r="C862" t="s">
        <v>624</v>
      </c>
      <c r="D862" t="s">
        <v>1268</v>
      </c>
      <c r="E862" t="s">
        <v>1277</v>
      </c>
      <c r="F862" t="s">
        <v>1304</v>
      </c>
      <c r="G862" t="s">
        <v>1266</v>
      </c>
      <c r="H862" t="s">
        <v>1305</v>
      </c>
      <c r="I862" t="s">
        <v>1303</v>
      </c>
      <c r="J862" t="s">
        <v>1267</v>
      </c>
      <c r="K862" t="s">
        <v>1275</v>
      </c>
      <c r="L862" s="2" t="s">
        <v>1274</v>
      </c>
      <c r="M862" t="str">
        <f t="shared" ref="M862:AB862" si="3444">CONCATENATE("&lt;/li&gt;&lt;li&gt;&lt;a href=|http://",M1191,"/daniel/12.htm","| ","title=|",M1190,"| target=|_top|&gt;",M1192,"&lt;/a&gt;")</f>
        <v>&lt;/li&gt;&lt;li&gt;&lt;a href=|http://niv.scripturetext.com/daniel/12.htm| title=|New International Version| target=|_top|&gt;NIV&lt;/a&gt;</v>
      </c>
      <c r="N862" t="str">
        <f t="shared" si="3444"/>
        <v>&lt;/li&gt;&lt;li&gt;&lt;a href=|http://nlt.scripturetext.com/daniel/12.htm| title=|New Living Translation| target=|_top|&gt;NLT&lt;/a&gt;</v>
      </c>
      <c r="O862" t="str">
        <f t="shared" si="3444"/>
        <v>&lt;/li&gt;&lt;li&gt;&lt;a href=|http://nasb.scripturetext.com/daniel/12.htm| title=|New American Standard Bible| target=|_top|&gt;NAS&lt;/a&gt;</v>
      </c>
      <c r="P862" t="str">
        <f t="shared" si="3444"/>
        <v>&lt;/li&gt;&lt;li&gt;&lt;a href=|http://gwt.scripturetext.com/daniel/12.htm| title=|God's Word Translation| target=|_top|&gt;GWT&lt;/a&gt;</v>
      </c>
      <c r="Q862" t="str">
        <f t="shared" si="3444"/>
        <v>&lt;/li&gt;&lt;li&gt;&lt;a href=|http://kingjbible.com/daniel/12.htm| title=|King James Bible| target=|_top|&gt;KJV&lt;/a&gt;</v>
      </c>
      <c r="R862" t="str">
        <f t="shared" si="3444"/>
        <v>&lt;/li&gt;&lt;li&gt;&lt;a href=|http://asvbible.com/daniel/12.htm| title=|American Standard Version| target=|_top|&gt;ASV&lt;/a&gt;</v>
      </c>
      <c r="S862" t="str">
        <f t="shared" si="3444"/>
        <v>&lt;/li&gt;&lt;li&gt;&lt;a href=|http://drb.scripturetext.com/daniel/12.htm| title=|Douay-Rheims Bible| target=|_top|&gt;DRB&lt;/a&gt;</v>
      </c>
      <c r="T862" t="str">
        <f t="shared" si="3444"/>
        <v>&lt;/li&gt;&lt;li&gt;&lt;a href=|http://erv.scripturetext.com/daniel/12.htm| title=|English Revised Version| target=|_top|&gt;ERV&lt;/a&gt;</v>
      </c>
      <c r="V862" t="str">
        <f>CONCATENATE("&lt;/li&gt;&lt;li&gt;&lt;a href=|http://",V1191,"/daniel/12.htm","| ","title=|",V1190,"| target=|_top|&gt;",V1192,"&lt;/a&gt;")</f>
        <v>&lt;/li&gt;&lt;li&gt;&lt;a href=|http://study.interlinearbible.org/daniel/12.htm| title=|Hebrew Study Bible| target=|_top|&gt;Heb Study&lt;/a&gt;</v>
      </c>
      <c r="W862" t="str">
        <f t="shared" si="3444"/>
        <v>&lt;/li&gt;&lt;li&gt;&lt;a href=|http://apostolic.interlinearbible.org/daniel/12.htm| title=|Apostolic Bible Polyglot Interlinear| target=|_top|&gt;Polyglot&lt;/a&gt;</v>
      </c>
      <c r="X862" t="str">
        <f t="shared" si="3444"/>
        <v>&lt;/li&gt;&lt;li&gt;&lt;a href=|http://interlinearbible.org/daniel/12.htm| title=|Interlinear Bible| target=|_top|&gt;Interlin&lt;/a&gt;</v>
      </c>
      <c r="Y862" t="str">
        <f t="shared" ref="Y862" si="3445">CONCATENATE("&lt;/li&gt;&lt;li&gt;&lt;a href=|http://",Y1191,"/daniel/12.htm","| ","title=|",Y1190,"| target=|_top|&gt;",Y1192,"&lt;/a&gt;")</f>
        <v>&lt;/li&gt;&lt;li&gt;&lt;a href=|http://bibleoutline.org/daniel/12.htm| title=|Outline with People and Places List| target=|_top|&gt;Outline&lt;/a&gt;</v>
      </c>
      <c r="Z862" t="str">
        <f t="shared" si="3444"/>
        <v>&lt;/li&gt;&lt;li&gt;&lt;a href=|http://kjvs.scripturetext.com/daniel/12.htm| title=|King James Bible with Strong's Numbers| target=|_top|&gt;Strong's&lt;/a&gt;</v>
      </c>
      <c r="AA862" t="str">
        <f t="shared" si="3444"/>
        <v>&lt;/li&gt;&lt;li&gt;&lt;a href=|http://childrensbibleonline.com/daniel/12.htm| title=|The Children's Bible| target=|_top|&gt;Children's&lt;/a&gt;</v>
      </c>
      <c r="AB862" s="2" t="str">
        <f t="shared" si="3444"/>
        <v>&lt;/li&gt;&lt;li&gt;&lt;a href=|http://tsk.scripturetext.com/daniel/12.htm| title=|Treasury of Scripture Knowledge| target=|_top|&gt;TSK&lt;/a&gt;</v>
      </c>
      <c r="AC862" t="str">
        <f>CONCATENATE("&lt;a href=|http://",AC1191,"/daniel/12.htm","| ","title=|",AC1190,"| target=|_top|&gt;",AC1192,"&lt;/a&gt;")</f>
        <v>&lt;a href=|http://parallelbible.com/daniel/12.htm| title=|Parallel Chapters| target=|_top|&gt;PAR&lt;/a&gt;</v>
      </c>
      <c r="AD862" s="2" t="str">
        <f t="shared" ref="AD862:AK862" si="3446">CONCATENATE("&lt;/li&gt;&lt;li&gt;&lt;a href=|http://",AD1191,"/daniel/12.htm","| ","title=|",AD1190,"| target=|_top|&gt;",AD1192,"&lt;/a&gt;")</f>
        <v>&lt;/li&gt;&lt;li&gt;&lt;a href=|http://gsb.biblecommenter.com/daniel/12.htm| title=|Geneva Study Bible| target=|_top|&gt;GSB&lt;/a&gt;</v>
      </c>
      <c r="AE862" s="2" t="str">
        <f t="shared" si="3446"/>
        <v>&lt;/li&gt;&lt;li&gt;&lt;a href=|http://jfb.biblecommenter.com/daniel/12.htm| title=|Jamieson-Fausset-Brown Bible Commentary| target=|_top|&gt;JFB&lt;/a&gt;</v>
      </c>
      <c r="AF862" s="2" t="str">
        <f t="shared" si="3446"/>
        <v>&lt;/li&gt;&lt;li&gt;&lt;a href=|http://kjt.biblecommenter.com/daniel/12.htm| title=|King James Translators' Notes| target=|_top|&gt;KJT&lt;/a&gt;</v>
      </c>
      <c r="AG862" s="2" t="str">
        <f t="shared" si="3446"/>
        <v>&lt;/li&gt;&lt;li&gt;&lt;a href=|http://mhc.biblecommenter.com/daniel/12.htm| title=|Matthew Henry's Concise Commentary| target=|_top|&gt;MHC&lt;/a&gt;</v>
      </c>
      <c r="AH862" s="2" t="str">
        <f t="shared" si="3446"/>
        <v>&lt;/li&gt;&lt;li&gt;&lt;a href=|http://sco.biblecommenter.com/daniel/12.htm| title=|Scofield Reference Notes| target=|_top|&gt;SCO&lt;/a&gt;</v>
      </c>
      <c r="AI862" s="2" t="str">
        <f t="shared" si="3446"/>
        <v>&lt;/li&gt;&lt;li&gt;&lt;a href=|http://wes.biblecommenter.com/daniel/12.htm| title=|Wesley's Notes on the Bible| target=|_top|&gt;WES&lt;/a&gt;</v>
      </c>
      <c r="AJ862" t="str">
        <f t="shared" si="3446"/>
        <v>&lt;/li&gt;&lt;li&gt;&lt;a href=|http://worldebible.com/daniel/12.htm| title=|World English Bible| target=|_top|&gt;WEB&lt;/a&gt;</v>
      </c>
      <c r="AK862" t="str">
        <f t="shared" si="3446"/>
        <v>&lt;/li&gt;&lt;li&gt;&lt;a href=|http://yltbible.com/daniel/12.htm| title=|Young's Literal Translation| target=|_top|&gt;YLT&lt;/a&gt;</v>
      </c>
      <c r="AL862" t="str">
        <f>CONCATENATE("&lt;a href=|http://",AL1191,"/daniel/12.htm","| ","title=|",AL1190,"| target=|_top|&gt;",AL1192,"&lt;/a&gt;")</f>
        <v>&lt;a href=|http://kjv.us/daniel/12.htm| title=|American King James Version| target=|_top|&gt;AKJ&lt;/a&gt;</v>
      </c>
      <c r="AM862" t="str">
        <f t="shared" ref="AM862:AN862" si="3447">CONCATENATE("&lt;/li&gt;&lt;li&gt;&lt;a href=|http://",AM1191,"/daniel/12.htm","| ","title=|",AM1190,"| target=|_top|&gt;",AM1192,"&lt;/a&gt;")</f>
        <v>&lt;/li&gt;&lt;li&gt;&lt;a href=|http://basicenglishbible.com/daniel/12.htm| title=|Bible in Basic English| target=|_top|&gt;BBE&lt;/a&gt;</v>
      </c>
      <c r="AN862" t="str">
        <f t="shared" si="3447"/>
        <v>&lt;/li&gt;&lt;li&gt;&lt;a href=|http://darbybible.com/daniel/12.htm| title=|Darby Bible Translation| target=|_top|&gt;DBY&lt;/a&gt;</v>
      </c>
      <c r="AO86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6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6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62" t="str">
        <f>CONCATENATE("&lt;/li&gt;&lt;li&gt;&lt;a href=|http://",AR1191,"/daniel/12.htm","| ","title=|",AR1190,"| target=|_top|&gt;",AR1192,"&lt;/a&gt;")</f>
        <v>&lt;/li&gt;&lt;li&gt;&lt;a href=|http://websterbible.com/daniel/12.htm| title=|Webster's Bible Translation| target=|_top|&gt;WBS&lt;/a&gt;</v>
      </c>
      <c r="AS86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62" t="str">
        <f>CONCATENATE("&lt;/li&gt;&lt;li&gt;&lt;a href=|http://",AT1191,"/daniel/12-1.htm","| ","title=|",AT1190,"| target=|_top|&gt;",AT1192,"&lt;/a&gt;")</f>
        <v>&lt;/li&gt;&lt;li&gt;&lt;a href=|http://biblebrowser.com/daniel/12-1.htm| title=|Split View| target=|_top|&gt;Split&lt;/a&gt;</v>
      </c>
      <c r="AU862" s="2" t="s">
        <v>1276</v>
      </c>
      <c r="AV862" t="s">
        <v>64</v>
      </c>
    </row>
    <row r="863" spans="1:48">
      <c r="A863" t="s">
        <v>622</v>
      </c>
      <c r="B863" t="s">
        <v>904</v>
      </c>
      <c r="C863" t="s">
        <v>624</v>
      </c>
      <c r="D863" t="s">
        <v>1268</v>
      </c>
      <c r="E863" t="s">
        <v>1277</v>
      </c>
      <c r="F863" t="s">
        <v>1304</v>
      </c>
      <c r="G863" t="s">
        <v>1266</v>
      </c>
      <c r="H863" t="s">
        <v>1305</v>
      </c>
      <c r="I863" t="s">
        <v>1303</v>
      </c>
      <c r="J863" t="s">
        <v>1267</v>
      </c>
      <c r="K863" t="s">
        <v>1275</v>
      </c>
      <c r="L863" s="2" t="s">
        <v>1274</v>
      </c>
      <c r="M863" t="str">
        <f t="shared" ref="M863:AB863" si="3448">CONCATENATE("&lt;/li&gt;&lt;li&gt;&lt;a href=|http://",M1191,"/hosea/1.htm","| ","title=|",M1190,"| target=|_top|&gt;",M1192,"&lt;/a&gt;")</f>
        <v>&lt;/li&gt;&lt;li&gt;&lt;a href=|http://niv.scripturetext.com/hosea/1.htm| title=|New International Version| target=|_top|&gt;NIV&lt;/a&gt;</v>
      </c>
      <c r="N863" t="str">
        <f t="shared" si="3448"/>
        <v>&lt;/li&gt;&lt;li&gt;&lt;a href=|http://nlt.scripturetext.com/hosea/1.htm| title=|New Living Translation| target=|_top|&gt;NLT&lt;/a&gt;</v>
      </c>
      <c r="O863" t="str">
        <f t="shared" si="3448"/>
        <v>&lt;/li&gt;&lt;li&gt;&lt;a href=|http://nasb.scripturetext.com/hosea/1.htm| title=|New American Standard Bible| target=|_top|&gt;NAS&lt;/a&gt;</v>
      </c>
      <c r="P863" t="str">
        <f t="shared" si="3448"/>
        <v>&lt;/li&gt;&lt;li&gt;&lt;a href=|http://gwt.scripturetext.com/hosea/1.htm| title=|God's Word Translation| target=|_top|&gt;GWT&lt;/a&gt;</v>
      </c>
      <c r="Q863" t="str">
        <f t="shared" si="3448"/>
        <v>&lt;/li&gt;&lt;li&gt;&lt;a href=|http://kingjbible.com/hosea/1.htm| title=|King James Bible| target=|_top|&gt;KJV&lt;/a&gt;</v>
      </c>
      <c r="R863" t="str">
        <f t="shared" si="3448"/>
        <v>&lt;/li&gt;&lt;li&gt;&lt;a href=|http://asvbible.com/hosea/1.htm| title=|American Standard Version| target=|_top|&gt;ASV&lt;/a&gt;</v>
      </c>
      <c r="S863" t="str">
        <f t="shared" si="3448"/>
        <v>&lt;/li&gt;&lt;li&gt;&lt;a href=|http://drb.scripturetext.com/hosea/1.htm| title=|Douay-Rheims Bible| target=|_top|&gt;DRB&lt;/a&gt;</v>
      </c>
      <c r="T863" t="str">
        <f t="shared" si="3448"/>
        <v>&lt;/li&gt;&lt;li&gt;&lt;a href=|http://erv.scripturetext.com/hosea/1.htm| title=|English Revised Version| target=|_top|&gt;ERV&lt;/a&gt;</v>
      </c>
      <c r="V863" t="str">
        <f>CONCATENATE("&lt;/li&gt;&lt;li&gt;&lt;a href=|http://",V1191,"/hosea/1.htm","| ","title=|",V1190,"| target=|_top|&gt;",V1192,"&lt;/a&gt;")</f>
        <v>&lt;/li&gt;&lt;li&gt;&lt;a href=|http://study.interlinearbible.org/hosea/1.htm| title=|Hebrew Study Bible| target=|_top|&gt;Heb Study&lt;/a&gt;</v>
      </c>
      <c r="W863" t="str">
        <f t="shared" si="3448"/>
        <v>&lt;/li&gt;&lt;li&gt;&lt;a href=|http://apostolic.interlinearbible.org/hosea/1.htm| title=|Apostolic Bible Polyglot Interlinear| target=|_top|&gt;Polyglot&lt;/a&gt;</v>
      </c>
      <c r="X863" t="str">
        <f t="shared" si="3448"/>
        <v>&lt;/li&gt;&lt;li&gt;&lt;a href=|http://interlinearbible.org/hosea/1.htm| title=|Interlinear Bible| target=|_top|&gt;Interlin&lt;/a&gt;</v>
      </c>
      <c r="Y863" t="str">
        <f t="shared" ref="Y863" si="3449">CONCATENATE("&lt;/li&gt;&lt;li&gt;&lt;a href=|http://",Y1191,"/hosea/1.htm","| ","title=|",Y1190,"| target=|_top|&gt;",Y1192,"&lt;/a&gt;")</f>
        <v>&lt;/li&gt;&lt;li&gt;&lt;a href=|http://bibleoutline.org/hosea/1.htm| title=|Outline with People and Places List| target=|_top|&gt;Outline&lt;/a&gt;</v>
      </c>
      <c r="Z863" t="str">
        <f t="shared" si="3448"/>
        <v>&lt;/li&gt;&lt;li&gt;&lt;a href=|http://kjvs.scripturetext.com/hosea/1.htm| title=|King James Bible with Strong's Numbers| target=|_top|&gt;Strong's&lt;/a&gt;</v>
      </c>
      <c r="AA863" t="str">
        <f t="shared" si="3448"/>
        <v>&lt;/li&gt;&lt;li&gt;&lt;a href=|http://childrensbibleonline.com/hosea/1.htm| title=|The Children's Bible| target=|_top|&gt;Children's&lt;/a&gt;</v>
      </c>
      <c r="AB863" s="2" t="str">
        <f t="shared" si="3448"/>
        <v>&lt;/li&gt;&lt;li&gt;&lt;a href=|http://tsk.scripturetext.com/hosea/1.htm| title=|Treasury of Scripture Knowledge| target=|_top|&gt;TSK&lt;/a&gt;</v>
      </c>
      <c r="AC863" t="str">
        <f>CONCATENATE("&lt;a href=|http://",AC1191,"/hosea/1.htm","| ","title=|",AC1190,"| target=|_top|&gt;",AC1192,"&lt;/a&gt;")</f>
        <v>&lt;a href=|http://parallelbible.com/hosea/1.htm| title=|Parallel Chapters| target=|_top|&gt;PAR&lt;/a&gt;</v>
      </c>
      <c r="AD863" s="2" t="str">
        <f t="shared" ref="AD863:AK863" si="3450">CONCATENATE("&lt;/li&gt;&lt;li&gt;&lt;a href=|http://",AD1191,"/hosea/1.htm","| ","title=|",AD1190,"| target=|_top|&gt;",AD1192,"&lt;/a&gt;")</f>
        <v>&lt;/li&gt;&lt;li&gt;&lt;a href=|http://gsb.biblecommenter.com/hosea/1.htm| title=|Geneva Study Bible| target=|_top|&gt;GSB&lt;/a&gt;</v>
      </c>
      <c r="AE863" s="2" t="str">
        <f t="shared" si="3450"/>
        <v>&lt;/li&gt;&lt;li&gt;&lt;a href=|http://jfb.biblecommenter.com/hosea/1.htm| title=|Jamieson-Fausset-Brown Bible Commentary| target=|_top|&gt;JFB&lt;/a&gt;</v>
      </c>
      <c r="AF863" s="2" t="str">
        <f t="shared" si="3450"/>
        <v>&lt;/li&gt;&lt;li&gt;&lt;a href=|http://kjt.biblecommenter.com/hosea/1.htm| title=|King James Translators' Notes| target=|_top|&gt;KJT&lt;/a&gt;</v>
      </c>
      <c r="AG863" s="2" t="str">
        <f t="shared" si="3450"/>
        <v>&lt;/li&gt;&lt;li&gt;&lt;a href=|http://mhc.biblecommenter.com/hosea/1.htm| title=|Matthew Henry's Concise Commentary| target=|_top|&gt;MHC&lt;/a&gt;</v>
      </c>
      <c r="AH863" s="2" t="str">
        <f t="shared" si="3450"/>
        <v>&lt;/li&gt;&lt;li&gt;&lt;a href=|http://sco.biblecommenter.com/hosea/1.htm| title=|Scofield Reference Notes| target=|_top|&gt;SCO&lt;/a&gt;</v>
      </c>
      <c r="AI863" s="2" t="str">
        <f t="shared" si="3450"/>
        <v>&lt;/li&gt;&lt;li&gt;&lt;a href=|http://wes.biblecommenter.com/hosea/1.htm| title=|Wesley's Notes on the Bible| target=|_top|&gt;WES&lt;/a&gt;</v>
      </c>
      <c r="AJ863" t="str">
        <f t="shared" si="3450"/>
        <v>&lt;/li&gt;&lt;li&gt;&lt;a href=|http://worldebible.com/hosea/1.htm| title=|World English Bible| target=|_top|&gt;WEB&lt;/a&gt;</v>
      </c>
      <c r="AK863" t="str">
        <f t="shared" si="3450"/>
        <v>&lt;/li&gt;&lt;li&gt;&lt;a href=|http://yltbible.com/hosea/1.htm| title=|Young's Literal Translation| target=|_top|&gt;YLT&lt;/a&gt;</v>
      </c>
      <c r="AL863" t="str">
        <f>CONCATENATE("&lt;a href=|http://",AL1191,"/hosea/1.htm","| ","title=|",AL1190,"| target=|_top|&gt;",AL1192,"&lt;/a&gt;")</f>
        <v>&lt;a href=|http://kjv.us/hosea/1.htm| title=|American King James Version| target=|_top|&gt;AKJ&lt;/a&gt;</v>
      </c>
      <c r="AM863" t="str">
        <f t="shared" ref="AM863:AN863" si="3451">CONCATENATE("&lt;/li&gt;&lt;li&gt;&lt;a href=|http://",AM1191,"/hosea/1.htm","| ","title=|",AM1190,"| target=|_top|&gt;",AM1192,"&lt;/a&gt;")</f>
        <v>&lt;/li&gt;&lt;li&gt;&lt;a href=|http://basicenglishbible.com/hosea/1.htm| title=|Bible in Basic English| target=|_top|&gt;BBE&lt;/a&gt;</v>
      </c>
      <c r="AN863" t="str">
        <f t="shared" si="3451"/>
        <v>&lt;/li&gt;&lt;li&gt;&lt;a href=|http://darbybible.com/hosea/1.htm| title=|Darby Bible Translation| target=|_top|&gt;DBY&lt;/a&gt;</v>
      </c>
      <c r="AO86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6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6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63" t="str">
        <f>CONCATENATE("&lt;/li&gt;&lt;li&gt;&lt;a href=|http://",AR1191,"/hosea/1.htm","| ","title=|",AR1190,"| target=|_top|&gt;",AR1192,"&lt;/a&gt;")</f>
        <v>&lt;/li&gt;&lt;li&gt;&lt;a href=|http://websterbible.com/hosea/1.htm| title=|Webster's Bible Translation| target=|_top|&gt;WBS&lt;/a&gt;</v>
      </c>
      <c r="AS86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63" t="str">
        <f>CONCATENATE("&lt;/li&gt;&lt;li&gt;&lt;a href=|http://",AT1191,"/hosea/1-1.htm","| ","title=|",AT1190,"| target=|_top|&gt;",AT1192,"&lt;/a&gt;")</f>
        <v>&lt;/li&gt;&lt;li&gt;&lt;a href=|http://biblebrowser.com/hosea/1-1.htm| title=|Split View| target=|_top|&gt;Split&lt;/a&gt;</v>
      </c>
      <c r="AU863" s="2" t="s">
        <v>1276</v>
      </c>
      <c r="AV863" t="s">
        <v>64</v>
      </c>
    </row>
    <row r="864" spans="1:48">
      <c r="A864" t="s">
        <v>622</v>
      </c>
      <c r="B864" t="s">
        <v>905</v>
      </c>
      <c r="C864" t="s">
        <v>624</v>
      </c>
      <c r="D864" t="s">
        <v>1268</v>
      </c>
      <c r="E864" t="s">
        <v>1277</v>
      </c>
      <c r="F864" t="s">
        <v>1304</v>
      </c>
      <c r="G864" t="s">
        <v>1266</v>
      </c>
      <c r="H864" t="s">
        <v>1305</v>
      </c>
      <c r="I864" t="s">
        <v>1303</v>
      </c>
      <c r="J864" t="s">
        <v>1267</v>
      </c>
      <c r="K864" t="s">
        <v>1275</v>
      </c>
      <c r="L864" s="2" t="s">
        <v>1274</v>
      </c>
      <c r="M864" t="str">
        <f t="shared" ref="M864:AB864" si="3452">CONCATENATE("&lt;/li&gt;&lt;li&gt;&lt;a href=|http://",M1191,"/hosea/2.htm","| ","title=|",M1190,"| target=|_top|&gt;",M1192,"&lt;/a&gt;")</f>
        <v>&lt;/li&gt;&lt;li&gt;&lt;a href=|http://niv.scripturetext.com/hosea/2.htm| title=|New International Version| target=|_top|&gt;NIV&lt;/a&gt;</v>
      </c>
      <c r="N864" t="str">
        <f t="shared" si="3452"/>
        <v>&lt;/li&gt;&lt;li&gt;&lt;a href=|http://nlt.scripturetext.com/hosea/2.htm| title=|New Living Translation| target=|_top|&gt;NLT&lt;/a&gt;</v>
      </c>
      <c r="O864" t="str">
        <f t="shared" si="3452"/>
        <v>&lt;/li&gt;&lt;li&gt;&lt;a href=|http://nasb.scripturetext.com/hosea/2.htm| title=|New American Standard Bible| target=|_top|&gt;NAS&lt;/a&gt;</v>
      </c>
      <c r="P864" t="str">
        <f t="shared" si="3452"/>
        <v>&lt;/li&gt;&lt;li&gt;&lt;a href=|http://gwt.scripturetext.com/hosea/2.htm| title=|God's Word Translation| target=|_top|&gt;GWT&lt;/a&gt;</v>
      </c>
      <c r="Q864" t="str">
        <f t="shared" si="3452"/>
        <v>&lt;/li&gt;&lt;li&gt;&lt;a href=|http://kingjbible.com/hosea/2.htm| title=|King James Bible| target=|_top|&gt;KJV&lt;/a&gt;</v>
      </c>
      <c r="R864" t="str">
        <f t="shared" si="3452"/>
        <v>&lt;/li&gt;&lt;li&gt;&lt;a href=|http://asvbible.com/hosea/2.htm| title=|American Standard Version| target=|_top|&gt;ASV&lt;/a&gt;</v>
      </c>
      <c r="S864" t="str">
        <f t="shared" si="3452"/>
        <v>&lt;/li&gt;&lt;li&gt;&lt;a href=|http://drb.scripturetext.com/hosea/2.htm| title=|Douay-Rheims Bible| target=|_top|&gt;DRB&lt;/a&gt;</v>
      </c>
      <c r="T864" t="str">
        <f t="shared" si="3452"/>
        <v>&lt;/li&gt;&lt;li&gt;&lt;a href=|http://erv.scripturetext.com/hosea/2.htm| title=|English Revised Version| target=|_top|&gt;ERV&lt;/a&gt;</v>
      </c>
      <c r="V864" t="str">
        <f>CONCATENATE("&lt;/li&gt;&lt;li&gt;&lt;a href=|http://",V1191,"/hosea/2.htm","| ","title=|",V1190,"| target=|_top|&gt;",V1192,"&lt;/a&gt;")</f>
        <v>&lt;/li&gt;&lt;li&gt;&lt;a href=|http://study.interlinearbible.org/hosea/2.htm| title=|Hebrew Study Bible| target=|_top|&gt;Heb Study&lt;/a&gt;</v>
      </c>
      <c r="W864" t="str">
        <f t="shared" si="3452"/>
        <v>&lt;/li&gt;&lt;li&gt;&lt;a href=|http://apostolic.interlinearbible.org/hosea/2.htm| title=|Apostolic Bible Polyglot Interlinear| target=|_top|&gt;Polyglot&lt;/a&gt;</v>
      </c>
      <c r="X864" t="str">
        <f t="shared" si="3452"/>
        <v>&lt;/li&gt;&lt;li&gt;&lt;a href=|http://interlinearbible.org/hosea/2.htm| title=|Interlinear Bible| target=|_top|&gt;Interlin&lt;/a&gt;</v>
      </c>
      <c r="Y864" t="str">
        <f t="shared" ref="Y864" si="3453">CONCATENATE("&lt;/li&gt;&lt;li&gt;&lt;a href=|http://",Y1191,"/hosea/2.htm","| ","title=|",Y1190,"| target=|_top|&gt;",Y1192,"&lt;/a&gt;")</f>
        <v>&lt;/li&gt;&lt;li&gt;&lt;a href=|http://bibleoutline.org/hosea/2.htm| title=|Outline with People and Places List| target=|_top|&gt;Outline&lt;/a&gt;</v>
      </c>
      <c r="Z864" t="str">
        <f t="shared" si="3452"/>
        <v>&lt;/li&gt;&lt;li&gt;&lt;a href=|http://kjvs.scripturetext.com/hosea/2.htm| title=|King James Bible with Strong's Numbers| target=|_top|&gt;Strong's&lt;/a&gt;</v>
      </c>
      <c r="AA864" t="str">
        <f t="shared" si="3452"/>
        <v>&lt;/li&gt;&lt;li&gt;&lt;a href=|http://childrensbibleonline.com/hosea/2.htm| title=|The Children's Bible| target=|_top|&gt;Children's&lt;/a&gt;</v>
      </c>
      <c r="AB864" s="2" t="str">
        <f t="shared" si="3452"/>
        <v>&lt;/li&gt;&lt;li&gt;&lt;a href=|http://tsk.scripturetext.com/hosea/2.htm| title=|Treasury of Scripture Knowledge| target=|_top|&gt;TSK&lt;/a&gt;</v>
      </c>
      <c r="AC864" t="str">
        <f>CONCATENATE("&lt;a href=|http://",AC1191,"/hosea/2.htm","| ","title=|",AC1190,"| target=|_top|&gt;",AC1192,"&lt;/a&gt;")</f>
        <v>&lt;a href=|http://parallelbible.com/hosea/2.htm| title=|Parallel Chapters| target=|_top|&gt;PAR&lt;/a&gt;</v>
      </c>
      <c r="AD864" s="2" t="str">
        <f t="shared" ref="AD864:AK864" si="3454">CONCATENATE("&lt;/li&gt;&lt;li&gt;&lt;a href=|http://",AD1191,"/hosea/2.htm","| ","title=|",AD1190,"| target=|_top|&gt;",AD1192,"&lt;/a&gt;")</f>
        <v>&lt;/li&gt;&lt;li&gt;&lt;a href=|http://gsb.biblecommenter.com/hosea/2.htm| title=|Geneva Study Bible| target=|_top|&gt;GSB&lt;/a&gt;</v>
      </c>
      <c r="AE864" s="2" t="str">
        <f t="shared" si="3454"/>
        <v>&lt;/li&gt;&lt;li&gt;&lt;a href=|http://jfb.biblecommenter.com/hosea/2.htm| title=|Jamieson-Fausset-Brown Bible Commentary| target=|_top|&gt;JFB&lt;/a&gt;</v>
      </c>
      <c r="AF864" s="2" t="str">
        <f t="shared" si="3454"/>
        <v>&lt;/li&gt;&lt;li&gt;&lt;a href=|http://kjt.biblecommenter.com/hosea/2.htm| title=|King James Translators' Notes| target=|_top|&gt;KJT&lt;/a&gt;</v>
      </c>
      <c r="AG864" s="2" t="str">
        <f t="shared" si="3454"/>
        <v>&lt;/li&gt;&lt;li&gt;&lt;a href=|http://mhc.biblecommenter.com/hosea/2.htm| title=|Matthew Henry's Concise Commentary| target=|_top|&gt;MHC&lt;/a&gt;</v>
      </c>
      <c r="AH864" s="2" t="str">
        <f t="shared" si="3454"/>
        <v>&lt;/li&gt;&lt;li&gt;&lt;a href=|http://sco.biblecommenter.com/hosea/2.htm| title=|Scofield Reference Notes| target=|_top|&gt;SCO&lt;/a&gt;</v>
      </c>
      <c r="AI864" s="2" t="str">
        <f t="shared" si="3454"/>
        <v>&lt;/li&gt;&lt;li&gt;&lt;a href=|http://wes.biblecommenter.com/hosea/2.htm| title=|Wesley's Notes on the Bible| target=|_top|&gt;WES&lt;/a&gt;</v>
      </c>
      <c r="AJ864" t="str">
        <f t="shared" si="3454"/>
        <v>&lt;/li&gt;&lt;li&gt;&lt;a href=|http://worldebible.com/hosea/2.htm| title=|World English Bible| target=|_top|&gt;WEB&lt;/a&gt;</v>
      </c>
      <c r="AK864" t="str">
        <f t="shared" si="3454"/>
        <v>&lt;/li&gt;&lt;li&gt;&lt;a href=|http://yltbible.com/hosea/2.htm| title=|Young's Literal Translation| target=|_top|&gt;YLT&lt;/a&gt;</v>
      </c>
      <c r="AL864" t="str">
        <f>CONCATENATE("&lt;a href=|http://",AL1191,"/hosea/2.htm","| ","title=|",AL1190,"| target=|_top|&gt;",AL1192,"&lt;/a&gt;")</f>
        <v>&lt;a href=|http://kjv.us/hosea/2.htm| title=|American King James Version| target=|_top|&gt;AKJ&lt;/a&gt;</v>
      </c>
      <c r="AM864" t="str">
        <f t="shared" ref="AM864:AN864" si="3455">CONCATENATE("&lt;/li&gt;&lt;li&gt;&lt;a href=|http://",AM1191,"/hosea/2.htm","| ","title=|",AM1190,"| target=|_top|&gt;",AM1192,"&lt;/a&gt;")</f>
        <v>&lt;/li&gt;&lt;li&gt;&lt;a href=|http://basicenglishbible.com/hosea/2.htm| title=|Bible in Basic English| target=|_top|&gt;BBE&lt;/a&gt;</v>
      </c>
      <c r="AN864" t="str">
        <f t="shared" si="3455"/>
        <v>&lt;/li&gt;&lt;li&gt;&lt;a href=|http://darbybible.com/hosea/2.htm| title=|Darby Bible Translation| target=|_top|&gt;DBY&lt;/a&gt;</v>
      </c>
      <c r="AO86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6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6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64" t="str">
        <f>CONCATENATE("&lt;/li&gt;&lt;li&gt;&lt;a href=|http://",AR1191,"/hosea/2.htm","| ","title=|",AR1190,"| target=|_top|&gt;",AR1192,"&lt;/a&gt;")</f>
        <v>&lt;/li&gt;&lt;li&gt;&lt;a href=|http://websterbible.com/hosea/2.htm| title=|Webster's Bible Translation| target=|_top|&gt;WBS&lt;/a&gt;</v>
      </c>
      <c r="AS86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64" t="str">
        <f>CONCATENATE("&lt;/li&gt;&lt;li&gt;&lt;a href=|http://",AT1191,"/hosea/2-1.htm","| ","title=|",AT1190,"| target=|_top|&gt;",AT1192,"&lt;/a&gt;")</f>
        <v>&lt;/li&gt;&lt;li&gt;&lt;a href=|http://biblebrowser.com/hosea/2-1.htm| title=|Split View| target=|_top|&gt;Split&lt;/a&gt;</v>
      </c>
      <c r="AU864" s="2" t="s">
        <v>1276</v>
      </c>
      <c r="AV864" t="s">
        <v>64</v>
      </c>
    </row>
    <row r="865" spans="1:48">
      <c r="A865" t="s">
        <v>622</v>
      </c>
      <c r="B865" t="s">
        <v>906</v>
      </c>
      <c r="C865" t="s">
        <v>624</v>
      </c>
      <c r="D865" t="s">
        <v>1268</v>
      </c>
      <c r="E865" t="s">
        <v>1277</v>
      </c>
      <c r="F865" t="s">
        <v>1304</v>
      </c>
      <c r="G865" t="s">
        <v>1266</v>
      </c>
      <c r="H865" t="s">
        <v>1305</v>
      </c>
      <c r="I865" t="s">
        <v>1303</v>
      </c>
      <c r="J865" t="s">
        <v>1267</v>
      </c>
      <c r="K865" t="s">
        <v>1275</v>
      </c>
      <c r="L865" s="2" t="s">
        <v>1274</v>
      </c>
      <c r="M865" t="str">
        <f t="shared" ref="M865:AB865" si="3456">CONCATENATE("&lt;/li&gt;&lt;li&gt;&lt;a href=|http://",M1191,"/hosea/3.htm","| ","title=|",M1190,"| target=|_top|&gt;",M1192,"&lt;/a&gt;")</f>
        <v>&lt;/li&gt;&lt;li&gt;&lt;a href=|http://niv.scripturetext.com/hosea/3.htm| title=|New International Version| target=|_top|&gt;NIV&lt;/a&gt;</v>
      </c>
      <c r="N865" t="str">
        <f t="shared" si="3456"/>
        <v>&lt;/li&gt;&lt;li&gt;&lt;a href=|http://nlt.scripturetext.com/hosea/3.htm| title=|New Living Translation| target=|_top|&gt;NLT&lt;/a&gt;</v>
      </c>
      <c r="O865" t="str">
        <f t="shared" si="3456"/>
        <v>&lt;/li&gt;&lt;li&gt;&lt;a href=|http://nasb.scripturetext.com/hosea/3.htm| title=|New American Standard Bible| target=|_top|&gt;NAS&lt;/a&gt;</v>
      </c>
      <c r="P865" t="str">
        <f t="shared" si="3456"/>
        <v>&lt;/li&gt;&lt;li&gt;&lt;a href=|http://gwt.scripturetext.com/hosea/3.htm| title=|God's Word Translation| target=|_top|&gt;GWT&lt;/a&gt;</v>
      </c>
      <c r="Q865" t="str">
        <f t="shared" si="3456"/>
        <v>&lt;/li&gt;&lt;li&gt;&lt;a href=|http://kingjbible.com/hosea/3.htm| title=|King James Bible| target=|_top|&gt;KJV&lt;/a&gt;</v>
      </c>
      <c r="R865" t="str">
        <f t="shared" si="3456"/>
        <v>&lt;/li&gt;&lt;li&gt;&lt;a href=|http://asvbible.com/hosea/3.htm| title=|American Standard Version| target=|_top|&gt;ASV&lt;/a&gt;</v>
      </c>
      <c r="S865" t="str">
        <f t="shared" si="3456"/>
        <v>&lt;/li&gt;&lt;li&gt;&lt;a href=|http://drb.scripturetext.com/hosea/3.htm| title=|Douay-Rheims Bible| target=|_top|&gt;DRB&lt;/a&gt;</v>
      </c>
      <c r="T865" t="str">
        <f t="shared" si="3456"/>
        <v>&lt;/li&gt;&lt;li&gt;&lt;a href=|http://erv.scripturetext.com/hosea/3.htm| title=|English Revised Version| target=|_top|&gt;ERV&lt;/a&gt;</v>
      </c>
      <c r="V865" t="str">
        <f>CONCATENATE("&lt;/li&gt;&lt;li&gt;&lt;a href=|http://",V1191,"/hosea/3.htm","| ","title=|",V1190,"| target=|_top|&gt;",V1192,"&lt;/a&gt;")</f>
        <v>&lt;/li&gt;&lt;li&gt;&lt;a href=|http://study.interlinearbible.org/hosea/3.htm| title=|Hebrew Study Bible| target=|_top|&gt;Heb Study&lt;/a&gt;</v>
      </c>
      <c r="W865" t="str">
        <f t="shared" si="3456"/>
        <v>&lt;/li&gt;&lt;li&gt;&lt;a href=|http://apostolic.interlinearbible.org/hosea/3.htm| title=|Apostolic Bible Polyglot Interlinear| target=|_top|&gt;Polyglot&lt;/a&gt;</v>
      </c>
      <c r="X865" t="str">
        <f t="shared" si="3456"/>
        <v>&lt;/li&gt;&lt;li&gt;&lt;a href=|http://interlinearbible.org/hosea/3.htm| title=|Interlinear Bible| target=|_top|&gt;Interlin&lt;/a&gt;</v>
      </c>
      <c r="Y865" t="str">
        <f t="shared" ref="Y865" si="3457">CONCATENATE("&lt;/li&gt;&lt;li&gt;&lt;a href=|http://",Y1191,"/hosea/3.htm","| ","title=|",Y1190,"| target=|_top|&gt;",Y1192,"&lt;/a&gt;")</f>
        <v>&lt;/li&gt;&lt;li&gt;&lt;a href=|http://bibleoutline.org/hosea/3.htm| title=|Outline with People and Places List| target=|_top|&gt;Outline&lt;/a&gt;</v>
      </c>
      <c r="Z865" t="str">
        <f t="shared" si="3456"/>
        <v>&lt;/li&gt;&lt;li&gt;&lt;a href=|http://kjvs.scripturetext.com/hosea/3.htm| title=|King James Bible with Strong's Numbers| target=|_top|&gt;Strong's&lt;/a&gt;</v>
      </c>
      <c r="AA865" t="str">
        <f t="shared" si="3456"/>
        <v>&lt;/li&gt;&lt;li&gt;&lt;a href=|http://childrensbibleonline.com/hosea/3.htm| title=|The Children's Bible| target=|_top|&gt;Children's&lt;/a&gt;</v>
      </c>
      <c r="AB865" s="2" t="str">
        <f t="shared" si="3456"/>
        <v>&lt;/li&gt;&lt;li&gt;&lt;a href=|http://tsk.scripturetext.com/hosea/3.htm| title=|Treasury of Scripture Knowledge| target=|_top|&gt;TSK&lt;/a&gt;</v>
      </c>
      <c r="AC865" t="str">
        <f>CONCATENATE("&lt;a href=|http://",AC1191,"/hosea/3.htm","| ","title=|",AC1190,"| target=|_top|&gt;",AC1192,"&lt;/a&gt;")</f>
        <v>&lt;a href=|http://parallelbible.com/hosea/3.htm| title=|Parallel Chapters| target=|_top|&gt;PAR&lt;/a&gt;</v>
      </c>
      <c r="AD865" s="2" t="str">
        <f t="shared" ref="AD865:AK865" si="3458">CONCATENATE("&lt;/li&gt;&lt;li&gt;&lt;a href=|http://",AD1191,"/hosea/3.htm","| ","title=|",AD1190,"| target=|_top|&gt;",AD1192,"&lt;/a&gt;")</f>
        <v>&lt;/li&gt;&lt;li&gt;&lt;a href=|http://gsb.biblecommenter.com/hosea/3.htm| title=|Geneva Study Bible| target=|_top|&gt;GSB&lt;/a&gt;</v>
      </c>
      <c r="AE865" s="2" t="str">
        <f t="shared" si="3458"/>
        <v>&lt;/li&gt;&lt;li&gt;&lt;a href=|http://jfb.biblecommenter.com/hosea/3.htm| title=|Jamieson-Fausset-Brown Bible Commentary| target=|_top|&gt;JFB&lt;/a&gt;</v>
      </c>
      <c r="AF865" s="2" t="str">
        <f t="shared" si="3458"/>
        <v>&lt;/li&gt;&lt;li&gt;&lt;a href=|http://kjt.biblecommenter.com/hosea/3.htm| title=|King James Translators' Notes| target=|_top|&gt;KJT&lt;/a&gt;</v>
      </c>
      <c r="AG865" s="2" t="str">
        <f t="shared" si="3458"/>
        <v>&lt;/li&gt;&lt;li&gt;&lt;a href=|http://mhc.biblecommenter.com/hosea/3.htm| title=|Matthew Henry's Concise Commentary| target=|_top|&gt;MHC&lt;/a&gt;</v>
      </c>
      <c r="AH865" s="2" t="str">
        <f t="shared" si="3458"/>
        <v>&lt;/li&gt;&lt;li&gt;&lt;a href=|http://sco.biblecommenter.com/hosea/3.htm| title=|Scofield Reference Notes| target=|_top|&gt;SCO&lt;/a&gt;</v>
      </c>
      <c r="AI865" s="2" t="str">
        <f t="shared" si="3458"/>
        <v>&lt;/li&gt;&lt;li&gt;&lt;a href=|http://wes.biblecommenter.com/hosea/3.htm| title=|Wesley's Notes on the Bible| target=|_top|&gt;WES&lt;/a&gt;</v>
      </c>
      <c r="AJ865" t="str">
        <f t="shared" si="3458"/>
        <v>&lt;/li&gt;&lt;li&gt;&lt;a href=|http://worldebible.com/hosea/3.htm| title=|World English Bible| target=|_top|&gt;WEB&lt;/a&gt;</v>
      </c>
      <c r="AK865" t="str">
        <f t="shared" si="3458"/>
        <v>&lt;/li&gt;&lt;li&gt;&lt;a href=|http://yltbible.com/hosea/3.htm| title=|Young's Literal Translation| target=|_top|&gt;YLT&lt;/a&gt;</v>
      </c>
      <c r="AL865" t="str">
        <f>CONCATENATE("&lt;a href=|http://",AL1191,"/hosea/3.htm","| ","title=|",AL1190,"| target=|_top|&gt;",AL1192,"&lt;/a&gt;")</f>
        <v>&lt;a href=|http://kjv.us/hosea/3.htm| title=|American King James Version| target=|_top|&gt;AKJ&lt;/a&gt;</v>
      </c>
      <c r="AM865" t="str">
        <f t="shared" ref="AM865:AN865" si="3459">CONCATENATE("&lt;/li&gt;&lt;li&gt;&lt;a href=|http://",AM1191,"/hosea/3.htm","| ","title=|",AM1190,"| target=|_top|&gt;",AM1192,"&lt;/a&gt;")</f>
        <v>&lt;/li&gt;&lt;li&gt;&lt;a href=|http://basicenglishbible.com/hosea/3.htm| title=|Bible in Basic English| target=|_top|&gt;BBE&lt;/a&gt;</v>
      </c>
      <c r="AN865" t="str">
        <f t="shared" si="3459"/>
        <v>&lt;/li&gt;&lt;li&gt;&lt;a href=|http://darbybible.com/hosea/3.htm| title=|Darby Bible Translation| target=|_top|&gt;DBY&lt;/a&gt;</v>
      </c>
      <c r="AO86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6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6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65" t="str">
        <f>CONCATENATE("&lt;/li&gt;&lt;li&gt;&lt;a href=|http://",AR1191,"/hosea/3.htm","| ","title=|",AR1190,"| target=|_top|&gt;",AR1192,"&lt;/a&gt;")</f>
        <v>&lt;/li&gt;&lt;li&gt;&lt;a href=|http://websterbible.com/hosea/3.htm| title=|Webster's Bible Translation| target=|_top|&gt;WBS&lt;/a&gt;</v>
      </c>
      <c r="AS86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65" t="str">
        <f>CONCATENATE("&lt;/li&gt;&lt;li&gt;&lt;a href=|http://",AT1191,"/hosea/3-1.htm","| ","title=|",AT1190,"| target=|_top|&gt;",AT1192,"&lt;/a&gt;")</f>
        <v>&lt;/li&gt;&lt;li&gt;&lt;a href=|http://biblebrowser.com/hosea/3-1.htm| title=|Split View| target=|_top|&gt;Split&lt;/a&gt;</v>
      </c>
      <c r="AU865" s="2" t="s">
        <v>1276</v>
      </c>
      <c r="AV865" t="s">
        <v>64</v>
      </c>
    </row>
    <row r="866" spans="1:48">
      <c r="A866" t="s">
        <v>622</v>
      </c>
      <c r="B866" t="s">
        <v>907</v>
      </c>
      <c r="C866" t="s">
        <v>624</v>
      </c>
      <c r="D866" t="s">
        <v>1268</v>
      </c>
      <c r="E866" t="s">
        <v>1277</v>
      </c>
      <c r="F866" t="s">
        <v>1304</v>
      </c>
      <c r="G866" t="s">
        <v>1266</v>
      </c>
      <c r="H866" t="s">
        <v>1305</v>
      </c>
      <c r="I866" t="s">
        <v>1303</v>
      </c>
      <c r="J866" t="s">
        <v>1267</v>
      </c>
      <c r="K866" t="s">
        <v>1275</v>
      </c>
      <c r="L866" s="2" t="s">
        <v>1274</v>
      </c>
      <c r="M866" t="str">
        <f t="shared" ref="M866:AB866" si="3460">CONCATENATE("&lt;/li&gt;&lt;li&gt;&lt;a href=|http://",M1191,"/hosea/4.htm","| ","title=|",M1190,"| target=|_top|&gt;",M1192,"&lt;/a&gt;")</f>
        <v>&lt;/li&gt;&lt;li&gt;&lt;a href=|http://niv.scripturetext.com/hosea/4.htm| title=|New International Version| target=|_top|&gt;NIV&lt;/a&gt;</v>
      </c>
      <c r="N866" t="str">
        <f t="shared" si="3460"/>
        <v>&lt;/li&gt;&lt;li&gt;&lt;a href=|http://nlt.scripturetext.com/hosea/4.htm| title=|New Living Translation| target=|_top|&gt;NLT&lt;/a&gt;</v>
      </c>
      <c r="O866" t="str">
        <f t="shared" si="3460"/>
        <v>&lt;/li&gt;&lt;li&gt;&lt;a href=|http://nasb.scripturetext.com/hosea/4.htm| title=|New American Standard Bible| target=|_top|&gt;NAS&lt;/a&gt;</v>
      </c>
      <c r="P866" t="str">
        <f t="shared" si="3460"/>
        <v>&lt;/li&gt;&lt;li&gt;&lt;a href=|http://gwt.scripturetext.com/hosea/4.htm| title=|God's Word Translation| target=|_top|&gt;GWT&lt;/a&gt;</v>
      </c>
      <c r="Q866" t="str">
        <f t="shared" si="3460"/>
        <v>&lt;/li&gt;&lt;li&gt;&lt;a href=|http://kingjbible.com/hosea/4.htm| title=|King James Bible| target=|_top|&gt;KJV&lt;/a&gt;</v>
      </c>
      <c r="R866" t="str">
        <f t="shared" si="3460"/>
        <v>&lt;/li&gt;&lt;li&gt;&lt;a href=|http://asvbible.com/hosea/4.htm| title=|American Standard Version| target=|_top|&gt;ASV&lt;/a&gt;</v>
      </c>
      <c r="S866" t="str">
        <f t="shared" si="3460"/>
        <v>&lt;/li&gt;&lt;li&gt;&lt;a href=|http://drb.scripturetext.com/hosea/4.htm| title=|Douay-Rheims Bible| target=|_top|&gt;DRB&lt;/a&gt;</v>
      </c>
      <c r="T866" t="str">
        <f t="shared" si="3460"/>
        <v>&lt;/li&gt;&lt;li&gt;&lt;a href=|http://erv.scripturetext.com/hosea/4.htm| title=|English Revised Version| target=|_top|&gt;ERV&lt;/a&gt;</v>
      </c>
      <c r="V866" t="str">
        <f>CONCATENATE("&lt;/li&gt;&lt;li&gt;&lt;a href=|http://",V1191,"/hosea/4.htm","| ","title=|",V1190,"| target=|_top|&gt;",V1192,"&lt;/a&gt;")</f>
        <v>&lt;/li&gt;&lt;li&gt;&lt;a href=|http://study.interlinearbible.org/hosea/4.htm| title=|Hebrew Study Bible| target=|_top|&gt;Heb Study&lt;/a&gt;</v>
      </c>
      <c r="W866" t="str">
        <f t="shared" si="3460"/>
        <v>&lt;/li&gt;&lt;li&gt;&lt;a href=|http://apostolic.interlinearbible.org/hosea/4.htm| title=|Apostolic Bible Polyglot Interlinear| target=|_top|&gt;Polyglot&lt;/a&gt;</v>
      </c>
      <c r="X866" t="str">
        <f t="shared" si="3460"/>
        <v>&lt;/li&gt;&lt;li&gt;&lt;a href=|http://interlinearbible.org/hosea/4.htm| title=|Interlinear Bible| target=|_top|&gt;Interlin&lt;/a&gt;</v>
      </c>
      <c r="Y866" t="str">
        <f t="shared" ref="Y866" si="3461">CONCATENATE("&lt;/li&gt;&lt;li&gt;&lt;a href=|http://",Y1191,"/hosea/4.htm","| ","title=|",Y1190,"| target=|_top|&gt;",Y1192,"&lt;/a&gt;")</f>
        <v>&lt;/li&gt;&lt;li&gt;&lt;a href=|http://bibleoutline.org/hosea/4.htm| title=|Outline with People and Places List| target=|_top|&gt;Outline&lt;/a&gt;</v>
      </c>
      <c r="Z866" t="str">
        <f t="shared" si="3460"/>
        <v>&lt;/li&gt;&lt;li&gt;&lt;a href=|http://kjvs.scripturetext.com/hosea/4.htm| title=|King James Bible with Strong's Numbers| target=|_top|&gt;Strong's&lt;/a&gt;</v>
      </c>
      <c r="AA866" t="str">
        <f t="shared" si="3460"/>
        <v>&lt;/li&gt;&lt;li&gt;&lt;a href=|http://childrensbibleonline.com/hosea/4.htm| title=|The Children's Bible| target=|_top|&gt;Children's&lt;/a&gt;</v>
      </c>
      <c r="AB866" s="2" t="str">
        <f t="shared" si="3460"/>
        <v>&lt;/li&gt;&lt;li&gt;&lt;a href=|http://tsk.scripturetext.com/hosea/4.htm| title=|Treasury of Scripture Knowledge| target=|_top|&gt;TSK&lt;/a&gt;</v>
      </c>
      <c r="AC866" t="str">
        <f>CONCATENATE("&lt;a href=|http://",AC1191,"/hosea/4.htm","| ","title=|",AC1190,"| target=|_top|&gt;",AC1192,"&lt;/a&gt;")</f>
        <v>&lt;a href=|http://parallelbible.com/hosea/4.htm| title=|Parallel Chapters| target=|_top|&gt;PAR&lt;/a&gt;</v>
      </c>
      <c r="AD866" s="2" t="str">
        <f t="shared" ref="AD866:AK866" si="3462">CONCATENATE("&lt;/li&gt;&lt;li&gt;&lt;a href=|http://",AD1191,"/hosea/4.htm","| ","title=|",AD1190,"| target=|_top|&gt;",AD1192,"&lt;/a&gt;")</f>
        <v>&lt;/li&gt;&lt;li&gt;&lt;a href=|http://gsb.biblecommenter.com/hosea/4.htm| title=|Geneva Study Bible| target=|_top|&gt;GSB&lt;/a&gt;</v>
      </c>
      <c r="AE866" s="2" t="str">
        <f t="shared" si="3462"/>
        <v>&lt;/li&gt;&lt;li&gt;&lt;a href=|http://jfb.biblecommenter.com/hosea/4.htm| title=|Jamieson-Fausset-Brown Bible Commentary| target=|_top|&gt;JFB&lt;/a&gt;</v>
      </c>
      <c r="AF866" s="2" t="str">
        <f t="shared" si="3462"/>
        <v>&lt;/li&gt;&lt;li&gt;&lt;a href=|http://kjt.biblecommenter.com/hosea/4.htm| title=|King James Translators' Notes| target=|_top|&gt;KJT&lt;/a&gt;</v>
      </c>
      <c r="AG866" s="2" t="str">
        <f t="shared" si="3462"/>
        <v>&lt;/li&gt;&lt;li&gt;&lt;a href=|http://mhc.biblecommenter.com/hosea/4.htm| title=|Matthew Henry's Concise Commentary| target=|_top|&gt;MHC&lt;/a&gt;</v>
      </c>
      <c r="AH866" s="2" t="str">
        <f t="shared" si="3462"/>
        <v>&lt;/li&gt;&lt;li&gt;&lt;a href=|http://sco.biblecommenter.com/hosea/4.htm| title=|Scofield Reference Notes| target=|_top|&gt;SCO&lt;/a&gt;</v>
      </c>
      <c r="AI866" s="2" t="str">
        <f t="shared" si="3462"/>
        <v>&lt;/li&gt;&lt;li&gt;&lt;a href=|http://wes.biblecommenter.com/hosea/4.htm| title=|Wesley's Notes on the Bible| target=|_top|&gt;WES&lt;/a&gt;</v>
      </c>
      <c r="AJ866" t="str">
        <f t="shared" si="3462"/>
        <v>&lt;/li&gt;&lt;li&gt;&lt;a href=|http://worldebible.com/hosea/4.htm| title=|World English Bible| target=|_top|&gt;WEB&lt;/a&gt;</v>
      </c>
      <c r="AK866" t="str">
        <f t="shared" si="3462"/>
        <v>&lt;/li&gt;&lt;li&gt;&lt;a href=|http://yltbible.com/hosea/4.htm| title=|Young's Literal Translation| target=|_top|&gt;YLT&lt;/a&gt;</v>
      </c>
      <c r="AL866" t="str">
        <f>CONCATENATE("&lt;a href=|http://",AL1191,"/hosea/4.htm","| ","title=|",AL1190,"| target=|_top|&gt;",AL1192,"&lt;/a&gt;")</f>
        <v>&lt;a href=|http://kjv.us/hosea/4.htm| title=|American King James Version| target=|_top|&gt;AKJ&lt;/a&gt;</v>
      </c>
      <c r="AM866" t="str">
        <f t="shared" ref="AM866:AN866" si="3463">CONCATENATE("&lt;/li&gt;&lt;li&gt;&lt;a href=|http://",AM1191,"/hosea/4.htm","| ","title=|",AM1190,"| target=|_top|&gt;",AM1192,"&lt;/a&gt;")</f>
        <v>&lt;/li&gt;&lt;li&gt;&lt;a href=|http://basicenglishbible.com/hosea/4.htm| title=|Bible in Basic English| target=|_top|&gt;BBE&lt;/a&gt;</v>
      </c>
      <c r="AN866" t="str">
        <f t="shared" si="3463"/>
        <v>&lt;/li&gt;&lt;li&gt;&lt;a href=|http://darbybible.com/hosea/4.htm| title=|Darby Bible Translation| target=|_top|&gt;DBY&lt;/a&gt;</v>
      </c>
      <c r="AO86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6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6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66" t="str">
        <f>CONCATENATE("&lt;/li&gt;&lt;li&gt;&lt;a href=|http://",AR1191,"/hosea/4.htm","| ","title=|",AR1190,"| target=|_top|&gt;",AR1192,"&lt;/a&gt;")</f>
        <v>&lt;/li&gt;&lt;li&gt;&lt;a href=|http://websterbible.com/hosea/4.htm| title=|Webster's Bible Translation| target=|_top|&gt;WBS&lt;/a&gt;</v>
      </c>
      <c r="AS86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66" t="str">
        <f>CONCATENATE("&lt;/li&gt;&lt;li&gt;&lt;a href=|http://",AT1191,"/hosea/4-1.htm","| ","title=|",AT1190,"| target=|_top|&gt;",AT1192,"&lt;/a&gt;")</f>
        <v>&lt;/li&gt;&lt;li&gt;&lt;a href=|http://biblebrowser.com/hosea/4-1.htm| title=|Split View| target=|_top|&gt;Split&lt;/a&gt;</v>
      </c>
      <c r="AU866" s="2" t="s">
        <v>1276</v>
      </c>
      <c r="AV866" t="s">
        <v>64</v>
      </c>
    </row>
    <row r="867" spans="1:48">
      <c r="A867" t="s">
        <v>622</v>
      </c>
      <c r="B867" t="s">
        <v>908</v>
      </c>
      <c r="C867" t="s">
        <v>624</v>
      </c>
      <c r="D867" t="s">
        <v>1268</v>
      </c>
      <c r="E867" t="s">
        <v>1277</v>
      </c>
      <c r="F867" t="s">
        <v>1304</v>
      </c>
      <c r="G867" t="s">
        <v>1266</v>
      </c>
      <c r="H867" t="s">
        <v>1305</v>
      </c>
      <c r="I867" t="s">
        <v>1303</v>
      </c>
      <c r="J867" t="s">
        <v>1267</v>
      </c>
      <c r="K867" t="s">
        <v>1275</v>
      </c>
      <c r="L867" s="2" t="s">
        <v>1274</v>
      </c>
      <c r="M867" t="str">
        <f t="shared" ref="M867:AB867" si="3464">CONCATENATE("&lt;/li&gt;&lt;li&gt;&lt;a href=|http://",M1191,"/hosea/5.htm","| ","title=|",M1190,"| target=|_top|&gt;",M1192,"&lt;/a&gt;")</f>
        <v>&lt;/li&gt;&lt;li&gt;&lt;a href=|http://niv.scripturetext.com/hosea/5.htm| title=|New International Version| target=|_top|&gt;NIV&lt;/a&gt;</v>
      </c>
      <c r="N867" t="str">
        <f t="shared" si="3464"/>
        <v>&lt;/li&gt;&lt;li&gt;&lt;a href=|http://nlt.scripturetext.com/hosea/5.htm| title=|New Living Translation| target=|_top|&gt;NLT&lt;/a&gt;</v>
      </c>
      <c r="O867" t="str">
        <f t="shared" si="3464"/>
        <v>&lt;/li&gt;&lt;li&gt;&lt;a href=|http://nasb.scripturetext.com/hosea/5.htm| title=|New American Standard Bible| target=|_top|&gt;NAS&lt;/a&gt;</v>
      </c>
      <c r="P867" t="str">
        <f t="shared" si="3464"/>
        <v>&lt;/li&gt;&lt;li&gt;&lt;a href=|http://gwt.scripturetext.com/hosea/5.htm| title=|God's Word Translation| target=|_top|&gt;GWT&lt;/a&gt;</v>
      </c>
      <c r="Q867" t="str">
        <f t="shared" si="3464"/>
        <v>&lt;/li&gt;&lt;li&gt;&lt;a href=|http://kingjbible.com/hosea/5.htm| title=|King James Bible| target=|_top|&gt;KJV&lt;/a&gt;</v>
      </c>
      <c r="R867" t="str">
        <f t="shared" si="3464"/>
        <v>&lt;/li&gt;&lt;li&gt;&lt;a href=|http://asvbible.com/hosea/5.htm| title=|American Standard Version| target=|_top|&gt;ASV&lt;/a&gt;</v>
      </c>
      <c r="S867" t="str">
        <f t="shared" si="3464"/>
        <v>&lt;/li&gt;&lt;li&gt;&lt;a href=|http://drb.scripturetext.com/hosea/5.htm| title=|Douay-Rheims Bible| target=|_top|&gt;DRB&lt;/a&gt;</v>
      </c>
      <c r="T867" t="str">
        <f t="shared" si="3464"/>
        <v>&lt;/li&gt;&lt;li&gt;&lt;a href=|http://erv.scripturetext.com/hosea/5.htm| title=|English Revised Version| target=|_top|&gt;ERV&lt;/a&gt;</v>
      </c>
      <c r="V867" t="str">
        <f>CONCATENATE("&lt;/li&gt;&lt;li&gt;&lt;a href=|http://",V1191,"/hosea/5.htm","| ","title=|",V1190,"| target=|_top|&gt;",V1192,"&lt;/a&gt;")</f>
        <v>&lt;/li&gt;&lt;li&gt;&lt;a href=|http://study.interlinearbible.org/hosea/5.htm| title=|Hebrew Study Bible| target=|_top|&gt;Heb Study&lt;/a&gt;</v>
      </c>
      <c r="W867" t="str">
        <f t="shared" si="3464"/>
        <v>&lt;/li&gt;&lt;li&gt;&lt;a href=|http://apostolic.interlinearbible.org/hosea/5.htm| title=|Apostolic Bible Polyglot Interlinear| target=|_top|&gt;Polyglot&lt;/a&gt;</v>
      </c>
      <c r="X867" t="str">
        <f t="shared" si="3464"/>
        <v>&lt;/li&gt;&lt;li&gt;&lt;a href=|http://interlinearbible.org/hosea/5.htm| title=|Interlinear Bible| target=|_top|&gt;Interlin&lt;/a&gt;</v>
      </c>
      <c r="Y867" t="str">
        <f t="shared" ref="Y867" si="3465">CONCATENATE("&lt;/li&gt;&lt;li&gt;&lt;a href=|http://",Y1191,"/hosea/5.htm","| ","title=|",Y1190,"| target=|_top|&gt;",Y1192,"&lt;/a&gt;")</f>
        <v>&lt;/li&gt;&lt;li&gt;&lt;a href=|http://bibleoutline.org/hosea/5.htm| title=|Outline with People and Places List| target=|_top|&gt;Outline&lt;/a&gt;</v>
      </c>
      <c r="Z867" t="str">
        <f t="shared" si="3464"/>
        <v>&lt;/li&gt;&lt;li&gt;&lt;a href=|http://kjvs.scripturetext.com/hosea/5.htm| title=|King James Bible with Strong's Numbers| target=|_top|&gt;Strong's&lt;/a&gt;</v>
      </c>
      <c r="AA867" t="str">
        <f t="shared" si="3464"/>
        <v>&lt;/li&gt;&lt;li&gt;&lt;a href=|http://childrensbibleonline.com/hosea/5.htm| title=|The Children's Bible| target=|_top|&gt;Children's&lt;/a&gt;</v>
      </c>
      <c r="AB867" s="2" t="str">
        <f t="shared" si="3464"/>
        <v>&lt;/li&gt;&lt;li&gt;&lt;a href=|http://tsk.scripturetext.com/hosea/5.htm| title=|Treasury of Scripture Knowledge| target=|_top|&gt;TSK&lt;/a&gt;</v>
      </c>
      <c r="AC867" t="str">
        <f>CONCATENATE("&lt;a href=|http://",AC1191,"/hosea/5.htm","| ","title=|",AC1190,"| target=|_top|&gt;",AC1192,"&lt;/a&gt;")</f>
        <v>&lt;a href=|http://parallelbible.com/hosea/5.htm| title=|Parallel Chapters| target=|_top|&gt;PAR&lt;/a&gt;</v>
      </c>
      <c r="AD867" s="2" t="str">
        <f t="shared" ref="AD867:AK867" si="3466">CONCATENATE("&lt;/li&gt;&lt;li&gt;&lt;a href=|http://",AD1191,"/hosea/5.htm","| ","title=|",AD1190,"| target=|_top|&gt;",AD1192,"&lt;/a&gt;")</f>
        <v>&lt;/li&gt;&lt;li&gt;&lt;a href=|http://gsb.biblecommenter.com/hosea/5.htm| title=|Geneva Study Bible| target=|_top|&gt;GSB&lt;/a&gt;</v>
      </c>
      <c r="AE867" s="2" t="str">
        <f t="shared" si="3466"/>
        <v>&lt;/li&gt;&lt;li&gt;&lt;a href=|http://jfb.biblecommenter.com/hosea/5.htm| title=|Jamieson-Fausset-Brown Bible Commentary| target=|_top|&gt;JFB&lt;/a&gt;</v>
      </c>
      <c r="AF867" s="2" t="str">
        <f t="shared" si="3466"/>
        <v>&lt;/li&gt;&lt;li&gt;&lt;a href=|http://kjt.biblecommenter.com/hosea/5.htm| title=|King James Translators' Notes| target=|_top|&gt;KJT&lt;/a&gt;</v>
      </c>
      <c r="AG867" s="2" t="str">
        <f t="shared" si="3466"/>
        <v>&lt;/li&gt;&lt;li&gt;&lt;a href=|http://mhc.biblecommenter.com/hosea/5.htm| title=|Matthew Henry's Concise Commentary| target=|_top|&gt;MHC&lt;/a&gt;</v>
      </c>
      <c r="AH867" s="2" t="str">
        <f t="shared" si="3466"/>
        <v>&lt;/li&gt;&lt;li&gt;&lt;a href=|http://sco.biblecommenter.com/hosea/5.htm| title=|Scofield Reference Notes| target=|_top|&gt;SCO&lt;/a&gt;</v>
      </c>
      <c r="AI867" s="2" t="str">
        <f t="shared" si="3466"/>
        <v>&lt;/li&gt;&lt;li&gt;&lt;a href=|http://wes.biblecommenter.com/hosea/5.htm| title=|Wesley's Notes on the Bible| target=|_top|&gt;WES&lt;/a&gt;</v>
      </c>
      <c r="AJ867" t="str">
        <f t="shared" si="3466"/>
        <v>&lt;/li&gt;&lt;li&gt;&lt;a href=|http://worldebible.com/hosea/5.htm| title=|World English Bible| target=|_top|&gt;WEB&lt;/a&gt;</v>
      </c>
      <c r="AK867" t="str">
        <f t="shared" si="3466"/>
        <v>&lt;/li&gt;&lt;li&gt;&lt;a href=|http://yltbible.com/hosea/5.htm| title=|Young's Literal Translation| target=|_top|&gt;YLT&lt;/a&gt;</v>
      </c>
      <c r="AL867" t="str">
        <f>CONCATENATE("&lt;a href=|http://",AL1191,"/hosea/5.htm","| ","title=|",AL1190,"| target=|_top|&gt;",AL1192,"&lt;/a&gt;")</f>
        <v>&lt;a href=|http://kjv.us/hosea/5.htm| title=|American King James Version| target=|_top|&gt;AKJ&lt;/a&gt;</v>
      </c>
      <c r="AM867" t="str">
        <f t="shared" ref="AM867:AN867" si="3467">CONCATENATE("&lt;/li&gt;&lt;li&gt;&lt;a href=|http://",AM1191,"/hosea/5.htm","| ","title=|",AM1190,"| target=|_top|&gt;",AM1192,"&lt;/a&gt;")</f>
        <v>&lt;/li&gt;&lt;li&gt;&lt;a href=|http://basicenglishbible.com/hosea/5.htm| title=|Bible in Basic English| target=|_top|&gt;BBE&lt;/a&gt;</v>
      </c>
      <c r="AN867" t="str">
        <f t="shared" si="3467"/>
        <v>&lt;/li&gt;&lt;li&gt;&lt;a href=|http://darbybible.com/hosea/5.htm| title=|Darby Bible Translation| target=|_top|&gt;DBY&lt;/a&gt;</v>
      </c>
      <c r="AO86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6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6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67" t="str">
        <f>CONCATENATE("&lt;/li&gt;&lt;li&gt;&lt;a href=|http://",AR1191,"/hosea/5.htm","| ","title=|",AR1190,"| target=|_top|&gt;",AR1192,"&lt;/a&gt;")</f>
        <v>&lt;/li&gt;&lt;li&gt;&lt;a href=|http://websterbible.com/hosea/5.htm| title=|Webster's Bible Translation| target=|_top|&gt;WBS&lt;/a&gt;</v>
      </c>
      <c r="AS86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67" t="str">
        <f>CONCATENATE("&lt;/li&gt;&lt;li&gt;&lt;a href=|http://",AT1191,"/hosea/5-1.htm","| ","title=|",AT1190,"| target=|_top|&gt;",AT1192,"&lt;/a&gt;")</f>
        <v>&lt;/li&gt;&lt;li&gt;&lt;a href=|http://biblebrowser.com/hosea/5-1.htm| title=|Split View| target=|_top|&gt;Split&lt;/a&gt;</v>
      </c>
      <c r="AU867" s="2" t="s">
        <v>1276</v>
      </c>
      <c r="AV867" t="s">
        <v>64</v>
      </c>
    </row>
    <row r="868" spans="1:48">
      <c r="A868" t="s">
        <v>622</v>
      </c>
      <c r="B868" t="s">
        <v>909</v>
      </c>
      <c r="C868" t="s">
        <v>624</v>
      </c>
      <c r="D868" t="s">
        <v>1268</v>
      </c>
      <c r="E868" t="s">
        <v>1277</v>
      </c>
      <c r="F868" t="s">
        <v>1304</v>
      </c>
      <c r="G868" t="s">
        <v>1266</v>
      </c>
      <c r="H868" t="s">
        <v>1305</v>
      </c>
      <c r="I868" t="s">
        <v>1303</v>
      </c>
      <c r="J868" t="s">
        <v>1267</v>
      </c>
      <c r="K868" t="s">
        <v>1275</v>
      </c>
      <c r="L868" s="2" t="s">
        <v>1274</v>
      </c>
      <c r="M868" t="str">
        <f t="shared" ref="M868:AB868" si="3468">CONCATENATE("&lt;/li&gt;&lt;li&gt;&lt;a href=|http://",M1191,"/hosea/6.htm","| ","title=|",M1190,"| target=|_top|&gt;",M1192,"&lt;/a&gt;")</f>
        <v>&lt;/li&gt;&lt;li&gt;&lt;a href=|http://niv.scripturetext.com/hosea/6.htm| title=|New International Version| target=|_top|&gt;NIV&lt;/a&gt;</v>
      </c>
      <c r="N868" t="str">
        <f t="shared" si="3468"/>
        <v>&lt;/li&gt;&lt;li&gt;&lt;a href=|http://nlt.scripturetext.com/hosea/6.htm| title=|New Living Translation| target=|_top|&gt;NLT&lt;/a&gt;</v>
      </c>
      <c r="O868" t="str">
        <f t="shared" si="3468"/>
        <v>&lt;/li&gt;&lt;li&gt;&lt;a href=|http://nasb.scripturetext.com/hosea/6.htm| title=|New American Standard Bible| target=|_top|&gt;NAS&lt;/a&gt;</v>
      </c>
      <c r="P868" t="str">
        <f t="shared" si="3468"/>
        <v>&lt;/li&gt;&lt;li&gt;&lt;a href=|http://gwt.scripturetext.com/hosea/6.htm| title=|God's Word Translation| target=|_top|&gt;GWT&lt;/a&gt;</v>
      </c>
      <c r="Q868" t="str">
        <f t="shared" si="3468"/>
        <v>&lt;/li&gt;&lt;li&gt;&lt;a href=|http://kingjbible.com/hosea/6.htm| title=|King James Bible| target=|_top|&gt;KJV&lt;/a&gt;</v>
      </c>
      <c r="R868" t="str">
        <f t="shared" si="3468"/>
        <v>&lt;/li&gt;&lt;li&gt;&lt;a href=|http://asvbible.com/hosea/6.htm| title=|American Standard Version| target=|_top|&gt;ASV&lt;/a&gt;</v>
      </c>
      <c r="S868" t="str">
        <f t="shared" si="3468"/>
        <v>&lt;/li&gt;&lt;li&gt;&lt;a href=|http://drb.scripturetext.com/hosea/6.htm| title=|Douay-Rheims Bible| target=|_top|&gt;DRB&lt;/a&gt;</v>
      </c>
      <c r="T868" t="str">
        <f t="shared" si="3468"/>
        <v>&lt;/li&gt;&lt;li&gt;&lt;a href=|http://erv.scripturetext.com/hosea/6.htm| title=|English Revised Version| target=|_top|&gt;ERV&lt;/a&gt;</v>
      </c>
      <c r="V868" t="str">
        <f>CONCATENATE("&lt;/li&gt;&lt;li&gt;&lt;a href=|http://",V1191,"/hosea/6.htm","| ","title=|",V1190,"| target=|_top|&gt;",V1192,"&lt;/a&gt;")</f>
        <v>&lt;/li&gt;&lt;li&gt;&lt;a href=|http://study.interlinearbible.org/hosea/6.htm| title=|Hebrew Study Bible| target=|_top|&gt;Heb Study&lt;/a&gt;</v>
      </c>
      <c r="W868" t="str">
        <f t="shared" si="3468"/>
        <v>&lt;/li&gt;&lt;li&gt;&lt;a href=|http://apostolic.interlinearbible.org/hosea/6.htm| title=|Apostolic Bible Polyglot Interlinear| target=|_top|&gt;Polyglot&lt;/a&gt;</v>
      </c>
      <c r="X868" t="str">
        <f t="shared" si="3468"/>
        <v>&lt;/li&gt;&lt;li&gt;&lt;a href=|http://interlinearbible.org/hosea/6.htm| title=|Interlinear Bible| target=|_top|&gt;Interlin&lt;/a&gt;</v>
      </c>
      <c r="Y868" t="str">
        <f t="shared" ref="Y868" si="3469">CONCATENATE("&lt;/li&gt;&lt;li&gt;&lt;a href=|http://",Y1191,"/hosea/6.htm","| ","title=|",Y1190,"| target=|_top|&gt;",Y1192,"&lt;/a&gt;")</f>
        <v>&lt;/li&gt;&lt;li&gt;&lt;a href=|http://bibleoutline.org/hosea/6.htm| title=|Outline with People and Places List| target=|_top|&gt;Outline&lt;/a&gt;</v>
      </c>
      <c r="Z868" t="str">
        <f t="shared" si="3468"/>
        <v>&lt;/li&gt;&lt;li&gt;&lt;a href=|http://kjvs.scripturetext.com/hosea/6.htm| title=|King James Bible with Strong's Numbers| target=|_top|&gt;Strong's&lt;/a&gt;</v>
      </c>
      <c r="AA868" t="str">
        <f t="shared" si="3468"/>
        <v>&lt;/li&gt;&lt;li&gt;&lt;a href=|http://childrensbibleonline.com/hosea/6.htm| title=|The Children's Bible| target=|_top|&gt;Children's&lt;/a&gt;</v>
      </c>
      <c r="AB868" s="2" t="str">
        <f t="shared" si="3468"/>
        <v>&lt;/li&gt;&lt;li&gt;&lt;a href=|http://tsk.scripturetext.com/hosea/6.htm| title=|Treasury of Scripture Knowledge| target=|_top|&gt;TSK&lt;/a&gt;</v>
      </c>
      <c r="AC868" t="str">
        <f>CONCATENATE("&lt;a href=|http://",AC1191,"/hosea/6.htm","| ","title=|",AC1190,"| target=|_top|&gt;",AC1192,"&lt;/a&gt;")</f>
        <v>&lt;a href=|http://parallelbible.com/hosea/6.htm| title=|Parallel Chapters| target=|_top|&gt;PAR&lt;/a&gt;</v>
      </c>
      <c r="AD868" s="2" t="str">
        <f t="shared" ref="AD868:AK868" si="3470">CONCATENATE("&lt;/li&gt;&lt;li&gt;&lt;a href=|http://",AD1191,"/hosea/6.htm","| ","title=|",AD1190,"| target=|_top|&gt;",AD1192,"&lt;/a&gt;")</f>
        <v>&lt;/li&gt;&lt;li&gt;&lt;a href=|http://gsb.biblecommenter.com/hosea/6.htm| title=|Geneva Study Bible| target=|_top|&gt;GSB&lt;/a&gt;</v>
      </c>
      <c r="AE868" s="2" t="str">
        <f t="shared" si="3470"/>
        <v>&lt;/li&gt;&lt;li&gt;&lt;a href=|http://jfb.biblecommenter.com/hosea/6.htm| title=|Jamieson-Fausset-Brown Bible Commentary| target=|_top|&gt;JFB&lt;/a&gt;</v>
      </c>
      <c r="AF868" s="2" t="str">
        <f t="shared" si="3470"/>
        <v>&lt;/li&gt;&lt;li&gt;&lt;a href=|http://kjt.biblecommenter.com/hosea/6.htm| title=|King James Translators' Notes| target=|_top|&gt;KJT&lt;/a&gt;</v>
      </c>
      <c r="AG868" s="2" t="str">
        <f t="shared" si="3470"/>
        <v>&lt;/li&gt;&lt;li&gt;&lt;a href=|http://mhc.biblecommenter.com/hosea/6.htm| title=|Matthew Henry's Concise Commentary| target=|_top|&gt;MHC&lt;/a&gt;</v>
      </c>
      <c r="AH868" s="2" t="str">
        <f t="shared" si="3470"/>
        <v>&lt;/li&gt;&lt;li&gt;&lt;a href=|http://sco.biblecommenter.com/hosea/6.htm| title=|Scofield Reference Notes| target=|_top|&gt;SCO&lt;/a&gt;</v>
      </c>
      <c r="AI868" s="2" t="str">
        <f t="shared" si="3470"/>
        <v>&lt;/li&gt;&lt;li&gt;&lt;a href=|http://wes.biblecommenter.com/hosea/6.htm| title=|Wesley's Notes on the Bible| target=|_top|&gt;WES&lt;/a&gt;</v>
      </c>
      <c r="AJ868" t="str">
        <f t="shared" si="3470"/>
        <v>&lt;/li&gt;&lt;li&gt;&lt;a href=|http://worldebible.com/hosea/6.htm| title=|World English Bible| target=|_top|&gt;WEB&lt;/a&gt;</v>
      </c>
      <c r="AK868" t="str">
        <f t="shared" si="3470"/>
        <v>&lt;/li&gt;&lt;li&gt;&lt;a href=|http://yltbible.com/hosea/6.htm| title=|Young's Literal Translation| target=|_top|&gt;YLT&lt;/a&gt;</v>
      </c>
      <c r="AL868" t="str">
        <f>CONCATENATE("&lt;a href=|http://",AL1191,"/hosea/6.htm","| ","title=|",AL1190,"| target=|_top|&gt;",AL1192,"&lt;/a&gt;")</f>
        <v>&lt;a href=|http://kjv.us/hosea/6.htm| title=|American King James Version| target=|_top|&gt;AKJ&lt;/a&gt;</v>
      </c>
      <c r="AM868" t="str">
        <f t="shared" ref="AM868:AN868" si="3471">CONCATENATE("&lt;/li&gt;&lt;li&gt;&lt;a href=|http://",AM1191,"/hosea/6.htm","| ","title=|",AM1190,"| target=|_top|&gt;",AM1192,"&lt;/a&gt;")</f>
        <v>&lt;/li&gt;&lt;li&gt;&lt;a href=|http://basicenglishbible.com/hosea/6.htm| title=|Bible in Basic English| target=|_top|&gt;BBE&lt;/a&gt;</v>
      </c>
      <c r="AN868" t="str">
        <f t="shared" si="3471"/>
        <v>&lt;/li&gt;&lt;li&gt;&lt;a href=|http://darbybible.com/hosea/6.htm| title=|Darby Bible Translation| target=|_top|&gt;DBY&lt;/a&gt;</v>
      </c>
      <c r="AO86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6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6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68" t="str">
        <f>CONCATENATE("&lt;/li&gt;&lt;li&gt;&lt;a href=|http://",AR1191,"/hosea/6.htm","| ","title=|",AR1190,"| target=|_top|&gt;",AR1192,"&lt;/a&gt;")</f>
        <v>&lt;/li&gt;&lt;li&gt;&lt;a href=|http://websterbible.com/hosea/6.htm| title=|Webster's Bible Translation| target=|_top|&gt;WBS&lt;/a&gt;</v>
      </c>
      <c r="AS86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68" t="str">
        <f>CONCATENATE("&lt;/li&gt;&lt;li&gt;&lt;a href=|http://",AT1191,"/hosea/6-1.htm","| ","title=|",AT1190,"| target=|_top|&gt;",AT1192,"&lt;/a&gt;")</f>
        <v>&lt;/li&gt;&lt;li&gt;&lt;a href=|http://biblebrowser.com/hosea/6-1.htm| title=|Split View| target=|_top|&gt;Split&lt;/a&gt;</v>
      </c>
      <c r="AU868" s="2" t="s">
        <v>1276</v>
      </c>
      <c r="AV868" t="s">
        <v>64</v>
      </c>
    </row>
    <row r="869" spans="1:48">
      <c r="A869" t="s">
        <v>622</v>
      </c>
      <c r="B869" t="s">
        <v>910</v>
      </c>
      <c r="C869" t="s">
        <v>624</v>
      </c>
      <c r="D869" t="s">
        <v>1268</v>
      </c>
      <c r="E869" t="s">
        <v>1277</v>
      </c>
      <c r="F869" t="s">
        <v>1304</v>
      </c>
      <c r="G869" t="s">
        <v>1266</v>
      </c>
      <c r="H869" t="s">
        <v>1305</v>
      </c>
      <c r="I869" t="s">
        <v>1303</v>
      </c>
      <c r="J869" t="s">
        <v>1267</v>
      </c>
      <c r="K869" t="s">
        <v>1275</v>
      </c>
      <c r="L869" s="2" t="s">
        <v>1274</v>
      </c>
      <c r="M869" t="str">
        <f t="shared" ref="M869:AB869" si="3472">CONCATENATE("&lt;/li&gt;&lt;li&gt;&lt;a href=|http://",M1191,"/hosea/7.htm","| ","title=|",M1190,"| target=|_top|&gt;",M1192,"&lt;/a&gt;")</f>
        <v>&lt;/li&gt;&lt;li&gt;&lt;a href=|http://niv.scripturetext.com/hosea/7.htm| title=|New International Version| target=|_top|&gt;NIV&lt;/a&gt;</v>
      </c>
      <c r="N869" t="str">
        <f t="shared" si="3472"/>
        <v>&lt;/li&gt;&lt;li&gt;&lt;a href=|http://nlt.scripturetext.com/hosea/7.htm| title=|New Living Translation| target=|_top|&gt;NLT&lt;/a&gt;</v>
      </c>
      <c r="O869" t="str">
        <f t="shared" si="3472"/>
        <v>&lt;/li&gt;&lt;li&gt;&lt;a href=|http://nasb.scripturetext.com/hosea/7.htm| title=|New American Standard Bible| target=|_top|&gt;NAS&lt;/a&gt;</v>
      </c>
      <c r="P869" t="str">
        <f t="shared" si="3472"/>
        <v>&lt;/li&gt;&lt;li&gt;&lt;a href=|http://gwt.scripturetext.com/hosea/7.htm| title=|God's Word Translation| target=|_top|&gt;GWT&lt;/a&gt;</v>
      </c>
      <c r="Q869" t="str">
        <f t="shared" si="3472"/>
        <v>&lt;/li&gt;&lt;li&gt;&lt;a href=|http://kingjbible.com/hosea/7.htm| title=|King James Bible| target=|_top|&gt;KJV&lt;/a&gt;</v>
      </c>
      <c r="R869" t="str">
        <f t="shared" si="3472"/>
        <v>&lt;/li&gt;&lt;li&gt;&lt;a href=|http://asvbible.com/hosea/7.htm| title=|American Standard Version| target=|_top|&gt;ASV&lt;/a&gt;</v>
      </c>
      <c r="S869" t="str">
        <f t="shared" si="3472"/>
        <v>&lt;/li&gt;&lt;li&gt;&lt;a href=|http://drb.scripturetext.com/hosea/7.htm| title=|Douay-Rheims Bible| target=|_top|&gt;DRB&lt;/a&gt;</v>
      </c>
      <c r="T869" t="str">
        <f t="shared" si="3472"/>
        <v>&lt;/li&gt;&lt;li&gt;&lt;a href=|http://erv.scripturetext.com/hosea/7.htm| title=|English Revised Version| target=|_top|&gt;ERV&lt;/a&gt;</v>
      </c>
      <c r="V869" t="str">
        <f>CONCATENATE("&lt;/li&gt;&lt;li&gt;&lt;a href=|http://",V1191,"/hosea/7.htm","| ","title=|",V1190,"| target=|_top|&gt;",V1192,"&lt;/a&gt;")</f>
        <v>&lt;/li&gt;&lt;li&gt;&lt;a href=|http://study.interlinearbible.org/hosea/7.htm| title=|Hebrew Study Bible| target=|_top|&gt;Heb Study&lt;/a&gt;</v>
      </c>
      <c r="W869" t="str">
        <f t="shared" si="3472"/>
        <v>&lt;/li&gt;&lt;li&gt;&lt;a href=|http://apostolic.interlinearbible.org/hosea/7.htm| title=|Apostolic Bible Polyglot Interlinear| target=|_top|&gt;Polyglot&lt;/a&gt;</v>
      </c>
      <c r="X869" t="str">
        <f t="shared" si="3472"/>
        <v>&lt;/li&gt;&lt;li&gt;&lt;a href=|http://interlinearbible.org/hosea/7.htm| title=|Interlinear Bible| target=|_top|&gt;Interlin&lt;/a&gt;</v>
      </c>
      <c r="Y869" t="str">
        <f t="shared" ref="Y869" si="3473">CONCATENATE("&lt;/li&gt;&lt;li&gt;&lt;a href=|http://",Y1191,"/hosea/7.htm","| ","title=|",Y1190,"| target=|_top|&gt;",Y1192,"&lt;/a&gt;")</f>
        <v>&lt;/li&gt;&lt;li&gt;&lt;a href=|http://bibleoutline.org/hosea/7.htm| title=|Outline with People and Places List| target=|_top|&gt;Outline&lt;/a&gt;</v>
      </c>
      <c r="Z869" t="str">
        <f t="shared" si="3472"/>
        <v>&lt;/li&gt;&lt;li&gt;&lt;a href=|http://kjvs.scripturetext.com/hosea/7.htm| title=|King James Bible with Strong's Numbers| target=|_top|&gt;Strong's&lt;/a&gt;</v>
      </c>
      <c r="AA869" t="str">
        <f t="shared" si="3472"/>
        <v>&lt;/li&gt;&lt;li&gt;&lt;a href=|http://childrensbibleonline.com/hosea/7.htm| title=|The Children's Bible| target=|_top|&gt;Children's&lt;/a&gt;</v>
      </c>
      <c r="AB869" s="2" t="str">
        <f t="shared" si="3472"/>
        <v>&lt;/li&gt;&lt;li&gt;&lt;a href=|http://tsk.scripturetext.com/hosea/7.htm| title=|Treasury of Scripture Knowledge| target=|_top|&gt;TSK&lt;/a&gt;</v>
      </c>
      <c r="AC869" t="str">
        <f>CONCATENATE("&lt;a href=|http://",AC1191,"/hosea/7.htm","| ","title=|",AC1190,"| target=|_top|&gt;",AC1192,"&lt;/a&gt;")</f>
        <v>&lt;a href=|http://parallelbible.com/hosea/7.htm| title=|Parallel Chapters| target=|_top|&gt;PAR&lt;/a&gt;</v>
      </c>
      <c r="AD869" s="2" t="str">
        <f t="shared" ref="AD869:AK869" si="3474">CONCATENATE("&lt;/li&gt;&lt;li&gt;&lt;a href=|http://",AD1191,"/hosea/7.htm","| ","title=|",AD1190,"| target=|_top|&gt;",AD1192,"&lt;/a&gt;")</f>
        <v>&lt;/li&gt;&lt;li&gt;&lt;a href=|http://gsb.biblecommenter.com/hosea/7.htm| title=|Geneva Study Bible| target=|_top|&gt;GSB&lt;/a&gt;</v>
      </c>
      <c r="AE869" s="2" t="str">
        <f t="shared" si="3474"/>
        <v>&lt;/li&gt;&lt;li&gt;&lt;a href=|http://jfb.biblecommenter.com/hosea/7.htm| title=|Jamieson-Fausset-Brown Bible Commentary| target=|_top|&gt;JFB&lt;/a&gt;</v>
      </c>
      <c r="AF869" s="2" t="str">
        <f t="shared" si="3474"/>
        <v>&lt;/li&gt;&lt;li&gt;&lt;a href=|http://kjt.biblecommenter.com/hosea/7.htm| title=|King James Translators' Notes| target=|_top|&gt;KJT&lt;/a&gt;</v>
      </c>
      <c r="AG869" s="2" t="str">
        <f t="shared" si="3474"/>
        <v>&lt;/li&gt;&lt;li&gt;&lt;a href=|http://mhc.biblecommenter.com/hosea/7.htm| title=|Matthew Henry's Concise Commentary| target=|_top|&gt;MHC&lt;/a&gt;</v>
      </c>
      <c r="AH869" s="2" t="str">
        <f t="shared" si="3474"/>
        <v>&lt;/li&gt;&lt;li&gt;&lt;a href=|http://sco.biblecommenter.com/hosea/7.htm| title=|Scofield Reference Notes| target=|_top|&gt;SCO&lt;/a&gt;</v>
      </c>
      <c r="AI869" s="2" t="str">
        <f t="shared" si="3474"/>
        <v>&lt;/li&gt;&lt;li&gt;&lt;a href=|http://wes.biblecommenter.com/hosea/7.htm| title=|Wesley's Notes on the Bible| target=|_top|&gt;WES&lt;/a&gt;</v>
      </c>
      <c r="AJ869" t="str">
        <f t="shared" si="3474"/>
        <v>&lt;/li&gt;&lt;li&gt;&lt;a href=|http://worldebible.com/hosea/7.htm| title=|World English Bible| target=|_top|&gt;WEB&lt;/a&gt;</v>
      </c>
      <c r="AK869" t="str">
        <f t="shared" si="3474"/>
        <v>&lt;/li&gt;&lt;li&gt;&lt;a href=|http://yltbible.com/hosea/7.htm| title=|Young's Literal Translation| target=|_top|&gt;YLT&lt;/a&gt;</v>
      </c>
      <c r="AL869" t="str">
        <f>CONCATENATE("&lt;a href=|http://",AL1191,"/hosea/7.htm","| ","title=|",AL1190,"| target=|_top|&gt;",AL1192,"&lt;/a&gt;")</f>
        <v>&lt;a href=|http://kjv.us/hosea/7.htm| title=|American King James Version| target=|_top|&gt;AKJ&lt;/a&gt;</v>
      </c>
      <c r="AM869" t="str">
        <f t="shared" ref="AM869:AN869" si="3475">CONCATENATE("&lt;/li&gt;&lt;li&gt;&lt;a href=|http://",AM1191,"/hosea/7.htm","| ","title=|",AM1190,"| target=|_top|&gt;",AM1192,"&lt;/a&gt;")</f>
        <v>&lt;/li&gt;&lt;li&gt;&lt;a href=|http://basicenglishbible.com/hosea/7.htm| title=|Bible in Basic English| target=|_top|&gt;BBE&lt;/a&gt;</v>
      </c>
      <c r="AN869" t="str">
        <f t="shared" si="3475"/>
        <v>&lt;/li&gt;&lt;li&gt;&lt;a href=|http://darbybible.com/hosea/7.htm| title=|Darby Bible Translation| target=|_top|&gt;DBY&lt;/a&gt;</v>
      </c>
      <c r="AO86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6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6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69" t="str">
        <f>CONCATENATE("&lt;/li&gt;&lt;li&gt;&lt;a href=|http://",AR1191,"/hosea/7.htm","| ","title=|",AR1190,"| target=|_top|&gt;",AR1192,"&lt;/a&gt;")</f>
        <v>&lt;/li&gt;&lt;li&gt;&lt;a href=|http://websterbible.com/hosea/7.htm| title=|Webster's Bible Translation| target=|_top|&gt;WBS&lt;/a&gt;</v>
      </c>
      <c r="AS86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69" t="str">
        <f>CONCATENATE("&lt;/li&gt;&lt;li&gt;&lt;a href=|http://",AT1191,"/hosea/7-1.htm","| ","title=|",AT1190,"| target=|_top|&gt;",AT1192,"&lt;/a&gt;")</f>
        <v>&lt;/li&gt;&lt;li&gt;&lt;a href=|http://biblebrowser.com/hosea/7-1.htm| title=|Split View| target=|_top|&gt;Split&lt;/a&gt;</v>
      </c>
      <c r="AU869" s="2" t="s">
        <v>1276</v>
      </c>
      <c r="AV869" t="s">
        <v>64</v>
      </c>
    </row>
    <row r="870" spans="1:48">
      <c r="A870" t="s">
        <v>622</v>
      </c>
      <c r="B870" t="s">
        <v>911</v>
      </c>
      <c r="C870" t="s">
        <v>624</v>
      </c>
      <c r="D870" t="s">
        <v>1268</v>
      </c>
      <c r="E870" t="s">
        <v>1277</v>
      </c>
      <c r="F870" t="s">
        <v>1304</v>
      </c>
      <c r="G870" t="s">
        <v>1266</v>
      </c>
      <c r="H870" t="s">
        <v>1305</v>
      </c>
      <c r="I870" t="s">
        <v>1303</v>
      </c>
      <c r="J870" t="s">
        <v>1267</v>
      </c>
      <c r="K870" t="s">
        <v>1275</v>
      </c>
      <c r="L870" s="2" t="s">
        <v>1274</v>
      </c>
      <c r="M870" t="str">
        <f t="shared" ref="M870:AB870" si="3476">CONCATENATE("&lt;/li&gt;&lt;li&gt;&lt;a href=|http://",M1191,"/hosea/8.htm","| ","title=|",M1190,"| target=|_top|&gt;",M1192,"&lt;/a&gt;")</f>
        <v>&lt;/li&gt;&lt;li&gt;&lt;a href=|http://niv.scripturetext.com/hosea/8.htm| title=|New International Version| target=|_top|&gt;NIV&lt;/a&gt;</v>
      </c>
      <c r="N870" t="str">
        <f t="shared" si="3476"/>
        <v>&lt;/li&gt;&lt;li&gt;&lt;a href=|http://nlt.scripturetext.com/hosea/8.htm| title=|New Living Translation| target=|_top|&gt;NLT&lt;/a&gt;</v>
      </c>
      <c r="O870" t="str">
        <f t="shared" si="3476"/>
        <v>&lt;/li&gt;&lt;li&gt;&lt;a href=|http://nasb.scripturetext.com/hosea/8.htm| title=|New American Standard Bible| target=|_top|&gt;NAS&lt;/a&gt;</v>
      </c>
      <c r="P870" t="str">
        <f t="shared" si="3476"/>
        <v>&lt;/li&gt;&lt;li&gt;&lt;a href=|http://gwt.scripturetext.com/hosea/8.htm| title=|God's Word Translation| target=|_top|&gt;GWT&lt;/a&gt;</v>
      </c>
      <c r="Q870" t="str">
        <f t="shared" si="3476"/>
        <v>&lt;/li&gt;&lt;li&gt;&lt;a href=|http://kingjbible.com/hosea/8.htm| title=|King James Bible| target=|_top|&gt;KJV&lt;/a&gt;</v>
      </c>
      <c r="R870" t="str">
        <f t="shared" si="3476"/>
        <v>&lt;/li&gt;&lt;li&gt;&lt;a href=|http://asvbible.com/hosea/8.htm| title=|American Standard Version| target=|_top|&gt;ASV&lt;/a&gt;</v>
      </c>
      <c r="S870" t="str">
        <f t="shared" si="3476"/>
        <v>&lt;/li&gt;&lt;li&gt;&lt;a href=|http://drb.scripturetext.com/hosea/8.htm| title=|Douay-Rheims Bible| target=|_top|&gt;DRB&lt;/a&gt;</v>
      </c>
      <c r="T870" t="str">
        <f t="shared" si="3476"/>
        <v>&lt;/li&gt;&lt;li&gt;&lt;a href=|http://erv.scripturetext.com/hosea/8.htm| title=|English Revised Version| target=|_top|&gt;ERV&lt;/a&gt;</v>
      </c>
      <c r="V870" t="str">
        <f>CONCATENATE("&lt;/li&gt;&lt;li&gt;&lt;a href=|http://",V1191,"/hosea/8.htm","| ","title=|",V1190,"| target=|_top|&gt;",V1192,"&lt;/a&gt;")</f>
        <v>&lt;/li&gt;&lt;li&gt;&lt;a href=|http://study.interlinearbible.org/hosea/8.htm| title=|Hebrew Study Bible| target=|_top|&gt;Heb Study&lt;/a&gt;</v>
      </c>
      <c r="W870" t="str">
        <f t="shared" si="3476"/>
        <v>&lt;/li&gt;&lt;li&gt;&lt;a href=|http://apostolic.interlinearbible.org/hosea/8.htm| title=|Apostolic Bible Polyglot Interlinear| target=|_top|&gt;Polyglot&lt;/a&gt;</v>
      </c>
      <c r="X870" t="str">
        <f t="shared" si="3476"/>
        <v>&lt;/li&gt;&lt;li&gt;&lt;a href=|http://interlinearbible.org/hosea/8.htm| title=|Interlinear Bible| target=|_top|&gt;Interlin&lt;/a&gt;</v>
      </c>
      <c r="Y870" t="str">
        <f t="shared" ref="Y870" si="3477">CONCATENATE("&lt;/li&gt;&lt;li&gt;&lt;a href=|http://",Y1191,"/hosea/8.htm","| ","title=|",Y1190,"| target=|_top|&gt;",Y1192,"&lt;/a&gt;")</f>
        <v>&lt;/li&gt;&lt;li&gt;&lt;a href=|http://bibleoutline.org/hosea/8.htm| title=|Outline with People and Places List| target=|_top|&gt;Outline&lt;/a&gt;</v>
      </c>
      <c r="Z870" t="str">
        <f t="shared" si="3476"/>
        <v>&lt;/li&gt;&lt;li&gt;&lt;a href=|http://kjvs.scripturetext.com/hosea/8.htm| title=|King James Bible with Strong's Numbers| target=|_top|&gt;Strong's&lt;/a&gt;</v>
      </c>
      <c r="AA870" t="str">
        <f t="shared" si="3476"/>
        <v>&lt;/li&gt;&lt;li&gt;&lt;a href=|http://childrensbibleonline.com/hosea/8.htm| title=|The Children's Bible| target=|_top|&gt;Children's&lt;/a&gt;</v>
      </c>
      <c r="AB870" s="2" t="str">
        <f t="shared" si="3476"/>
        <v>&lt;/li&gt;&lt;li&gt;&lt;a href=|http://tsk.scripturetext.com/hosea/8.htm| title=|Treasury of Scripture Knowledge| target=|_top|&gt;TSK&lt;/a&gt;</v>
      </c>
      <c r="AC870" t="str">
        <f>CONCATENATE("&lt;a href=|http://",AC1191,"/hosea/8.htm","| ","title=|",AC1190,"| target=|_top|&gt;",AC1192,"&lt;/a&gt;")</f>
        <v>&lt;a href=|http://parallelbible.com/hosea/8.htm| title=|Parallel Chapters| target=|_top|&gt;PAR&lt;/a&gt;</v>
      </c>
      <c r="AD870" s="2" t="str">
        <f t="shared" ref="AD870:AK870" si="3478">CONCATENATE("&lt;/li&gt;&lt;li&gt;&lt;a href=|http://",AD1191,"/hosea/8.htm","| ","title=|",AD1190,"| target=|_top|&gt;",AD1192,"&lt;/a&gt;")</f>
        <v>&lt;/li&gt;&lt;li&gt;&lt;a href=|http://gsb.biblecommenter.com/hosea/8.htm| title=|Geneva Study Bible| target=|_top|&gt;GSB&lt;/a&gt;</v>
      </c>
      <c r="AE870" s="2" t="str">
        <f t="shared" si="3478"/>
        <v>&lt;/li&gt;&lt;li&gt;&lt;a href=|http://jfb.biblecommenter.com/hosea/8.htm| title=|Jamieson-Fausset-Brown Bible Commentary| target=|_top|&gt;JFB&lt;/a&gt;</v>
      </c>
      <c r="AF870" s="2" t="str">
        <f t="shared" si="3478"/>
        <v>&lt;/li&gt;&lt;li&gt;&lt;a href=|http://kjt.biblecommenter.com/hosea/8.htm| title=|King James Translators' Notes| target=|_top|&gt;KJT&lt;/a&gt;</v>
      </c>
      <c r="AG870" s="2" t="str">
        <f t="shared" si="3478"/>
        <v>&lt;/li&gt;&lt;li&gt;&lt;a href=|http://mhc.biblecommenter.com/hosea/8.htm| title=|Matthew Henry's Concise Commentary| target=|_top|&gt;MHC&lt;/a&gt;</v>
      </c>
      <c r="AH870" s="2" t="str">
        <f t="shared" si="3478"/>
        <v>&lt;/li&gt;&lt;li&gt;&lt;a href=|http://sco.biblecommenter.com/hosea/8.htm| title=|Scofield Reference Notes| target=|_top|&gt;SCO&lt;/a&gt;</v>
      </c>
      <c r="AI870" s="2" t="str">
        <f t="shared" si="3478"/>
        <v>&lt;/li&gt;&lt;li&gt;&lt;a href=|http://wes.biblecommenter.com/hosea/8.htm| title=|Wesley's Notes on the Bible| target=|_top|&gt;WES&lt;/a&gt;</v>
      </c>
      <c r="AJ870" t="str">
        <f t="shared" si="3478"/>
        <v>&lt;/li&gt;&lt;li&gt;&lt;a href=|http://worldebible.com/hosea/8.htm| title=|World English Bible| target=|_top|&gt;WEB&lt;/a&gt;</v>
      </c>
      <c r="AK870" t="str">
        <f t="shared" si="3478"/>
        <v>&lt;/li&gt;&lt;li&gt;&lt;a href=|http://yltbible.com/hosea/8.htm| title=|Young's Literal Translation| target=|_top|&gt;YLT&lt;/a&gt;</v>
      </c>
      <c r="AL870" t="str">
        <f>CONCATENATE("&lt;a href=|http://",AL1191,"/hosea/8.htm","| ","title=|",AL1190,"| target=|_top|&gt;",AL1192,"&lt;/a&gt;")</f>
        <v>&lt;a href=|http://kjv.us/hosea/8.htm| title=|American King James Version| target=|_top|&gt;AKJ&lt;/a&gt;</v>
      </c>
      <c r="AM870" t="str">
        <f t="shared" ref="AM870:AN870" si="3479">CONCATENATE("&lt;/li&gt;&lt;li&gt;&lt;a href=|http://",AM1191,"/hosea/8.htm","| ","title=|",AM1190,"| target=|_top|&gt;",AM1192,"&lt;/a&gt;")</f>
        <v>&lt;/li&gt;&lt;li&gt;&lt;a href=|http://basicenglishbible.com/hosea/8.htm| title=|Bible in Basic English| target=|_top|&gt;BBE&lt;/a&gt;</v>
      </c>
      <c r="AN870" t="str">
        <f t="shared" si="3479"/>
        <v>&lt;/li&gt;&lt;li&gt;&lt;a href=|http://darbybible.com/hosea/8.htm| title=|Darby Bible Translation| target=|_top|&gt;DBY&lt;/a&gt;</v>
      </c>
      <c r="AO87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7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7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70" t="str">
        <f>CONCATENATE("&lt;/li&gt;&lt;li&gt;&lt;a href=|http://",AR1191,"/hosea/8.htm","| ","title=|",AR1190,"| target=|_top|&gt;",AR1192,"&lt;/a&gt;")</f>
        <v>&lt;/li&gt;&lt;li&gt;&lt;a href=|http://websterbible.com/hosea/8.htm| title=|Webster's Bible Translation| target=|_top|&gt;WBS&lt;/a&gt;</v>
      </c>
      <c r="AS87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70" t="str">
        <f>CONCATENATE("&lt;/li&gt;&lt;li&gt;&lt;a href=|http://",AT1191,"/hosea/8-1.htm","| ","title=|",AT1190,"| target=|_top|&gt;",AT1192,"&lt;/a&gt;")</f>
        <v>&lt;/li&gt;&lt;li&gt;&lt;a href=|http://biblebrowser.com/hosea/8-1.htm| title=|Split View| target=|_top|&gt;Split&lt;/a&gt;</v>
      </c>
      <c r="AU870" s="2" t="s">
        <v>1276</v>
      </c>
      <c r="AV870" t="s">
        <v>64</v>
      </c>
    </row>
    <row r="871" spans="1:48">
      <c r="A871" t="s">
        <v>622</v>
      </c>
      <c r="B871" t="s">
        <v>912</v>
      </c>
      <c r="C871" t="s">
        <v>624</v>
      </c>
      <c r="D871" t="s">
        <v>1268</v>
      </c>
      <c r="E871" t="s">
        <v>1277</v>
      </c>
      <c r="F871" t="s">
        <v>1304</v>
      </c>
      <c r="G871" t="s">
        <v>1266</v>
      </c>
      <c r="H871" t="s">
        <v>1305</v>
      </c>
      <c r="I871" t="s">
        <v>1303</v>
      </c>
      <c r="J871" t="s">
        <v>1267</v>
      </c>
      <c r="K871" t="s">
        <v>1275</v>
      </c>
      <c r="L871" s="2" t="s">
        <v>1274</v>
      </c>
      <c r="M871" t="str">
        <f t="shared" ref="M871:AB871" si="3480">CONCATENATE("&lt;/li&gt;&lt;li&gt;&lt;a href=|http://",M1191,"/hosea/9.htm","| ","title=|",M1190,"| target=|_top|&gt;",M1192,"&lt;/a&gt;")</f>
        <v>&lt;/li&gt;&lt;li&gt;&lt;a href=|http://niv.scripturetext.com/hosea/9.htm| title=|New International Version| target=|_top|&gt;NIV&lt;/a&gt;</v>
      </c>
      <c r="N871" t="str">
        <f t="shared" si="3480"/>
        <v>&lt;/li&gt;&lt;li&gt;&lt;a href=|http://nlt.scripturetext.com/hosea/9.htm| title=|New Living Translation| target=|_top|&gt;NLT&lt;/a&gt;</v>
      </c>
      <c r="O871" t="str">
        <f t="shared" si="3480"/>
        <v>&lt;/li&gt;&lt;li&gt;&lt;a href=|http://nasb.scripturetext.com/hosea/9.htm| title=|New American Standard Bible| target=|_top|&gt;NAS&lt;/a&gt;</v>
      </c>
      <c r="P871" t="str">
        <f t="shared" si="3480"/>
        <v>&lt;/li&gt;&lt;li&gt;&lt;a href=|http://gwt.scripturetext.com/hosea/9.htm| title=|God's Word Translation| target=|_top|&gt;GWT&lt;/a&gt;</v>
      </c>
      <c r="Q871" t="str">
        <f t="shared" si="3480"/>
        <v>&lt;/li&gt;&lt;li&gt;&lt;a href=|http://kingjbible.com/hosea/9.htm| title=|King James Bible| target=|_top|&gt;KJV&lt;/a&gt;</v>
      </c>
      <c r="R871" t="str">
        <f t="shared" si="3480"/>
        <v>&lt;/li&gt;&lt;li&gt;&lt;a href=|http://asvbible.com/hosea/9.htm| title=|American Standard Version| target=|_top|&gt;ASV&lt;/a&gt;</v>
      </c>
      <c r="S871" t="str">
        <f t="shared" si="3480"/>
        <v>&lt;/li&gt;&lt;li&gt;&lt;a href=|http://drb.scripturetext.com/hosea/9.htm| title=|Douay-Rheims Bible| target=|_top|&gt;DRB&lt;/a&gt;</v>
      </c>
      <c r="T871" t="str">
        <f t="shared" si="3480"/>
        <v>&lt;/li&gt;&lt;li&gt;&lt;a href=|http://erv.scripturetext.com/hosea/9.htm| title=|English Revised Version| target=|_top|&gt;ERV&lt;/a&gt;</v>
      </c>
      <c r="V871" t="str">
        <f>CONCATENATE("&lt;/li&gt;&lt;li&gt;&lt;a href=|http://",V1191,"/hosea/9.htm","| ","title=|",V1190,"| target=|_top|&gt;",V1192,"&lt;/a&gt;")</f>
        <v>&lt;/li&gt;&lt;li&gt;&lt;a href=|http://study.interlinearbible.org/hosea/9.htm| title=|Hebrew Study Bible| target=|_top|&gt;Heb Study&lt;/a&gt;</v>
      </c>
      <c r="W871" t="str">
        <f t="shared" si="3480"/>
        <v>&lt;/li&gt;&lt;li&gt;&lt;a href=|http://apostolic.interlinearbible.org/hosea/9.htm| title=|Apostolic Bible Polyglot Interlinear| target=|_top|&gt;Polyglot&lt;/a&gt;</v>
      </c>
      <c r="X871" t="str">
        <f t="shared" si="3480"/>
        <v>&lt;/li&gt;&lt;li&gt;&lt;a href=|http://interlinearbible.org/hosea/9.htm| title=|Interlinear Bible| target=|_top|&gt;Interlin&lt;/a&gt;</v>
      </c>
      <c r="Y871" t="str">
        <f t="shared" ref="Y871" si="3481">CONCATENATE("&lt;/li&gt;&lt;li&gt;&lt;a href=|http://",Y1191,"/hosea/9.htm","| ","title=|",Y1190,"| target=|_top|&gt;",Y1192,"&lt;/a&gt;")</f>
        <v>&lt;/li&gt;&lt;li&gt;&lt;a href=|http://bibleoutline.org/hosea/9.htm| title=|Outline with People and Places List| target=|_top|&gt;Outline&lt;/a&gt;</v>
      </c>
      <c r="Z871" t="str">
        <f t="shared" si="3480"/>
        <v>&lt;/li&gt;&lt;li&gt;&lt;a href=|http://kjvs.scripturetext.com/hosea/9.htm| title=|King James Bible with Strong's Numbers| target=|_top|&gt;Strong's&lt;/a&gt;</v>
      </c>
      <c r="AA871" t="str">
        <f t="shared" si="3480"/>
        <v>&lt;/li&gt;&lt;li&gt;&lt;a href=|http://childrensbibleonline.com/hosea/9.htm| title=|The Children's Bible| target=|_top|&gt;Children's&lt;/a&gt;</v>
      </c>
      <c r="AB871" s="2" t="str">
        <f t="shared" si="3480"/>
        <v>&lt;/li&gt;&lt;li&gt;&lt;a href=|http://tsk.scripturetext.com/hosea/9.htm| title=|Treasury of Scripture Knowledge| target=|_top|&gt;TSK&lt;/a&gt;</v>
      </c>
      <c r="AC871" t="str">
        <f>CONCATENATE("&lt;a href=|http://",AC1191,"/hosea/9.htm","| ","title=|",AC1190,"| target=|_top|&gt;",AC1192,"&lt;/a&gt;")</f>
        <v>&lt;a href=|http://parallelbible.com/hosea/9.htm| title=|Parallel Chapters| target=|_top|&gt;PAR&lt;/a&gt;</v>
      </c>
      <c r="AD871" s="2" t="str">
        <f t="shared" ref="AD871:AK871" si="3482">CONCATENATE("&lt;/li&gt;&lt;li&gt;&lt;a href=|http://",AD1191,"/hosea/9.htm","| ","title=|",AD1190,"| target=|_top|&gt;",AD1192,"&lt;/a&gt;")</f>
        <v>&lt;/li&gt;&lt;li&gt;&lt;a href=|http://gsb.biblecommenter.com/hosea/9.htm| title=|Geneva Study Bible| target=|_top|&gt;GSB&lt;/a&gt;</v>
      </c>
      <c r="AE871" s="2" t="str">
        <f t="shared" si="3482"/>
        <v>&lt;/li&gt;&lt;li&gt;&lt;a href=|http://jfb.biblecommenter.com/hosea/9.htm| title=|Jamieson-Fausset-Brown Bible Commentary| target=|_top|&gt;JFB&lt;/a&gt;</v>
      </c>
      <c r="AF871" s="2" t="str">
        <f t="shared" si="3482"/>
        <v>&lt;/li&gt;&lt;li&gt;&lt;a href=|http://kjt.biblecommenter.com/hosea/9.htm| title=|King James Translators' Notes| target=|_top|&gt;KJT&lt;/a&gt;</v>
      </c>
      <c r="AG871" s="2" t="str">
        <f t="shared" si="3482"/>
        <v>&lt;/li&gt;&lt;li&gt;&lt;a href=|http://mhc.biblecommenter.com/hosea/9.htm| title=|Matthew Henry's Concise Commentary| target=|_top|&gt;MHC&lt;/a&gt;</v>
      </c>
      <c r="AH871" s="2" t="str">
        <f t="shared" si="3482"/>
        <v>&lt;/li&gt;&lt;li&gt;&lt;a href=|http://sco.biblecommenter.com/hosea/9.htm| title=|Scofield Reference Notes| target=|_top|&gt;SCO&lt;/a&gt;</v>
      </c>
      <c r="AI871" s="2" t="str">
        <f t="shared" si="3482"/>
        <v>&lt;/li&gt;&lt;li&gt;&lt;a href=|http://wes.biblecommenter.com/hosea/9.htm| title=|Wesley's Notes on the Bible| target=|_top|&gt;WES&lt;/a&gt;</v>
      </c>
      <c r="AJ871" t="str">
        <f t="shared" si="3482"/>
        <v>&lt;/li&gt;&lt;li&gt;&lt;a href=|http://worldebible.com/hosea/9.htm| title=|World English Bible| target=|_top|&gt;WEB&lt;/a&gt;</v>
      </c>
      <c r="AK871" t="str">
        <f t="shared" si="3482"/>
        <v>&lt;/li&gt;&lt;li&gt;&lt;a href=|http://yltbible.com/hosea/9.htm| title=|Young's Literal Translation| target=|_top|&gt;YLT&lt;/a&gt;</v>
      </c>
      <c r="AL871" t="str">
        <f>CONCATENATE("&lt;a href=|http://",AL1191,"/hosea/9.htm","| ","title=|",AL1190,"| target=|_top|&gt;",AL1192,"&lt;/a&gt;")</f>
        <v>&lt;a href=|http://kjv.us/hosea/9.htm| title=|American King James Version| target=|_top|&gt;AKJ&lt;/a&gt;</v>
      </c>
      <c r="AM871" t="str">
        <f t="shared" ref="AM871:AN871" si="3483">CONCATENATE("&lt;/li&gt;&lt;li&gt;&lt;a href=|http://",AM1191,"/hosea/9.htm","| ","title=|",AM1190,"| target=|_top|&gt;",AM1192,"&lt;/a&gt;")</f>
        <v>&lt;/li&gt;&lt;li&gt;&lt;a href=|http://basicenglishbible.com/hosea/9.htm| title=|Bible in Basic English| target=|_top|&gt;BBE&lt;/a&gt;</v>
      </c>
      <c r="AN871" t="str">
        <f t="shared" si="3483"/>
        <v>&lt;/li&gt;&lt;li&gt;&lt;a href=|http://darbybible.com/hosea/9.htm| title=|Darby Bible Translation| target=|_top|&gt;DBY&lt;/a&gt;</v>
      </c>
      <c r="AO87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7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7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71" t="str">
        <f>CONCATENATE("&lt;/li&gt;&lt;li&gt;&lt;a href=|http://",AR1191,"/hosea/9.htm","| ","title=|",AR1190,"| target=|_top|&gt;",AR1192,"&lt;/a&gt;")</f>
        <v>&lt;/li&gt;&lt;li&gt;&lt;a href=|http://websterbible.com/hosea/9.htm| title=|Webster's Bible Translation| target=|_top|&gt;WBS&lt;/a&gt;</v>
      </c>
      <c r="AS87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71" t="str">
        <f>CONCATENATE("&lt;/li&gt;&lt;li&gt;&lt;a href=|http://",AT1191,"/hosea/9-1.htm","| ","title=|",AT1190,"| target=|_top|&gt;",AT1192,"&lt;/a&gt;")</f>
        <v>&lt;/li&gt;&lt;li&gt;&lt;a href=|http://biblebrowser.com/hosea/9-1.htm| title=|Split View| target=|_top|&gt;Split&lt;/a&gt;</v>
      </c>
      <c r="AU871" s="2" t="s">
        <v>1276</v>
      </c>
      <c r="AV871" t="s">
        <v>64</v>
      </c>
    </row>
    <row r="872" spans="1:48">
      <c r="A872" t="s">
        <v>622</v>
      </c>
      <c r="B872" t="s">
        <v>913</v>
      </c>
      <c r="C872" t="s">
        <v>624</v>
      </c>
      <c r="D872" t="s">
        <v>1268</v>
      </c>
      <c r="E872" t="s">
        <v>1277</v>
      </c>
      <c r="F872" t="s">
        <v>1304</v>
      </c>
      <c r="G872" t="s">
        <v>1266</v>
      </c>
      <c r="H872" t="s">
        <v>1305</v>
      </c>
      <c r="I872" t="s">
        <v>1303</v>
      </c>
      <c r="J872" t="s">
        <v>1267</v>
      </c>
      <c r="K872" t="s">
        <v>1275</v>
      </c>
      <c r="L872" s="2" t="s">
        <v>1274</v>
      </c>
      <c r="M872" t="str">
        <f t="shared" ref="M872:AB872" si="3484">CONCATENATE("&lt;/li&gt;&lt;li&gt;&lt;a href=|http://",M1191,"/hosea/10.htm","| ","title=|",M1190,"| target=|_top|&gt;",M1192,"&lt;/a&gt;")</f>
        <v>&lt;/li&gt;&lt;li&gt;&lt;a href=|http://niv.scripturetext.com/hosea/10.htm| title=|New International Version| target=|_top|&gt;NIV&lt;/a&gt;</v>
      </c>
      <c r="N872" t="str">
        <f t="shared" si="3484"/>
        <v>&lt;/li&gt;&lt;li&gt;&lt;a href=|http://nlt.scripturetext.com/hosea/10.htm| title=|New Living Translation| target=|_top|&gt;NLT&lt;/a&gt;</v>
      </c>
      <c r="O872" t="str">
        <f t="shared" si="3484"/>
        <v>&lt;/li&gt;&lt;li&gt;&lt;a href=|http://nasb.scripturetext.com/hosea/10.htm| title=|New American Standard Bible| target=|_top|&gt;NAS&lt;/a&gt;</v>
      </c>
      <c r="P872" t="str">
        <f t="shared" si="3484"/>
        <v>&lt;/li&gt;&lt;li&gt;&lt;a href=|http://gwt.scripturetext.com/hosea/10.htm| title=|God's Word Translation| target=|_top|&gt;GWT&lt;/a&gt;</v>
      </c>
      <c r="Q872" t="str">
        <f t="shared" si="3484"/>
        <v>&lt;/li&gt;&lt;li&gt;&lt;a href=|http://kingjbible.com/hosea/10.htm| title=|King James Bible| target=|_top|&gt;KJV&lt;/a&gt;</v>
      </c>
      <c r="R872" t="str">
        <f t="shared" si="3484"/>
        <v>&lt;/li&gt;&lt;li&gt;&lt;a href=|http://asvbible.com/hosea/10.htm| title=|American Standard Version| target=|_top|&gt;ASV&lt;/a&gt;</v>
      </c>
      <c r="S872" t="str">
        <f t="shared" si="3484"/>
        <v>&lt;/li&gt;&lt;li&gt;&lt;a href=|http://drb.scripturetext.com/hosea/10.htm| title=|Douay-Rheims Bible| target=|_top|&gt;DRB&lt;/a&gt;</v>
      </c>
      <c r="T872" t="str">
        <f t="shared" si="3484"/>
        <v>&lt;/li&gt;&lt;li&gt;&lt;a href=|http://erv.scripturetext.com/hosea/10.htm| title=|English Revised Version| target=|_top|&gt;ERV&lt;/a&gt;</v>
      </c>
      <c r="V872" t="str">
        <f>CONCATENATE("&lt;/li&gt;&lt;li&gt;&lt;a href=|http://",V1191,"/hosea/10.htm","| ","title=|",V1190,"| target=|_top|&gt;",V1192,"&lt;/a&gt;")</f>
        <v>&lt;/li&gt;&lt;li&gt;&lt;a href=|http://study.interlinearbible.org/hosea/10.htm| title=|Hebrew Study Bible| target=|_top|&gt;Heb Study&lt;/a&gt;</v>
      </c>
      <c r="W872" t="str">
        <f t="shared" si="3484"/>
        <v>&lt;/li&gt;&lt;li&gt;&lt;a href=|http://apostolic.interlinearbible.org/hosea/10.htm| title=|Apostolic Bible Polyglot Interlinear| target=|_top|&gt;Polyglot&lt;/a&gt;</v>
      </c>
      <c r="X872" t="str">
        <f t="shared" si="3484"/>
        <v>&lt;/li&gt;&lt;li&gt;&lt;a href=|http://interlinearbible.org/hosea/10.htm| title=|Interlinear Bible| target=|_top|&gt;Interlin&lt;/a&gt;</v>
      </c>
      <c r="Y872" t="str">
        <f t="shared" ref="Y872" si="3485">CONCATENATE("&lt;/li&gt;&lt;li&gt;&lt;a href=|http://",Y1191,"/hosea/10.htm","| ","title=|",Y1190,"| target=|_top|&gt;",Y1192,"&lt;/a&gt;")</f>
        <v>&lt;/li&gt;&lt;li&gt;&lt;a href=|http://bibleoutline.org/hosea/10.htm| title=|Outline with People and Places List| target=|_top|&gt;Outline&lt;/a&gt;</v>
      </c>
      <c r="Z872" t="str">
        <f t="shared" si="3484"/>
        <v>&lt;/li&gt;&lt;li&gt;&lt;a href=|http://kjvs.scripturetext.com/hosea/10.htm| title=|King James Bible with Strong's Numbers| target=|_top|&gt;Strong's&lt;/a&gt;</v>
      </c>
      <c r="AA872" t="str">
        <f t="shared" si="3484"/>
        <v>&lt;/li&gt;&lt;li&gt;&lt;a href=|http://childrensbibleonline.com/hosea/10.htm| title=|The Children's Bible| target=|_top|&gt;Children's&lt;/a&gt;</v>
      </c>
      <c r="AB872" s="2" t="str">
        <f t="shared" si="3484"/>
        <v>&lt;/li&gt;&lt;li&gt;&lt;a href=|http://tsk.scripturetext.com/hosea/10.htm| title=|Treasury of Scripture Knowledge| target=|_top|&gt;TSK&lt;/a&gt;</v>
      </c>
      <c r="AC872" t="str">
        <f>CONCATENATE("&lt;a href=|http://",AC1191,"/hosea/10.htm","| ","title=|",AC1190,"| target=|_top|&gt;",AC1192,"&lt;/a&gt;")</f>
        <v>&lt;a href=|http://parallelbible.com/hosea/10.htm| title=|Parallel Chapters| target=|_top|&gt;PAR&lt;/a&gt;</v>
      </c>
      <c r="AD872" s="2" t="str">
        <f t="shared" ref="AD872:AK872" si="3486">CONCATENATE("&lt;/li&gt;&lt;li&gt;&lt;a href=|http://",AD1191,"/hosea/10.htm","| ","title=|",AD1190,"| target=|_top|&gt;",AD1192,"&lt;/a&gt;")</f>
        <v>&lt;/li&gt;&lt;li&gt;&lt;a href=|http://gsb.biblecommenter.com/hosea/10.htm| title=|Geneva Study Bible| target=|_top|&gt;GSB&lt;/a&gt;</v>
      </c>
      <c r="AE872" s="2" t="str">
        <f t="shared" si="3486"/>
        <v>&lt;/li&gt;&lt;li&gt;&lt;a href=|http://jfb.biblecommenter.com/hosea/10.htm| title=|Jamieson-Fausset-Brown Bible Commentary| target=|_top|&gt;JFB&lt;/a&gt;</v>
      </c>
      <c r="AF872" s="2" t="str">
        <f t="shared" si="3486"/>
        <v>&lt;/li&gt;&lt;li&gt;&lt;a href=|http://kjt.biblecommenter.com/hosea/10.htm| title=|King James Translators' Notes| target=|_top|&gt;KJT&lt;/a&gt;</v>
      </c>
      <c r="AG872" s="2" t="str">
        <f t="shared" si="3486"/>
        <v>&lt;/li&gt;&lt;li&gt;&lt;a href=|http://mhc.biblecommenter.com/hosea/10.htm| title=|Matthew Henry's Concise Commentary| target=|_top|&gt;MHC&lt;/a&gt;</v>
      </c>
      <c r="AH872" s="2" t="str">
        <f t="shared" si="3486"/>
        <v>&lt;/li&gt;&lt;li&gt;&lt;a href=|http://sco.biblecommenter.com/hosea/10.htm| title=|Scofield Reference Notes| target=|_top|&gt;SCO&lt;/a&gt;</v>
      </c>
      <c r="AI872" s="2" t="str">
        <f t="shared" si="3486"/>
        <v>&lt;/li&gt;&lt;li&gt;&lt;a href=|http://wes.biblecommenter.com/hosea/10.htm| title=|Wesley's Notes on the Bible| target=|_top|&gt;WES&lt;/a&gt;</v>
      </c>
      <c r="AJ872" t="str">
        <f t="shared" si="3486"/>
        <v>&lt;/li&gt;&lt;li&gt;&lt;a href=|http://worldebible.com/hosea/10.htm| title=|World English Bible| target=|_top|&gt;WEB&lt;/a&gt;</v>
      </c>
      <c r="AK872" t="str">
        <f t="shared" si="3486"/>
        <v>&lt;/li&gt;&lt;li&gt;&lt;a href=|http://yltbible.com/hosea/10.htm| title=|Young's Literal Translation| target=|_top|&gt;YLT&lt;/a&gt;</v>
      </c>
      <c r="AL872" t="str">
        <f>CONCATENATE("&lt;a href=|http://",AL1191,"/hosea/10.htm","| ","title=|",AL1190,"| target=|_top|&gt;",AL1192,"&lt;/a&gt;")</f>
        <v>&lt;a href=|http://kjv.us/hosea/10.htm| title=|American King James Version| target=|_top|&gt;AKJ&lt;/a&gt;</v>
      </c>
      <c r="AM872" t="str">
        <f t="shared" ref="AM872:AN872" si="3487">CONCATENATE("&lt;/li&gt;&lt;li&gt;&lt;a href=|http://",AM1191,"/hosea/10.htm","| ","title=|",AM1190,"| target=|_top|&gt;",AM1192,"&lt;/a&gt;")</f>
        <v>&lt;/li&gt;&lt;li&gt;&lt;a href=|http://basicenglishbible.com/hosea/10.htm| title=|Bible in Basic English| target=|_top|&gt;BBE&lt;/a&gt;</v>
      </c>
      <c r="AN872" t="str">
        <f t="shared" si="3487"/>
        <v>&lt;/li&gt;&lt;li&gt;&lt;a href=|http://darbybible.com/hosea/10.htm| title=|Darby Bible Translation| target=|_top|&gt;DBY&lt;/a&gt;</v>
      </c>
      <c r="AO87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7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7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72" t="str">
        <f>CONCATENATE("&lt;/li&gt;&lt;li&gt;&lt;a href=|http://",AR1191,"/hosea/10.htm","| ","title=|",AR1190,"| target=|_top|&gt;",AR1192,"&lt;/a&gt;")</f>
        <v>&lt;/li&gt;&lt;li&gt;&lt;a href=|http://websterbible.com/hosea/10.htm| title=|Webster's Bible Translation| target=|_top|&gt;WBS&lt;/a&gt;</v>
      </c>
      <c r="AS87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72" t="str">
        <f>CONCATENATE("&lt;/li&gt;&lt;li&gt;&lt;a href=|http://",AT1191,"/hosea/10-1.htm","| ","title=|",AT1190,"| target=|_top|&gt;",AT1192,"&lt;/a&gt;")</f>
        <v>&lt;/li&gt;&lt;li&gt;&lt;a href=|http://biblebrowser.com/hosea/10-1.htm| title=|Split View| target=|_top|&gt;Split&lt;/a&gt;</v>
      </c>
      <c r="AU872" s="2" t="s">
        <v>1276</v>
      </c>
      <c r="AV872" t="s">
        <v>64</v>
      </c>
    </row>
    <row r="873" spans="1:48">
      <c r="A873" t="s">
        <v>622</v>
      </c>
      <c r="B873" t="s">
        <v>914</v>
      </c>
      <c r="C873" t="s">
        <v>624</v>
      </c>
      <c r="D873" t="s">
        <v>1268</v>
      </c>
      <c r="E873" t="s">
        <v>1277</v>
      </c>
      <c r="F873" t="s">
        <v>1304</v>
      </c>
      <c r="G873" t="s">
        <v>1266</v>
      </c>
      <c r="H873" t="s">
        <v>1305</v>
      </c>
      <c r="I873" t="s">
        <v>1303</v>
      </c>
      <c r="J873" t="s">
        <v>1267</v>
      </c>
      <c r="K873" t="s">
        <v>1275</v>
      </c>
      <c r="L873" s="2" t="s">
        <v>1274</v>
      </c>
      <c r="M873" t="str">
        <f t="shared" ref="M873:AB873" si="3488">CONCATENATE("&lt;/li&gt;&lt;li&gt;&lt;a href=|http://",M1191,"/hosea/11.htm","| ","title=|",M1190,"| target=|_top|&gt;",M1192,"&lt;/a&gt;")</f>
        <v>&lt;/li&gt;&lt;li&gt;&lt;a href=|http://niv.scripturetext.com/hosea/11.htm| title=|New International Version| target=|_top|&gt;NIV&lt;/a&gt;</v>
      </c>
      <c r="N873" t="str">
        <f t="shared" si="3488"/>
        <v>&lt;/li&gt;&lt;li&gt;&lt;a href=|http://nlt.scripturetext.com/hosea/11.htm| title=|New Living Translation| target=|_top|&gt;NLT&lt;/a&gt;</v>
      </c>
      <c r="O873" t="str">
        <f t="shared" si="3488"/>
        <v>&lt;/li&gt;&lt;li&gt;&lt;a href=|http://nasb.scripturetext.com/hosea/11.htm| title=|New American Standard Bible| target=|_top|&gt;NAS&lt;/a&gt;</v>
      </c>
      <c r="P873" t="str">
        <f t="shared" si="3488"/>
        <v>&lt;/li&gt;&lt;li&gt;&lt;a href=|http://gwt.scripturetext.com/hosea/11.htm| title=|God's Word Translation| target=|_top|&gt;GWT&lt;/a&gt;</v>
      </c>
      <c r="Q873" t="str">
        <f t="shared" si="3488"/>
        <v>&lt;/li&gt;&lt;li&gt;&lt;a href=|http://kingjbible.com/hosea/11.htm| title=|King James Bible| target=|_top|&gt;KJV&lt;/a&gt;</v>
      </c>
      <c r="R873" t="str">
        <f t="shared" si="3488"/>
        <v>&lt;/li&gt;&lt;li&gt;&lt;a href=|http://asvbible.com/hosea/11.htm| title=|American Standard Version| target=|_top|&gt;ASV&lt;/a&gt;</v>
      </c>
      <c r="S873" t="str">
        <f t="shared" si="3488"/>
        <v>&lt;/li&gt;&lt;li&gt;&lt;a href=|http://drb.scripturetext.com/hosea/11.htm| title=|Douay-Rheims Bible| target=|_top|&gt;DRB&lt;/a&gt;</v>
      </c>
      <c r="T873" t="str">
        <f t="shared" si="3488"/>
        <v>&lt;/li&gt;&lt;li&gt;&lt;a href=|http://erv.scripturetext.com/hosea/11.htm| title=|English Revised Version| target=|_top|&gt;ERV&lt;/a&gt;</v>
      </c>
      <c r="V873" t="str">
        <f>CONCATENATE("&lt;/li&gt;&lt;li&gt;&lt;a href=|http://",V1191,"/hosea/11.htm","| ","title=|",V1190,"| target=|_top|&gt;",V1192,"&lt;/a&gt;")</f>
        <v>&lt;/li&gt;&lt;li&gt;&lt;a href=|http://study.interlinearbible.org/hosea/11.htm| title=|Hebrew Study Bible| target=|_top|&gt;Heb Study&lt;/a&gt;</v>
      </c>
      <c r="W873" t="str">
        <f t="shared" si="3488"/>
        <v>&lt;/li&gt;&lt;li&gt;&lt;a href=|http://apostolic.interlinearbible.org/hosea/11.htm| title=|Apostolic Bible Polyglot Interlinear| target=|_top|&gt;Polyglot&lt;/a&gt;</v>
      </c>
      <c r="X873" t="str">
        <f t="shared" si="3488"/>
        <v>&lt;/li&gt;&lt;li&gt;&lt;a href=|http://interlinearbible.org/hosea/11.htm| title=|Interlinear Bible| target=|_top|&gt;Interlin&lt;/a&gt;</v>
      </c>
      <c r="Y873" t="str">
        <f t="shared" ref="Y873" si="3489">CONCATENATE("&lt;/li&gt;&lt;li&gt;&lt;a href=|http://",Y1191,"/hosea/11.htm","| ","title=|",Y1190,"| target=|_top|&gt;",Y1192,"&lt;/a&gt;")</f>
        <v>&lt;/li&gt;&lt;li&gt;&lt;a href=|http://bibleoutline.org/hosea/11.htm| title=|Outline with People and Places List| target=|_top|&gt;Outline&lt;/a&gt;</v>
      </c>
      <c r="Z873" t="str">
        <f t="shared" si="3488"/>
        <v>&lt;/li&gt;&lt;li&gt;&lt;a href=|http://kjvs.scripturetext.com/hosea/11.htm| title=|King James Bible with Strong's Numbers| target=|_top|&gt;Strong's&lt;/a&gt;</v>
      </c>
      <c r="AA873" t="str">
        <f t="shared" si="3488"/>
        <v>&lt;/li&gt;&lt;li&gt;&lt;a href=|http://childrensbibleonline.com/hosea/11.htm| title=|The Children's Bible| target=|_top|&gt;Children's&lt;/a&gt;</v>
      </c>
      <c r="AB873" s="2" t="str">
        <f t="shared" si="3488"/>
        <v>&lt;/li&gt;&lt;li&gt;&lt;a href=|http://tsk.scripturetext.com/hosea/11.htm| title=|Treasury of Scripture Knowledge| target=|_top|&gt;TSK&lt;/a&gt;</v>
      </c>
      <c r="AC873" t="str">
        <f>CONCATENATE("&lt;a href=|http://",AC1191,"/hosea/11.htm","| ","title=|",AC1190,"| target=|_top|&gt;",AC1192,"&lt;/a&gt;")</f>
        <v>&lt;a href=|http://parallelbible.com/hosea/11.htm| title=|Parallel Chapters| target=|_top|&gt;PAR&lt;/a&gt;</v>
      </c>
      <c r="AD873" s="2" t="str">
        <f t="shared" ref="AD873:AK873" si="3490">CONCATENATE("&lt;/li&gt;&lt;li&gt;&lt;a href=|http://",AD1191,"/hosea/11.htm","| ","title=|",AD1190,"| target=|_top|&gt;",AD1192,"&lt;/a&gt;")</f>
        <v>&lt;/li&gt;&lt;li&gt;&lt;a href=|http://gsb.biblecommenter.com/hosea/11.htm| title=|Geneva Study Bible| target=|_top|&gt;GSB&lt;/a&gt;</v>
      </c>
      <c r="AE873" s="2" t="str">
        <f t="shared" si="3490"/>
        <v>&lt;/li&gt;&lt;li&gt;&lt;a href=|http://jfb.biblecommenter.com/hosea/11.htm| title=|Jamieson-Fausset-Brown Bible Commentary| target=|_top|&gt;JFB&lt;/a&gt;</v>
      </c>
      <c r="AF873" s="2" t="str">
        <f t="shared" si="3490"/>
        <v>&lt;/li&gt;&lt;li&gt;&lt;a href=|http://kjt.biblecommenter.com/hosea/11.htm| title=|King James Translators' Notes| target=|_top|&gt;KJT&lt;/a&gt;</v>
      </c>
      <c r="AG873" s="2" t="str">
        <f t="shared" si="3490"/>
        <v>&lt;/li&gt;&lt;li&gt;&lt;a href=|http://mhc.biblecommenter.com/hosea/11.htm| title=|Matthew Henry's Concise Commentary| target=|_top|&gt;MHC&lt;/a&gt;</v>
      </c>
      <c r="AH873" s="2" t="str">
        <f t="shared" si="3490"/>
        <v>&lt;/li&gt;&lt;li&gt;&lt;a href=|http://sco.biblecommenter.com/hosea/11.htm| title=|Scofield Reference Notes| target=|_top|&gt;SCO&lt;/a&gt;</v>
      </c>
      <c r="AI873" s="2" t="str">
        <f t="shared" si="3490"/>
        <v>&lt;/li&gt;&lt;li&gt;&lt;a href=|http://wes.biblecommenter.com/hosea/11.htm| title=|Wesley's Notes on the Bible| target=|_top|&gt;WES&lt;/a&gt;</v>
      </c>
      <c r="AJ873" t="str">
        <f t="shared" si="3490"/>
        <v>&lt;/li&gt;&lt;li&gt;&lt;a href=|http://worldebible.com/hosea/11.htm| title=|World English Bible| target=|_top|&gt;WEB&lt;/a&gt;</v>
      </c>
      <c r="AK873" t="str">
        <f t="shared" si="3490"/>
        <v>&lt;/li&gt;&lt;li&gt;&lt;a href=|http://yltbible.com/hosea/11.htm| title=|Young's Literal Translation| target=|_top|&gt;YLT&lt;/a&gt;</v>
      </c>
      <c r="AL873" t="str">
        <f>CONCATENATE("&lt;a href=|http://",AL1191,"/hosea/11.htm","| ","title=|",AL1190,"| target=|_top|&gt;",AL1192,"&lt;/a&gt;")</f>
        <v>&lt;a href=|http://kjv.us/hosea/11.htm| title=|American King James Version| target=|_top|&gt;AKJ&lt;/a&gt;</v>
      </c>
      <c r="AM873" t="str">
        <f t="shared" ref="AM873:AN873" si="3491">CONCATENATE("&lt;/li&gt;&lt;li&gt;&lt;a href=|http://",AM1191,"/hosea/11.htm","| ","title=|",AM1190,"| target=|_top|&gt;",AM1192,"&lt;/a&gt;")</f>
        <v>&lt;/li&gt;&lt;li&gt;&lt;a href=|http://basicenglishbible.com/hosea/11.htm| title=|Bible in Basic English| target=|_top|&gt;BBE&lt;/a&gt;</v>
      </c>
      <c r="AN873" t="str">
        <f t="shared" si="3491"/>
        <v>&lt;/li&gt;&lt;li&gt;&lt;a href=|http://darbybible.com/hosea/11.htm| title=|Darby Bible Translation| target=|_top|&gt;DBY&lt;/a&gt;</v>
      </c>
      <c r="AO87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7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7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73" t="str">
        <f>CONCATENATE("&lt;/li&gt;&lt;li&gt;&lt;a href=|http://",AR1191,"/hosea/11.htm","| ","title=|",AR1190,"| target=|_top|&gt;",AR1192,"&lt;/a&gt;")</f>
        <v>&lt;/li&gt;&lt;li&gt;&lt;a href=|http://websterbible.com/hosea/11.htm| title=|Webster's Bible Translation| target=|_top|&gt;WBS&lt;/a&gt;</v>
      </c>
      <c r="AS87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73" t="str">
        <f>CONCATENATE("&lt;/li&gt;&lt;li&gt;&lt;a href=|http://",AT1191,"/hosea/11-1.htm","| ","title=|",AT1190,"| target=|_top|&gt;",AT1192,"&lt;/a&gt;")</f>
        <v>&lt;/li&gt;&lt;li&gt;&lt;a href=|http://biblebrowser.com/hosea/11-1.htm| title=|Split View| target=|_top|&gt;Split&lt;/a&gt;</v>
      </c>
      <c r="AU873" s="2" t="s">
        <v>1276</v>
      </c>
      <c r="AV873" t="s">
        <v>64</v>
      </c>
    </row>
    <row r="874" spans="1:48">
      <c r="A874" t="s">
        <v>622</v>
      </c>
      <c r="B874" t="s">
        <v>915</v>
      </c>
      <c r="C874" t="s">
        <v>624</v>
      </c>
      <c r="D874" t="s">
        <v>1268</v>
      </c>
      <c r="E874" t="s">
        <v>1277</v>
      </c>
      <c r="F874" t="s">
        <v>1304</v>
      </c>
      <c r="G874" t="s">
        <v>1266</v>
      </c>
      <c r="H874" t="s">
        <v>1305</v>
      </c>
      <c r="I874" t="s">
        <v>1303</v>
      </c>
      <c r="J874" t="s">
        <v>1267</v>
      </c>
      <c r="K874" t="s">
        <v>1275</v>
      </c>
      <c r="L874" s="2" t="s">
        <v>1274</v>
      </c>
      <c r="M874" t="str">
        <f t="shared" ref="M874:AB874" si="3492">CONCATENATE("&lt;/li&gt;&lt;li&gt;&lt;a href=|http://",M1191,"/hosea/12.htm","| ","title=|",M1190,"| target=|_top|&gt;",M1192,"&lt;/a&gt;")</f>
        <v>&lt;/li&gt;&lt;li&gt;&lt;a href=|http://niv.scripturetext.com/hosea/12.htm| title=|New International Version| target=|_top|&gt;NIV&lt;/a&gt;</v>
      </c>
      <c r="N874" t="str">
        <f t="shared" si="3492"/>
        <v>&lt;/li&gt;&lt;li&gt;&lt;a href=|http://nlt.scripturetext.com/hosea/12.htm| title=|New Living Translation| target=|_top|&gt;NLT&lt;/a&gt;</v>
      </c>
      <c r="O874" t="str">
        <f t="shared" si="3492"/>
        <v>&lt;/li&gt;&lt;li&gt;&lt;a href=|http://nasb.scripturetext.com/hosea/12.htm| title=|New American Standard Bible| target=|_top|&gt;NAS&lt;/a&gt;</v>
      </c>
      <c r="P874" t="str">
        <f t="shared" si="3492"/>
        <v>&lt;/li&gt;&lt;li&gt;&lt;a href=|http://gwt.scripturetext.com/hosea/12.htm| title=|God's Word Translation| target=|_top|&gt;GWT&lt;/a&gt;</v>
      </c>
      <c r="Q874" t="str">
        <f t="shared" si="3492"/>
        <v>&lt;/li&gt;&lt;li&gt;&lt;a href=|http://kingjbible.com/hosea/12.htm| title=|King James Bible| target=|_top|&gt;KJV&lt;/a&gt;</v>
      </c>
      <c r="R874" t="str">
        <f t="shared" si="3492"/>
        <v>&lt;/li&gt;&lt;li&gt;&lt;a href=|http://asvbible.com/hosea/12.htm| title=|American Standard Version| target=|_top|&gt;ASV&lt;/a&gt;</v>
      </c>
      <c r="S874" t="str">
        <f t="shared" si="3492"/>
        <v>&lt;/li&gt;&lt;li&gt;&lt;a href=|http://drb.scripturetext.com/hosea/12.htm| title=|Douay-Rheims Bible| target=|_top|&gt;DRB&lt;/a&gt;</v>
      </c>
      <c r="T874" t="str">
        <f t="shared" si="3492"/>
        <v>&lt;/li&gt;&lt;li&gt;&lt;a href=|http://erv.scripturetext.com/hosea/12.htm| title=|English Revised Version| target=|_top|&gt;ERV&lt;/a&gt;</v>
      </c>
      <c r="V874" t="str">
        <f>CONCATENATE("&lt;/li&gt;&lt;li&gt;&lt;a href=|http://",V1191,"/hosea/12.htm","| ","title=|",V1190,"| target=|_top|&gt;",V1192,"&lt;/a&gt;")</f>
        <v>&lt;/li&gt;&lt;li&gt;&lt;a href=|http://study.interlinearbible.org/hosea/12.htm| title=|Hebrew Study Bible| target=|_top|&gt;Heb Study&lt;/a&gt;</v>
      </c>
      <c r="W874" t="str">
        <f t="shared" si="3492"/>
        <v>&lt;/li&gt;&lt;li&gt;&lt;a href=|http://apostolic.interlinearbible.org/hosea/12.htm| title=|Apostolic Bible Polyglot Interlinear| target=|_top|&gt;Polyglot&lt;/a&gt;</v>
      </c>
      <c r="X874" t="str">
        <f t="shared" si="3492"/>
        <v>&lt;/li&gt;&lt;li&gt;&lt;a href=|http://interlinearbible.org/hosea/12.htm| title=|Interlinear Bible| target=|_top|&gt;Interlin&lt;/a&gt;</v>
      </c>
      <c r="Y874" t="str">
        <f t="shared" ref="Y874" si="3493">CONCATENATE("&lt;/li&gt;&lt;li&gt;&lt;a href=|http://",Y1191,"/hosea/12.htm","| ","title=|",Y1190,"| target=|_top|&gt;",Y1192,"&lt;/a&gt;")</f>
        <v>&lt;/li&gt;&lt;li&gt;&lt;a href=|http://bibleoutline.org/hosea/12.htm| title=|Outline with People and Places List| target=|_top|&gt;Outline&lt;/a&gt;</v>
      </c>
      <c r="Z874" t="str">
        <f t="shared" si="3492"/>
        <v>&lt;/li&gt;&lt;li&gt;&lt;a href=|http://kjvs.scripturetext.com/hosea/12.htm| title=|King James Bible with Strong's Numbers| target=|_top|&gt;Strong's&lt;/a&gt;</v>
      </c>
      <c r="AA874" t="str">
        <f t="shared" si="3492"/>
        <v>&lt;/li&gt;&lt;li&gt;&lt;a href=|http://childrensbibleonline.com/hosea/12.htm| title=|The Children's Bible| target=|_top|&gt;Children's&lt;/a&gt;</v>
      </c>
      <c r="AB874" s="2" t="str">
        <f t="shared" si="3492"/>
        <v>&lt;/li&gt;&lt;li&gt;&lt;a href=|http://tsk.scripturetext.com/hosea/12.htm| title=|Treasury of Scripture Knowledge| target=|_top|&gt;TSK&lt;/a&gt;</v>
      </c>
      <c r="AC874" t="str">
        <f>CONCATENATE("&lt;a href=|http://",AC1191,"/hosea/12.htm","| ","title=|",AC1190,"| target=|_top|&gt;",AC1192,"&lt;/a&gt;")</f>
        <v>&lt;a href=|http://parallelbible.com/hosea/12.htm| title=|Parallel Chapters| target=|_top|&gt;PAR&lt;/a&gt;</v>
      </c>
      <c r="AD874" s="2" t="str">
        <f t="shared" ref="AD874:AK874" si="3494">CONCATENATE("&lt;/li&gt;&lt;li&gt;&lt;a href=|http://",AD1191,"/hosea/12.htm","| ","title=|",AD1190,"| target=|_top|&gt;",AD1192,"&lt;/a&gt;")</f>
        <v>&lt;/li&gt;&lt;li&gt;&lt;a href=|http://gsb.biblecommenter.com/hosea/12.htm| title=|Geneva Study Bible| target=|_top|&gt;GSB&lt;/a&gt;</v>
      </c>
      <c r="AE874" s="2" t="str">
        <f t="shared" si="3494"/>
        <v>&lt;/li&gt;&lt;li&gt;&lt;a href=|http://jfb.biblecommenter.com/hosea/12.htm| title=|Jamieson-Fausset-Brown Bible Commentary| target=|_top|&gt;JFB&lt;/a&gt;</v>
      </c>
      <c r="AF874" s="2" t="str">
        <f t="shared" si="3494"/>
        <v>&lt;/li&gt;&lt;li&gt;&lt;a href=|http://kjt.biblecommenter.com/hosea/12.htm| title=|King James Translators' Notes| target=|_top|&gt;KJT&lt;/a&gt;</v>
      </c>
      <c r="AG874" s="2" t="str">
        <f t="shared" si="3494"/>
        <v>&lt;/li&gt;&lt;li&gt;&lt;a href=|http://mhc.biblecommenter.com/hosea/12.htm| title=|Matthew Henry's Concise Commentary| target=|_top|&gt;MHC&lt;/a&gt;</v>
      </c>
      <c r="AH874" s="2" t="str">
        <f t="shared" si="3494"/>
        <v>&lt;/li&gt;&lt;li&gt;&lt;a href=|http://sco.biblecommenter.com/hosea/12.htm| title=|Scofield Reference Notes| target=|_top|&gt;SCO&lt;/a&gt;</v>
      </c>
      <c r="AI874" s="2" t="str">
        <f t="shared" si="3494"/>
        <v>&lt;/li&gt;&lt;li&gt;&lt;a href=|http://wes.biblecommenter.com/hosea/12.htm| title=|Wesley's Notes on the Bible| target=|_top|&gt;WES&lt;/a&gt;</v>
      </c>
      <c r="AJ874" t="str">
        <f t="shared" si="3494"/>
        <v>&lt;/li&gt;&lt;li&gt;&lt;a href=|http://worldebible.com/hosea/12.htm| title=|World English Bible| target=|_top|&gt;WEB&lt;/a&gt;</v>
      </c>
      <c r="AK874" t="str">
        <f t="shared" si="3494"/>
        <v>&lt;/li&gt;&lt;li&gt;&lt;a href=|http://yltbible.com/hosea/12.htm| title=|Young's Literal Translation| target=|_top|&gt;YLT&lt;/a&gt;</v>
      </c>
      <c r="AL874" t="str">
        <f>CONCATENATE("&lt;a href=|http://",AL1191,"/hosea/12.htm","| ","title=|",AL1190,"| target=|_top|&gt;",AL1192,"&lt;/a&gt;")</f>
        <v>&lt;a href=|http://kjv.us/hosea/12.htm| title=|American King James Version| target=|_top|&gt;AKJ&lt;/a&gt;</v>
      </c>
      <c r="AM874" t="str">
        <f t="shared" ref="AM874:AN874" si="3495">CONCATENATE("&lt;/li&gt;&lt;li&gt;&lt;a href=|http://",AM1191,"/hosea/12.htm","| ","title=|",AM1190,"| target=|_top|&gt;",AM1192,"&lt;/a&gt;")</f>
        <v>&lt;/li&gt;&lt;li&gt;&lt;a href=|http://basicenglishbible.com/hosea/12.htm| title=|Bible in Basic English| target=|_top|&gt;BBE&lt;/a&gt;</v>
      </c>
      <c r="AN874" t="str">
        <f t="shared" si="3495"/>
        <v>&lt;/li&gt;&lt;li&gt;&lt;a href=|http://darbybible.com/hosea/12.htm| title=|Darby Bible Translation| target=|_top|&gt;DBY&lt;/a&gt;</v>
      </c>
      <c r="AO87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7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7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74" t="str">
        <f>CONCATENATE("&lt;/li&gt;&lt;li&gt;&lt;a href=|http://",AR1191,"/hosea/12.htm","| ","title=|",AR1190,"| target=|_top|&gt;",AR1192,"&lt;/a&gt;")</f>
        <v>&lt;/li&gt;&lt;li&gt;&lt;a href=|http://websterbible.com/hosea/12.htm| title=|Webster's Bible Translation| target=|_top|&gt;WBS&lt;/a&gt;</v>
      </c>
      <c r="AS87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74" t="str">
        <f>CONCATENATE("&lt;/li&gt;&lt;li&gt;&lt;a href=|http://",AT1191,"/hosea/12-1.htm","| ","title=|",AT1190,"| target=|_top|&gt;",AT1192,"&lt;/a&gt;")</f>
        <v>&lt;/li&gt;&lt;li&gt;&lt;a href=|http://biblebrowser.com/hosea/12-1.htm| title=|Split View| target=|_top|&gt;Split&lt;/a&gt;</v>
      </c>
      <c r="AU874" s="2" t="s">
        <v>1276</v>
      </c>
      <c r="AV874" t="s">
        <v>64</v>
      </c>
    </row>
    <row r="875" spans="1:48">
      <c r="A875" t="s">
        <v>622</v>
      </c>
      <c r="B875" t="s">
        <v>916</v>
      </c>
      <c r="C875" t="s">
        <v>624</v>
      </c>
      <c r="D875" t="s">
        <v>1268</v>
      </c>
      <c r="E875" t="s">
        <v>1277</v>
      </c>
      <c r="F875" t="s">
        <v>1304</v>
      </c>
      <c r="G875" t="s">
        <v>1266</v>
      </c>
      <c r="H875" t="s">
        <v>1305</v>
      </c>
      <c r="I875" t="s">
        <v>1303</v>
      </c>
      <c r="J875" t="s">
        <v>1267</v>
      </c>
      <c r="K875" t="s">
        <v>1275</v>
      </c>
      <c r="L875" s="2" t="s">
        <v>1274</v>
      </c>
      <c r="M875" t="str">
        <f t="shared" ref="M875:AB875" si="3496">CONCATENATE("&lt;/li&gt;&lt;li&gt;&lt;a href=|http://",M1191,"/hosea/13.htm","| ","title=|",M1190,"| target=|_top|&gt;",M1192,"&lt;/a&gt;")</f>
        <v>&lt;/li&gt;&lt;li&gt;&lt;a href=|http://niv.scripturetext.com/hosea/13.htm| title=|New International Version| target=|_top|&gt;NIV&lt;/a&gt;</v>
      </c>
      <c r="N875" t="str">
        <f t="shared" si="3496"/>
        <v>&lt;/li&gt;&lt;li&gt;&lt;a href=|http://nlt.scripturetext.com/hosea/13.htm| title=|New Living Translation| target=|_top|&gt;NLT&lt;/a&gt;</v>
      </c>
      <c r="O875" t="str">
        <f t="shared" si="3496"/>
        <v>&lt;/li&gt;&lt;li&gt;&lt;a href=|http://nasb.scripturetext.com/hosea/13.htm| title=|New American Standard Bible| target=|_top|&gt;NAS&lt;/a&gt;</v>
      </c>
      <c r="P875" t="str">
        <f t="shared" si="3496"/>
        <v>&lt;/li&gt;&lt;li&gt;&lt;a href=|http://gwt.scripturetext.com/hosea/13.htm| title=|God's Word Translation| target=|_top|&gt;GWT&lt;/a&gt;</v>
      </c>
      <c r="Q875" t="str">
        <f t="shared" si="3496"/>
        <v>&lt;/li&gt;&lt;li&gt;&lt;a href=|http://kingjbible.com/hosea/13.htm| title=|King James Bible| target=|_top|&gt;KJV&lt;/a&gt;</v>
      </c>
      <c r="R875" t="str">
        <f t="shared" si="3496"/>
        <v>&lt;/li&gt;&lt;li&gt;&lt;a href=|http://asvbible.com/hosea/13.htm| title=|American Standard Version| target=|_top|&gt;ASV&lt;/a&gt;</v>
      </c>
      <c r="S875" t="str">
        <f t="shared" si="3496"/>
        <v>&lt;/li&gt;&lt;li&gt;&lt;a href=|http://drb.scripturetext.com/hosea/13.htm| title=|Douay-Rheims Bible| target=|_top|&gt;DRB&lt;/a&gt;</v>
      </c>
      <c r="T875" t="str">
        <f t="shared" si="3496"/>
        <v>&lt;/li&gt;&lt;li&gt;&lt;a href=|http://erv.scripturetext.com/hosea/13.htm| title=|English Revised Version| target=|_top|&gt;ERV&lt;/a&gt;</v>
      </c>
      <c r="V875" t="str">
        <f>CONCATENATE("&lt;/li&gt;&lt;li&gt;&lt;a href=|http://",V1191,"/hosea/13.htm","| ","title=|",V1190,"| target=|_top|&gt;",V1192,"&lt;/a&gt;")</f>
        <v>&lt;/li&gt;&lt;li&gt;&lt;a href=|http://study.interlinearbible.org/hosea/13.htm| title=|Hebrew Study Bible| target=|_top|&gt;Heb Study&lt;/a&gt;</v>
      </c>
      <c r="W875" t="str">
        <f t="shared" si="3496"/>
        <v>&lt;/li&gt;&lt;li&gt;&lt;a href=|http://apostolic.interlinearbible.org/hosea/13.htm| title=|Apostolic Bible Polyglot Interlinear| target=|_top|&gt;Polyglot&lt;/a&gt;</v>
      </c>
      <c r="X875" t="str">
        <f t="shared" si="3496"/>
        <v>&lt;/li&gt;&lt;li&gt;&lt;a href=|http://interlinearbible.org/hosea/13.htm| title=|Interlinear Bible| target=|_top|&gt;Interlin&lt;/a&gt;</v>
      </c>
      <c r="Y875" t="str">
        <f t="shared" ref="Y875" si="3497">CONCATENATE("&lt;/li&gt;&lt;li&gt;&lt;a href=|http://",Y1191,"/hosea/13.htm","| ","title=|",Y1190,"| target=|_top|&gt;",Y1192,"&lt;/a&gt;")</f>
        <v>&lt;/li&gt;&lt;li&gt;&lt;a href=|http://bibleoutline.org/hosea/13.htm| title=|Outline with People and Places List| target=|_top|&gt;Outline&lt;/a&gt;</v>
      </c>
      <c r="Z875" t="str">
        <f t="shared" si="3496"/>
        <v>&lt;/li&gt;&lt;li&gt;&lt;a href=|http://kjvs.scripturetext.com/hosea/13.htm| title=|King James Bible with Strong's Numbers| target=|_top|&gt;Strong's&lt;/a&gt;</v>
      </c>
      <c r="AA875" t="str">
        <f t="shared" si="3496"/>
        <v>&lt;/li&gt;&lt;li&gt;&lt;a href=|http://childrensbibleonline.com/hosea/13.htm| title=|The Children's Bible| target=|_top|&gt;Children's&lt;/a&gt;</v>
      </c>
      <c r="AB875" s="2" t="str">
        <f t="shared" si="3496"/>
        <v>&lt;/li&gt;&lt;li&gt;&lt;a href=|http://tsk.scripturetext.com/hosea/13.htm| title=|Treasury of Scripture Knowledge| target=|_top|&gt;TSK&lt;/a&gt;</v>
      </c>
      <c r="AC875" t="str">
        <f>CONCATENATE("&lt;a href=|http://",AC1191,"/hosea/13.htm","| ","title=|",AC1190,"| target=|_top|&gt;",AC1192,"&lt;/a&gt;")</f>
        <v>&lt;a href=|http://parallelbible.com/hosea/13.htm| title=|Parallel Chapters| target=|_top|&gt;PAR&lt;/a&gt;</v>
      </c>
      <c r="AD875" s="2" t="str">
        <f t="shared" ref="AD875:AK875" si="3498">CONCATENATE("&lt;/li&gt;&lt;li&gt;&lt;a href=|http://",AD1191,"/hosea/13.htm","| ","title=|",AD1190,"| target=|_top|&gt;",AD1192,"&lt;/a&gt;")</f>
        <v>&lt;/li&gt;&lt;li&gt;&lt;a href=|http://gsb.biblecommenter.com/hosea/13.htm| title=|Geneva Study Bible| target=|_top|&gt;GSB&lt;/a&gt;</v>
      </c>
      <c r="AE875" s="2" t="str">
        <f t="shared" si="3498"/>
        <v>&lt;/li&gt;&lt;li&gt;&lt;a href=|http://jfb.biblecommenter.com/hosea/13.htm| title=|Jamieson-Fausset-Brown Bible Commentary| target=|_top|&gt;JFB&lt;/a&gt;</v>
      </c>
      <c r="AF875" s="2" t="str">
        <f t="shared" si="3498"/>
        <v>&lt;/li&gt;&lt;li&gt;&lt;a href=|http://kjt.biblecommenter.com/hosea/13.htm| title=|King James Translators' Notes| target=|_top|&gt;KJT&lt;/a&gt;</v>
      </c>
      <c r="AG875" s="2" t="str">
        <f t="shared" si="3498"/>
        <v>&lt;/li&gt;&lt;li&gt;&lt;a href=|http://mhc.biblecommenter.com/hosea/13.htm| title=|Matthew Henry's Concise Commentary| target=|_top|&gt;MHC&lt;/a&gt;</v>
      </c>
      <c r="AH875" s="2" t="str">
        <f t="shared" si="3498"/>
        <v>&lt;/li&gt;&lt;li&gt;&lt;a href=|http://sco.biblecommenter.com/hosea/13.htm| title=|Scofield Reference Notes| target=|_top|&gt;SCO&lt;/a&gt;</v>
      </c>
      <c r="AI875" s="2" t="str">
        <f t="shared" si="3498"/>
        <v>&lt;/li&gt;&lt;li&gt;&lt;a href=|http://wes.biblecommenter.com/hosea/13.htm| title=|Wesley's Notes on the Bible| target=|_top|&gt;WES&lt;/a&gt;</v>
      </c>
      <c r="AJ875" t="str">
        <f t="shared" si="3498"/>
        <v>&lt;/li&gt;&lt;li&gt;&lt;a href=|http://worldebible.com/hosea/13.htm| title=|World English Bible| target=|_top|&gt;WEB&lt;/a&gt;</v>
      </c>
      <c r="AK875" t="str">
        <f t="shared" si="3498"/>
        <v>&lt;/li&gt;&lt;li&gt;&lt;a href=|http://yltbible.com/hosea/13.htm| title=|Young's Literal Translation| target=|_top|&gt;YLT&lt;/a&gt;</v>
      </c>
      <c r="AL875" t="str">
        <f>CONCATENATE("&lt;a href=|http://",AL1191,"/hosea/13.htm","| ","title=|",AL1190,"| target=|_top|&gt;",AL1192,"&lt;/a&gt;")</f>
        <v>&lt;a href=|http://kjv.us/hosea/13.htm| title=|American King James Version| target=|_top|&gt;AKJ&lt;/a&gt;</v>
      </c>
      <c r="AM875" t="str">
        <f t="shared" ref="AM875:AN875" si="3499">CONCATENATE("&lt;/li&gt;&lt;li&gt;&lt;a href=|http://",AM1191,"/hosea/13.htm","| ","title=|",AM1190,"| target=|_top|&gt;",AM1192,"&lt;/a&gt;")</f>
        <v>&lt;/li&gt;&lt;li&gt;&lt;a href=|http://basicenglishbible.com/hosea/13.htm| title=|Bible in Basic English| target=|_top|&gt;BBE&lt;/a&gt;</v>
      </c>
      <c r="AN875" t="str">
        <f t="shared" si="3499"/>
        <v>&lt;/li&gt;&lt;li&gt;&lt;a href=|http://darbybible.com/hosea/13.htm| title=|Darby Bible Translation| target=|_top|&gt;DBY&lt;/a&gt;</v>
      </c>
      <c r="AO87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7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7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75" t="str">
        <f>CONCATENATE("&lt;/li&gt;&lt;li&gt;&lt;a href=|http://",AR1191,"/hosea/13.htm","| ","title=|",AR1190,"| target=|_top|&gt;",AR1192,"&lt;/a&gt;")</f>
        <v>&lt;/li&gt;&lt;li&gt;&lt;a href=|http://websterbible.com/hosea/13.htm| title=|Webster's Bible Translation| target=|_top|&gt;WBS&lt;/a&gt;</v>
      </c>
      <c r="AS87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75" t="str">
        <f>CONCATENATE("&lt;/li&gt;&lt;li&gt;&lt;a href=|http://",AT1191,"/hosea/13-1.htm","| ","title=|",AT1190,"| target=|_top|&gt;",AT1192,"&lt;/a&gt;")</f>
        <v>&lt;/li&gt;&lt;li&gt;&lt;a href=|http://biblebrowser.com/hosea/13-1.htm| title=|Split View| target=|_top|&gt;Split&lt;/a&gt;</v>
      </c>
      <c r="AU875" s="2" t="s">
        <v>1276</v>
      </c>
      <c r="AV875" t="s">
        <v>64</v>
      </c>
    </row>
    <row r="876" spans="1:48">
      <c r="A876" t="s">
        <v>622</v>
      </c>
      <c r="B876" t="s">
        <v>917</v>
      </c>
      <c r="C876" t="s">
        <v>624</v>
      </c>
      <c r="D876" t="s">
        <v>1268</v>
      </c>
      <c r="E876" t="s">
        <v>1277</v>
      </c>
      <c r="F876" t="s">
        <v>1304</v>
      </c>
      <c r="G876" t="s">
        <v>1266</v>
      </c>
      <c r="H876" t="s">
        <v>1305</v>
      </c>
      <c r="I876" t="s">
        <v>1303</v>
      </c>
      <c r="J876" t="s">
        <v>1267</v>
      </c>
      <c r="K876" t="s">
        <v>1275</v>
      </c>
      <c r="L876" s="2" t="s">
        <v>1274</v>
      </c>
      <c r="M876" t="str">
        <f t="shared" ref="M876:AB876" si="3500">CONCATENATE("&lt;/li&gt;&lt;li&gt;&lt;a href=|http://",M1191,"/hosea/14.htm","| ","title=|",M1190,"| target=|_top|&gt;",M1192,"&lt;/a&gt;")</f>
        <v>&lt;/li&gt;&lt;li&gt;&lt;a href=|http://niv.scripturetext.com/hosea/14.htm| title=|New International Version| target=|_top|&gt;NIV&lt;/a&gt;</v>
      </c>
      <c r="N876" t="str">
        <f t="shared" si="3500"/>
        <v>&lt;/li&gt;&lt;li&gt;&lt;a href=|http://nlt.scripturetext.com/hosea/14.htm| title=|New Living Translation| target=|_top|&gt;NLT&lt;/a&gt;</v>
      </c>
      <c r="O876" t="str">
        <f t="shared" si="3500"/>
        <v>&lt;/li&gt;&lt;li&gt;&lt;a href=|http://nasb.scripturetext.com/hosea/14.htm| title=|New American Standard Bible| target=|_top|&gt;NAS&lt;/a&gt;</v>
      </c>
      <c r="P876" t="str">
        <f t="shared" si="3500"/>
        <v>&lt;/li&gt;&lt;li&gt;&lt;a href=|http://gwt.scripturetext.com/hosea/14.htm| title=|God's Word Translation| target=|_top|&gt;GWT&lt;/a&gt;</v>
      </c>
      <c r="Q876" t="str">
        <f t="shared" si="3500"/>
        <v>&lt;/li&gt;&lt;li&gt;&lt;a href=|http://kingjbible.com/hosea/14.htm| title=|King James Bible| target=|_top|&gt;KJV&lt;/a&gt;</v>
      </c>
      <c r="R876" t="str">
        <f t="shared" si="3500"/>
        <v>&lt;/li&gt;&lt;li&gt;&lt;a href=|http://asvbible.com/hosea/14.htm| title=|American Standard Version| target=|_top|&gt;ASV&lt;/a&gt;</v>
      </c>
      <c r="S876" t="str">
        <f t="shared" si="3500"/>
        <v>&lt;/li&gt;&lt;li&gt;&lt;a href=|http://drb.scripturetext.com/hosea/14.htm| title=|Douay-Rheims Bible| target=|_top|&gt;DRB&lt;/a&gt;</v>
      </c>
      <c r="T876" t="str">
        <f t="shared" si="3500"/>
        <v>&lt;/li&gt;&lt;li&gt;&lt;a href=|http://erv.scripturetext.com/hosea/14.htm| title=|English Revised Version| target=|_top|&gt;ERV&lt;/a&gt;</v>
      </c>
      <c r="V876" t="str">
        <f>CONCATENATE("&lt;/li&gt;&lt;li&gt;&lt;a href=|http://",V1191,"/hosea/14.htm","| ","title=|",V1190,"| target=|_top|&gt;",V1192,"&lt;/a&gt;")</f>
        <v>&lt;/li&gt;&lt;li&gt;&lt;a href=|http://study.interlinearbible.org/hosea/14.htm| title=|Hebrew Study Bible| target=|_top|&gt;Heb Study&lt;/a&gt;</v>
      </c>
      <c r="W876" t="str">
        <f t="shared" si="3500"/>
        <v>&lt;/li&gt;&lt;li&gt;&lt;a href=|http://apostolic.interlinearbible.org/hosea/14.htm| title=|Apostolic Bible Polyglot Interlinear| target=|_top|&gt;Polyglot&lt;/a&gt;</v>
      </c>
      <c r="X876" t="str">
        <f t="shared" si="3500"/>
        <v>&lt;/li&gt;&lt;li&gt;&lt;a href=|http://interlinearbible.org/hosea/14.htm| title=|Interlinear Bible| target=|_top|&gt;Interlin&lt;/a&gt;</v>
      </c>
      <c r="Y876" t="str">
        <f t="shared" ref="Y876" si="3501">CONCATENATE("&lt;/li&gt;&lt;li&gt;&lt;a href=|http://",Y1191,"/hosea/14.htm","| ","title=|",Y1190,"| target=|_top|&gt;",Y1192,"&lt;/a&gt;")</f>
        <v>&lt;/li&gt;&lt;li&gt;&lt;a href=|http://bibleoutline.org/hosea/14.htm| title=|Outline with People and Places List| target=|_top|&gt;Outline&lt;/a&gt;</v>
      </c>
      <c r="Z876" t="str">
        <f t="shared" si="3500"/>
        <v>&lt;/li&gt;&lt;li&gt;&lt;a href=|http://kjvs.scripturetext.com/hosea/14.htm| title=|King James Bible with Strong's Numbers| target=|_top|&gt;Strong's&lt;/a&gt;</v>
      </c>
      <c r="AA876" t="str">
        <f t="shared" si="3500"/>
        <v>&lt;/li&gt;&lt;li&gt;&lt;a href=|http://childrensbibleonline.com/hosea/14.htm| title=|The Children's Bible| target=|_top|&gt;Children's&lt;/a&gt;</v>
      </c>
      <c r="AB876" s="2" t="str">
        <f t="shared" si="3500"/>
        <v>&lt;/li&gt;&lt;li&gt;&lt;a href=|http://tsk.scripturetext.com/hosea/14.htm| title=|Treasury of Scripture Knowledge| target=|_top|&gt;TSK&lt;/a&gt;</v>
      </c>
      <c r="AC876" t="str">
        <f>CONCATENATE("&lt;a href=|http://",AC1191,"/hosea/14.htm","| ","title=|",AC1190,"| target=|_top|&gt;",AC1192,"&lt;/a&gt;")</f>
        <v>&lt;a href=|http://parallelbible.com/hosea/14.htm| title=|Parallel Chapters| target=|_top|&gt;PAR&lt;/a&gt;</v>
      </c>
      <c r="AD876" s="2" t="str">
        <f t="shared" ref="AD876:AK876" si="3502">CONCATENATE("&lt;/li&gt;&lt;li&gt;&lt;a href=|http://",AD1191,"/hosea/14.htm","| ","title=|",AD1190,"| target=|_top|&gt;",AD1192,"&lt;/a&gt;")</f>
        <v>&lt;/li&gt;&lt;li&gt;&lt;a href=|http://gsb.biblecommenter.com/hosea/14.htm| title=|Geneva Study Bible| target=|_top|&gt;GSB&lt;/a&gt;</v>
      </c>
      <c r="AE876" s="2" t="str">
        <f t="shared" si="3502"/>
        <v>&lt;/li&gt;&lt;li&gt;&lt;a href=|http://jfb.biblecommenter.com/hosea/14.htm| title=|Jamieson-Fausset-Brown Bible Commentary| target=|_top|&gt;JFB&lt;/a&gt;</v>
      </c>
      <c r="AF876" s="2" t="str">
        <f t="shared" si="3502"/>
        <v>&lt;/li&gt;&lt;li&gt;&lt;a href=|http://kjt.biblecommenter.com/hosea/14.htm| title=|King James Translators' Notes| target=|_top|&gt;KJT&lt;/a&gt;</v>
      </c>
      <c r="AG876" s="2" t="str">
        <f t="shared" si="3502"/>
        <v>&lt;/li&gt;&lt;li&gt;&lt;a href=|http://mhc.biblecommenter.com/hosea/14.htm| title=|Matthew Henry's Concise Commentary| target=|_top|&gt;MHC&lt;/a&gt;</v>
      </c>
      <c r="AH876" s="2" t="str">
        <f t="shared" si="3502"/>
        <v>&lt;/li&gt;&lt;li&gt;&lt;a href=|http://sco.biblecommenter.com/hosea/14.htm| title=|Scofield Reference Notes| target=|_top|&gt;SCO&lt;/a&gt;</v>
      </c>
      <c r="AI876" s="2" t="str">
        <f t="shared" si="3502"/>
        <v>&lt;/li&gt;&lt;li&gt;&lt;a href=|http://wes.biblecommenter.com/hosea/14.htm| title=|Wesley's Notes on the Bible| target=|_top|&gt;WES&lt;/a&gt;</v>
      </c>
      <c r="AJ876" t="str">
        <f t="shared" si="3502"/>
        <v>&lt;/li&gt;&lt;li&gt;&lt;a href=|http://worldebible.com/hosea/14.htm| title=|World English Bible| target=|_top|&gt;WEB&lt;/a&gt;</v>
      </c>
      <c r="AK876" t="str">
        <f t="shared" si="3502"/>
        <v>&lt;/li&gt;&lt;li&gt;&lt;a href=|http://yltbible.com/hosea/14.htm| title=|Young's Literal Translation| target=|_top|&gt;YLT&lt;/a&gt;</v>
      </c>
      <c r="AL876" t="str">
        <f>CONCATENATE("&lt;a href=|http://",AL1191,"/hosea/14.htm","| ","title=|",AL1190,"| target=|_top|&gt;",AL1192,"&lt;/a&gt;")</f>
        <v>&lt;a href=|http://kjv.us/hosea/14.htm| title=|American King James Version| target=|_top|&gt;AKJ&lt;/a&gt;</v>
      </c>
      <c r="AM876" t="str">
        <f t="shared" ref="AM876:AN876" si="3503">CONCATENATE("&lt;/li&gt;&lt;li&gt;&lt;a href=|http://",AM1191,"/hosea/14.htm","| ","title=|",AM1190,"| target=|_top|&gt;",AM1192,"&lt;/a&gt;")</f>
        <v>&lt;/li&gt;&lt;li&gt;&lt;a href=|http://basicenglishbible.com/hosea/14.htm| title=|Bible in Basic English| target=|_top|&gt;BBE&lt;/a&gt;</v>
      </c>
      <c r="AN876" t="str">
        <f t="shared" si="3503"/>
        <v>&lt;/li&gt;&lt;li&gt;&lt;a href=|http://darbybible.com/hosea/14.htm| title=|Darby Bible Translation| target=|_top|&gt;DBY&lt;/a&gt;</v>
      </c>
      <c r="AO87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7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7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76" t="str">
        <f>CONCATENATE("&lt;/li&gt;&lt;li&gt;&lt;a href=|http://",AR1191,"/hosea/14.htm","| ","title=|",AR1190,"| target=|_top|&gt;",AR1192,"&lt;/a&gt;")</f>
        <v>&lt;/li&gt;&lt;li&gt;&lt;a href=|http://websterbible.com/hosea/14.htm| title=|Webster's Bible Translation| target=|_top|&gt;WBS&lt;/a&gt;</v>
      </c>
      <c r="AS87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76" t="str">
        <f>CONCATENATE("&lt;/li&gt;&lt;li&gt;&lt;a href=|http://",AT1191,"/hosea/14-1.htm","| ","title=|",AT1190,"| target=|_top|&gt;",AT1192,"&lt;/a&gt;")</f>
        <v>&lt;/li&gt;&lt;li&gt;&lt;a href=|http://biblebrowser.com/hosea/14-1.htm| title=|Split View| target=|_top|&gt;Split&lt;/a&gt;</v>
      </c>
      <c r="AU876" s="2" t="s">
        <v>1276</v>
      </c>
      <c r="AV876" t="s">
        <v>64</v>
      </c>
    </row>
    <row r="877" spans="1:48">
      <c r="A877" t="s">
        <v>622</v>
      </c>
      <c r="B877" t="s">
        <v>918</v>
      </c>
      <c r="C877" t="s">
        <v>624</v>
      </c>
      <c r="D877" t="s">
        <v>1268</v>
      </c>
      <c r="E877" t="s">
        <v>1277</v>
      </c>
      <c r="F877" t="s">
        <v>1304</v>
      </c>
      <c r="G877" t="s">
        <v>1266</v>
      </c>
      <c r="H877" t="s">
        <v>1305</v>
      </c>
      <c r="I877" t="s">
        <v>1303</v>
      </c>
      <c r="J877" t="s">
        <v>1267</v>
      </c>
      <c r="K877" t="s">
        <v>1275</v>
      </c>
      <c r="L877" s="2" t="s">
        <v>1274</v>
      </c>
      <c r="M877" t="str">
        <f t="shared" ref="M877:AB877" si="3504">CONCATENATE("&lt;/li&gt;&lt;li&gt;&lt;a href=|http://",M1191,"/joel/1.htm","| ","title=|",M1190,"| target=|_top|&gt;",M1192,"&lt;/a&gt;")</f>
        <v>&lt;/li&gt;&lt;li&gt;&lt;a href=|http://niv.scripturetext.com/joel/1.htm| title=|New International Version| target=|_top|&gt;NIV&lt;/a&gt;</v>
      </c>
      <c r="N877" t="str">
        <f t="shared" si="3504"/>
        <v>&lt;/li&gt;&lt;li&gt;&lt;a href=|http://nlt.scripturetext.com/joel/1.htm| title=|New Living Translation| target=|_top|&gt;NLT&lt;/a&gt;</v>
      </c>
      <c r="O877" t="str">
        <f t="shared" si="3504"/>
        <v>&lt;/li&gt;&lt;li&gt;&lt;a href=|http://nasb.scripturetext.com/joel/1.htm| title=|New American Standard Bible| target=|_top|&gt;NAS&lt;/a&gt;</v>
      </c>
      <c r="P877" t="str">
        <f t="shared" si="3504"/>
        <v>&lt;/li&gt;&lt;li&gt;&lt;a href=|http://gwt.scripturetext.com/joel/1.htm| title=|God's Word Translation| target=|_top|&gt;GWT&lt;/a&gt;</v>
      </c>
      <c r="Q877" t="str">
        <f t="shared" si="3504"/>
        <v>&lt;/li&gt;&lt;li&gt;&lt;a href=|http://kingjbible.com/joel/1.htm| title=|King James Bible| target=|_top|&gt;KJV&lt;/a&gt;</v>
      </c>
      <c r="R877" t="str">
        <f t="shared" si="3504"/>
        <v>&lt;/li&gt;&lt;li&gt;&lt;a href=|http://asvbible.com/joel/1.htm| title=|American Standard Version| target=|_top|&gt;ASV&lt;/a&gt;</v>
      </c>
      <c r="S877" t="str">
        <f t="shared" si="3504"/>
        <v>&lt;/li&gt;&lt;li&gt;&lt;a href=|http://drb.scripturetext.com/joel/1.htm| title=|Douay-Rheims Bible| target=|_top|&gt;DRB&lt;/a&gt;</v>
      </c>
      <c r="T877" t="str">
        <f t="shared" si="3504"/>
        <v>&lt;/li&gt;&lt;li&gt;&lt;a href=|http://erv.scripturetext.com/joel/1.htm| title=|English Revised Version| target=|_top|&gt;ERV&lt;/a&gt;</v>
      </c>
      <c r="V877" t="str">
        <f>CONCATENATE("&lt;/li&gt;&lt;li&gt;&lt;a href=|http://",V1191,"/joel/1.htm","| ","title=|",V1190,"| target=|_top|&gt;",V1192,"&lt;/a&gt;")</f>
        <v>&lt;/li&gt;&lt;li&gt;&lt;a href=|http://study.interlinearbible.org/joel/1.htm| title=|Hebrew Study Bible| target=|_top|&gt;Heb Study&lt;/a&gt;</v>
      </c>
      <c r="W877" t="str">
        <f t="shared" si="3504"/>
        <v>&lt;/li&gt;&lt;li&gt;&lt;a href=|http://apostolic.interlinearbible.org/joel/1.htm| title=|Apostolic Bible Polyglot Interlinear| target=|_top|&gt;Polyglot&lt;/a&gt;</v>
      </c>
      <c r="X877" t="str">
        <f t="shared" si="3504"/>
        <v>&lt;/li&gt;&lt;li&gt;&lt;a href=|http://interlinearbible.org/joel/1.htm| title=|Interlinear Bible| target=|_top|&gt;Interlin&lt;/a&gt;</v>
      </c>
      <c r="Y877" t="str">
        <f t="shared" ref="Y877" si="3505">CONCATENATE("&lt;/li&gt;&lt;li&gt;&lt;a href=|http://",Y1191,"/joel/1.htm","| ","title=|",Y1190,"| target=|_top|&gt;",Y1192,"&lt;/a&gt;")</f>
        <v>&lt;/li&gt;&lt;li&gt;&lt;a href=|http://bibleoutline.org/joel/1.htm| title=|Outline with People and Places List| target=|_top|&gt;Outline&lt;/a&gt;</v>
      </c>
      <c r="Z877" t="str">
        <f t="shared" si="3504"/>
        <v>&lt;/li&gt;&lt;li&gt;&lt;a href=|http://kjvs.scripturetext.com/joel/1.htm| title=|King James Bible with Strong's Numbers| target=|_top|&gt;Strong's&lt;/a&gt;</v>
      </c>
      <c r="AA877" t="str">
        <f t="shared" si="3504"/>
        <v>&lt;/li&gt;&lt;li&gt;&lt;a href=|http://childrensbibleonline.com/joel/1.htm| title=|The Children's Bible| target=|_top|&gt;Children's&lt;/a&gt;</v>
      </c>
      <c r="AB877" s="2" t="str">
        <f t="shared" si="3504"/>
        <v>&lt;/li&gt;&lt;li&gt;&lt;a href=|http://tsk.scripturetext.com/joel/1.htm| title=|Treasury of Scripture Knowledge| target=|_top|&gt;TSK&lt;/a&gt;</v>
      </c>
      <c r="AC877" t="str">
        <f>CONCATENATE("&lt;a href=|http://",AC1191,"/joel/1.htm","| ","title=|",AC1190,"| target=|_top|&gt;",AC1192,"&lt;/a&gt;")</f>
        <v>&lt;a href=|http://parallelbible.com/joel/1.htm| title=|Parallel Chapters| target=|_top|&gt;PAR&lt;/a&gt;</v>
      </c>
      <c r="AD877" s="2" t="str">
        <f t="shared" ref="AD877:AK877" si="3506">CONCATENATE("&lt;/li&gt;&lt;li&gt;&lt;a href=|http://",AD1191,"/joel/1.htm","| ","title=|",AD1190,"| target=|_top|&gt;",AD1192,"&lt;/a&gt;")</f>
        <v>&lt;/li&gt;&lt;li&gt;&lt;a href=|http://gsb.biblecommenter.com/joel/1.htm| title=|Geneva Study Bible| target=|_top|&gt;GSB&lt;/a&gt;</v>
      </c>
      <c r="AE877" s="2" t="str">
        <f t="shared" si="3506"/>
        <v>&lt;/li&gt;&lt;li&gt;&lt;a href=|http://jfb.biblecommenter.com/joel/1.htm| title=|Jamieson-Fausset-Brown Bible Commentary| target=|_top|&gt;JFB&lt;/a&gt;</v>
      </c>
      <c r="AF877" s="2" t="str">
        <f t="shared" si="3506"/>
        <v>&lt;/li&gt;&lt;li&gt;&lt;a href=|http://kjt.biblecommenter.com/joel/1.htm| title=|King James Translators' Notes| target=|_top|&gt;KJT&lt;/a&gt;</v>
      </c>
      <c r="AG877" s="2" t="str">
        <f t="shared" si="3506"/>
        <v>&lt;/li&gt;&lt;li&gt;&lt;a href=|http://mhc.biblecommenter.com/joel/1.htm| title=|Matthew Henry's Concise Commentary| target=|_top|&gt;MHC&lt;/a&gt;</v>
      </c>
      <c r="AH877" s="2" t="str">
        <f t="shared" si="3506"/>
        <v>&lt;/li&gt;&lt;li&gt;&lt;a href=|http://sco.biblecommenter.com/joel/1.htm| title=|Scofield Reference Notes| target=|_top|&gt;SCO&lt;/a&gt;</v>
      </c>
      <c r="AI877" s="2" t="str">
        <f t="shared" si="3506"/>
        <v>&lt;/li&gt;&lt;li&gt;&lt;a href=|http://wes.biblecommenter.com/joel/1.htm| title=|Wesley's Notes on the Bible| target=|_top|&gt;WES&lt;/a&gt;</v>
      </c>
      <c r="AJ877" t="str">
        <f t="shared" si="3506"/>
        <v>&lt;/li&gt;&lt;li&gt;&lt;a href=|http://worldebible.com/joel/1.htm| title=|World English Bible| target=|_top|&gt;WEB&lt;/a&gt;</v>
      </c>
      <c r="AK877" t="str">
        <f t="shared" si="3506"/>
        <v>&lt;/li&gt;&lt;li&gt;&lt;a href=|http://yltbible.com/joel/1.htm| title=|Young's Literal Translation| target=|_top|&gt;YLT&lt;/a&gt;</v>
      </c>
      <c r="AL877" t="str">
        <f>CONCATENATE("&lt;a href=|http://",AL1191,"/joel/1.htm","| ","title=|",AL1190,"| target=|_top|&gt;",AL1192,"&lt;/a&gt;")</f>
        <v>&lt;a href=|http://kjv.us/joel/1.htm| title=|American King James Version| target=|_top|&gt;AKJ&lt;/a&gt;</v>
      </c>
      <c r="AM877" t="str">
        <f t="shared" ref="AM877:AN877" si="3507">CONCATENATE("&lt;/li&gt;&lt;li&gt;&lt;a href=|http://",AM1191,"/joel/1.htm","| ","title=|",AM1190,"| target=|_top|&gt;",AM1192,"&lt;/a&gt;")</f>
        <v>&lt;/li&gt;&lt;li&gt;&lt;a href=|http://basicenglishbible.com/joel/1.htm| title=|Bible in Basic English| target=|_top|&gt;BBE&lt;/a&gt;</v>
      </c>
      <c r="AN877" t="str">
        <f t="shared" si="3507"/>
        <v>&lt;/li&gt;&lt;li&gt;&lt;a href=|http://darbybible.com/joel/1.htm| title=|Darby Bible Translation| target=|_top|&gt;DBY&lt;/a&gt;</v>
      </c>
      <c r="AO87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7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7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77" t="str">
        <f>CONCATENATE("&lt;/li&gt;&lt;li&gt;&lt;a href=|http://",AR1191,"/joel/1.htm","| ","title=|",AR1190,"| target=|_top|&gt;",AR1192,"&lt;/a&gt;")</f>
        <v>&lt;/li&gt;&lt;li&gt;&lt;a href=|http://websterbible.com/joel/1.htm| title=|Webster's Bible Translation| target=|_top|&gt;WBS&lt;/a&gt;</v>
      </c>
      <c r="AS87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77" t="str">
        <f>CONCATENATE("&lt;/li&gt;&lt;li&gt;&lt;a href=|http://",AT1191,"/joel/1-1.htm","| ","title=|",AT1190,"| target=|_top|&gt;",AT1192,"&lt;/a&gt;")</f>
        <v>&lt;/li&gt;&lt;li&gt;&lt;a href=|http://biblebrowser.com/joel/1-1.htm| title=|Split View| target=|_top|&gt;Split&lt;/a&gt;</v>
      </c>
      <c r="AU877" s="2" t="s">
        <v>1276</v>
      </c>
      <c r="AV877" t="s">
        <v>64</v>
      </c>
    </row>
    <row r="878" spans="1:48">
      <c r="A878" t="s">
        <v>622</v>
      </c>
      <c r="B878" t="s">
        <v>919</v>
      </c>
      <c r="C878" t="s">
        <v>624</v>
      </c>
      <c r="D878" t="s">
        <v>1268</v>
      </c>
      <c r="E878" t="s">
        <v>1277</v>
      </c>
      <c r="F878" t="s">
        <v>1304</v>
      </c>
      <c r="G878" t="s">
        <v>1266</v>
      </c>
      <c r="H878" t="s">
        <v>1305</v>
      </c>
      <c r="I878" t="s">
        <v>1303</v>
      </c>
      <c r="J878" t="s">
        <v>1267</v>
      </c>
      <c r="K878" t="s">
        <v>1275</v>
      </c>
      <c r="L878" s="2" t="s">
        <v>1274</v>
      </c>
      <c r="M878" t="str">
        <f t="shared" ref="M878:AB878" si="3508">CONCATENATE("&lt;/li&gt;&lt;li&gt;&lt;a href=|http://",M1191,"/joel/2.htm","| ","title=|",M1190,"| target=|_top|&gt;",M1192,"&lt;/a&gt;")</f>
        <v>&lt;/li&gt;&lt;li&gt;&lt;a href=|http://niv.scripturetext.com/joel/2.htm| title=|New International Version| target=|_top|&gt;NIV&lt;/a&gt;</v>
      </c>
      <c r="N878" t="str">
        <f t="shared" si="3508"/>
        <v>&lt;/li&gt;&lt;li&gt;&lt;a href=|http://nlt.scripturetext.com/joel/2.htm| title=|New Living Translation| target=|_top|&gt;NLT&lt;/a&gt;</v>
      </c>
      <c r="O878" t="str">
        <f t="shared" si="3508"/>
        <v>&lt;/li&gt;&lt;li&gt;&lt;a href=|http://nasb.scripturetext.com/joel/2.htm| title=|New American Standard Bible| target=|_top|&gt;NAS&lt;/a&gt;</v>
      </c>
      <c r="P878" t="str">
        <f t="shared" si="3508"/>
        <v>&lt;/li&gt;&lt;li&gt;&lt;a href=|http://gwt.scripturetext.com/joel/2.htm| title=|God's Word Translation| target=|_top|&gt;GWT&lt;/a&gt;</v>
      </c>
      <c r="Q878" t="str">
        <f t="shared" si="3508"/>
        <v>&lt;/li&gt;&lt;li&gt;&lt;a href=|http://kingjbible.com/joel/2.htm| title=|King James Bible| target=|_top|&gt;KJV&lt;/a&gt;</v>
      </c>
      <c r="R878" t="str">
        <f t="shared" si="3508"/>
        <v>&lt;/li&gt;&lt;li&gt;&lt;a href=|http://asvbible.com/joel/2.htm| title=|American Standard Version| target=|_top|&gt;ASV&lt;/a&gt;</v>
      </c>
      <c r="S878" t="str">
        <f t="shared" si="3508"/>
        <v>&lt;/li&gt;&lt;li&gt;&lt;a href=|http://drb.scripturetext.com/joel/2.htm| title=|Douay-Rheims Bible| target=|_top|&gt;DRB&lt;/a&gt;</v>
      </c>
      <c r="T878" t="str">
        <f t="shared" si="3508"/>
        <v>&lt;/li&gt;&lt;li&gt;&lt;a href=|http://erv.scripturetext.com/joel/2.htm| title=|English Revised Version| target=|_top|&gt;ERV&lt;/a&gt;</v>
      </c>
      <c r="V878" t="str">
        <f>CONCATENATE("&lt;/li&gt;&lt;li&gt;&lt;a href=|http://",V1191,"/joel/2.htm","| ","title=|",V1190,"| target=|_top|&gt;",V1192,"&lt;/a&gt;")</f>
        <v>&lt;/li&gt;&lt;li&gt;&lt;a href=|http://study.interlinearbible.org/joel/2.htm| title=|Hebrew Study Bible| target=|_top|&gt;Heb Study&lt;/a&gt;</v>
      </c>
      <c r="W878" t="str">
        <f t="shared" si="3508"/>
        <v>&lt;/li&gt;&lt;li&gt;&lt;a href=|http://apostolic.interlinearbible.org/joel/2.htm| title=|Apostolic Bible Polyglot Interlinear| target=|_top|&gt;Polyglot&lt;/a&gt;</v>
      </c>
      <c r="X878" t="str">
        <f t="shared" si="3508"/>
        <v>&lt;/li&gt;&lt;li&gt;&lt;a href=|http://interlinearbible.org/joel/2.htm| title=|Interlinear Bible| target=|_top|&gt;Interlin&lt;/a&gt;</v>
      </c>
      <c r="Y878" t="str">
        <f t="shared" ref="Y878" si="3509">CONCATENATE("&lt;/li&gt;&lt;li&gt;&lt;a href=|http://",Y1191,"/joel/2.htm","| ","title=|",Y1190,"| target=|_top|&gt;",Y1192,"&lt;/a&gt;")</f>
        <v>&lt;/li&gt;&lt;li&gt;&lt;a href=|http://bibleoutline.org/joel/2.htm| title=|Outline with People and Places List| target=|_top|&gt;Outline&lt;/a&gt;</v>
      </c>
      <c r="Z878" t="str">
        <f t="shared" si="3508"/>
        <v>&lt;/li&gt;&lt;li&gt;&lt;a href=|http://kjvs.scripturetext.com/joel/2.htm| title=|King James Bible with Strong's Numbers| target=|_top|&gt;Strong's&lt;/a&gt;</v>
      </c>
      <c r="AA878" t="str">
        <f t="shared" si="3508"/>
        <v>&lt;/li&gt;&lt;li&gt;&lt;a href=|http://childrensbibleonline.com/joel/2.htm| title=|The Children's Bible| target=|_top|&gt;Children's&lt;/a&gt;</v>
      </c>
      <c r="AB878" s="2" t="str">
        <f t="shared" si="3508"/>
        <v>&lt;/li&gt;&lt;li&gt;&lt;a href=|http://tsk.scripturetext.com/joel/2.htm| title=|Treasury of Scripture Knowledge| target=|_top|&gt;TSK&lt;/a&gt;</v>
      </c>
      <c r="AC878" t="str">
        <f>CONCATENATE("&lt;a href=|http://",AC1191,"/joel/2.htm","| ","title=|",AC1190,"| target=|_top|&gt;",AC1192,"&lt;/a&gt;")</f>
        <v>&lt;a href=|http://parallelbible.com/joel/2.htm| title=|Parallel Chapters| target=|_top|&gt;PAR&lt;/a&gt;</v>
      </c>
      <c r="AD878" s="2" t="str">
        <f t="shared" ref="AD878:AK878" si="3510">CONCATENATE("&lt;/li&gt;&lt;li&gt;&lt;a href=|http://",AD1191,"/joel/2.htm","| ","title=|",AD1190,"| target=|_top|&gt;",AD1192,"&lt;/a&gt;")</f>
        <v>&lt;/li&gt;&lt;li&gt;&lt;a href=|http://gsb.biblecommenter.com/joel/2.htm| title=|Geneva Study Bible| target=|_top|&gt;GSB&lt;/a&gt;</v>
      </c>
      <c r="AE878" s="2" t="str">
        <f t="shared" si="3510"/>
        <v>&lt;/li&gt;&lt;li&gt;&lt;a href=|http://jfb.biblecommenter.com/joel/2.htm| title=|Jamieson-Fausset-Brown Bible Commentary| target=|_top|&gt;JFB&lt;/a&gt;</v>
      </c>
      <c r="AF878" s="2" t="str">
        <f t="shared" si="3510"/>
        <v>&lt;/li&gt;&lt;li&gt;&lt;a href=|http://kjt.biblecommenter.com/joel/2.htm| title=|King James Translators' Notes| target=|_top|&gt;KJT&lt;/a&gt;</v>
      </c>
      <c r="AG878" s="2" t="str">
        <f t="shared" si="3510"/>
        <v>&lt;/li&gt;&lt;li&gt;&lt;a href=|http://mhc.biblecommenter.com/joel/2.htm| title=|Matthew Henry's Concise Commentary| target=|_top|&gt;MHC&lt;/a&gt;</v>
      </c>
      <c r="AH878" s="2" t="str">
        <f t="shared" si="3510"/>
        <v>&lt;/li&gt;&lt;li&gt;&lt;a href=|http://sco.biblecommenter.com/joel/2.htm| title=|Scofield Reference Notes| target=|_top|&gt;SCO&lt;/a&gt;</v>
      </c>
      <c r="AI878" s="2" t="str">
        <f t="shared" si="3510"/>
        <v>&lt;/li&gt;&lt;li&gt;&lt;a href=|http://wes.biblecommenter.com/joel/2.htm| title=|Wesley's Notes on the Bible| target=|_top|&gt;WES&lt;/a&gt;</v>
      </c>
      <c r="AJ878" t="str">
        <f t="shared" si="3510"/>
        <v>&lt;/li&gt;&lt;li&gt;&lt;a href=|http://worldebible.com/joel/2.htm| title=|World English Bible| target=|_top|&gt;WEB&lt;/a&gt;</v>
      </c>
      <c r="AK878" t="str">
        <f t="shared" si="3510"/>
        <v>&lt;/li&gt;&lt;li&gt;&lt;a href=|http://yltbible.com/joel/2.htm| title=|Young's Literal Translation| target=|_top|&gt;YLT&lt;/a&gt;</v>
      </c>
      <c r="AL878" t="str">
        <f>CONCATENATE("&lt;a href=|http://",AL1191,"/joel/2.htm","| ","title=|",AL1190,"| target=|_top|&gt;",AL1192,"&lt;/a&gt;")</f>
        <v>&lt;a href=|http://kjv.us/joel/2.htm| title=|American King James Version| target=|_top|&gt;AKJ&lt;/a&gt;</v>
      </c>
      <c r="AM878" t="str">
        <f t="shared" ref="AM878:AN878" si="3511">CONCATENATE("&lt;/li&gt;&lt;li&gt;&lt;a href=|http://",AM1191,"/joel/2.htm","| ","title=|",AM1190,"| target=|_top|&gt;",AM1192,"&lt;/a&gt;")</f>
        <v>&lt;/li&gt;&lt;li&gt;&lt;a href=|http://basicenglishbible.com/joel/2.htm| title=|Bible in Basic English| target=|_top|&gt;BBE&lt;/a&gt;</v>
      </c>
      <c r="AN878" t="str">
        <f t="shared" si="3511"/>
        <v>&lt;/li&gt;&lt;li&gt;&lt;a href=|http://darbybible.com/joel/2.htm| title=|Darby Bible Translation| target=|_top|&gt;DBY&lt;/a&gt;</v>
      </c>
      <c r="AO87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7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7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78" t="str">
        <f>CONCATENATE("&lt;/li&gt;&lt;li&gt;&lt;a href=|http://",AR1191,"/joel/2.htm","| ","title=|",AR1190,"| target=|_top|&gt;",AR1192,"&lt;/a&gt;")</f>
        <v>&lt;/li&gt;&lt;li&gt;&lt;a href=|http://websterbible.com/joel/2.htm| title=|Webster's Bible Translation| target=|_top|&gt;WBS&lt;/a&gt;</v>
      </c>
      <c r="AS87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78" t="str">
        <f>CONCATENATE("&lt;/li&gt;&lt;li&gt;&lt;a href=|http://",AT1191,"/joel/2-1.htm","| ","title=|",AT1190,"| target=|_top|&gt;",AT1192,"&lt;/a&gt;")</f>
        <v>&lt;/li&gt;&lt;li&gt;&lt;a href=|http://biblebrowser.com/joel/2-1.htm| title=|Split View| target=|_top|&gt;Split&lt;/a&gt;</v>
      </c>
      <c r="AU878" s="2" t="s">
        <v>1276</v>
      </c>
      <c r="AV878" t="s">
        <v>64</v>
      </c>
    </row>
    <row r="879" spans="1:48">
      <c r="A879" t="s">
        <v>622</v>
      </c>
      <c r="B879" t="s">
        <v>920</v>
      </c>
      <c r="C879" t="s">
        <v>624</v>
      </c>
      <c r="D879" t="s">
        <v>1268</v>
      </c>
      <c r="E879" t="s">
        <v>1277</v>
      </c>
      <c r="F879" t="s">
        <v>1304</v>
      </c>
      <c r="G879" t="s">
        <v>1266</v>
      </c>
      <c r="H879" t="s">
        <v>1305</v>
      </c>
      <c r="I879" t="s">
        <v>1303</v>
      </c>
      <c r="J879" t="s">
        <v>1267</v>
      </c>
      <c r="K879" t="s">
        <v>1275</v>
      </c>
      <c r="L879" s="2" t="s">
        <v>1274</v>
      </c>
      <c r="M879" t="str">
        <f t="shared" ref="M879:AB879" si="3512">CONCATENATE("&lt;/li&gt;&lt;li&gt;&lt;a href=|http://",M1191,"/joel/3.htm","| ","title=|",M1190,"| target=|_top|&gt;",M1192,"&lt;/a&gt;")</f>
        <v>&lt;/li&gt;&lt;li&gt;&lt;a href=|http://niv.scripturetext.com/joel/3.htm| title=|New International Version| target=|_top|&gt;NIV&lt;/a&gt;</v>
      </c>
      <c r="N879" t="str">
        <f t="shared" si="3512"/>
        <v>&lt;/li&gt;&lt;li&gt;&lt;a href=|http://nlt.scripturetext.com/joel/3.htm| title=|New Living Translation| target=|_top|&gt;NLT&lt;/a&gt;</v>
      </c>
      <c r="O879" t="str">
        <f t="shared" si="3512"/>
        <v>&lt;/li&gt;&lt;li&gt;&lt;a href=|http://nasb.scripturetext.com/joel/3.htm| title=|New American Standard Bible| target=|_top|&gt;NAS&lt;/a&gt;</v>
      </c>
      <c r="P879" t="str">
        <f t="shared" si="3512"/>
        <v>&lt;/li&gt;&lt;li&gt;&lt;a href=|http://gwt.scripturetext.com/joel/3.htm| title=|God's Word Translation| target=|_top|&gt;GWT&lt;/a&gt;</v>
      </c>
      <c r="Q879" t="str">
        <f t="shared" si="3512"/>
        <v>&lt;/li&gt;&lt;li&gt;&lt;a href=|http://kingjbible.com/joel/3.htm| title=|King James Bible| target=|_top|&gt;KJV&lt;/a&gt;</v>
      </c>
      <c r="R879" t="str">
        <f t="shared" si="3512"/>
        <v>&lt;/li&gt;&lt;li&gt;&lt;a href=|http://asvbible.com/joel/3.htm| title=|American Standard Version| target=|_top|&gt;ASV&lt;/a&gt;</v>
      </c>
      <c r="S879" t="str">
        <f t="shared" si="3512"/>
        <v>&lt;/li&gt;&lt;li&gt;&lt;a href=|http://drb.scripturetext.com/joel/3.htm| title=|Douay-Rheims Bible| target=|_top|&gt;DRB&lt;/a&gt;</v>
      </c>
      <c r="T879" t="str">
        <f t="shared" si="3512"/>
        <v>&lt;/li&gt;&lt;li&gt;&lt;a href=|http://erv.scripturetext.com/joel/3.htm| title=|English Revised Version| target=|_top|&gt;ERV&lt;/a&gt;</v>
      </c>
      <c r="V879" t="str">
        <f>CONCATENATE("&lt;/li&gt;&lt;li&gt;&lt;a href=|http://",V1191,"/joel/3.htm","| ","title=|",V1190,"| target=|_top|&gt;",V1192,"&lt;/a&gt;")</f>
        <v>&lt;/li&gt;&lt;li&gt;&lt;a href=|http://study.interlinearbible.org/joel/3.htm| title=|Hebrew Study Bible| target=|_top|&gt;Heb Study&lt;/a&gt;</v>
      </c>
      <c r="W879" t="str">
        <f t="shared" si="3512"/>
        <v>&lt;/li&gt;&lt;li&gt;&lt;a href=|http://apostolic.interlinearbible.org/joel/3.htm| title=|Apostolic Bible Polyglot Interlinear| target=|_top|&gt;Polyglot&lt;/a&gt;</v>
      </c>
      <c r="X879" t="str">
        <f t="shared" si="3512"/>
        <v>&lt;/li&gt;&lt;li&gt;&lt;a href=|http://interlinearbible.org/joel/3.htm| title=|Interlinear Bible| target=|_top|&gt;Interlin&lt;/a&gt;</v>
      </c>
      <c r="Y879" t="str">
        <f t="shared" ref="Y879" si="3513">CONCATENATE("&lt;/li&gt;&lt;li&gt;&lt;a href=|http://",Y1191,"/joel/3.htm","| ","title=|",Y1190,"| target=|_top|&gt;",Y1192,"&lt;/a&gt;")</f>
        <v>&lt;/li&gt;&lt;li&gt;&lt;a href=|http://bibleoutline.org/joel/3.htm| title=|Outline with People and Places List| target=|_top|&gt;Outline&lt;/a&gt;</v>
      </c>
      <c r="Z879" t="str">
        <f t="shared" si="3512"/>
        <v>&lt;/li&gt;&lt;li&gt;&lt;a href=|http://kjvs.scripturetext.com/joel/3.htm| title=|King James Bible with Strong's Numbers| target=|_top|&gt;Strong's&lt;/a&gt;</v>
      </c>
      <c r="AA879" t="str">
        <f t="shared" si="3512"/>
        <v>&lt;/li&gt;&lt;li&gt;&lt;a href=|http://childrensbibleonline.com/joel/3.htm| title=|The Children's Bible| target=|_top|&gt;Children's&lt;/a&gt;</v>
      </c>
      <c r="AB879" s="2" t="str">
        <f t="shared" si="3512"/>
        <v>&lt;/li&gt;&lt;li&gt;&lt;a href=|http://tsk.scripturetext.com/joel/3.htm| title=|Treasury of Scripture Knowledge| target=|_top|&gt;TSK&lt;/a&gt;</v>
      </c>
      <c r="AC879" t="str">
        <f>CONCATENATE("&lt;a href=|http://",AC1191,"/joel/3.htm","| ","title=|",AC1190,"| target=|_top|&gt;",AC1192,"&lt;/a&gt;")</f>
        <v>&lt;a href=|http://parallelbible.com/joel/3.htm| title=|Parallel Chapters| target=|_top|&gt;PAR&lt;/a&gt;</v>
      </c>
      <c r="AD879" s="2" t="str">
        <f t="shared" ref="AD879:AK879" si="3514">CONCATENATE("&lt;/li&gt;&lt;li&gt;&lt;a href=|http://",AD1191,"/joel/3.htm","| ","title=|",AD1190,"| target=|_top|&gt;",AD1192,"&lt;/a&gt;")</f>
        <v>&lt;/li&gt;&lt;li&gt;&lt;a href=|http://gsb.biblecommenter.com/joel/3.htm| title=|Geneva Study Bible| target=|_top|&gt;GSB&lt;/a&gt;</v>
      </c>
      <c r="AE879" s="2" t="str">
        <f t="shared" si="3514"/>
        <v>&lt;/li&gt;&lt;li&gt;&lt;a href=|http://jfb.biblecommenter.com/joel/3.htm| title=|Jamieson-Fausset-Brown Bible Commentary| target=|_top|&gt;JFB&lt;/a&gt;</v>
      </c>
      <c r="AF879" s="2" t="str">
        <f t="shared" si="3514"/>
        <v>&lt;/li&gt;&lt;li&gt;&lt;a href=|http://kjt.biblecommenter.com/joel/3.htm| title=|King James Translators' Notes| target=|_top|&gt;KJT&lt;/a&gt;</v>
      </c>
      <c r="AG879" s="2" t="str">
        <f t="shared" si="3514"/>
        <v>&lt;/li&gt;&lt;li&gt;&lt;a href=|http://mhc.biblecommenter.com/joel/3.htm| title=|Matthew Henry's Concise Commentary| target=|_top|&gt;MHC&lt;/a&gt;</v>
      </c>
      <c r="AH879" s="2" t="str">
        <f t="shared" si="3514"/>
        <v>&lt;/li&gt;&lt;li&gt;&lt;a href=|http://sco.biblecommenter.com/joel/3.htm| title=|Scofield Reference Notes| target=|_top|&gt;SCO&lt;/a&gt;</v>
      </c>
      <c r="AI879" s="2" t="str">
        <f t="shared" si="3514"/>
        <v>&lt;/li&gt;&lt;li&gt;&lt;a href=|http://wes.biblecommenter.com/joel/3.htm| title=|Wesley's Notes on the Bible| target=|_top|&gt;WES&lt;/a&gt;</v>
      </c>
      <c r="AJ879" t="str">
        <f t="shared" si="3514"/>
        <v>&lt;/li&gt;&lt;li&gt;&lt;a href=|http://worldebible.com/joel/3.htm| title=|World English Bible| target=|_top|&gt;WEB&lt;/a&gt;</v>
      </c>
      <c r="AK879" t="str">
        <f t="shared" si="3514"/>
        <v>&lt;/li&gt;&lt;li&gt;&lt;a href=|http://yltbible.com/joel/3.htm| title=|Young's Literal Translation| target=|_top|&gt;YLT&lt;/a&gt;</v>
      </c>
      <c r="AL879" t="str">
        <f>CONCATENATE("&lt;a href=|http://",AL1191,"/joel/3.htm","| ","title=|",AL1190,"| target=|_top|&gt;",AL1192,"&lt;/a&gt;")</f>
        <v>&lt;a href=|http://kjv.us/joel/3.htm| title=|American King James Version| target=|_top|&gt;AKJ&lt;/a&gt;</v>
      </c>
      <c r="AM879" t="str">
        <f t="shared" ref="AM879:AN879" si="3515">CONCATENATE("&lt;/li&gt;&lt;li&gt;&lt;a href=|http://",AM1191,"/joel/3.htm","| ","title=|",AM1190,"| target=|_top|&gt;",AM1192,"&lt;/a&gt;")</f>
        <v>&lt;/li&gt;&lt;li&gt;&lt;a href=|http://basicenglishbible.com/joel/3.htm| title=|Bible in Basic English| target=|_top|&gt;BBE&lt;/a&gt;</v>
      </c>
      <c r="AN879" t="str">
        <f t="shared" si="3515"/>
        <v>&lt;/li&gt;&lt;li&gt;&lt;a href=|http://darbybible.com/joel/3.htm| title=|Darby Bible Translation| target=|_top|&gt;DBY&lt;/a&gt;</v>
      </c>
      <c r="AO87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7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7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79" t="str">
        <f>CONCATENATE("&lt;/li&gt;&lt;li&gt;&lt;a href=|http://",AR1191,"/joel/3.htm","| ","title=|",AR1190,"| target=|_top|&gt;",AR1192,"&lt;/a&gt;")</f>
        <v>&lt;/li&gt;&lt;li&gt;&lt;a href=|http://websterbible.com/joel/3.htm| title=|Webster's Bible Translation| target=|_top|&gt;WBS&lt;/a&gt;</v>
      </c>
      <c r="AS87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79" t="str">
        <f>CONCATENATE("&lt;/li&gt;&lt;li&gt;&lt;a href=|http://",AT1191,"/joel/3-1.htm","| ","title=|",AT1190,"| target=|_top|&gt;",AT1192,"&lt;/a&gt;")</f>
        <v>&lt;/li&gt;&lt;li&gt;&lt;a href=|http://biblebrowser.com/joel/3-1.htm| title=|Split View| target=|_top|&gt;Split&lt;/a&gt;</v>
      </c>
      <c r="AU879" s="2" t="s">
        <v>1276</v>
      </c>
      <c r="AV879" t="s">
        <v>64</v>
      </c>
    </row>
    <row r="880" spans="1:48">
      <c r="A880" t="s">
        <v>622</v>
      </c>
      <c r="B880" t="s">
        <v>921</v>
      </c>
      <c r="C880" t="s">
        <v>624</v>
      </c>
      <c r="D880" t="s">
        <v>1268</v>
      </c>
      <c r="E880" t="s">
        <v>1277</v>
      </c>
      <c r="F880" t="s">
        <v>1304</v>
      </c>
      <c r="G880" t="s">
        <v>1266</v>
      </c>
      <c r="H880" t="s">
        <v>1305</v>
      </c>
      <c r="I880" t="s">
        <v>1303</v>
      </c>
      <c r="J880" t="s">
        <v>1267</v>
      </c>
      <c r="K880" t="s">
        <v>1275</v>
      </c>
      <c r="L880" s="2" t="s">
        <v>1274</v>
      </c>
      <c r="M880" t="str">
        <f t="shared" ref="M880:AB880" si="3516">CONCATENATE("&lt;/li&gt;&lt;li&gt;&lt;a href=|http://",M1191,"/amos/1.htm","| ","title=|",M1190,"| target=|_top|&gt;",M1192,"&lt;/a&gt;")</f>
        <v>&lt;/li&gt;&lt;li&gt;&lt;a href=|http://niv.scripturetext.com/amos/1.htm| title=|New International Version| target=|_top|&gt;NIV&lt;/a&gt;</v>
      </c>
      <c r="N880" t="str">
        <f t="shared" si="3516"/>
        <v>&lt;/li&gt;&lt;li&gt;&lt;a href=|http://nlt.scripturetext.com/amos/1.htm| title=|New Living Translation| target=|_top|&gt;NLT&lt;/a&gt;</v>
      </c>
      <c r="O880" t="str">
        <f t="shared" si="3516"/>
        <v>&lt;/li&gt;&lt;li&gt;&lt;a href=|http://nasb.scripturetext.com/amos/1.htm| title=|New American Standard Bible| target=|_top|&gt;NAS&lt;/a&gt;</v>
      </c>
      <c r="P880" t="str">
        <f t="shared" si="3516"/>
        <v>&lt;/li&gt;&lt;li&gt;&lt;a href=|http://gwt.scripturetext.com/amos/1.htm| title=|God's Word Translation| target=|_top|&gt;GWT&lt;/a&gt;</v>
      </c>
      <c r="Q880" t="str">
        <f t="shared" si="3516"/>
        <v>&lt;/li&gt;&lt;li&gt;&lt;a href=|http://kingjbible.com/amos/1.htm| title=|King James Bible| target=|_top|&gt;KJV&lt;/a&gt;</v>
      </c>
      <c r="R880" t="str">
        <f t="shared" si="3516"/>
        <v>&lt;/li&gt;&lt;li&gt;&lt;a href=|http://asvbible.com/amos/1.htm| title=|American Standard Version| target=|_top|&gt;ASV&lt;/a&gt;</v>
      </c>
      <c r="S880" t="str">
        <f t="shared" si="3516"/>
        <v>&lt;/li&gt;&lt;li&gt;&lt;a href=|http://drb.scripturetext.com/amos/1.htm| title=|Douay-Rheims Bible| target=|_top|&gt;DRB&lt;/a&gt;</v>
      </c>
      <c r="T880" t="str">
        <f t="shared" si="3516"/>
        <v>&lt;/li&gt;&lt;li&gt;&lt;a href=|http://erv.scripturetext.com/amos/1.htm| title=|English Revised Version| target=|_top|&gt;ERV&lt;/a&gt;</v>
      </c>
      <c r="V880" t="str">
        <f>CONCATENATE("&lt;/li&gt;&lt;li&gt;&lt;a href=|http://",V1191,"/amos/1.htm","| ","title=|",V1190,"| target=|_top|&gt;",V1192,"&lt;/a&gt;")</f>
        <v>&lt;/li&gt;&lt;li&gt;&lt;a href=|http://study.interlinearbible.org/amos/1.htm| title=|Hebrew Study Bible| target=|_top|&gt;Heb Study&lt;/a&gt;</v>
      </c>
      <c r="W880" t="str">
        <f t="shared" si="3516"/>
        <v>&lt;/li&gt;&lt;li&gt;&lt;a href=|http://apostolic.interlinearbible.org/amos/1.htm| title=|Apostolic Bible Polyglot Interlinear| target=|_top|&gt;Polyglot&lt;/a&gt;</v>
      </c>
      <c r="X880" t="str">
        <f t="shared" si="3516"/>
        <v>&lt;/li&gt;&lt;li&gt;&lt;a href=|http://interlinearbible.org/amos/1.htm| title=|Interlinear Bible| target=|_top|&gt;Interlin&lt;/a&gt;</v>
      </c>
      <c r="Y880" t="str">
        <f t="shared" ref="Y880" si="3517">CONCATENATE("&lt;/li&gt;&lt;li&gt;&lt;a href=|http://",Y1191,"/amos/1.htm","| ","title=|",Y1190,"| target=|_top|&gt;",Y1192,"&lt;/a&gt;")</f>
        <v>&lt;/li&gt;&lt;li&gt;&lt;a href=|http://bibleoutline.org/amos/1.htm| title=|Outline with People and Places List| target=|_top|&gt;Outline&lt;/a&gt;</v>
      </c>
      <c r="Z880" t="str">
        <f t="shared" si="3516"/>
        <v>&lt;/li&gt;&lt;li&gt;&lt;a href=|http://kjvs.scripturetext.com/amos/1.htm| title=|King James Bible with Strong's Numbers| target=|_top|&gt;Strong's&lt;/a&gt;</v>
      </c>
      <c r="AA880" t="str">
        <f t="shared" si="3516"/>
        <v>&lt;/li&gt;&lt;li&gt;&lt;a href=|http://childrensbibleonline.com/amos/1.htm| title=|The Children's Bible| target=|_top|&gt;Children's&lt;/a&gt;</v>
      </c>
      <c r="AB880" s="2" t="str">
        <f t="shared" si="3516"/>
        <v>&lt;/li&gt;&lt;li&gt;&lt;a href=|http://tsk.scripturetext.com/amos/1.htm| title=|Treasury of Scripture Knowledge| target=|_top|&gt;TSK&lt;/a&gt;</v>
      </c>
      <c r="AC880" t="str">
        <f>CONCATENATE("&lt;a href=|http://",AC1191,"/amos/1.htm","| ","title=|",AC1190,"| target=|_top|&gt;",AC1192,"&lt;/a&gt;")</f>
        <v>&lt;a href=|http://parallelbible.com/amos/1.htm| title=|Parallel Chapters| target=|_top|&gt;PAR&lt;/a&gt;</v>
      </c>
      <c r="AD880" s="2" t="str">
        <f t="shared" ref="AD880:AK880" si="3518">CONCATENATE("&lt;/li&gt;&lt;li&gt;&lt;a href=|http://",AD1191,"/amos/1.htm","| ","title=|",AD1190,"| target=|_top|&gt;",AD1192,"&lt;/a&gt;")</f>
        <v>&lt;/li&gt;&lt;li&gt;&lt;a href=|http://gsb.biblecommenter.com/amos/1.htm| title=|Geneva Study Bible| target=|_top|&gt;GSB&lt;/a&gt;</v>
      </c>
      <c r="AE880" s="2" t="str">
        <f t="shared" si="3518"/>
        <v>&lt;/li&gt;&lt;li&gt;&lt;a href=|http://jfb.biblecommenter.com/amos/1.htm| title=|Jamieson-Fausset-Brown Bible Commentary| target=|_top|&gt;JFB&lt;/a&gt;</v>
      </c>
      <c r="AF880" s="2" t="str">
        <f t="shared" si="3518"/>
        <v>&lt;/li&gt;&lt;li&gt;&lt;a href=|http://kjt.biblecommenter.com/amos/1.htm| title=|King James Translators' Notes| target=|_top|&gt;KJT&lt;/a&gt;</v>
      </c>
      <c r="AG880" s="2" t="str">
        <f t="shared" si="3518"/>
        <v>&lt;/li&gt;&lt;li&gt;&lt;a href=|http://mhc.biblecommenter.com/amos/1.htm| title=|Matthew Henry's Concise Commentary| target=|_top|&gt;MHC&lt;/a&gt;</v>
      </c>
      <c r="AH880" s="2" t="str">
        <f t="shared" si="3518"/>
        <v>&lt;/li&gt;&lt;li&gt;&lt;a href=|http://sco.biblecommenter.com/amos/1.htm| title=|Scofield Reference Notes| target=|_top|&gt;SCO&lt;/a&gt;</v>
      </c>
      <c r="AI880" s="2" t="str">
        <f t="shared" si="3518"/>
        <v>&lt;/li&gt;&lt;li&gt;&lt;a href=|http://wes.biblecommenter.com/amos/1.htm| title=|Wesley's Notes on the Bible| target=|_top|&gt;WES&lt;/a&gt;</v>
      </c>
      <c r="AJ880" t="str">
        <f t="shared" si="3518"/>
        <v>&lt;/li&gt;&lt;li&gt;&lt;a href=|http://worldebible.com/amos/1.htm| title=|World English Bible| target=|_top|&gt;WEB&lt;/a&gt;</v>
      </c>
      <c r="AK880" t="str">
        <f t="shared" si="3518"/>
        <v>&lt;/li&gt;&lt;li&gt;&lt;a href=|http://yltbible.com/amos/1.htm| title=|Young's Literal Translation| target=|_top|&gt;YLT&lt;/a&gt;</v>
      </c>
      <c r="AL880" t="str">
        <f>CONCATENATE("&lt;a href=|http://",AL1191,"/amos/1.htm","| ","title=|",AL1190,"| target=|_top|&gt;",AL1192,"&lt;/a&gt;")</f>
        <v>&lt;a href=|http://kjv.us/amos/1.htm| title=|American King James Version| target=|_top|&gt;AKJ&lt;/a&gt;</v>
      </c>
      <c r="AM880" t="str">
        <f t="shared" ref="AM880:AN880" si="3519">CONCATENATE("&lt;/li&gt;&lt;li&gt;&lt;a href=|http://",AM1191,"/amos/1.htm","| ","title=|",AM1190,"| target=|_top|&gt;",AM1192,"&lt;/a&gt;")</f>
        <v>&lt;/li&gt;&lt;li&gt;&lt;a href=|http://basicenglishbible.com/amos/1.htm| title=|Bible in Basic English| target=|_top|&gt;BBE&lt;/a&gt;</v>
      </c>
      <c r="AN880" t="str">
        <f t="shared" si="3519"/>
        <v>&lt;/li&gt;&lt;li&gt;&lt;a href=|http://darbybible.com/amos/1.htm| title=|Darby Bible Translation| target=|_top|&gt;DBY&lt;/a&gt;</v>
      </c>
      <c r="AO88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8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8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80" t="str">
        <f>CONCATENATE("&lt;/li&gt;&lt;li&gt;&lt;a href=|http://",AR1191,"/amos/1.htm","| ","title=|",AR1190,"| target=|_top|&gt;",AR1192,"&lt;/a&gt;")</f>
        <v>&lt;/li&gt;&lt;li&gt;&lt;a href=|http://websterbible.com/amos/1.htm| title=|Webster's Bible Translation| target=|_top|&gt;WBS&lt;/a&gt;</v>
      </c>
      <c r="AS88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80" t="str">
        <f>CONCATENATE("&lt;/li&gt;&lt;li&gt;&lt;a href=|http://",AT1191,"/amos/1-1.htm","| ","title=|",AT1190,"| target=|_top|&gt;",AT1192,"&lt;/a&gt;")</f>
        <v>&lt;/li&gt;&lt;li&gt;&lt;a href=|http://biblebrowser.com/amos/1-1.htm| title=|Split View| target=|_top|&gt;Split&lt;/a&gt;</v>
      </c>
      <c r="AU880" s="2" t="s">
        <v>1276</v>
      </c>
      <c r="AV880" t="s">
        <v>64</v>
      </c>
    </row>
    <row r="881" spans="1:48">
      <c r="A881" t="s">
        <v>622</v>
      </c>
      <c r="B881" t="s">
        <v>922</v>
      </c>
      <c r="C881" t="s">
        <v>624</v>
      </c>
      <c r="D881" t="s">
        <v>1268</v>
      </c>
      <c r="E881" t="s">
        <v>1277</v>
      </c>
      <c r="F881" t="s">
        <v>1304</v>
      </c>
      <c r="G881" t="s">
        <v>1266</v>
      </c>
      <c r="H881" t="s">
        <v>1305</v>
      </c>
      <c r="I881" t="s">
        <v>1303</v>
      </c>
      <c r="J881" t="s">
        <v>1267</v>
      </c>
      <c r="K881" t="s">
        <v>1275</v>
      </c>
      <c r="L881" s="2" t="s">
        <v>1274</v>
      </c>
      <c r="M881" t="str">
        <f t="shared" ref="M881:AB881" si="3520">CONCATENATE("&lt;/li&gt;&lt;li&gt;&lt;a href=|http://",M1191,"/amos/2.htm","| ","title=|",M1190,"| target=|_top|&gt;",M1192,"&lt;/a&gt;")</f>
        <v>&lt;/li&gt;&lt;li&gt;&lt;a href=|http://niv.scripturetext.com/amos/2.htm| title=|New International Version| target=|_top|&gt;NIV&lt;/a&gt;</v>
      </c>
      <c r="N881" t="str">
        <f t="shared" si="3520"/>
        <v>&lt;/li&gt;&lt;li&gt;&lt;a href=|http://nlt.scripturetext.com/amos/2.htm| title=|New Living Translation| target=|_top|&gt;NLT&lt;/a&gt;</v>
      </c>
      <c r="O881" t="str">
        <f t="shared" si="3520"/>
        <v>&lt;/li&gt;&lt;li&gt;&lt;a href=|http://nasb.scripturetext.com/amos/2.htm| title=|New American Standard Bible| target=|_top|&gt;NAS&lt;/a&gt;</v>
      </c>
      <c r="P881" t="str">
        <f t="shared" si="3520"/>
        <v>&lt;/li&gt;&lt;li&gt;&lt;a href=|http://gwt.scripturetext.com/amos/2.htm| title=|God's Word Translation| target=|_top|&gt;GWT&lt;/a&gt;</v>
      </c>
      <c r="Q881" t="str">
        <f t="shared" si="3520"/>
        <v>&lt;/li&gt;&lt;li&gt;&lt;a href=|http://kingjbible.com/amos/2.htm| title=|King James Bible| target=|_top|&gt;KJV&lt;/a&gt;</v>
      </c>
      <c r="R881" t="str">
        <f t="shared" si="3520"/>
        <v>&lt;/li&gt;&lt;li&gt;&lt;a href=|http://asvbible.com/amos/2.htm| title=|American Standard Version| target=|_top|&gt;ASV&lt;/a&gt;</v>
      </c>
      <c r="S881" t="str">
        <f t="shared" si="3520"/>
        <v>&lt;/li&gt;&lt;li&gt;&lt;a href=|http://drb.scripturetext.com/amos/2.htm| title=|Douay-Rheims Bible| target=|_top|&gt;DRB&lt;/a&gt;</v>
      </c>
      <c r="T881" t="str">
        <f t="shared" si="3520"/>
        <v>&lt;/li&gt;&lt;li&gt;&lt;a href=|http://erv.scripturetext.com/amos/2.htm| title=|English Revised Version| target=|_top|&gt;ERV&lt;/a&gt;</v>
      </c>
      <c r="V881" t="str">
        <f>CONCATENATE("&lt;/li&gt;&lt;li&gt;&lt;a href=|http://",V1191,"/amos/2.htm","| ","title=|",V1190,"| target=|_top|&gt;",V1192,"&lt;/a&gt;")</f>
        <v>&lt;/li&gt;&lt;li&gt;&lt;a href=|http://study.interlinearbible.org/amos/2.htm| title=|Hebrew Study Bible| target=|_top|&gt;Heb Study&lt;/a&gt;</v>
      </c>
      <c r="W881" t="str">
        <f t="shared" si="3520"/>
        <v>&lt;/li&gt;&lt;li&gt;&lt;a href=|http://apostolic.interlinearbible.org/amos/2.htm| title=|Apostolic Bible Polyglot Interlinear| target=|_top|&gt;Polyglot&lt;/a&gt;</v>
      </c>
      <c r="X881" t="str">
        <f t="shared" si="3520"/>
        <v>&lt;/li&gt;&lt;li&gt;&lt;a href=|http://interlinearbible.org/amos/2.htm| title=|Interlinear Bible| target=|_top|&gt;Interlin&lt;/a&gt;</v>
      </c>
      <c r="Y881" t="str">
        <f t="shared" ref="Y881" si="3521">CONCATENATE("&lt;/li&gt;&lt;li&gt;&lt;a href=|http://",Y1191,"/amos/2.htm","| ","title=|",Y1190,"| target=|_top|&gt;",Y1192,"&lt;/a&gt;")</f>
        <v>&lt;/li&gt;&lt;li&gt;&lt;a href=|http://bibleoutline.org/amos/2.htm| title=|Outline with People and Places List| target=|_top|&gt;Outline&lt;/a&gt;</v>
      </c>
      <c r="Z881" t="str">
        <f t="shared" si="3520"/>
        <v>&lt;/li&gt;&lt;li&gt;&lt;a href=|http://kjvs.scripturetext.com/amos/2.htm| title=|King James Bible with Strong's Numbers| target=|_top|&gt;Strong's&lt;/a&gt;</v>
      </c>
      <c r="AA881" t="str">
        <f t="shared" si="3520"/>
        <v>&lt;/li&gt;&lt;li&gt;&lt;a href=|http://childrensbibleonline.com/amos/2.htm| title=|The Children's Bible| target=|_top|&gt;Children's&lt;/a&gt;</v>
      </c>
      <c r="AB881" s="2" t="str">
        <f t="shared" si="3520"/>
        <v>&lt;/li&gt;&lt;li&gt;&lt;a href=|http://tsk.scripturetext.com/amos/2.htm| title=|Treasury of Scripture Knowledge| target=|_top|&gt;TSK&lt;/a&gt;</v>
      </c>
      <c r="AC881" t="str">
        <f>CONCATENATE("&lt;a href=|http://",AC1191,"/amos/2.htm","| ","title=|",AC1190,"| target=|_top|&gt;",AC1192,"&lt;/a&gt;")</f>
        <v>&lt;a href=|http://parallelbible.com/amos/2.htm| title=|Parallel Chapters| target=|_top|&gt;PAR&lt;/a&gt;</v>
      </c>
      <c r="AD881" s="2" t="str">
        <f t="shared" ref="AD881:AK881" si="3522">CONCATENATE("&lt;/li&gt;&lt;li&gt;&lt;a href=|http://",AD1191,"/amos/2.htm","| ","title=|",AD1190,"| target=|_top|&gt;",AD1192,"&lt;/a&gt;")</f>
        <v>&lt;/li&gt;&lt;li&gt;&lt;a href=|http://gsb.biblecommenter.com/amos/2.htm| title=|Geneva Study Bible| target=|_top|&gt;GSB&lt;/a&gt;</v>
      </c>
      <c r="AE881" s="2" t="str">
        <f t="shared" si="3522"/>
        <v>&lt;/li&gt;&lt;li&gt;&lt;a href=|http://jfb.biblecommenter.com/amos/2.htm| title=|Jamieson-Fausset-Brown Bible Commentary| target=|_top|&gt;JFB&lt;/a&gt;</v>
      </c>
      <c r="AF881" s="2" t="str">
        <f t="shared" si="3522"/>
        <v>&lt;/li&gt;&lt;li&gt;&lt;a href=|http://kjt.biblecommenter.com/amos/2.htm| title=|King James Translators' Notes| target=|_top|&gt;KJT&lt;/a&gt;</v>
      </c>
      <c r="AG881" s="2" t="str">
        <f t="shared" si="3522"/>
        <v>&lt;/li&gt;&lt;li&gt;&lt;a href=|http://mhc.biblecommenter.com/amos/2.htm| title=|Matthew Henry's Concise Commentary| target=|_top|&gt;MHC&lt;/a&gt;</v>
      </c>
      <c r="AH881" s="2" t="str">
        <f t="shared" si="3522"/>
        <v>&lt;/li&gt;&lt;li&gt;&lt;a href=|http://sco.biblecommenter.com/amos/2.htm| title=|Scofield Reference Notes| target=|_top|&gt;SCO&lt;/a&gt;</v>
      </c>
      <c r="AI881" s="2" t="str">
        <f t="shared" si="3522"/>
        <v>&lt;/li&gt;&lt;li&gt;&lt;a href=|http://wes.biblecommenter.com/amos/2.htm| title=|Wesley's Notes on the Bible| target=|_top|&gt;WES&lt;/a&gt;</v>
      </c>
      <c r="AJ881" t="str">
        <f t="shared" si="3522"/>
        <v>&lt;/li&gt;&lt;li&gt;&lt;a href=|http://worldebible.com/amos/2.htm| title=|World English Bible| target=|_top|&gt;WEB&lt;/a&gt;</v>
      </c>
      <c r="AK881" t="str">
        <f t="shared" si="3522"/>
        <v>&lt;/li&gt;&lt;li&gt;&lt;a href=|http://yltbible.com/amos/2.htm| title=|Young's Literal Translation| target=|_top|&gt;YLT&lt;/a&gt;</v>
      </c>
      <c r="AL881" t="str">
        <f>CONCATENATE("&lt;a href=|http://",AL1191,"/amos/2.htm","| ","title=|",AL1190,"| target=|_top|&gt;",AL1192,"&lt;/a&gt;")</f>
        <v>&lt;a href=|http://kjv.us/amos/2.htm| title=|American King James Version| target=|_top|&gt;AKJ&lt;/a&gt;</v>
      </c>
      <c r="AM881" t="str">
        <f t="shared" ref="AM881:AN881" si="3523">CONCATENATE("&lt;/li&gt;&lt;li&gt;&lt;a href=|http://",AM1191,"/amos/2.htm","| ","title=|",AM1190,"| target=|_top|&gt;",AM1192,"&lt;/a&gt;")</f>
        <v>&lt;/li&gt;&lt;li&gt;&lt;a href=|http://basicenglishbible.com/amos/2.htm| title=|Bible in Basic English| target=|_top|&gt;BBE&lt;/a&gt;</v>
      </c>
      <c r="AN881" t="str">
        <f t="shared" si="3523"/>
        <v>&lt;/li&gt;&lt;li&gt;&lt;a href=|http://darbybible.com/amos/2.htm| title=|Darby Bible Translation| target=|_top|&gt;DBY&lt;/a&gt;</v>
      </c>
      <c r="AO88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8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8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81" t="str">
        <f>CONCATENATE("&lt;/li&gt;&lt;li&gt;&lt;a href=|http://",AR1191,"/amos/2.htm","| ","title=|",AR1190,"| target=|_top|&gt;",AR1192,"&lt;/a&gt;")</f>
        <v>&lt;/li&gt;&lt;li&gt;&lt;a href=|http://websterbible.com/amos/2.htm| title=|Webster's Bible Translation| target=|_top|&gt;WBS&lt;/a&gt;</v>
      </c>
      <c r="AS88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81" t="str">
        <f>CONCATENATE("&lt;/li&gt;&lt;li&gt;&lt;a href=|http://",AT1191,"/amos/2-1.htm","| ","title=|",AT1190,"| target=|_top|&gt;",AT1192,"&lt;/a&gt;")</f>
        <v>&lt;/li&gt;&lt;li&gt;&lt;a href=|http://biblebrowser.com/amos/2-1.htm| title=|Split View| target=|_top|&gt;Split&lt;/a&gt;</v>
      </c>
      <c r="AU881" s="2" t="s">
        <v>1276</v>
      </c>
      <c r="AV881" t="s">
        <v>64</v>
      </c>
    </row>
    <row r="882" spans="1:48">
      <c r="A882" t="s">
        <v>622</v>
      </c>
      <c r="B882" t="s">
        <v>923</v>
      </c>
      <c r="C882" t="s">
        <v>624</v>
      </c>
      <c r="D882" t="s">
        <v>1268</v>
      </c>
      <c r="E882" t="s">
        <v>1277</v>
      </c>
      <c r="F882" t="s">
        <v>1304</v>
      </c>
      <c r="G882" t="s">
        <v>1266</v>
      </c>
      <c r="H882" t="s">
        <v>1305</v>
      </c>
      <c r="I882" t="s">
        <v>1303</v>
      </c>
      <c r="J882" t="s">
        <v>1267</v>
      </c>
      <c r="K882" t="s">
        <v>1275</v>
      </c>
      <c r="L882" s="2" t="s">
        <v>1274</v>
      </c>
      <c r="M882" t="str">
        <f t="shared" ref="M882:AB882" si="3524">CONCATENATE("&lt;/li&gt;&lt;li&gt;&lt;a href=|http://",M1191,"/amos/3.htm","| ","title=|",M1190,"| target=|_top|&gt;",M1192,"&lt;/a&gt;")</f>
        <v>&lt;/li&gt;&lt;li&gt;&lt;a href=|http://niv.scripturetext.com/amos/3.htm| title=|New International Version| target=|_top|&gt;NIV&lt;/a&gt;</v>
      </c>
      <c r="N882" t="str">
        <f t="shared" si="3524"/>
        <v>&lt;/li&gt;&lt;li&gt;&lt;a href=|http://nlt.scripturetext.com/amos/3.htm| title=|New Living Translation| target=|_top|&gt;NLT&lt;/a&gt;</v>
      </c>
      <c r="O882" t="str">
        <f t="shared" si="3524"/>
        <v>&lt;/li&gt;&lt;li&gt;&lt;a href=|http://nasb.scripturetext.com/amos/3.htm| title=|New American Standard Bible| target=|_top|&gt;NAS&lt;/a&gt;</v>
      </c>
      <c r="P882" t="str">
        <f t="shared" si="3524"/>
        <v>&lt;/li&gt;&lt;li&gt;&lt;a href=|http://gwt.scripturetext.com/amos/3.htm| title=|God's Word Translation| target=|_top|&gt;GWT&lt;/a&gt;</v>
      </c>
      <c r="Q882" t="str">
        <f t="shared" si="3524"/>
        <v>&lt;/li&gt;&lt;li&gt;&lt;a href=|http://kingjbible.com/amos/3.htm| title=|King James Bible| target=|_top|&gt;KJV&lt;/a&gt;</v>
      </c>
      <c r="R882" t="str">
        <f t="shared" si="3524"/>
        <v>&lt;/li&gt;&lt;li&gt;&lt;a href=|http://asvbible.com/amos/3.htm| title=|American Standard Version| target=|_top|&gt;ASV&lt;/a&gt;</v>
      </c>
      <c r="S882" t="str">
        <f t="shared" si="3524"/>
        <v>&lt;/li&gt;&lt;li&gt;&lt;a href=|http://drb.scripturetext.com/amos/3.htm| title=|Douay-Rheims Bible| target=|_top|&gt;DRB&lt;/a&gt;</v>
      </c>
      <c r="T882" t="str">
        <f t="shared" si="3524"/>
        <v>&lt;/li&gt;&lt;li&gt;&lt;a href=|http://erv.scripturetext.com/amos/3.htm| title=|English Revised Version| target=|_top|&gt;ERV&lt;/a&gt;</v>
      </c>
      <c r="V882" t="str">
        <f>CONCATENATE("&lt;/li&gt;&lt;li&gt;&lt;a href=|http://",V1191,"/amos/3.htm","| ","title=|",V1190,"| target=|_top|&gt;",V1192,"&lt;/a&gt;")</f>
        <v>&lt;/li&gt;&lt;li&gt;&lt;a href=|http://study.interlinearbible.org/amos/3.htm| title=|Hebrew Study Bible| target=|_top|&gt;Heb Study&lt;/a&gt;</v>
      </c>
      <c r="W882" t="str">
        <f t="shared" si="3524"/>
        <v>&lt;/li&gt;&lt;li&gt;&lt;a href=|http://apostolic.interlinearbible.org/amos/3.htm| title=|Apostolic Bible Polyglot Interlinear| target=|_top|&gt;Polyglot&lt;/a&gt;</v>
      </c>
      <c r="X882" t="str">
        <f t="shared" si="3524"/>
        <v>&lt;/li&gt;&lt;li&gt;&lt;a href=|http://interlinearbible.org/amos/3.htm| title=|Interlinear Bible| target=|_top|&gt;Interlin&lt;/a&gt;</v>
      </c>
      <c r="Y882" t="str">
        <f t="shared" ref="Y882" si="3525">CONCATENATE("&lt;/li&gt;&lt;li&gt;&lt;a href=|http://",Y1191,"/amos/3.htm","| ","title=|",Y1190,"| target=|_top|&gt;",Y1192,"&lt;/a&gt;")</f>
        <v>&lt;/li&gt;&lt;li&gt;&lt;a href=|http://bibleoutline.org/amos/3.htm| title=|Outline with People and Places List| target=|_top|&gt;Outline&lt;/a&gt;</v>
      </c>
      <c r="Z882" t="str">
        <f t="shared" si="3524"/>
        <v>&lt;/li&gt;&lt;li&gt;&lt;a href=|http://kjvs.scripturetext.com/amos/3.htm| title=|King James Bible with Strong's Numbers| target=|_top|&gt;Strong's&lt;/a&gt;</v>
      </c>
      <c r="AA882" t="str">
        <f t="shared" si="3524"/>
        <v>&lt;/li&gt;&lt;li&gt;&lt;a href=|http://childrensbibleonline.com/amos/3.htm| title=|The Children's Bible| target=|_top|&gt;Children's&lt;/a&gt;</v>
      </c>
      <c r="AB882" s="2" t="str">
        <f t="shared" si="3524"/>
        <v>&lt;/li&gt;&lt;li&gt;&lt;a href=|http://tsk.scripturetext.com/amos/3.htm| title=|Treasury of Scripture Knowledge| target=|_top|&gt;TSK&lt;/a&gt;</v>
      </c>
      <c r="AC882" t="str">
        <f>CONCATENATE("&lt;a href=|http://",AC1191,"/amos/3.htm","| ","title=|",AC1190,"| target=|_top|&gt;",AC1192,"&lt;/a&gt;")</f>
        <v>&lt;a href=|http://parallelbible.com/amos/3.htm| title=|Parallel Chapters| target=|_top|&gt;PAR&lt;/a&gt;</v>
      </c>
      <c r="AD882" s="2" t="str">
        <f t="shared" ref="AD882:AK882" si="3526">CONCATENATE("&lt;/li&gt;&lt;li&gt;&lt;a href=|http://",AD1191,"/amos/3.htm","| ","title=|",AD1190,"| target=|_top|&gt;",AD1192,"&lt;/a&gt;")</f>
        <v>&lt;/li&gt;&lt;li&gt;&lt;a href=|http://gsb.biblecommenter.com/amos/3.htm| title=|Geneva Study Bible| target=|_top|&gt;GSB&lt;/a&gt;</v>
      </c>
      <c r="AE882" s="2" t="str">
        <f t="shared" si="3526"/>
        <v>&lt;/li&gt;&lt;li&gt;&lt;a href=|http://jfb.biblecommenter.com/amos/3.htm| title=|Jamieson-Fausset-Brown Bible Commentary| target=|_top|&gt;JFB&lt;/a&gt;</v>
      </c>
      <c r="AF882" s="2" t="str">
        <f t="shared" si="3526"/>
        <v>&lt;/li&gt;&lt;li&gt;&lt;a href=|http://kjt.biblecommenter.com/amos/3.htm| title=|King James Translators' Notes| target=|_top|&gt;KJT&lt;/a&gt;</v>
      </c>
      <c r="AG882" s="2" t="str">
        <f t="shared" si="3526"/>
        <v>&lt;/li&gt;&lt;li&gt;&lt;a href=|http://mhc.biblecommenter.com/amos/3.htm| title=|Matthew Henry's Concise Commentary| target=|_top|&gt;MHC&lt;/a&gt;</v>
      </c>
      <c r="AH882" s="2" t="str">
        <f t="shared" si="3526"/>
        <v>&lt;/li&gt;&lt;li&gt;&lt;a href=|http://sco.biblecommenter.com/amos/3.htm| title=|Scofield Reference Notes| target=|_top|&gt;SCO&lt;/a&gt;</v>
      </c>
      <c r="AI882" s="2" t="str">
        <f t="shared" si="3526"/>
        <v>&lt;/li&gt;&lt;li&gt;&lt;a href=|http://wes.biblecommenter.com/amos/3.htm| title=|Wesley's Notes on the Bible| target=|_top|&gt;WES&lt;/a&gt;</v>
      </c>
      <c r="AJ882" t="str">
        <f t="shared" si="3526"/>
        <v>&lt;/li&gt;&lt;li&gt;&lt;a href=|http://worldebible.com/amos/3.htm| title=|World English Bible| target=|_top|&gt;WEB&lt;/a&gt;</v>
      </c>
      <c r="AK882" t="str">
        <f t="shared" si="3526"/>
        <v>&lt;/li&gt;&lt;li&gt;&lt;a href=|http://yltbible.com/amos/3.htm| title=|Young's Literal Translation| target=|_top|&gt;YLT&lt;/a&gt;</v>
      </c>
      <c r="AL882" t="str">
        <f>CONCATENATE("&lt;a href=|http://",AL1191,"/amos/3.htm","| ","title=|",AL1190,"| target=|_top|&gt;",AL1192,"&lt;/a&gt;")</f>
        <v>&lt;a href=|http://kjv.us/amos/3.htm| title=|American King James Version| target=|_top|&gt;AKJ&lt;/a&gt;</v>
      </c>
      <c r="AM882" t="str">
        <f t="shared" ref="AM882:AN882" si="3527">CONCATENATE("&lt;/li&gt;&lt;li&gt;&lt;a href=|http://",AM1191,"/amos/3.htm","| ","title=|",AM1190,"| target=|_top|&gt;",AM1192,"&lt;/a&gt;")</f>
        <v>&lt;/li&gt;&lt;li&gt;&lt;a href=|http://basicenglishbible.com/amos/3.htm| title=|Bible in Basic English| target=|_top|&gt;BBE&lt;/a&gt;</v>
      </c>
      <c r="AN882" t="str">
        <f t="shared" si="3527"/>
        <v>&lt;/li&gt;&lt;li&gt;&lt;a href=|http://darbybible.com/amos/3.htm| title=|Darby Bible Translation| target=|_top|&gt;DBY&lt;/a&gt;</v>
      </c>
      <c r="AO88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8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8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82" t="str">
        <f>CONCATENATE("&lt;/li&gt;&lt;li&gt;&lt;a href=|http://",AR1191,"/amos/3.htm","| ","title=|",AR1190,"| target=|_top|&gt;",AR1192,"&lt;/a&gt;")</f>
        <v>&lt;/li&gt;&lt;li&gt;&lt;a href=|http://websterbible.com/amos/3.htm| title=|Webster's Bible Translation| target=|_top|&gt;WBS&lt;/a&gt;</v>
      </c>
      <c r="AS88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82" t="str">
        <f>CONCATENATE("&lt;/li&gt;&lt;li&gt;&lt;a href=|http://",AT1191,"/amos/3-1.htm","| ","title=|",AT1190,"| target=|_top|&gt;",AT1192,"&lt;/a&gt;")</f>
        <v>&lt;/li&gt;&lt;li&gt;&lt;a href=|http://biblebrowser.com/amos/3-1.htm| title=|Split View| target=|_top|&gt;Split&lt;/a&gt;</v>
      </c>
      <c r="AU882" s="2" t="s">
        <v>1276</v>
      </c>
      <c r="AV882" t="s">
        <v>64</v>
      </c>
    </row>
    <row r="883" spans="1:48">
      <c r="A883" t="s">
        <v>622</v>
      </c>
      <c r="B883" t="s">
        <v>924</v>
      </c>
      <c r="C883" t="s">
        <v>624</v>
      </c>
      <c r="D883" t="s">
        <v>1268</v>
      </c>
      <c r="E883" t="s">
        <v>1277</v>
      </c>
      <c r="F883" t="s">
        <v>1304</v>
      </c>
      <c r="G883" t="s">
        <v>1266</v>
      </c>
      <c r="H883" t="s">
        <v>1305</v>
      </c>
      <c r="I883" t="s">
        <v>1303</v>
      </c>
      <c r="J883" t="s">
        <v>1267</v>
      </c>
      <c r="K883" t="s">
        <v>1275</v>
      </c>
      <c r="L883" s="2" t="s">
        <v>1274</v>
      </c>
      <c r="M883" t="str">
        <f t="shared" ref="M883:AB883" si="3528">CONCATENATE("&lt;/li&gt;&lt;li&gt;&lt;a href=|http://",M1191,"/amos/4.htm","| ","title=|",M1190,"| target=|_top|&gt;",M1192,"&lt;/a&gt;")</f>
        <v>&lt;/li&gt;&lt;li&gt;&lt;a href=|http://niv.scripturetext.com/amos/4.htm| title=|New International Version| target=|_top|&gt;NIV&lt;/a&gt;</v>
      </c>
      <c r="N883" t="str">
        <f t="shared" si="3528"/>
        <v>&lt;/li&gt;&lt;li&gt;&lt;a href=|http://nlt.scripturetext.com/amos/4.htm| title=|New Living Translation| target=|_top|&gt;NLT&lt;/a&gt;</v>
      </c>
      <c r="O883" t="str">
        <f t="shared" si="3528"/>
        <v>&lt;/li&gt;&lt;li&gt;&lt;a href=|http://nasb.scripturetext.com/amos/4.htm| title=|New American Standard Bible| target=|_top|&gt;NAS&lt;/a&gt;</v>
      </c>
      <c r="P883" t="str">
        <f t="shared" si="3528"/>
        <v>&lt;/li&gt;&lt;li&gt;&lt;a href=|http://gwt.scripturetext.com/amos/4.htm| title=|God's Word Translation| target=|_top|&gt;GWT&lt;/a&gt;</v>
      </c>
      <c r="Q883" t="str">
        <f t="shared" si="3528"/>
        <v>&lt;/li&gt;&lt;li&gt;&lt;a href=|http://kingjbible.com/amos/4.htm| title=|King James Bible| target=|_top|&gt;KJV&lt;/a&gt;</v>
      </c>
      <c r="R883" t="str">
        <f t="shared" si="3528"/>
        <v>&lt;/li&gt;&lt;li&gt;&lt;a href=|http://asvbible.com/amos/4.htm| title=|American Standard Version| target=|_top|&gt;ASV&lt;/a&gt;</v>
      </c>
      <c r="S883" t="str">
        <f t="shared" si="3528"/>
        <v>&lt;/li&gt;&lt;li&gt;&lt;a href=|http://drb.scripturetext.com/amos/4.htm| title=|Douay-Rheims Bible| target=|_top|&gt;DRB&lt;/a&gt;</v>
      </c>
      <c r="T883" t="str">
        <f t="shared" si="3528"/>
        <v>&lt;/li&gt;&lt;li&gt;&lt;a href=|http://erv.scripturetext.com/amos/4.htm| title=|English Revised Version| target=|_top|&gt;ERV&lt;/a&gt;</v>
      </c>
      <c r="V883" t="str">
        <f>CONCATENATE("&lt;/li&gt;&lt;li&gt;&lt;a href=|http://",V1191,"/amos/4.htm","| ","title=|",V1190,"| target=|_top|&gt;",V1192,"&lt;/a&gt;")</f>
        <v>&lt;/li&gt;&lt;li&gt;&lt;a href=|http://study.interlinearbible.org/amos/4.htm| title=|Hebrew Study Bible| target=|_top|&gt;Heb Study&lt;/a&gt;</v>
      </c>
      <c r="W883" t="str">
        <f t="shared" si="3528"/>
        <v>&lt;/li&gt;&lt;li&gt;&lt;a href=|http://apostolic.interlinearbible.org/amos/4.htm| title=|Apostolic Bible Polyglot Interlinear| target=|_top|&gt;Polyglot&lt;/a&gt;</v>
      </c>
      <c r="X883" t="str">
        <f t="shared" si="3528"/>
        <v>&lt;/li&gt;&lt;li&gt;&lt;a href=|http://interlinearbible.org/amos/4.htm| title=|Interlinear Bible| target=|_top|&gt;Interlin&lt;/a&gt;</v>
      </c>
      <c r="Y883" t="str">
        <f t="shared" ref="Y883" si="3529">CONCATENATE("&lt;/li&gt;&lt;li&gt;&lt;a href=|http://",Y1191,"/amos/4.htm","| ","title=|",Y1190,"| target=|_top|&gt;",Y1192,"&lt;/a&gt;")</f>
        <v>&lt;/li&gt;&lt;li&gt;&lt;a href=|http://bibleoutline.org/amos/4.htm| title=|Outline with People and Places List| target=|_top|&gt;Outline&lt;/a&gt;</v>
      </c>
      <c r="Z883" t="str">
        <f t="shared" si="3528"/>
        <v>&lt;/li&gt;&lt;li&gt;&lt;a href=|http://kjvs.scripturetext.com/amos/4.htm| title=|King James Bible with Strong's Numbers| target=|_top|&gt;Strong's&lt;/a&gt;</v>
      </c>
      <c r="AA883" t="str">
        <f t="shared" si="3528"/>
        <v>&lt;/li&gt;&lt;li&gt;&lt;a href=|http://childrensbibleonline.com/amos/4.htm| title=|The Children's Bible| target=|_top|&gt;Children's&lt;/a&gt;</v>
      </c>
      <c r="AB883" s="2" t="str">
        <f t="shared" si="3528"/>
        <v>&lt;/li&gt;&lt;li&gt;&lt;a href=|http://tsk.scripturetext.com/amos/4.htm| title=|Treasury of Scripture Knowledge| target=|_top|&gt;TSK&lt;/a&gt;</v>
      </c>
      <c r="AC883" t="str">
        <f>CONCATENATE("&lt;a href=|http://",AC1191,"/amos/4.htm","| ","title=|",AC1190,"| target=|_top|&gt;",AC1192,"&lt;/a&gt;")</f>
        <v>&lt;a href=|http://parallelbible.com/amos/4.htm| title=|Parallel Chapters| target=|_top|&gt;PAR&lt;/a&gt;</v>
      </c>
      <c r="AD883" s="2" t="str">
        <f t="shared" ref="AD883:AK883" si="3530">CONCATENATE("&lt;/li&gt;&lt;li&gt;&lt;a href=|http://",AD1191,"/amos/4.htm","| ","title=|",AD1190,"| target=|_top|&gt;",AD1192,"&lt;/a&gt;")</f>
        <v>&lt;/li&gt;&lt;li&gt;&lt;a href=|http://gsb.biblecommenter.com/amos/4.htm| title=|Geneva Study Bible| target=|_top|&gt;GSB&lt;/a&gt;</v>
      </c>
      <c r="AE883" s="2" t="str">
        <f t="shared" si="3530"/>
        <v>&lt;/li&gt;&lt;li&gt;&lt;a href=|http://jfb.biblecommenter.com/amos/4.htm| title=|Jamieson-Fausset-Brown Bible Commentary| target=|_top|&gt;JFB&lt;/a&gt;</v>
      </c>
      <c r="AF883" s="2" t="str">
        <f t="shared" si="3530"/>
        <v>&lt;/li&gt;&lt;li&gt;&lt;a href=|http://kjt.biblecommenter.com/amos/4.htm| title=|King James Translators' Notes| target=|_top|&gt;KJT&lt;/a&gt;</v>
      </c>
      <c r="AG883" s="2" t="str">
        <f t="shared" si="3530"/>
        <v>&lt;/li&gt;&lt;li&gt;&lt;a href=|http://mhc.biblecommenter.com/amos/4.htm| title=|Matthew Henry's Concise Commentary| target=|_top|&gt;MHC&lt;/a&gt;</v>
      </c>
      <c r="AH883" s="2" t="str">
        <f t="shared" si="3530"/>
        <v>&lt;/li&gt;&lt;li&gt;&lt;a href=|http://sco.biblecommenter.com/amos/4.htm| title=|Scofield Reference Notes| target=|_top|&gt;SCO&lt;/a&gt;</v>
      </c>
      <c r="AI883" s="2" t="str">
        <f t="shared" si="3530"/>
        <v>&lt;/li&gt;&lt;li&gt;&lt;a href=|http://wes.biblecommenter.com/amos/4.htm| title=|Wesley's Notes on the Bible| target=|_top|&gt;WES&lt;/a&gt;</v>
      </c>
      <c r="AJ883" t="str">
        <f t="shared" si="3530"/>
        <v>&lt;/li&gt;&lt;li&gt;&lt;a href=|http://worldebible.com/amos/4.htm| title=|World English Bible| target=|_top|&gt;WEB&lt;/a&gt;</v>
      </c>
      <c r="AK883" t="str">
        <f t="shared" si="3530"/>
        <v>&lt;/li&gt;&lt;li&gt;&lt;a href=|http://yltbible.com/amos/4.htm| title=|Young's Literal Translation| target=|_top|&gt;YLT&lt;/a&gt;</v>
      </c>
      <c r="AL883" t="str">
        <f>CONCATENATE("&lt;a href=|http://",AL1191,"/amos/4.htm","| ","title=|",AL1190,"| target=|_top|&gt;",AL1192,"&lt;/a&gt;")</f>
        <v>&lt;a href=|http://kjv.us/amos/4.htm| title=|American King James Version| target=|_top|&gt;AKJ&lt;/a&gt;</v>
      </c>
      <c r="AM883" t="str">
        <f t="shared" ref="AM883:AN883" si="3531">CONCATENATE("&lt;/li&gt;&lt;li&gt;&lt;a href=|http://",AM1191,"/amos/4.htm","| ","title=|",AM1190,"| target=|_top|&gt;",AM1192,"&lt;/a&gt;")</f>
        <v>&lt;/li&gt;&lt;li&gt;&lt;a href=|http://basicenglishbible.com/amos/4.htm| title=|Bible in Basic English| target=|_top|&gt;BBE&lt;/a&gt;</v>
      </c>
      <c r="AN883" t="str">
        <f t="shared" si="3531"/>
        <v>&lt;/li&gt;&lt;li&gt;&lt;a href=|http://darbybible.com/amos/4.htm| title=|Darby Bible Translation| target=|_top|&gt;DBY&lt;/a&gt;</v>
      </c>
      <c r="AO88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8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8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83" t="str">
        <f>CONCATENATE("&lt;/li&gt;&lt;li&gt;&lt;a href=|http://",AR1191,"/amos/4.htm","| ","title=|",AR1190,"| target=|_top|&gt;",AR1192,"&lt;/a&gt;")</f>
        <v>&lt;/li&gt;&lt;li&gt;&lt;a href=|http://websterbible.com/amos/4.htm| title=|Webster's Bible Translation| target=|_top|&gt;WBS&lt;/a&gt;</v>
      </c>
      <c r="AS88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83" t="str">
        <f>CONCATENATE("&lt;/li&gt;&lt;li&gt;&lt;a href=|http://",AT1191,"/amos/4-1.htm","| ","title=|",AT1190,"| target=|_top|&gt;",AT1192,"&lt;/a&gt;")</f>
        <v>&lt;/li&gt;&lt;li&gt;&lt;a href=|http://biblebrowser.com/amos/4-1.htm| title=|Split View| target=|_top|&gt;Split&lt;/a&gt;</v>
      </c>
      <c r="AU883" s="2" t="s">
        <v>1276</v>
      </c>
      <c r="AV883" t="s">
        <v>64</v>
      </c>
    </row>
    <row r="884" spans="1:48">
      <c r="A884" t="s">
        <v>622</v>
      </c>
      <c r="B884" t="s">
        <v>925</v>
      </c>
      <c r="C884" t="s">
        <v>624</v>
      </c>
      <c r="D884" t="s">
        <v>1268</v>
      </c>
      <c r="E884" t="s">
        <v>1277</v>
      </c>
      <c r="F884" t="s">
        <v>1304</v>
      </c>
      <c r="G884" t="s">
        <v>1266</v>
      </c>
      <c r="H884" t="s">
        <v>1305</v>
      </c>
      <c r="I884" t="s">
        <v>1303</v>
      </c>
      <c r="J884" t="s">
        <v>1267</v>
      </c>
      <c r="K884" t="s">
        <v>1275</v>
      </c>
      <c r="L884" s="2" t="s">
        <v>1274</v>
      </c>
      <c r="M884" t="str">
        <f t="shared" ref="M884:AB884" si="3532">CONCATENATE("&lt;/li&gt;&lt;li&gt;&lt;a href=|http://",M1191,"/amos/5.htm","| ","title=|",M1190,"| target=|_top|&gt;",M1192,"&lt;/a&gt;")</f>
        <v>&lt;/li&gt;&lt;li&gt;&lt;a href=|http://niv.scripturetext.com/amos/5.htm| title=|New International Version| target=|_top|&gt;NIV&lt;/a&gt;</v>
      </c>
      <c r="N884" t="str">
        <f t="shared" si="3532"/>
        <v>&lt;/li&gt;&lt;li&gt;&lt;a href=|http://nlt.scripturetext.com/amos/5.htm| title=|New Living Translation| target=|_top|&gt;NLT&lt;/a&gt;</v>
      </c>
      <c r="O884" t="str">
        <f t="shared" si="3532"/>
        <v>&lt;/li&gt;&lt;li&gt;&lt;a href=|http://nasb.scripturetext.com/amos/5.htm| title=|New American Standard Bible| target=|_top|&gt;NAS&lt;/a&gt;</v>
      </c>
      <c r="P884" t="str">
        <f t="shared" si="3532"/>
        <v>&lt;/li&gt;&lt;li&gt;&lt;a href=|http://gwt.scripturetext.com/amos/5.htm| title=|God's Word Translation| target=|_top|&gt;GWT&lt;/a&gt;</v>
      </c>
      <c r="Q884" t="str">
        <f t="shared" si="3532"/>
        <v>&lt;/li&gt;&lt;li&gt;&lt;a href=|http://kingjbible.com/amos/5.htm| title=|King James Bible| target=|_top|&gt;KJV&lt;/a&gt;</v>
      </c>
      <c r="R884" t="str">
        <f t="shared" si="3532"/>
        <v>&lt;/li&gt;&lt;li&gt;&lt;a href=|http://asvbible.com/amos/5.htm| title=|American Standard Version| target=|_top|&gt;ASV&lt;/a&gt;</v>
      </c>
      <c r="S884" t="str">
        <f t="shared" si="3532"/>
        <v>&lt;/li&gt;&lt;li&gt;&lt;a href=|http://drb.scripturetext.com/amos/5.htm| title=|Douay-Rheims Bible| target=|_top|&gt;DRB&lt;/a&gt;</v>
      </c>
      <c r="T884" t="str">
        <f t="shared" si="3532"/>
        <v>&lt;/li&gt;&lt;li&gt;&lt;a href=|http://erv.scripturetext.com/amos/5.htm| title=|English Revised Version| target=|_top|&gt;ERV&lt;/a&gt;</v>
      </c>
      <c r="V884" t="str">
        <f>CONCATENATE("&lt;/li&gt;&lt;li&gt;&lt;a href=|http://",V1191,"/amos/5.htm","| ","title=|",V1190,"| target=|_top|&gt;",V1192,"&lt;/a&gt;")</f>
        <v>&lt;/li&gt;&lt;li&gt;&lt;a href=|http://study.interlinearbible.org/amos/5.htm| title=|Hebrew Study Bible| target=|_top|&gt;Heb Study&lt;/a&gt;</v>
      </c>
      <c r="W884" t="str">
        <f t="shared" si="3532"/>
        <v>&lt;/li&gt;&lt;li&gt;&lt;a href=|http://apostolic.interlinearbible.org/amos/5.htm| title=|Apostolic Bible Polyglot Interlinear| target=|_top|&gt;Polyglot&lt;/a&gt;</v>
      </c>
      <c r="X884" t="str">
        <f t="shared" si="3532"/>
        <v>&lt;/li&gt;&lt;li&gt;&lt;a href=|http://interlinearbible.org/amos/5.htm| title=|Interlinear Bible| target=|_top|&gt;Interlin&lt;/a&gt;</v>
      </c>
      <c r="Y884" t="str">
        <f t="shared" ref="Y884" si="3533">CONCATENATE("&lt;/li&gt;&lt;li&gt;&lt;a href=|http://",Y1191,"/amos/5.htm","| ","title=|",Y1190,"| target=|_top|&gt;",Y1192,"&lt;/a&gt;")</f>
        <v>&lt;/li&gt;&lt;li&gt;&lt;a href=|http://bibleoutline.org/amos/5.htm| title=|Outline with People and Places List| target=|_top|&gt;Outline&lt;/a&gt;</v>
      </c>
      <c r="Z884" t="str">
        <f t="shared" si="3532"/>
        <v>&lt;/li&gt;&lt;li&gt;&lt;a href=|http://kjvs.scripturetext.com/amos/5.htm| title=|King James Bible with Strong's Numbers| target=|_top|&gt;Strong's&lt;/a&gt;</v>
      </c>
      <c r="AA884" t="str">
        <f t="shared" si="3532"/>
        <v>&lt;/li&gt;&lt;li&gt;&lt;a href=|http://childrensbibleonline.com/amos/5.htm| title=|The Children's Bible| target=|_top|&gt;Children's&lt;/a&gt;</v>
      </c>
      <c r="AB884" s="2" t="str">
        <f t="shared" si="3532"/>
        <v>&lt;/li&gt;&lt;li&gt;&lt;a href=|http://tsk.scripturetext.com/amos/5.htm| title=|Treasury of Scripture Knowledge| target=|_top|&gt;TSK&lt;/a&gt;</v>
      </c>
      <c r="AC884" t="str">
        <f>CONCATENATE("&lt;a href=|http://",AC1191,"/amos/5.htm","| ","title=|",AC1190,"| target=|_top|&gt;",AC1192,"&lt;/a&gt;")</f>
        <v>&lt;a href=|http://parallelbible.com/amos/5.htm| title=|Parallel Chapters| target=|_top|&gt;PAR&lt;/a&gt;</v>
      </c>
      <c r="AD884" s="2" t="str">
        <f t="shared" ref="AD884:AK884" si="3534">CONCATENATE("&lt;/li&gt;&lt;li&gt;&lt;a href=|http://",AD1191,"/amos/5.htm","| ","title=|",AD1190,"| target=|_top|&gt;",AD1192,"&lt;/a&gt;")</f>
        <v>&lt;/li&gt;&lt;li&gt;&lt;a href=|http://gsb.biblecommenter.com/amos/5.htm| title=|Geneva Study Bible| target=|_top|&gt;GSB&lt;/a&gt;</v>
      </c>
      <c r="AE884" s="2" t="str">
        <f t="shared" si="3534"/>
        <v>&lt;/li&gt;&lt;li&gt;&lt;a href=|http://jfb.biblecommenter.com/amos/5.htm| title=|Jamieson-Fausset-Brown Bible Commentary| target=|_top|&gt;JFB&lt;/a&gt;</v>
      </c>
      <c r="AF884" s="2" t="str">
        <f t="shared" si="3534"/>
        <v>&lt;/li&gt;&lt;li&gt;&lt;a href=|http://kjt.biblecommenter.com/amos/5.htm| title=|King James Translators' Notes| target=|_top|&gt;KJT&lt;/a&gt;</v>
      </c>
      <c r="AG884" s="2" t="str">
        <f t="shared" si="3534"/>
        <v>&lt;/li&gt;&lt;li&gt;&lt;a href=|http://mhc.biblecommenter.com/amos/5.htm| title=|Matthew Henry's Concise Commentary| target=|_top|&gt;MHC&lt;/a&gt;</v>
      </c>
      <c r="AH884" s="2" t="str">
        <f t="shared" si="3534"/>
        <v>&lt;/li&gt;&lt;li&gt;&lt;a href=|http://sco.biblecommenter.com/amos/5.htm| title=|Scofield Reference Notes| target=|_top|&gt;SCO&lt;/a&gt;</v>
      </c>
      <c r="AI884" s="2" t="str">
        <f t="shared" si="3534"/>
        <v>&lt;/li&gt;&lt;li&gt;&lt;a href=|http://wes.biblecommenter.com/amos/5.htm| title=|Wesley's Notes on the Bible| target=|_top|&gt;WES&lt;/a&gt;</v>
      </c>
      <c r="AJ884" t="str">
        <f t="shared" si="3534"/>
        <v>&lt;/li&gt;&lt;li&gt;&lt;a href=|http://worldebible.com/amos/5.htm| title=|World English Bible| target=|_top|&gt;WEB&lt;/a&gt;</v>
      </c>
      <c r="AK884" t="str">
        <f t="shared" si="3534"/>
        <v>&lt;/li&gt;&lt;li&gt;&lt;a href=|http://yltbible.com/amos/5.htm| title=|Young's Literal Translation| target=|_top|&gt;YLT&lt;/a&gt;</v>
      </c>
      <c r="AL884" t="str">
        <f>CONCATENATE("&lt;a href=|http://",AL1191,"/amos/5.htm","| ","title=|",AL1190,"| target=|_top|&gt;",AL1192,"&lt;/a&gt;")</f>
        <v>&lt;a href=|http://kjv.us/amos/5.htm| title=|American King James Version| target=|_top|&gt;AKJ&lt;/a&gt;</v>
      </c>
      <c r="AM884" t="str">
        <f t="shared" ref="AM884:AN884" si="3535">CONCATENATE("&lt;/li&gt;&lt;li&gt;&lt;a href=|http://",AM1191,"/amos/5.htm","| ","title=|",AM1190,"| target=|_top|&gt;",AM1192,"&lt;/a&gt;")</f>
        <v>&lt;/li&gt;&lt;li&gt;&lt;a href=|http://basicenglishbible.com/amos/5.htm| title=|Bible in Basic English| target=|_top|&gt;BBE&lt;/a&gt;</v>
      </c>
      <c r="AN884" t="str">
        <f t="shared" si="3535"/>
        <v>&lt;/li&gt;&lt;li&gt;&lt;a href=|http://darbybible.com/amos/5.htm| title=|Darby Bible Translation| target=|_top|&gt;DBY&lt;/a&gt;</v>
      </c>
      <c r="AO88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8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8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84" t="str">
        <f>CONCATENATE("&lt;/li&gt;&lt;li&gt;&lt;a href=|http://",AR1191,"/amos/5.htm","| ","title=|",AR1190,"| target=|_top|&gt;",AR1192,"&lt;/a&gt;")</f>
        <v>&lt;/li&gt;&lt;li&gt;&lt;a href=|http://websterbible.com/amos/5.htm| title=|Webster's Bible Translation| target=|_top|&gt;WBS&lt;/a&gt;</v>
      </c>
      <c r="AS88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84" t="str">
        <f>CONCATENATE("&lt;/li&gt;&lt;li&gt;&lt;a href=|http://",AT1191,"/amos/5-1.htm","| ","title=|",AT1190,"| target=|_top|&gt;",AT1192,"&lt;/a&gt;")</f>
        <v>&lt;/li&gt;&lt;li&gt;&lt;a href=|http://biblebrowser.com/amos/5-1.htm| title=|Split View| target=|_top|&gt;Split&lt;/a&gt;</v>
      </c>
      <c r="AU884" s="2" t="s">
        <v>1276</v>
      </c>
      <c r="AV884" t="s">
        <v>64</v>
      </c>
    </row>
    <row r="885" spans="1:48">
      <c r="A885" t="s">
        <v>622</v>
      </c>
      <c r="B885" t="s">
        <v>926</v>
      </c>
      <c r="C885" t="s">
        <v>624</v>
      </c>
      <c r="D885" t="s">
        <v>1268</v>
      </c>
      <c r="E885" t="s">
        <v>1277</v>
      </c>
      <c r="F885" t="s">
        <v>1304</v>
      </c>
      <c r="G885" t="s">
        <v>1266</v>
      </c>
      <c r="H885" t="s">
        <v>1305</v>
      </c>
      <c r="I885" t="s">
        <v>1303</v>
      </c>
      <c r="J885" t="s">
        <v>1267</v>
      </c>
      <c r="K885" t="s">
        <v>1275</v>
      </c>
      <c r="L885" s="2" t="s">
        <v>1274</v>
      </c>
      <c r="M885" t="str">
        <f t="shared" ref="M885:AB885" si="3536">CONCATENATE("&lt;/li&gt;&lt;li&gt;&lt;a href=|http://",M1191,"/amos/6.htm","| ","title=|",M1190,"| target=|_top|&gt;",M1192,"&lt;/a&gt;")</f>
        <v>&lt;/li&gt;&lt;li&gt;&lt;a href=|http://niv.scripturetext.com/amos/6.htm| title=|New International Version| target=|_top|&gt;NIV&lt;/a&gt;</v>
      </c>
      <c r="N885" t="str">
        <f t="shared" si="3536"/>
        <v>&lt;/li&gt;&lt;li&gt;&lt;a href=|http://nlt.scripturetext.com/amos/6.htm| title=|New Living Translation| target=|_top|&gt;NLT&lt;/a&gt;</v>
      </c>
      <c r="O885" t="str">
        <f t="shared" si="3536"/>
        <v>&lt;/li&gt;&lt;li&gt;&lt;a href=|http://nasb.scripturetext.com/amos/6.htm| title=|New American Standard Bible| target=|_top|&gt;NAS&lt;/a&gt;</v>
      </c>
      <c r="P885" t="str">
        <f t="shared" si="3536"/>
        <v>&lt;/li&gt;&lt;li&gt;&lt;a href=|http://gwt.scripturetext.com/amos/6.htm| title=|God's Word Translation| target=|_top|&gt;GWT&lt;/a&gt;</v>
      </c>
      <c r="Q885" t="str">
        <f t="shared" si="3536"/>
        <v>&lt;/li&gt;&lt;li&gt;&lt;a href=|http://kingjbible.com/amos/6.htm| title=|King James Bible| target=|_top|&gt;KJV&lt;/a&gt;</v>
      </c>
      <c r="R885" t="str">
        <f t="shared" si="3536"/>
        <v>&lt;/li&gt;&lt;li&gt;&lt;a href=|http://asvbible.com/amos/6.htm| title=|American Standard Version| target=|_top|&gt;ASV&lt;/a&gt;</v>
      </c>
      <c r="S885" t="str">
        <f t="shared" si="3536"/>
        <v>&lt;/li&gt;&lt;li&gt;&lt;a href=|http://drb.scripturetext.com/amos/6.htm| title=|Douay-Rheims Bible| target=|_top|&gt;DRB&lt;/a&gt;</v>
      </c>
      <c r="T885" t="str">
        <f t="shared" si="3536"/>
        <v>&lt;/li&gt;&lt;li&gt;&lt;a href=|http://erv.scripturetext.com/amos/6.htm| title=|English Revised Version| target=|_top|&gt;ERV&lt;/a&gt;</v>
      </c>
      <c r="V885" t="str">
        <f>CONCATENATE("&lt;/li&gt;&lt;li&gt;&lt;a href=|http://",V1191,"/amos/6.htm","| ","title=|",V1190,"| target=|_top|&gt;",V1192,"&lt;/a&gt;")</f>
        <v>&lt;/li&gt;&lt;li&gt;&lt;a href=|http://study.interlinearbible.org/amos/6.htm| title=|Hebrew Study Bible| target=|_top|&gt;Heb Study&lt;/a&gt;</v>
      </c>
      <c r="W885" t="str">
        <f t="shared" si="3536"/>
        <v>&lt;/li&gt;&lt;li&gt;&lt;a href=|http://apostolic.interlinearbible.org/amos/6.htm| title=|Apostolic Bible Polyglot Interlinear| target=|_top|&gt;Polyglot&lt;/a&gt;</v>
      </c>
      <c r="X885" t="str">
        <f t="shared" si="3536"/>
        <v>&lt;/li&gt;&lt;li&gt;&lt;a href=|http://interlinearbible.org/amos/6.htm| title=|Interlinear Bible| target=|_top|&gt;Interlin&lt;/a&gt;</v>
      </c>
      <c r="Y885" t="str">
        <f t="shared" ref="Y885" si="3537">CONCATENATE("&lt;/li&gt;&lt;li&gt;&lt;a href=|http://",Y1191,"/amos/6.htm","| ","title=|",Y1190,"| target=|_top|&gt;",Y1192,"&lt;/a&gt;")</f>
        <v>&lt;/li&gt;&lt;li&gt;&lt;a href=|http://bibleoutline.org/amos/6.htm| title=|Outline with People and Places List| target=|_top|&gt;Outline&lt;/a&gt;</v>
      </c>
      <c r="Z885" t="str">
        <f t="shared" si="3536"/>
        <v>&lt;/li&gt;&lt;li&gt;&lt;a href=|http://kjvs.scripturetext.com/amos/6.htm| title=|King James Bible with Strong's Numbers| target=|_top|&gt;Strong's&lt;/a&gt;</v>
      </c>
      <c r="AA885" t="str">
        <f t="shared" si="3536"/>
        <v>&lt;/li&gt;&lt;li&gt;&lt;a href=|http://childrensbibleonline.com/amos/6.htm| title=|The Children's Bible| target=|_top|&gt;Children's&lt;/a&gt;</v>
      </c>
      <c r="AB885" s="2" t="str">
        <f t="shared" si="3536"/>
        <v>&lt;/li&gt;&lt;li&gt;&lt;a href=|http://tsk.scripturetext.com/amos/6.htm| title=|Treasury of Scripture Knowledge| target=|_top|&gt;TSK&lt;/a&gt;</v>
      </c>
      <c r="AC885" t="str">
        <f>CONCATENATE("&lt;a href=|http://",AC1191,"/amos/6.htm","| ","title=|",AC1190,"| target=|_top|&gt;",AC1192,"&lt;/a&gt;")</f>
        <v>&lt;a href=|http://parallelbible.com/amos/6.htm| title=|Parallel Chapters| target=|_top|&gt;PAR&lt;/a&gt;</v>
      </c>
      <c r="AD885" s="2" t="str">
        <f t="shared" ref="AD885:AK885" si="3538">CONCATENATE("&lt;/li&gt;&lt;li&gt;&lt;a href=|http://",AD1191,"/amos/6.htm","| ","title=|",AD1190,"| target=|_top|&gt;",AD1192,"&lt;/a&gt;")</f>
        <v>&lt;/li&gt;&lt;li&gt;&lt;a href=|http://gsb.biblecommenter.com/amos/6.htm| title=|Geneva Study Bible| target=|_top|&gt;GSB&lt;/a&gt;</v>
      </c>
      <c r="AE885" s="2" t="str">
        <f t="shared" si="3538"/>
        <v>&lt;/li&gt;&lt;li&gt;&lt;a href=|http://jfb.biblecommenter.com/amos/6.htm| title=|Jamieson-Fausset-Brown Bible Commentary| target=|_top|&gt;JFB&lt;/a&gt;</v>
      </c>
      <c r="AF885" s="2" t="str">
        <f t="shared" si="3538"/>
        <v>&lt;/li&gt;&lt;li&gt;&lt;a href=|http://kjt.biblecommenter.com/amos/6.htm| title=|King James Translators' Notes| target=|_top|&gt;KJT&lt;/a&gt;</v>
      </c>
      <c r="AG885" s="2" t="str">
        <f t="shared" si="3538"/>
        <v>&lt;/li&gt;&lt;li&gt;&lt;a href=|http://mhc.biblecommenter.com/amos/6.htm| title=|Matthew Henry's Concise Commentary| target=|_top|&gt;MHC&lt;/a&gt;</v>
      </c>
      <c r="AH885" s="2" t="str">
        <f t="shared" si="3538"/>
        <v>&lt;/li&gt;&lt;li&gt;&lt;a href=|http://sco.biblecommenter.com/amos/6.htm| title=|Scofield Reference Notes| target=|_top|&gt;SCO&lt;/a&gt;</v>
      </c>
      <c r="AI885" s="2" t="str">
        <f t="shared" si="3538"/>
        <v>&lt;/li&gt;&lt;li&gt;&lt;a href=|http://wes.biblecommenter.com/amos/6.htm| title=|Wesley's Notes on the Bible| target=|_top|&gt;WES&lt;/a&gt;</v>
      </c>
      <c r="AJ885" t="str">
        <f t="shared" si="3538"/>
        <v>&lt;/li&gt;&lt;li&gt;&lt;a href=|http://worldebible.com/amos/6.htm| title=|World English Bible| target=|_top|&gt;WEB&lt;/a&gt;</v>
      </c>
      <c r="AK885" t="str">
        <f t="shared" si="3538"/>
        <v>&lt;/li&gt;&lt;li&gt;&lt;a href=|http://yltbible.com/amos/6.htm| title=|Young's Literal Translation| target=|_top|&gt;YLT&lt;/a&gt;</v>
      </c>
      <c r="AL885" t="str">
        <f>CONCATENATE("&lt;a href=|http://",AL1191,"/amos/6.htm","| ","title=|",AL1190,"| target=|_top|&gt;",AL1192,"&lt;/a&gt;")</f>
        <v>&lt;a href=|http://kjv.us/amos/6.htm| title=|American King James Version| target=|_top|&gt;AKJ&lt;/a&gt;</v>
      </c>
      <c r="AM885" t="str">
        <f t="shared" ref="AM885:AN885" si="3539">CONCATENATE("&lt;/li&gt;&lt;li&gt;&lt;a href=|http://",AM1191,"/amos/6.htm","| ","title=|",AM1190,"| target=|_top|&gt;",AM1192,"&lt;/a&gt;")</f>
        <v>&lt;/li&gt;&lt;li&gt;&lt;a href=|http://basicenglishbible.com/amos/6.htm| title=|Bible in Basic English| target=|_top|&gt;BBE&lt;/a&gt;</v>
      </c>
      <c r="AN885" t="str">
        <f t="shared" si="3539"/>
        <v>&lt;/li&gt;&lt;li&gt;&lt;a href=|http://darbybible.com/amos/6.htm| title=|Darby Bible Translation| target=|_top|&gt;DBY&lt;/a&gt;</v>
      </c>
      <c r="AO88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8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8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85" t="str">
        <f>CONCATENATE("&lt;/li&gt;&lt;li&gt;&lt;a href=|http://",AR1191,"/amos/6.htm","| ","title=|",AR1190,"| target=|_top|&gt;",AR1192,"&lt;/a&gt;")</f>
        <v>&lt;/li&gt;&lt;li&gt;&lt;a href=|http://websterbible.com/amos/6.htm| title=|Webster's Bible Translation| target=|_top|&gt;WBS&lt;/a&gt;</v>
      </c>
      <c r="AS88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85" t="str">
        <f>CONCATENATE("&lt;/li&gt;&lt;li&gt;&lt;a href=|http://",AT1191,"/amos/6-1.htm","| ","title=|",AT1190,"| target=|_top|&gt;",AT1192,"&lt;/a&gt;")</f>
        <v>&lt;/li&gt;&lt;li&gt;&lt;a href=|http://biblebrowser.com/amos/6-1.htm| title=|Split View| target=|_top|&gt;Split&lt;/a&gt;</v>
      </c>
      <c r="AU885" s="2" t="s">
        <v>1276</v>
      </c>
      <c r="AV885" t="s">
        <v>64</v>
      </c>
    </row>
    <row r="886" spans="1:48">
      <c r="A886" t="s">
        <v>622</v>
      </c>
      <c r="B886" t="s">
        <v>927</v>
      </c>
      <c r="C886" t="s">
        <v>624</v>
      </c>
      <c r="D886" t="s">
        <v>1268</v>
      </c>
      <c r="E886" t="s">
        <v>1277</v>
      </c>
      <c r="F886" t="s">
        <v>1304</v>
      </c>
      <c r="G886" t="s">
        <v>1266</v>
      </c>
      <c r="H886" t="s">
        <v>1305</v>
      </c>
      <c r="I886" t="s">
        <v>1303</v>
      </c>
      <c r="J886" t="s">
        <v>1267</v>
      </c>
      <c r="K886" t="s">
        <v>1275</v>
      </c>
      <c r="L886" s="2" t="s">
        <v>1274</v>
      </c>
      <c r="M886" t="str">
        <f t="shared" ref="M886:AB886" si="3540">CONCATENATE("&lt;/li&gt;&lt;li&gt;&lt;a href=|http://",M1191,"/amos/7.htm","| ","title=|",M1190,"| target=|_top|&gt;",M1192,"&lt;/a&gt;")</f>
        <v>&lt;/li&gt;&lt;li&gt;&lt;a href=|http://niv.scripturetext.com/amos/7.htm| title=|New International Version| target=|_top|&gt;NIV&lt;/a&gt;</v>
      </c>
      <c r="N886" t="str">
        <f t="shared" si="3540"/>
        <v>&lt;/li&gt;&lt;li&gt;&lt;a href=|http://nlt.scripturetext.com/amos/7.htm| title=|New Living Translation| target=|_top|&gt;NLT&lt;/a&gt;</v>
      </c>
      <c r="O886" t="str">
        <f t="shared" si="3540"/>
        <v>&lt;/li&gt;&lt;li&gt;&lt;a href=|http://nasb.scripturetext.com/amos/7.htm| title=|New American Standard Bible| target=|_top|&gt;NAS&lt;/a&gt;</v>
      </c>
      <c r="P886" t="str">
        <f t="shared" si="3540"/>
        <v>&lt;/li&gt;&lt;li&gt;&lt;a href=|http://gwt.scripturetext.com/amos/7.htm| title=|God's Word Translation| target=|_top|&gt;GWT&lt;/a&gt;</v>
      </c>
      <c r="Q886" t="str">
        <f t="shared" si="3540"/>
        <v>&lt;/li&gt;&lt;li&gt;&lt;a href=|http://kingjbible.com/amos/7.htm| title=|King James Bible| target=|_top|&gt;KJV&lt;/a&gt;</v>
      </c>
      <c r="R886" t="str">
        <f t="shared" si="3540"/>
        <v>&lt;/li&gt;&lt;li&gt;&lt;a href=|http://asvbible.com/amos/7.htm| title=|American Standard Version| target=|_top|&gt;ASV&lt;/a&gt;</v>
      </c>
      <c r="S886" t="str">
        <f t="shared" si="3540"/>
        <v>&lt;/li&gt;&lt;li&gt;&lt;a href=|http://drb.scripturetext.com/amos/7.htm| title=|Douay-Rheims Bible| target=|_top|&gt;DRB&lt;/a&gt;</v>
      </c>
      <c r="T886" t="str">
        <f t="shared" si="3540"/>
        <v>&lt;/li&gt;&lt;li&gt;&lt;a href=|http://erv.scripturetext.com/amos/7.htm| title=|English Revised Version| target=|_top|&gt;ERV&lt;/a&gt;</v>
      </c>
      <c r="V886" t="str">
        <f>CONCATENATE("&lt;/li&gt;&lt;li&gt;&lt;a href=|http://",V1191,"/amos/7.htm","| ","title=|",V1190,"| target=|_top|&gt;",V1192,"&lt;/a&gt;")</f>
        <v>&lt;/li&gt;&lt;li&gt;&lt;a href=|http://study.interlinearbible.org/amos/7.htm| title=|Hebrew Study Bible| target=|_top|&gt;Heb Study&lt;/a&gt;</v>
      </c>
      <c r="W886" t="str">
        <f t="shared" si="3540"/>
        <v>&lt;/li&gt;&lt;li&gt;&lt;a href=|http://apostolic.interlinearbible.org/amos/7.htm| title=|Apostolic Bible Polyglot Interlinear| target=|_top|&gt;Polyglot&lt;/a&gt;</v>
      </c>
      <c r="X886" t="str">
        <f t="shared" si="3540"/>
        <v>&lt;/li&gt;&lt;li&gt;&lt;a href=|http://interlinearbible.org/amos/7.htm| title=|Interlinear Bible| target=|_top|&gt;Interlin&lt;/a&gt;</v>
      </c>
      <c r="Y886" t="str">
        <f t="shared" ref="Y886" si="3541">CONCATENATE("&lt;/li&gt;&lt;li&gt;&lt;a href=|http://",Y1191,"/amos/7.htm","| ","title=|",Y1190,"| target=|_top|&gt;",Y1192,"&lt;/a&gt;")</f>
        <v>&lt;/li&gt;&lt;li&gt;&lt;a href=|http://bibleoutline.org/amos/7.htm| title=|Outline with People and Places List| target=|_top|&gt;Outline&lt;/a&gt;</v>
      </c>
      <c r="Z886" t="str">
        <f t="shared" si="3540"/>
        <v>&lt;/li&gt;&lt;li&gt;&lt;a href=|http://kjvs.scripturetext.com/amos/7.htm| title=|King James Bible with Strong's Numbers| target=|_top|&gt;Strong's&lt;/a&gt;</v>
      </c>
      <c r="AA886" t="str">
        <f t="shared" si="3540"/>
        <v>&lt;/li&gt;&lt;li&gt;&lt;a href=|http://childrensbibleonline.com/amos/7.htm| title=|The Children's Bible| target=|_top|&gt;Children's&lt;/a&gt;</v>
      </c>
      <c r="AB886" s="2" t="str">
        <f t="shared" si="3540"/>
        <v>&lt;/li&gt;&lt;li&gt;&lt;a href=|http://tsk.scripturetext.com/amos/7.htm| title=|Treasury of Scripture Knowledge| target=|_top|&gt;TSK&lt;/a&gt;</v>
      </c>
      <c r="AC886" t="str">
        <f>CONCATENATE("&lt;a href=|http://",AC1191,"/amos/7.htm","| ","title=|",AC1190,"| target=|_top|&gt;",AC1192,"&lt;/a&gt;")</f>
        <v>&lt;a href=|http://parallelbible.com/amos/7.htm| title=|Parallel Chapters| target=|_top|&gt;PAR&lt;/a&gt;</v>
      </c>
      <c r="AD886" s="2" t="str">
        <f t="shared" ref="AD886:AK886" si="3542">CONCATENATE("&lt;/li&gt;&lt;li&gt;&lt;a href=|http://",AD1191,"/amos/7.htm","| ","title=|",AD1190,"| target=|_top|&gt;",AD1192,"&lt;/a&gt;")</f>
        <v>&lt;/li&gt;&lt;li&gt;&lt;a href=|http://gsb.biblecommenter.com/amos/7.htm| title=|Geneva Study Bible| target=|_top|&gt;GSB&lt;/a&gt;</v>
      </c>
      <c r="AE886" s="2" t="str">
        <f t="shared" si="3542"/>
        <v>&lt;/li&gt;&lt;li&gt;&lt;a href=|http://jfb.biblecommenter.com/amos/7.htm| title=|Jamieson-Fausset-Brown Bible Commentary| target=|_top|&gt;JFB&lt;/a&gt;</v>
      </c>
      <c r="AF886" s="2" t="str">
        <f t="shared" si="3542"/>
        <v>&lt;/li&gt;&lt;li&gt;&lt;a href=|http://kjt.biblecommenter.com/amos/7.htm| title=|King James Translators' Notes| target=|_top|&gt;KJT&lt;/a&gt;</v>
      </c>
      <c r="AG886" s="2" t="str">
        <f t="shared" si="3542"/>
        <v>&lt;/li&gt;&lt;li&gt;&lt;a href=|http://mhc.biblecommenter.com/amos/7.htm| title=|Matthew Henry's Concise Commentary| target=|_top|&gt;MHC&lt;/a&gt;</v>
      </c>
      <c r="AH886" s="2" t="str">
        <f t="shared" si="3542"/>
        <v>&lt;/li&gt;&lt;li&gt;&lt;a href=|http://sco.biblecommenter.com/amos/7.htm| title=|Scofield Reference Notes| target=|_top|&gt;SCO&lt;/a&gt;</v>
      </c>
      <c r="AI886" s="2" t="str">
        <f t="shared" si="3542"/>
        <v>&lt;/li&gt;&lt;li&gt;&lt;a href=|http://wes.biblecommenter.com/amos/7.htm| title=|Wesley's Notes on the Bible| target=|_top|&gt;WES&lt;/a&gt;</v>
      </c>
      <c r="AJ886" t="str">
        <f t="shared" si="3542"/>
        <v>&lt;/li&gt;&lt;li&gt;&lt;a href=|http://worldebible.com/amos/7.htm| title=|World English Bible| target=|_top|&gt;WEB&lt;/a&gt;</v>
      </c>
      <c r="AK886" t="str">
        <f t="shared" si="3542"/>
        <v>&lt;/li&gt;&lt;li&gt;&lt;a href=|http://yltbible.com/amos/7.htm| title=|Young's Literal Translation| target=|_top|&gt;YLT&lt;/a&gt;</v>
      </c>
      <c r="AL886" t="str">
        <f>CONCATENATE("&lt;a href=|http://",AL1191,"/amos/7.htm","| ","title=|",AL1190,"| target=|_top|&gt;",AL1192,"&lt;/a&gt;")</f>
        <v>&lt;a href=|http://kjv.us/amos/7.htm| title=|American King James Version| target=|_top|&gt;AKJ&lt;/a&gt;</v>
      </c>
      <c r="AM886" t="str">
        <f t="shared" ref="AM886:AN886" si="3543">CONCATENATE("&lt;/li&gt;&lt;li&gt;&lt;a href=|http://",AM1191,"/amos/7.htm","| ","title=|",AM1190,"| target=|_top|&gt;",AM1192,"&lt;/a&gt;")</f>
        <v>&lt;/li&gt;&lt;li&gt;&lt;a href=|http://basicenglishbible.com/amos/7.htm| title=|Bible in Basic English| target=|_top|&gt;BBE&lt;/a&gt;</v>
      </c>
      <c r="AN886" t="str">
        <f t="shared" si="3543"/>
        <v>&lt;/li&gt;&lt;li&gt;&lt;a href=|http://darbybible.com/amos/7.htm| title=|Darby Bible Translation| target=|_top|&gt;DBY&lt;/a&gt;</v>
      </c>
      <c r="AO88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8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8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86" t="str">
        <f>CONCATENATE("&lt;/li&gt;&lt;li&gt;&lt;a href=|http://",AR1191,"/amos/7.htm","| ","title=|",AR1190,"| target=|_top|&gt;",AR1192,"&lt;/a&gt;")</f>
        <v>&lt;/li&gt;&lt;li&gt;&lt;a href=|http://websterbible.com/amos/7.htm| title=|Webster's Bible Translation| target=|_top|&gt;WBS&lt;/a&gt;</v>
      </c>
      <c r="AS88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86" t="str">
        <f>CONCATENATE("&lt;/li&gt;&lt;li&gt;&lt;a href=|http://",AT1191,"/amos/7-1.htm","| ","title=|",AT1190,"| target=|_top|&gt;",AT1192,"&lt;/a&gt;")</f>
        <v>&lt;/li&gt;&lt;li&gt;&lt;a href=|http://biblebrowser.com/amos/7-1.htm| title=|Split View| target=|_top|&gt;Split&lt;/a&gt;</v>
      </c>
      <c r="AU886" s="2" t="s">
        <v>1276</v>
      </c>
      <c r="AV886" t="s">
        <v>64</v>
      </c>
    </row>
    <row r="887" spans="1:48">
      <c r="A887" t="s">
        <v>622</v>
      </c>
      <c r="B887" t="s">
        <v>928</v>
      </c>
      <c r="C887" t="s">
        <v>624</v>
      </c>
      <c r="D887" t="s">
        <v>1268</v>
      </c>
      <c r="E887" t="s">
        <v>1277</v>
      </c>
      <c r="F887" t="s">
        <v>1304</v>
      </c>
      <c r="G887" t="s">
        <v>1266</v>
      </c>
      <c r="H887" t="s">
        <v>1305</v>
      </c>
      <c r="I887" t="s">
        <v>1303</v>
      </c>
      <c r="J887" t="s">
        <v>1267</v>
      </c>
      <c r="K887" t="s">
        <v>1275</v>
      </c>
      <c r="L887" s="2" t="s">
        <v>1274</v>
      </c>
      <c r="M887" t="str">
        <f t="shared" ref="M887:AB887" si="3544">CONCATENATE("&lt;/li&gt;&lt;li&gt;&lt;a href=|http://",M1191,"/amos/8.htm","| ","title=|",M1190,"| target=|_top|&gt;",M1192,"&lt;/a&gt;")</f>
        <v>&lt;/li&gt;&lt;li&gt;&lt;a href=|http://niv.scripturetext.com/amos/8.htm| title=|New International Version| target=|_top|&gt;NIV&lt;/a&gt;</v>
      </c>
      <c r="N887" t="str">
        <f t="shared" si="3544"/>
        <v>&lt;/li&gt;&lt;li&gt;&lt;a href=|http://nlt.scripturetext.com/amos/8.htm| title=|New Living Translation| target=|_top|&gt;NLT&lt;/a&gt;</v>
      </c>
      <c r="O887" t="str">
        <f t="shared" si="3544"/>
        <v>&lt;/li&gt;&lt;li&gt;&lt;a href=|http://nasb.scripturetext.com/amos/8.htm| title=|New American Standard Bible| target=|_top|&gt;NAS&lt;/a&gt;</v>
      </c>
      <c r="P887" t="str">
        <f t="shared" si="3544"/>
        <v>&lt;/li&gt;&lt;li&gt;&lt;a href=|http://gwt.scripturetext.com/amos/8.htm| title=|God's Word Translation| target=|_top|&gt;GWT&lt;/a&gt;</v>
      </c>
      <c r="Q887" t="str">
        <f t="shared" si="3544"/>
        <v>&lt;/li&gt;&lt;li&gt;&lt;a href=|http://kingjbible.com/amos/8.htm| title=|King James Bible| target=|_top|&gt;KJV&lt;/a&gt;</v>
      </c>
      <c r="R887" t="str">
        <f t="shared" si="3544"/>
        <v>&lt;/li&gt;&lt;li&gt;&lt;a href=|http://asvbible.com/amos/8.htm| title=|American Standard Version| target=|_top|&gt;ASV&lt;/a&gt;</v>
      </c>
      <c r="S887" t="str">
        <f t="shared" si="3544"/>
        <v>&lt;/li&gt;&lt;li&gt;&lt;a href=|http://drb.scripturetext.com/amos/8.htm| title=|Douay-Rheims Bible| target=|_top|&gt;DRB&lt;/a&gt;</v>
      </c>
      <c r="T887" t="str">
        <f t="shared" si="3544"/>
        <v>&lt;/li&gt;&lt;li&gt;&lt;a href=|http://erv.scripturetext.com/amos/8.htm| title=|English Revised Version| target=|_top|&gt;ERV&lt;/a&gt;</v>
      </c>
      <c r="V887" t="str">
        <f>CONCATENATE("&lt;/li&gt;&lt;li&gt;&lt;a href=|http://",V1191,"/amos/8.htm","| ","title=|",V1190,"| target=|_top|&gt;",V1192,"&lt;/a&gt;")</f>
        <v>&lt;/li&gt;&lt;li&gt;&lt;a href=|http://study.interlinearbible.org/amos/8.htm| title=|Hebrew Study Bible| target=|_top|&gt;Heb Study&lt;/a&gt;</v>
      </c>
      <c r="W887" t="str">
        <f t="shared" si="3544"/>
        <v>&lt;/li&gt;&lt;li&gt;&lt;a href=|http://apostolic.interlinearbible.org/amos/8.htm| title=|Apostolic Bible Polyglot Interlinear| target=|_top|&gt;Polyglot&lt;/a&gt;</v>
      </c>
      <c r="X887" t="str">
        <f t="shared" si="3544"/>
        <v>&lt;/li&gt;&lt;li&gt;&lt;a href=|http://interlinearbible.org/amos/8.htm| title=|Interlinear Bible| target=|_top|&gt;Interlin&lt;/a&gt;</v>
      </c>
      <c r="Y887" t="str">
        <f t="shared" ref="Y887" si="3545">CONCATENATE("&lt;/li&gt;&lt;li&gt;&lt;a href=|http://",Y1191,"/amos/8.htm","| ","title=|",Y1190,"| target=|_top|&gt;",Y1192,"&lt;/a&gt;")</f>
        <v>&lt;/li&gt;&lt;li&gt;&lt;a href=|http://bibleoutline.org/amos/8.htm| title=|Outline with People and Places List| target=|_top|&gt;Outline&lt;/a&gt;</v>
      </c>
      <c r="Z887" t="str">
        <f t="shared" si="3544"/>
        <v>&lt;/li&gt;&lt;li&gt;&lt;a href=|http://kjvs.scripturetext.com/amos/8.htm| title=|King James Bible with Strong's Numbers| target=|_top|&gt;Strong's&lt;/a&gt;</v>
      </c>
      <c r="AA887" t="str">
        <f t="shared" si="3544"/>
        <v>&lt;/li&gt;&lt;li&gt;&lt;a href=|http://childrensbibleonline.com/amos/8.htm| title=|The Children's Bible| target=|_top|&gt;Children's&lt;/a&gt;</v>
      </c>
      <c r="AB887" s="2" t="str">
        <f t="shared" si="3544"/>
        <v>&lt;/li&gt;&lt;li&gt;&lt;a href=|http://tsk.scripturetext.com/amos/8.htm| title=|Treasury of Scripture Knowledge| target=|_top|&gt;TSK&lt;/a&gt;</v>
      </c>
      <c r="AC887" t="str">
        <f>CONCATENATE("&lt;a href=|http://",AC1191,"/amos/8.htm","| ","title=|",AC1190,"| target=|_top|&gt;",AC1192,"&lt;/a&gt;")</f>
        <v>&lt;a href=|http://parallelbible.com/amos/8.htm| title=|Parallel Chapters| target=|_top|&gt;PAR&lt;/a&gt;</v>
      </c>
      <c r="AD887" s="2" t="str">
        <f t="shared" ref="AD887:AK887" si="3546">CONCATENATE("&lt;/li&gt;&lt;li&gt;&lt;a href=|http://",AD1191,"/amos/8.htm","| ","title=|",AD1190,"| target=|_top|&gt;",AD1192,"&lt;/a&gt;")</f>
        <v>&lt;/li&gt;&lt;li&gt;&lt;a href=|http://gsb.biblecommenter.com/amos/8.htm| title=|Geneva Study Bible| target=|_top|&gt;GSB&lt;/a&gt;</v>
      </c>
      <c r="AE887" s="2" t="str">
        <f t="shared" si="3546"/>
        <v>&lt;/li&gt;&lt;li&gt;&lt;a href=|http://jfb.biblecommenter.com/amos/8.htm| title=|Jamieson-Fausset-Brown Bible Commentary| target=|_top|&gt;JFB&lt;/a&gt;</v>
      </c>
      <c r="AF887" s="2" t="str">
        <f t="shared" si="3546"/>
        <v>&lt;/li&gt;&lt;li&gt;&lt;a href=|http://kjt.biblecommenter.com/amos/8.htm| title=|King James Translators' Notes| target=|_top|&gt;KJT&lt;/a&gt;</v>
      </c>
      <c r="AG887" s="2" t="str">
        <f t="shared" si="3546"/>
        <v>&lt;/li&gt;&lt;li&gt;&lt;a href=|http://mhc.biblecommenter.com/amos/8.htm| title=|Matthew Henry's Concise Commentary| target=|_top|&gt;MHC&lt;/a&gt;</v>
      </c>
      <c r="AH887" s="2" t="str">
        <f t="shared" si="3546"/>
        <v>&lt;/li&gt;&lt;li&gt;&lt;a href=|http://sco.biblecommenter.com/amos/8.htm| title=|Scofield Reference Notes| target=|_top|&gt;SCO&lt;/a&gt;</v>
      </c>
      <c r="AI887" s="2" t="str">
        <f t="shared" si="3546"/>
        <v>&lt;/li&gt;&lt;li&gt;&lt;a href=|http://wes.biblecommenter.com/amos/8.htm| title=|Wesley's Notes on the Bible| target=|_top|&gt;WES&lt;/a&gt;</v>
      </c>
      <c r="AJ887" t="str">
        <f t="shared" si="3546"/>
        <v>&lt;/li&gt;&lt;li&gt;&lt;a href=|http://worldebible.com/amos/8.htm| title=|World English Bible| target=|_top|&gt;WEB&lt;/a&gt;</v>
      </c>
      <c r="AK887" t="str">
        <f t="shared" si="3546"/>
        <v>&lt;/li&gt;&lt;li&gt;&lt;a href=|http://yltbible.com/amos/8.htm| title=|Young's Literal Translation| target=|_top|&gt;YLT&lt;/a&gt;</v>
      </c>
      <c r="AL887" t="str">
        <f>CONCATENATE("&lt;a href=|http://",AL1191,"/amos/8.htm","| ","title=|",AL1190,"| target=|_top|&gt;",AL1192,"&lt;/a&gt;")</f>
        <v>&lt;a href=|http://kjv.us/amos/8.htm| title=|American King James Version| target=|_top|&gt;AKJ&lt;/a&gt;</v>
      </c>
      <c r="AM887" t="str">
        <f t="shared" ref="AM887:AN887" si="3547">CONCATENATE("&lt;/li&gt;&lt;li&gt;&lt;a href=|http://",AM1191,"/amos/8.htm","| ","title=|",AM1190,"| target=|_top|&gt;",AM1192,"&lt;/a&gt;")</f>
        <v>&lt;/li&gt;&lt;li&gt;&lt;a href=|http://basicenglishbible.com/amos/8.htm| title=|Bible in Basic English| target=|_top|&gt;BBE&lt;/a&gt;</v>
      </c>
      <c r="AN887" t="str">
        <f t="shared" si="3547"/>
        <v>&lt;/li&gt;&lt;li&gt;&lt;a href=|http://darbybible.com/amos/8.htm| title=|Darby Bible Translation| target=|_top|&gt;DBY&lt;/a&gt;</v>
      </c>
      <c r="AO88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8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8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87" t="str">
        <f>CONCATENATE("&lt;/li&gt;&lt;li&gt;&lt;a href=|http://",AR1191,"/amos/8.htm","| ","title=|",AR1190,"| target=|_top|&gt;",AR1192,"&lt;/a&gt;")</f>
        <v>&lt;/li&gt;&lt;li&gt;&lt;a href=|http://websterbible.com/amos/8.htm| title=|Webster's Bible Translation| target=|_top|&gt;WBS&lt;/a&gt;</v>
      </c>
      <c r="AS88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87" t="str">
        <f>CONCATENATE("&lt;/li&gt;&lt;li&gt;&lt;a href=|http://",AT1191,"/amos/8-1.htm","| ","title=|",AT1190,"| target=|_top|&gt;",AT1192,"&lt;/a&gt;")</f>
        <v>&lt;/li&gt;&lt;li&gt;&lt;a href=|http://biblebrowser.com/amos/8-1.htm| title=|Split View| target=|_top|&gt;Split&lt;/a&gt;</v>
      </c>
      <c r="AU887" s="2" t="s">
        <v>1276</v>
      </c>
      <c r="AV887" t="s">
        <v>64</v>
      </c>
    </row>
    <row r="888" spans="1:48">
      <c r="A888" t="s">
        <v>622</v>
      </c>
      <c r="B888" t="s">
        <v>929</v>
      </c>
      <c r="C888" t="s">
        <v>624</v>
      </c>
      <c r="D888" t="s">
        <v>1268</v>
      </c>
      <c r="E888" t="s">
        <v>1277</v>
      </c>
      <c r="F888" t="s">
        <v>1304</v>
      </c>
      <c r="G888" t="s">
        <v>1266</v>
      </c>
      <c r="H888" t="s">
        <v>1305</v>
      </c>
      <c r="I888" t="s">
        <v>1303</v>
      </c>
      <c r="J888" t="s">
        <v>1267</v>
      </c>
      <c r="K888" t="s">
        <v>1275</v>
      </c>
      <c r="L888" s="2" t="s">
        <v>1274</v>
      </c>
      <c r="M888" t="str">
        <f t="shared" ref="M888:AB888" si="3548">CONCATENATE("&lt;/li&gt;&lt;li&gt;&lt;a href=|http://",M1191,"/amos/9.htm","| ","title=|",M1190,"| target=|_top|&gt;",M1192,"&lt;/a&gt;")</f>
        <v>&lt;/li&gt;&lt;li&gt;&lt;a href=|http://niv.scripturetext.com/amos/9.htm| title=|New International Version| target=|_top|&gt;NIV&lt;/a&gt;</v>
      </c>
      <c r="N888" t="str">
        <f t="shared" si="3548"/>
        <v>&lt;/li&gt;&lt;li&gt;&lt;a href=|http://nlt.scripturetext.com/amos/9.htm| title=|New Living Translation| target=|_top|&gt;NLT&lt;/a&gt;</v>
      </c>
      <c r="O888" t="str">
        <f t="shared" si="3548"/>
        <v>&lt;/li&gt;&lt;li&gt;&lt;a href=|http://nasb.scripturetext.com/amos/9.htm| title=|New American Standard Bible| target=|_top|&gt;NAS&lt;/a&gt;</v>
      </c>
      <c r="P888" t="str">
        <f t="shared" si="3548"/>
        <v>&lt;/li&gt;&lt;li&gt;&lt;a href=|http://gwt.scripturetext.com/amos/9.htm| title=|God's Word Translation| target=|_top|&gt;GWT&lt;/a&gt;</v>
      </c>
      <c r="Q888" t="str">
        <f t="shared" si="3548"/>
        <v>&lt;/li&gt;&lt;li&gt;&lt;a href=|http://kingjbible.com/amos/9.htm| title=|King James Bible| target=|_top|&gt;KJV&lt;/a&gt;</v>
      </c>
      <c r="R888" t="str">
        <f t="shared" si="3548"/>
        <v>&lt;/li&gt;&lt;li&gt;&lt;a href=|http://asvbible.com/amos/9.htm| title=|American Standard Version| target=|_top|&gt;ASV&lt;/a&gt;</v>
      </c>
      <c r="S888" t="str">
        <f t="shared" si="3548"/>
        <v>&lt;/li&gt;&lt;li&gt;&lt;a href=|http://drb.scripturetext.com/amos/9.htm| title=|Douay-Rheims Bible| target=|_top|&gt;DRB&lt;/a&gt;</v>
      </c>
      <c r="T888" t="str">
        <f t="shared" si="3548"/>
        <v>&lt;/li&gt;&lt;li&gt;&lt;a href=|http://erv.scripturetext.com/amos/9.htm| title=|English Revised Version| target=|_top|&gt;ERV&lt;/a&gt;</v>
      </c>
      <c r="V888" t="str">
        <f>CONCATENATE("&lt;/li&gt;&lt;li&gt;&lt;a href=|http://",V1191,"/amos/9.htm","| ","title=|",V1190,"| target=|_top|&gt;",V1192,"&lt;/a&gt;")</f>
        <v>&lt;/li&gt;&lt;li&gt;&lt;a href=|http://study.interlinearbible.org/amos/9.htm| title=|Hebrew Study Bible| target=|_top|&gt;Heb Study&lt;/a&gt;</v>
      </c>
      <c r="W888" t="str">
        <f t="shared" si="3548"/>
        <v>&lt;/li&gt;&lt;li&gt;&lt;a href=|http://apostolic.interlinearbible.org/amos/9.htm| title=|Apostolic Bible Polyglot Interlinear| target=|_top|&gt;Polyglot&lt;/a&gt;</v>
      </c>
      <c r="X888" t="str">
        <f t="shared" si="3548"/>
        <v>&lt;/li&gt;&lt;li&gt;&lt;a href=|http://interlinearbible.org/amos/9.htm| title=|Interlinear Bible| target=|_top|&gt;Interlin&lt;/a&gt;</v>
      </c>
      <c r="Y888" t="str">
        <f t="shared" ref="Y888" si="3549">CONCATENATE("&lt;/li&gt;&lt;li&gt;&lt;a href=|http://",Y1191,"/amos/9.htm","| ","title=|",Y1190,"| target=|_top|&gt;",Y1192,"&lt;/a&gt;")</f>
        <v>&lt;/li&gt;&lt;li&gt;&lt;a href=|http://bibleoutline.org/amos/9.htm| title=|Outline with People and Places List| target=|_top|&gt;Outline&lt;/a&gt;</v>
      </c>
      <c r="Z888" t="str">
        <f t="shared" si="3548"/>
        <v>&lt;/li&gt;&lt;li&gt;&lt;a href=|http://kjvs.scripturetext.com/amos/9.htm| title=|King James Bible with Strong's Numbers| target=|_top|&gt;Strong's&lt;/a&gt;</v>
      </c>
      <c r="AA888" t="str">
        <f t="shared" si="3548"/>
        <v>&lt;/li&gt;&lt;li&gt;&lt;a href=|http://childrensbibleonline.com/amos/9.htm| title=|The Children's Bible| target=|_top|&gt;Children's&lt;/a&gt;</v>
      </c>
      <c r="AB888" s="2" t="str">
        <f t="shared" si="3548"/>
        <v>&lt;/li&gt;&lt;li&gt;&lt;a href=|http://tsk.scripturetext.com/amos/9.htm| title=|Treasury of Scripture Knowledge| target=|_top|&gt;TSK&lt;/a&gt;</v>
      </c>
      <c r="AC888" t="str">
        <f>CONCATENATE("&lt;a href=|http://",AC1191,"/amos/9.htm","| ","title=|",AC1190,"| target=|_top|&gt;",AC1192,"&lt;/a&gt;")</f>
        <v>&lt;a href=|http://parallelbible.com/amos/9.htm| title=|Parallel Chapters| target=|_top|&gt;PAR&lt;/a&gt;</v>
      </c>
      <c r="AD888" s="2" t="str">
        <f t="shared" ref="AD888:AK888" si="3550">CONCATENATE("&lt;/li&gt;&lt;li&gt;&lt;a href=|http://",AD1191,"/amos/9.htm","| ","title=|",AD1190,"| target=|_top|&gt;",AD1192,"&lt;/a&gt;")</f>
        <v>&lt;/li&gt;&lt;li&gt;&lt;a href=|http://gsb.biblecommenter.com/amos/9.htm| title=|Geneva Study Bible| target=|_top|&gt;GSB&lt;/a&gt;</v>
      </c>
      <c r="AE888" s="2" t="str">
        <f t="shared" si="3550"/>
        <v>&lt;/li&gt;&lt;li&gt;&lt;a href=|http://jfb.biblecommenter.com/amos/9.htm| title=|Jamieson-Fausset-Brown Bible Commentary| target=|_top|&gt;JFB&lt;/a&gt;</v>
      </c>
      <c r="AF888" s="2" t="str">
        <f t="shared" si="3550"/>
        <v>&lt;/li&gt;&lt;li&gt;&lt;a href=|http://kjt.biblecommenter.com/amos/9.htm| title=|King James Translators' Notes| target=|_top|&gt;KJT&lt;/a&gt;</v>
      </c>
      <c r="AG888" s="2" t="str">
        <f t="shared" si="3550"/>
        <v>&lt;/li&gt;&lt;li&gt;&lt;a href=|http://mhc.biblecommenter.com/amos/9.htm| title=|Matthew Henry's Concise Commentary| target=|_top|&gt;MHC&lt;/a&gt;</v>
      </c>
      <c r="AH888" s="2" t="str">
        <f t="shared" si="3550"/>
        <v>&lt;/li&gt;&lt;li&gt;&lt;a href=|http://sco.biblecommenter.com/amos/9.htm| title=|Scofield Reference Notes| target=|_top|&gt;SCO&lt;/a&gt;</v>
      </c>
      <c r="AI888" s="2" t="str">
        <f t="shared" si="3550"/>
        <v>&lt;/li&gt;&lt;li&gt;&lt;a href=|http://wes.biblecommenter.com/amos/9.htm| title=|Wesley's Notes on the Bible| target=|_top|&gt;WES&lt;/a&gt;</v>
      </c>
      <c r="AJ888" t="str">
        <f t="shared" si="3550"/>
        <v>&lt;/li&gt;&lt;li&gt;&lt;a href=|http://worldebible.com/amos/9.htm| title=|World English Bible| target=|_top|&gt;WEB&lt;/a&gt;</v>
      </c>
      <c r="AK888" t="str">
        <f t="shared" si="3550"/>
        <v>&lt;/li&gt;&lt;li&gt;&lt;a href=|http://yltbible.com/amos/9.htm| title=|Young's Literal Translation| target=|_top|&gt;YLT&lt;/a&gt;</v>
      </c>
      <c r="AL888" t="str">
        <f>CONCATENATE("&lt;a href=|http://",AL1191,"/amos/9.htm","| ","title=|",AL1190,"| target=|_top|&gt;",AL1192,"&lt;/a&gt;")</f>
        <v>&lt;a href=|http://kjv.us/amos/9.htm| title=|American King James Version| target=|_top|&gt;AKJ&lt;/a&gt;</v>
      </c>
      <c r="AM888" t="str">
        <f t="shared" ref="AM888:AN888" si="3551">CONCATENATE("&lt;/li&gt;&lt;li&gt;&lt;a href=|http://",AM1191,"/amos/9.htm","| ","title=|",AM1190,"| target=|_top|&gt;",AM1192,"&lt;/a&gt;")</f>
        <v>&lt;/li&gt;&lt;li&gt;&lt;a href=|http://basicenglishbible.com/amos/9.htm| title=|Bible in Basic English| target=|_top|&gt;BBE&lt;/a&gt;</v>
      </c>
      <c r="AN888" t="str">
        <f t="shared" si="3551"/>
        <v>&lt;/li&gt;&lt;li&gt;&lt;a href=|http://darbybible.com/amos/9.htm| title=|Darby Bible Translation| target=|_top|&gt;DBY&lt;/a&gt;</v>
      </c>
      <c r="AO88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8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8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88" t="str">
        <f>CONCATENATE("&lt;/li&gt;&lt;li&gt;&lt;a href=|http://",AR1191,"/amos/9.htm","| ","title=|",AR1190,"| target=|_top|&gt;",AR1192,"&lt;/a&gt;")</f>
        <v>&lt;/li&gt;&lt;li&gt;&lt;a href=|http://websterbible.com/amos/9.htm| title=|Webster's Bible Translation| target=|_top|&gt;WBS&lt;/a&gt;</v>
      </c>
      <c r="AS88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88" t="str">
        <f>CONCATENATE("&lt;/li&gt;&lt;li&gt;&lt;a href=|http://",AT1191,"/amos/9-1.htm","| ","title=|",AT1190,"| target=|_top|&gt;",AT1192,"&lt;/a&gt;")</f>
        <v>&lt;/li&gt;&lt;li&gt;&lt;a href=|http://biblebrowser.com/amos/9-1.htm| title=|Split View| target=|_top|&gt;Split&lt;/a&gt;</v>
      </c>
      <c r="AU888" s="2" t="s">
        <v>1276</v>
      </c>
      <c r="AV888" t="s">
        <v>64</v>
      </c>
    </row>
    <row r="889" spans="1:48">
      <c r="A889" t="s">
        <v>622</v>
      </c>
      <c r="B889" t="s">
        <v>930</v>
      </c>
      <c r="C889" t="s">
        <v>624</v>
      </c>
      <c r="D889" t="s">
        <v>1268</v>
      </c>
      <c r="E889" t="s">
        <v>1277</v>
      </c>
      <c r="F889" t="s">
        <v>1304</v>
      </c>
      <c r="G889" t="s">
        <v>1266</v>
      </c>
      <c r="H889" t="s">
        <v>1305</v>
      </c>
      <c r="I889" t="s">
        <v>1303</v>
      </c>
      <c r="J889" t="s">
        <v>1267</v>
      </c>
      <c r="K889" t="s">
        <v>1275</v>
      </c>
      <c r="L889" s="2" t="s">
        <v>1274</v>
      </c>
      <c r="M889" t="str">
        <f t="shared" ref="M889:AB889" si="3552">CONCATENATE("&lt;/li&gt;&lt;li&gt;&lt;a href=|http://",M1191,"/obadiah/1.htm","| ","title=|",M1190,"| target=|_top|&gt;",M1192,"&lt;/a&gt;")</f>
        <v>&lt;/li&gt;&lt;li&gt;&lt;a href=|http://niv.scripturetext.com/obadiah/1.htm| title=|New International Version| target=|_top|&gt;NIV&lt;/a&gt;</v>
      </c>
      <c r="N889" t="str">
        <f t="shared" si="3552"/>
        <v>&lt;/li&gt;&lt;li&gt;&lt;a href=|http://nlt.scripturetext.com/obadiah/1.htm| title=|New Living Translation| target=|_top|&gt;NLT&lt;/a&gt;</v>
      </c>
      <c r="O889" t="str">
        <f t="shared" si="3552"/>
        <v>&lt;/li&gt;&lt;li&gt;&lt;a href=|http://nasb.scripturetext.com/obadiah/1.htm| title=|New American Standard Bible| target=|_top|&gt;NAS&lt;/a&gt;</v>
      </c>
      <c r="P889" t="str">
        <f t="shared" si="3552"/>
        <v>&lt;/li&gt;&lt;li&gt;&lt;a href=|http://gwt.scripturetext.com/obadiah/1.htm| title=|God's Word Translation| target=|_top|&gt;GWT&lt;/a&gt;</v>
      </c>
      <c r="Q889" t="str">
        <f t="shared" si="3552"/>
        <v>&lt;/li&gt;&lt;li&gt;&lt;a href=|http://kingjbible.com/obadiah/1.htm| title=|King James Bible| target=|_top|&gt;KJV&lt;/a&gt;</v>
      </c>
      <c r="R889" t="str">
        <f t="shared" si="3552"/>
        <v>&lt;/li&gt;&lt;li&gt;&lt;a href=|http://asvbible.com/obadiah/1.htm| title=|American Standard Version| target=|_top|&gt;ASV&lt;/a&gt;</v>
      </c>
      <c r="S889" t="str">
        <f t="shared" si="3552"/>
        <v>&lt;/li&gt;&lt;li&gt;&lt;a href=|http://drb.scripturetext.com/obadiah/1.htm| title=|Douay-Rheims Bible| target=|_top|&gt;DRB&lt;/a&gt;</v>
      </c>
      <c r="T889" t="str">
        <f t="shared" si="3552"/>
        <v>&lt;/li&gt;&lt;li&gt;&lt;a href=|http://erv.scripturetext.com/obadiah/1.htm| title=|English Revised Version| target=|_top|&gt;ERV&lt;/a&gt;</v>
      </c>
      <c r="V889" t="str">
        <f>CONCATENATE("&lt;/li&gt;&lt;li&gt;&lt;a href=|http://",V1191,"/obadiah/1.htm","| ","title=|",V1190,"| target=|_top|&gt;",V1192,"&lt;/a&gt;")</f>
        <v>&lt;/li&gt;&lt;li&gt;&lt;a href=|http://study.interlinearbible.org/obadiah/1.htm| title=|Hebrew Study Bible| target=|_top|&gt;Heb Study&lt;/a&gt;</v>
      </c>
      <c r="W889" t="str">
        <f t="shared" si="3552"/>
        <v>&lt;/li&gt;&lt;li&gt;&lt;a href=|http://apostolic.interlinearbible.org/obadiah/1.htm| title=|Apostolic Bible Polyglot Interlinear| target=|_top|&gt;Polyglot&lt;/a&gt;</v>
      </c>
      <c r="X889" t="str">
        <f t="shared" si="3552"/>
        <v>&lt;/li&gt;&lt;li&gt;&lt;a href=|http://interlinearbible.org/obadiah/1.htm| title=|Interlinear Bible| target=|_top|&gt;Interlin&lt;/a&gt;</v>
      </c>
      <c r="Y889" t="str">
        <f t="shared" ref="Y889" si="3553">CONCATENATE("&lt;/li&gt;&lt;li&gt;&lt;a href=|http://",Y1191,"/obadiah/1.htm","| ","title=|",Y1190,"| target=|_top|&gt;",Y1192,"&lt;/a&gt;")</f>
        <v>&lt;/li&gt;&lt;li&gt;&lt;a href=|http://bibleoutline.org/obadiah/1.htm| title=|Outline with People and Places List| target=|_top|&gt;Outline&lt;/a&gt;</v>
      </c>
      <c r="Z889" t="str">
        <f t="shared" si="3552"/>
        <v>&lt;/li&gt;&lt;li&gt;&lt;a href=|http://kjvs.scripturetext.com/obadiah/1.htm| title=|King James Bible with Strong's Numbers| target=|_top|&gt;Strong's&lt;/a&gt;</v>
      </c>
      <c r="AA889" t="str">
        <f t="shared" si="3552"/>
        <v>&lt;/li&gt;&lt;li&gt;&lt;a href=|http://childrensbibleonline.com/obadiah/1.htm| title=|The Children's Bible| target=|_top|&gt;Children's&lt;/a&gt;</v>
      </c>
      <c r="AB889" s="2" t="str">
        <f t="shared" si="3552"/>
        <v>&lt;/li&gt;&lt;li&gt;&lt;a href=|http://tsk.scripturetext.com/obadiah/1.htm| title=|Treasury of Scripture Knowledge| target=|_top|&gt;TSK&lt;/a&gt;</v>
      </c>
      <c r="AC889" t="str">
        <f>CONCATENATE("&lt;a href=|http://",AC1191,"/obadiah/1.htm","| ","title=|",AC1190,"| target=|_top|&gt;",AC1192,"&lt;/a&gt;")</f>
        <v>&lt;a href=|http://parallelbible.com/obadiah/1.htm| title=|Parallel Chapters| target=|_top|&gt;PAR&lt;/a&gt;</v>
      </c>
      <c r="AD889" s="2" t="str">
        <f t="shared" ref="AD889:AK889" si="3554">CONCATENATE("&lt;/li&gt;&lt;li&gt;&lt;a href=|http://",AD1191,"/obadiah/1.htm","| ","title=|",AD1190,"| target=|_top|&gt;",AD1192,"&lt;/a&gt;")</f>
        <v>&lt;/li&gt;&lt;li&gt;&lt;a href=|http://gsb.biblecommenter.com/obadiah/1.htm| title=|Geneva Study Bible| target=|_top|&gt;GSB&lt;/a&gt;</v>
      </c>
      <c r="AE889" s="2" t="str">
        <f t="shared" si="3554"/>
        <v>&lt;/li&gt;&lt;li&gt;&lt;a href=|http://jfb.biblecommenter.com/obadiah/1.htm| title=|Jamieson-Fausset-Brown Bible Commentary| target=|_top|&gt;JFB&lt;/a&gt;</v>
      </c>
      <c r="AF889" s="2" t="str">
        <f t="shared" si="3554"/>
        <v>&lt;/li&gt;&lt;li&gt;&lt;a href=|http://kjt.biblecommenter.com/obadiah/1.htm| title=|King James Translators' Notes| target=|_top|&gt;KJT&lt;/a&gt;</v>
      </c>
      <c r="AG889" s="2" t="str">
        <f t="shared" si="3554"/>
        <v>&lt;/li&gt;&lt;li&gt;&lt;a href=|http://mhc.biblecommenter.com/obadiah/1.htm| title=|Matthew Henry's Concise Commentary| target=|_top|&gt;MHC&lt;/a&gt;</v>
      </c>
      <c r="AH889" s="2" t="str">
        <f t="shared" si="3554"/>
        <v>&lt;/li&gt;&lt;li&gt;&lt;a href=|http://sco.biblecommenter.com/obadiah/1.htm| title=|Scofield Reference Notes| target=|_top|&gt;SCO&lt;/a&gt;</v>
      </c>
      <c r="AI889" s="2" t="str">
        <f t="shared" si="3554"/>
        <v>&lt;/li&gt;&lt;li&gt;&lt;a href=|http://wes.biblecommenter.com/obadiah/1.htm| title=|Wesley's Notes on the Bible| target=|_top|&gt;WES&lt;/a&gt;</v>
      </c>
      <c r="AJ889" t="str">
        <f t="shared" si="3554"/>
        <v>&lt;/li&gt;&lt;li&gt;&lt;a href=|http://worldebible.com/obadiah/1.htm| title=|World English Bible| target=|_top|&gt;WEB&lt;/a&gt;</v>
      </c>
      <c r="AK889" t="str">
        <f t="shared" si="3554"/>
        <v>&lt;/li&gt;&lt;li&gt;&lt;a href=|http://yltbible.com/obadiah/1.htm| title=|Young's Literal Translation| target=|_top|&gt;YLT&lt;/a&gt;</v>
      </c>
      <c r="AL889" t="str">
        <f>CONCATENATE("&lt;a href=|http://",AL1191,"/obadiah/1.htm","| ","title=|",AL1190,"| target=|_top|&gt;",AL1192,"&lt;/a&gt;")</f>
        <v>&lt;a href=|http://kjv.us/obadiah/1.htm| title=|American King James Version| target=|_top|&gt;AKJ&lt;/a&gt;</v>
      </c>
      <c r="AM889" t="str">
        <f t="shared" ref="AM889:AN889" si="3555">CONCATENATE("&lt;/li&gt;&lt;li&gt;&lt;a href=|http://",AM1191,"/obadiah/1.htm","| ","title=|",AM1190,"| target=|_top|&gt;",AM1192,"&lt;/a&gt;")</f>
        <v>&lt;/li&gt;&lt;li&gt;&lt;a href=|http://basicenglishbible.com/obadiah/1.htm| title=|Bible in Basic English| target=|_top|&gt;BBE&lt;/a&gt;</v>
      </c>
      <c r="AN889" t="str">
        <f t="shared" si="3555"/>
        <v>&lt;/li&gt;&lt;li&gt;&lt;a href=|http://darbybible.com/obadiah/1.htm| title=|Darby Bible Translation| target=|_top|&gt;DBY&lt;/a&gt;</v>
      </c>
      <c r="AO88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8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8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89" t="str">
        <f>CONCATENATE("&lt;/li&gt;&lt;li&gt;&lt;a href=|http://",AR1191,"/obadiah/1.htm","| ","title=|",AR1190,"| target=|_top|&gt;",AR1192,"&lt;/a&gt;")</f>
        <v>&lt;/li&gt;&lt;li&gt;&lt;a href=|http://websterbible.com/obadiah/1.htm| title=|Webster's Bible Translation| target=|_top|&gt;WBS&lt;/a&gt;</v>
      </c>
      <c r="AS88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89" t="str">
        <f>CONCATENATE("&lt;/li&gt;&lt;li&gt;&lt;a href=|http://",AT1191,"/obadiah/1-1.htm","| ","title=|",AT1190,"| target=|_top|&gt;",AT1192,"&lt;/a&gt;")</f>
        <v>&lt;/li&gt;&lt;li&gt;&lt;a href=|http://biblebrowser.com/obadiah/1-1.htm| title=|Split View| target=|_top|&gt;Split&lt;/a&gt;</v>
      </c>
      <c r="AU889" s="2" t="s">
        <v>1276</v>
      </c>
      <c r="AV889" t="s">
        <v>64</v>
      </c>
    </row>
    <row r="890" spans="1:48">
      <c r="A890" t="s">
        <v>622</v>
      </c>
      <c r="B890" t="s">
        <v>931</v>
      </c>
      <c r="C890" t="s">
        <v>624</v>
      </c>
      <c r="D890" t="s">
        <v>1268</v>
      </c>
      <c r="E890" t="s">
        <v>1277</v>
      </c>
      <c r="F890" t="s">
        <v>1304</v>
      </c>
      <c r="G890" t="s">
        <v>1266</v>
      </c>
      <c r="H890" t="s">
        <v>1305</v>
      </c>
      <c r="I890" t="s">
        <v>1303</v>
      </c>
      <c r="J890" t="s">
        <v>1267</v>
      </c>
      <c r="K890" t="s">
        <v>1275</v>
      </c>
      <c r="L890" s="2" t="s">
        <v>1274</v>
      </c>
      <c r="M890" t="str">
        <f t="shared" ref="M890:AB890" si="3556">CONCATENATE("&lt;/li&gt;&lt;li&gt;&lt;a href=|http://",M1191,"/jonah/1.htm","| ","title=|",M1190,"| target=|_top|&gt;",M1192,"&lt;/a&gt;")</f>
        <v>&lt;/li&gt;&lt;li&gt;&lt;a href=|http://niv.scripturetext.com/jonah/1.htm| title=|New International Version| target=|_top|&gt;NIV&lt;/a&gt;</v>
      </c>
      <c r="N890" t="str">
        <f t="shared" si="3556"/>
        <v>&lt;/li&gt;&lt;li&gt;&lt;a href=|http://nlt.scripturetext.com/jonah/1.htm| title=|New Living Translation| target=|_top|&gt;NLT&lt;/a&gt;</v>
      </c>
      <c r="O890" t="str">
        <f t="shared" si="3556"/>
        <v>&lt;/li&gt;&lt;li&gt;&lt;a href=|http://nasb.scripturetext.com/jonah/1.htm| title=|New American Standard Bible| target=|_top|&gt;NAS&lt;/a&gt;</v>
      </c>
      <c r="P890" t="str">
        <f t="shared" si="3556"/>
        <v>&lt;/li&gt;&lt;li&gt;&lt;a href=|http://gwt.scripturetext.com/jonah/1.htm| title=|God's Word Translation| target=|_top|&gt;GWT&lt;/a&gt;</v>
      </c>
      <c r="Q890" t="str">
        <f t="shared" si="3556"/>
        <v>&lt;/li&gt;&lt;li&gt;&lt;a href=|http://kingjbible.com/jonah/1.htm| title=|King James Bible| target=|_top|&gt;KJV&lt;/a&gt;</v>
      </c>
      <c r="R890" t="str">
        <f t="shared" si="3556"/>
        <v>&lt;/li&gt;&lt;li&gt;&lt;a href=|http://asvbible.com/jonah/1.htm| title=|American Standard Version| target=|_top|&gt;ASV&lt;/a&gt;</v>
      </c>
      <c r="S890" t="str">
        <f t="shared" si="3556"/>
        <v>&lt;/li&gt;&lt;li&gt;&lt;a href=|http://drb.scripturetext.com/jonah/1.htm| title=|Douay-Rheims Bible| target=|_top|&gt;DRB&lt;/a&gt;</v>
      </c>
      <c r="T890" t="str">
        <f t="shared" si="3556"/>
        <v>&lt;/li&gt;&lt;li&gt;&lt;a href=|http://erv.scripturetext.com/jonah/1.htm| title=|English Revised Version| target=|_top|&gt;ERV&lt;/a&gt;</v>
      </c>
      <c r="V890" t="str">
        <f>CONCATENATE("&lt;/li&gt;&lt;li&gt;&lt;a href=|http://",V1191,"/jonah/1.htm","| ","title=|",V1190,"| target=|_top|&gt;",V1192,"&lt;/a&gt;")</f>
        <v>&lt;/li&gt;&lt;li&gt;&lt;a href=|http://study.interlinearbible.org/jonah/1.htm| title=|Hebrew Study Bible| target=|_top|&gt;Heb Study&lt;/a&gt;</v>
      </c>
      <c r="W890" t="str">
        <f t="shared" si="3556"/>
        <v>&lt;/li&gt;&lt;li&gt;&lt;a href=|http://apostolic.interlinearbible.org/jonah/1.htm| title=|Apostolic Bible Polyglot Interlinear| target=|_top|&gt;Polyglot&lt;/a&gt;</v>
      </c>
      <c r="X890" t="str">
        <f t="shared" si="3556"/>
        <v>&lt;/li&gt;&lt;li&gt;&lt;a href=|http://interlinearbible.org/jonah/1.htm| title=|Interlinear Bible| target=|_top|&gt;Interlin&lt;/a&gt;</v>
      </c>
      <c r="Y890" t="str">
        <f t="shared" ref="Y890" si="3557">CONCATENATE("&lt;/li&gt;&lt;li&gt;&lt;a href=|http://",Y1191,"/jonah/1.htm","| ","title=|",Y1190,"| target=|_top|&gt;",Y1192,"&lt;/a&gt;")</f>
        <v>&lt;/li&gt;&lt;li&gt;&lt;a href=|http://bibleoutline.org/jonah/1.htm| title=|Outline with People and Places List| target=|_top|&gt;Outline&lt;/a&gt;</v>
      </c>
      <c r="Z890" t="str">
        <f t="shared" si="3556"/>
        <v>&lt;/li&gt;&lt;li&gt;&lt;a href=|http://kjvs.scripturetext.com/jonah/1.htm| title=|King James Bible with Strong's Numbers| target=|_top|&gt;Strong's&lt;/a&gt;</v>
      </c>
      <c r="AA890" t="str">
        <f t="shared" si="3556"/>
        <v>&lt;/li&gt;&lt;li&gt;&lt;a href=|http://childrensbibleonline.com/jonah/1.htm| title=|The Children's Bible| target=|_top|&gt;Children's&lt;/a&gt;</v>
      </c>
      <c r="AB890" s="2" t="str">
        <f t="shared" si="3556"/>
        <v>&lt;/li&gt;&lt;li&gt;&lt;a href=|http://tsk.scripturetext.com/jonah/1.htm| title=|Treasury of Scripture Knowledge| target=|_top|&gt;TSK&lt;/a&gt;</v>
      </c>
      <c r="AC890" t="str">
        <f>CONCATENATE("&lt;a href=|http://",AC1191,"/jonah/1.htm","| ","title=|",AC1190,"| target=|_top|&gt;",AC1192,"&lt;/a&gt;")</f>
        <v>&lt;a href=|http://parallelbible.com/jonah/1.htm| title=|Parallel Chapters| target=|_top|&gt;PAR&lt;/a&gt;</v>
      </c>
      <c r="AD890" s="2" t="str">
        <f t="shared" ref="AD890:AK890" si="3558">CONCATENATE("&lt;/li&gt;&lt;li&gt;&lt;a href=|http://",AD1191,"/jonah/1.htm","| ","title=|",AD1190,"| target=|_top|&gt;",AD1192,"&lt;/a&gt;")</f>
        <v>&lt;/li&gt;&lt;li&gt;&lt;a href=|http://gsb.biblecommenter.com/jonah/1.htm| title=|Geneva Study Bible| target=|_top|&gt;GSB&lt;/a&gt;</v>
      </c>
      <c r="AE890" s="2" t="str">
        <f t="shared" si="3558"/>
        <v>&lt;/li&gt;&lt;li&gt;&lt;a href=|http://jfb.biblecommenter.com/jonah/1.htm| title=|Jamieson-Fausset-Brown Bible Commentary| target=|_top|&gt;JFB&lt;/a&gt;</v>
      </c>
      <c r="AF890" s="2" t="str">
        <f t="shared" si="3558"/>
        <v>&lt;/li&gt;&lt;li&gt;&lt;a href=|http://kjt.biblecommenter.com/jonah/1.htm| title=|King James Translators' Notes| target=|_top|&gt;KJT&lt;/a&gt;</v>
      </c>
      <c r="AG890" s="2" t="str">
        <f t="shared" si="3558"/>
        <v>&lt;/li&gt;&lt;li&gt;&lt;a href=|http://mhc.biblecommenter.com/jonah/1.htm| title=|Matthew Henry's Concise Commentary| target=|_top|&gt;MHC&lt;/a&gt;</v>
      </c>
      <c r="AH890" s="2" t="str">
        <f t="shared" si="3558"/>
        <v>&lt;/li&gt;&lt;li&gt;&lt;a href=|http://sco.biblecommenter.com/jonah/1.htm| title=|Scofield Reference Notes| target=|_top|&gt;SCO&lt;/a&gt;</v>
      </c>
      <c r="AI890" s="2" t="str">
        <f t="shared" si="3558"/>
        <v>&lt;/li&gt;&lt;li&gt;&lt;a href=|http://wes.biblecommenter.com/jonah/1.htm| title=|Wesley's Notes on the Bible| target=|_top|&gt;WES&lt;/a&gt;</v>
      </c>
      <c r="AJ890" t="str">
        <f t="shared" si="3558"/>
        <v>&lt;/li&gt;&lt;li&gt;&lt;a href=|http://worldebible.com/jonah/1.htm| title=|World English Bible| target=|_top|&gt;WEB&lt;/a&gt;</v>
      </c>
      <c r="AK890" t="str">
        <f t="shared" si="3558"/>
        <v>&lt;/li&gt;&lt;li&gt;&lt;a href=|http://yltbible.com/jonah/1.htm| title=|Young's Literal Translation| target=|_top|&gt;YLT&lt;/a&gt;</v>
      </c>
      <c r="AL890" t="str">
        <f>CONCATENATE("&lt;a href=|http://",AL1191,"/jonah/1.htm","| ","title=|",AL1190,"| target=|_top|&gt;",AL1192,"&lt;/a&gt;")</f>
        <v>&lt;a href=|http://kjv.us/jonah/1.htm| title=|American King James Version| target=|_top|&gt;AKJ&lt;/a&gt;</v>
      </c>
      <c r="AM890" t="str">
        <f t="shared" ref="AM890:AN890" si="3559">CONCATENATE("&lt;/li&gt;&lt;li&gt;&lt;a href=|http://",AM1191,"/jonah/1.htm","| ","title=|",AM1190,"| target=|_top|&gt;",AM1192,"&lt;/a&gt;")</f>
        <v>&lt;/li&gt;&lt;li&gt;&lt;a href=|http://basicenglishbible.com/jonah/1.htm| title=|Bible in Basic English| target=|_top|&gt;BBE&lt;/a&gt;</v>
      </c>
      <c r="AN890" t="str">
        <f t="shared" si="3559"/>
        <v>&lt;/li&gt;&lt;li&gt;&lt;a href=|http://darbybible.com/jonah/1.htm| title=|Darby Bible Translation| target=|_top|&gt;DBY&lt;/a&gt;</v>
      </c>
      <c r="AO89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9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9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90" t="str">
        <f>CONCATENATE("&lt;/li&gt;&lt;li&gt;&lt;a href=|http://",AR1191,"/jonah/1.htm","| ","title=|",AR1190,"| target=|_top|&gt;",AR1192,"&lt;/a&gt;")</f>
        <v>&lt;/li&gt;&lt;li&gt;&lt;a href=|http://websterbible.com/jonah/1.htm| title=|Webster's Bible Translation| target=|_top|&gt;WBS&lt;/a&gt;</v>
      </c>
      <c r="AS89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90" t="str">
        <f>CONCATENATE("&lt;/li&gt;&lt;li&gt;&lt;a href=|http://",AT1191,"/jonah/1-1.htm","| ","title=|",AT1190,"| target=|_top|&gt;",AT1192,"&lt;/a&gt;")</f>
        <v>&lt;/li&gt;&lt;li&gt;&lt;a href=|http://biblebrowser.com/jonah/1-1.htm| title=|Split View| target=|_top|&gt;Split&lt;/a&gt;</v>
      </c>
      <c r="AU890" s="2" t="s">
        <v>1276</v>
      </c>
      <c r="AV890" t="s">
        <v>64</v>
      </c>
    </row>
    <row r="891" spans="1:48">
      <c r="A891" t="s">
        <v>622</v>
      </c>
      <c r="B891" t="s">
        <v>932</v>
      </c>
      <c r="C891" t="s">
        <v>624</v>
      </c>
      <c r="D891" t="s">
        <v>1268</v>
      </c>
      <c r="E891" t="s">
        <v>1277</v>
      </c>
      <c r="F891" t="s">
        <v>1304</v>
      </c>
      <c r="G891" t="s">
        <v>1266</v>
      </c>
      <c r="H891" t="s">
        <v>1305</v>
      </c>
      <c r="I891" t="s">
        <v>1303</v>
      </c>
      <c r="J891" t="s">
        <v>1267</v>
      </c>
      <c r="K891" t="s">
        <v>1275</v>
      </c>
      <c r="L891" s="2" t="s">
        <v>1274</v>
      </c>
      <c r="M891" t="str">
        <f t="shared" ref="M891:AB891" si="3560">CONCATENATE("&lt;/li&gt;&lt;li&gt;&lt;a href=|http://",M1191,"/jonah/2.htm","| ","title=|",M1190,"| target=|_top|&gt;",M1192,"&lt;/a&gt;")</f>
        <v>&lt;/li&gt;&lt;li&gt;&lt;a href=|http://niv.scripturetext.com/jonah/2.htm| title=|New International Version| target=|_top|&gt;NIV&lt;/a&gt;</v>
      </c>
      <c r="N891" t="str">
        <f t="shared" si="3560"/>
        <v>&lt;/li&gt;&lt;li&gt;&lt;a href=|http://nlt.scripturetext.com/jonah/2.htm| title=|New Living Translation| target=|_top|&gt;NLT&lt;/a&gt;</v>
      </c>
      <c r="O891" t="str">
        <f t="shared" si="3560"/>
        <v>&lt;/li&gt;&lt;li&gt;&lt;a href=|http://nasb.scripturetext.com/jonah/2.htm| title=|New American Standard Bible| target=|_top|&gt;NAS&lt;/a&gt;</v>
      </c>
      <c r="P891" t="str">
        <f t="shared" si="3560"/>
        <v>&lt;/li&gt;&lt;li&gt;&lt;a href=|http://gwt.scripturetext.com/jonah/2.htm| title=|God's Word Translation| target=|_top|&gt;GWT&lt;/a&gt;</v>
      </c>
      <c r="Q891" t="str">
        <f t="shared" si="3560"/>
        <v>&lt;/li&gt;&lt;li&gt;&lt;a href=|http://kingjbible.com/jonah/2.htm| title=|King James Bible| target=|_top|&gt;KJV&lt;/a&gt;</v>
      </c>
      <c r="R891" t="str">
        <f t="shared" si="3560"/>
        <v>&lt;/li&gt;&lt;li&gt;&lt;a href=|http://asvbible.com/jonah/2.htm| title=|American Standard Version| target=|_top|&gt;ASV&lt;/a&gt;</v>
      </c>
      <c r="S891" t="str">
        <f t="shared" si="3560"/>
        <v>&lt;/li&gt;&lt;li&gt;&lt;a href=|http://drb.scripturetext.com/jonah/2.htm| title=|Douay-Rheims Bible| target=|_top|&gt;DRB&lt;/a&gt;</v>
      </c>
      <c r="T891" t="str">
        <f t="shared" si="3560"/>
        <v>&lt;/li&gt;&lt;li&gt;&lt;a href=|http://erv.scripturetext.com/jonah/2.htm| title=|English Revised Version| target=|_top|&gt;ERV&lt;/a&gt;</v>
      </c>
      <c r="V891" t="str">
        <f>CONCATENATE("&lt;/li&gt;&lt;li&gt;&lt;a href=|http://",V1191,"/jonah/2.htm","| ","title=|",V1190,"| target=|_top|&gt;",V1192,"&lt;/a&gt;")</f>
        <v>&lt;/li&gt;&lt;li&gt;&lt;a href=|http://study.interlinearbible.org/jonah/2.htm| title=|Hebrew Study Bible| target=|_top|&gt;Heb Study&lt;/a&gt;</v>
      </c>
      <c r="W891" t="str">
        <f t="shared" si="3560"/>
        <v>&lt;/li&gt;&lt;li&gt;&lt;a href=|http://apostolic.interlinearbible.org/jonah/2.htm| title=|Apostolic Bible Polyglot Interlinear| target=|_top|&gt;Polyglot&lt;/a&gt;</v>
      </c>
      <c r="X891" t="str">
        <f t="shared" si="3560"/>
        <v>&lt;/li&gt;&lt;li&gt;&lt;a href=|http://interlinearbible.org/jonah/2.htm| title=|Interlinear Bible| target=|_top|&gt;Interlin&lt;/a&gt;</v>
      </c>
      <c r="Y891" t="str">
        <f t="shared" ref="Y891" si="3561">CONCATENATE("&lt;/li&gt;&lt;li&gt;&lt;a href=|http://",Y1191,"/jonah/2.htm","| ","title=|",Y1190,"| target=|_top|&gt;",Y1192,"&lt;/a&gt;")</f>
        <v>&lt;/li&gt;&lt;li&gt;&lt;a href=|http://bibleoutline.org/jonah/2.htm| title=|Outline with People and Places List| target=|_top|&gt;Outline&lt;/a&gt;</v>
      </c>
      <c r="Z891" t="str">
        <f t="shared" si="3560"/>
        <v>&lt;/li&gt;&lt;li&gt;&lt;a href=|http://kjvs.scripturetext.com/jonah/2.htm| title=|King James Bible with Strong's Numbers| target=|_top|&gt;Strong's&lt;/a&gt;</v>
      </c>
      <c r="AA891" t="str">
        <f t="shared" si="3560"/>
        <v>&lt;/li&gt;&lt;li&gt;&lt;a href=|http://childrensbibleonline.com/jonah/2.htm| title=|The Children's Bible| target=|_top|&gt;Children's&lt;/a&gt;</v>
      </c>
      <c r="AB891" s="2" t="str">
        <f t="shared" si="3560"/>
        <v>&lt;/li&gt;&lt;li&gt;&lt;a href=|http://tsk.scripturetext.com/jonah/2.htm| title=|Treasury of Scripture Knowledge| target=|_top|&gt;TSK&lt;/a&gt;</v>
      </c>
      <c r="AC891" t="str">
        <f>CONCATENATE("&lt;a href=|http://",AC1191,"/jonah/2.htm","| ","title=|",AC1190,"| target=|_top|&gt;",AC1192,"&lt;/a&gt;")</f>
        <v>&lt;a href=|http://parallelbible.com/jonah/2.htm| title=|Parallel Chapters| target=|_top|&gt;PAR&lt;/a&gt;</v>
      </c>
      <c r="AD891" s="2" t="str">
        <f t="shared" ref="AD891:AK891" si="3562">CONCATENATE("&lt;/li&gt;&lt;li&gt;&lt;a href=|http://",AD1191,"/jonah/2.htm","| ","title=|",AD1190,"| target=|_top|&gt;",AD1192,"&lt;/a&gt;")</f>
        <v>&lt;/li&gt;&lt;li&gt;&lt;a href=|http://gsb.biblecommenter.com/jonah/2.htm| title=|Geneva Study Bible| target=|_top|&gt;GSB&lt;/a&gt;</v>
      </c>
      <c r="AE891" s="2" t="str">
        <f t="shared" si="3562"/>
        <v>&lt;/li&gt;&lt;li&gt;&lt;a href=|http://jfb.biblecommenter.com/jonah/2.htm| title=|Jamieson-Fausset-Brown Bible Commentary| target=|_top|&gt;JFB&lt;/a&gt;</v>
      </c>
      <c r="AF891" s="2" t="str">
        <f t="shared" si="3562"/>
        <v>&lt;/li&gt;&lt;li&gt;&lt;a href=|http://kjt.biblecommenter.com/jonah/2.htm| title=|King James Translators' Notes| target=|_top|&gt;KJT&lt;/a&gt;</v>
      </c>
      <c r="AG891" s="2" t="str">
        <f t="shared" si="3562"/>
        <v>&lt;/li&gt;&lt;li&gt;&lt;a href=|http://mhc.biblecommenter.com/jonah/2.htm| title=|Matthew Henry's Concise Commentary| target=|_top|&gt;MHC&lt;/a&gt;</v>
      </c>
      <c r="AH891" s="2" t="str">
        <f t="shared" si="3562"/>
        <v>&lt;/li&gt;&lt;li&gt;&lt;a href=|http://sco.biblecommenter.com/jonah/2.htm| title=|Scofield Reference Notes| target=|_top|&gt;SCO&lt;/a&gt;</v>
      </c>
      <c r="AI891" s="2" t="str">
        <f t="shared" si="3562"/>
        <v>&lt;/li&gt;&lt;li&gt;&lt;a href=|http://wes.biblecommenter.com/jonah/2.htm| title=|Wesley's Notes on the Bible| target=|_top|&gt;WES&lt;/a&gt;</v>
      </c>
      <c r="AJ891" t="str">
        <f t="shared" si="3562"/>
        <v>&lt;/li&gt;&lt;li&gt;&lt;a href=|http://worldebible.com/jonah/2.htm| title=|World English Bible| target=|_top|&gt;WEB&lt;/a&gt;</v>
      </c>
      <c r="AK891" t="str">
        <f t="shared" si="3562"/>
        <v>&lt;/li&gt;&lt;li&gt;&lt;a href=|http://yltbible.com/jonah/2.htm| title=|Young's Literal Translation| target=|_top|&gt;YLT&lt;/a&gt;</v>
      </c>
      <c r="AL891" t="str">
        <f>CONCATENATE("&lt;a href=|http://",AL1191,"/jonah/2.htm","| ","title=|",AL1190,"| target=|_top|&gt;",AL1192,"&lt;/a&gt;")</f>
        <v>&lt;a href=|http://kjv.us/jonah/2.htm| title=|American King James Version| target=|_top|&gt;AKJ&lt;/a&gt;</v>
      </c>
      <c r="AM891" t="str">
        <f t="shared" ref="AM891:AN891" si="3563">CONCATENATE("&lt;/li&gt;&lt;li&gt;&lt;a href=|http://",AM1191,"/jonah/2.htm","| ","title=|",AM1190,"| target=|_top|&gt;",AM1192,"&lt;/a&gt;")</f>
        <v>&lt;/li&gt;&lt;li&gt;&lt;a href=|http://basicenglishbible.com/jonah/2.htm| title=|Bible in Basic English| target=|_top|&gt;BBE&lt;/a&gt;</v>
      </c>
      <c r="AN891" t="str">
        <f t="shared" si="3563"/>
        <v>&lt;/li&gt;&lt;li&gt;&lt;a href=|http://darbybible.com/jonah/2.htm| title=|Darby Bible Translation| target=|_top|&gt;DBY&lt;/a&gt;</v>
      </c>
      <c r="AO89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9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9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91" t="str">
        <f>CONCATENATE("&lt;/li&gt;&lt;li&gt;&lt;a href=|http://",AR1191,"/jonah/2.htm","| ","title=|",AR1190,"| target=|_top|&gt;",AR1192,"&lt;/a&gt;")</f>
        <v>&lt;/li&gt;&lt;li&gt;&lt;a href=|http://websterbible.com/jonah/2.htm| title=|Webster's Bible Translation| target=|_top|&gt;WBS&lt;/a&gt;</v>
      </c>
      <c r="AS89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91" t="str">
        <f>CONCATENATE("&lt;/li&gt;&lt;li&gt;&lt;a href=|http://",AT1191,"/jonah/2-1.htm","| ","title=|",AT1190,"| target=|_top|&gt;",AT1192,"&lt;/a&gt;")</f>
        <v>&lt;/li&gt;&lt;li&gt;&lt;a href=|http://biblebrowser.com/jonah/2-1.htm| title=|Split View| target=|_top|&gt;Split&lt;/a&gt;</v>
      </c>
      <c r="AU891" s="2" t="s">
        <v>1276</v>
      </c>
      <c r="AV891" t="s">
        <v>64</v>
      </c>
    </row>
    <row r="892" spans="1:48">
      <c r="A892" t="s">
        <v>622</v>
      </c>
      <c r="B892" t="s">
        <v>933</v>
      </c>
      <c r="C892" t="s">
        <v>624</v>
      </c>
      <c r="D892" t="s">
        <v>1268</v>
      </c>
      <c r="E892" t="s">
        <v>1277</v>
      </c>
      <c r="F892" t="s">
        <v>1304</v>
      </c>
      <c r="G892" t="s">
        <v>1266</v>
      </c>
      <c r="H892" t="s">
        <v>1305</v>
      </c>
      <c r="I892" t="s">
        <v>1303</v>
      </c>
      <c r="J892" t="s">
        <v>1267</v>
      </c>
      <c r="K892" t="s">
        <v>1275</v>
      </c>
      <c r="L892" s="2" t="s">
        <v>1274</v>
      </c>
      <c r="M892" t="str">
        <f t="shared" ref="M892:AB892" si="3564">CONCATENATE("&lt;/li&gt;&lt;li&gt;&lt;a href=|http://",M1191,"/jonah/3.htm","| ","title=|",M1190,"| target=|_top|&gt;",M1192,"&lt;/a&gt;")</f>
        <v>&lt;/li&gt;&lt;li&gt;&lt;a href=|http://niv.scripturetext.com/jonah/3.htm| title=|New International Version| target=|_top|&gt;NIV&lt;/a&gt;</v>
      </c>
      <c r="N892" t="str">
        <f t="shared" si="3564"/>
        <v>&lt;/li&gt;&lt;li&gt;&lt;a href=|http://nlt.scripturetext.com/jonah/3.htm| title=|New Living Translation| target=|_top|&gt;NLT&lt;/a&gt;</v>
      </c>
      <c r="O892" t="str">
        <f t="shared" si="3564"/>
        <v>&lt;/li&gt;&lt;li&gt;&lt;a href=|http://nasb.scripturetext.com/jonah/3.htm| title=|New American Standard Bible| target=|_top|&gt;NAS&lt;/a&gt;</v>
      </c>
      <c r="P892" t="str">
        <f t="shared" si="3564"/>
        <v>&lt;/li&gt;&lt;li&gt;&lt;a href=|http://gwt.scripturetext.com/jonah/3.htm| title=|God's Word Translation| target=|_top|&gt;GWT&lt;/a&gt;</v>
      </c>
      <c r="Q892" t="str">
        <f t="shared" si="3564"/>
        <v>&lt;/li&gt;&lt;li&gt;&lt;a href=|http://kingjbible.com/jonah/3.htm| title=|King James Bible| target=|_top|&gt;KJV&lt;/a&gt;</v>
      </c>
      <c r="R892" t="str">
        <f t="shared" si="3564"/>
        <v>&lt;/li&gt;&lt;li&gt;&lt;a href=|http://asvbible.com/jonah/3.htm| title=|American Standard Version| target=|_top|&gt;ASV&lt;/a&gt;</v>
      </c>
      <c r="S892" t="str">
        <f t="shared" si="3564"/>
        <v>&lt;/li&gt;&lt;li&gt;&lt;a href=|http://drb.scripturetext.com/jonah/3.htm| title=|Douay-Rheims Bible| target=|_top|&gt;DRB&lt;/a&gt;</v>
      </c>
      <c r="T892" t="str">
        <f t="shared" si="3564"/>
        <v>&lt;/li&gt;&lt;li&gt;&lt;a href=|http://erv.scripturetext.com/jonah/3.htm| title=|English Revised Version| target=|_top|&gt;ERV&lt;/a&gt;</v>
      </c>
      <c r="V892" t="str">
        <f>CONCATENATE("&lt;/li&gt;&lt;li&gt;&lt;a href=|http://",V1191,"/jonah/3.htm","| ","title=|",V1190,"| target=|_top|&gt;",V1192,"&lt;/a&gt;")</f>
        <v>&lt;/li&gt;&lt;li&gt;&lt;a href=|http://study.interlinearbible.org/jonah/3.htm| title=|Hebrew Study Bible| target=|_top|&gt;Heb Study&lt;/a&gt;</v>
      </c>
      <c r="W892" t="str">
        <f t="shared" si="3564"/>
        <v>&lt;/li&gt;&lt;li&gt;&lt;a href=|http://apostolic.interlinearbible.org/jonah/3.htm| title=|Apostolic Bible Polyglot Interlinear| target=|_top|&gt;Polyglot&lt;/a&gt;</v>
      </c>
      <c r="X892" t="str">
        <f t="shared" si="3564"/>
        <v>&lt;/li&gt;&lt;li&gt;&lt;a href=|http://interlinearbible.org/jonah/3.htm| title=|Interlinear Bible| target=|_top|&gt;Interlin&lt;/a&gt;</v>
      </c>
      <c r="Y892" t="str">
        <f t="shared" ref="Y892" si="3565">CONCATENATE("&lt;/li&gt;&lt;li&gt;&lt;a href=|http://",Y1191,"/jonah/3.htm","| ","title=|",Y1190,"| target=|_top|&gt;",Y1192,"&lt;/a&gt;")</f>
        <v>&lt;/li&gt;&lt;li&gt;&lt;a href=|http://bibleoutline.org/jonah/3.htm| title=|Outline with People and Places List| target=|_top|&gt;Outline&lt;/a&gt;</v>
      </c>
      <c r="Z892" t="str">
        <f t="shared" si="3564"/>
        <v>&lt;/li&gt;&lt;li&gt;&lt;a href=|http://kjvs.scripturetext.com/jonah/3.htm| title=|King James Bible with Strong's Numbers| target=|_top|&gt;Strong's&lt;/a&gt;</v>
      </c>
      <c r="AA892" t="str">
        <f t="shared" si="3564"/>
        <v>&lt;/li&gt;&lt;li&gt;&lt;a href=|http://childrensbibleonline.com/jonah/3.htm| title=|The Children's Bible| target=|_top|&gt;Children's&lt;/a&gt;</v>
      </c>
      <c r="AB892" s="2" t="str">
        <f t="shared" si="3564"/>
        <v>&lt;/li&gt;&lt;li&gt;&lt;a href=|http://tsk.scripturetext.com/jonah/3.htm| title=|Treasury of Scripture Knowledge| target=|_top|&gt;TSK&lt;/a&gt;</v>
      </c>
      <c r="AC892" t="str">
        <f>CONCATENATE("&lt;a href=|http://",AC1191,"/jonah/3.htm","| ","title=|",AC1190,"| target=|_top|&gt;",AC1192,"&lt;/a&gt;")</f>
        <v>&lt;a href=|http://parallelbible.com/jonah/3.htm| title=|Parallel Chapters| target=|_top|&gt;PAR&lt;/a&gt;</v>
      </c>
      <c r="AD892" s="2" t="str">
        <f t="shared" ref="AD892:AK892" si="3566">CONCATENATE("&lt;/li&gt;&lt;li&gt;&lt;a href=|http://",AD1191,"/jonah/3.htm","| ","title=|",AD1190,"| target=|_top|&gt;",AD1192,"&lt;/a&gt;")</f>
        <v>&lt;/li&gt;&lt;li&gt;&lt;a href=|http://gsb.biblecommenter.com/jonah/3.htm| title=|Geneva Study Bible| target=|_top|&gt;GSB&lt;/a&gt;</v>
      </c>
      <c r="AE892" s="2" t="str">
        <f t="shared" si="3566"/>
        <v>&lt;/li&gt;&lt;li&gt;&lt;a href=|http://jfb.biblecommenter.com/jonah/3.htm| title=|Jamieson-Fausset-Brown Bible Commentary| target=|_top|&gt;JFB&lt;/a&gt;</v>
      </c>
      <c r="AF892" s="2" t="str">
        <f t="shared" si="3566"/>
        <v>&lt;/li&gt;&lt;li&gt;&lt;a href=|http://kjt.biblecommenter.com/jonah/3.htm| title=|King James Translators' Notes| target=|_top|&gt;KJT&lt;/a&gt;</v>
      </c>
      <c r="AG892" s="2" t="str">
        <f t="shared" si="3566"/>
        <v>&lt;/li&gt;&lt;li&gt;&lt;a href=|http://mhc.biblecommenter.com/jonah/3.htm| title=|Matthew Henry's Concise Commentary| target=|_top|&gt;MHC&lt;/a&gt;</v>
      </c>
      <c r="AH892" s="2" t="str">
        <f t="shared" si="3566"/>
        <v>&lt;/li&gt;&lt;li&gt;&lt;a href=|http://sco.biblecommenter.com/jonah/3.htm| title=|Scofield Reference Notes| target=|_top|&gt;SCO&lt;/a&gt;</v>
      </c>
      <c r="AI892" s="2" t="str">
        <f t="shared" si="3566"/>
        <v>&lt;/li&gt;&lt;li&gt;&lt;a href=|http://wes.biblecommenter.com/jonah/3.htm| title=|Wesley's Notes on the Bible| target=|_top|&gt;WES&lt;/a&gt;</v>
      </c>
      <c r="AJ892" t="str">
        <f t="shared" si="3566"/>
        <v>&lt;/li&gt;&lt;li&gt;&lt;a href=|http://worldebible.com/jonah/3.htm| title=|World English Bible| target=|_top|&gt;WEB&lt;/a&gt;</v>
      </c>
      <c r="AK892" t="str">
        <f t="shared" si="3566"/>
        <v>&lt;/li&gt;&lt;li&gt;&lt;a href=|http://yltbible.com/jonah/3.htm| title=|Young's Literal Translation| target=|_top|&gt;YLT&lt;/a&gt;</v>
      </c>
      <c r="AL892" t="str">
        <f>CONCATENATE("&lt;a href=|http://",AL1191,"/jonah/3.htm","| ","title=|",AL1190,"| target=|_top|&gt;",AL1192,"&lt;/a&gt;")</f>
        <v>&lt;a href=|http://kjv.us/jonah/3.htm| title=|American King James Version| target=|_top|&gt;AKJ&lt;/a&gt;</v>
      </c>
      <c r="AM892" t="str">
        <f t="shared" ref="AM892:AN892" si="3567">CONCATENATE("&lt;/li&gt;&lt;li&gt;&lt;a href=|http://",AM1191,"/jonah/3.htm","| ","title=|",AM1190,"| target=|_top|&gt;",AM1192,"&lt;/a&gt;")</f>
        <v>&lt;/li&gt;&lt;li&gt;&lt;a href=|http://basicenglishbible.com/jonah/3.htm| title=|Bible in Basic English| target=|_top|&gt;BBE&lt;/a&gt;</v>
      </c>
      <c r="AN892" t="str">
        <f t="shared" si="3567"/>
        <v>&lt;/li&gt;&lt;li&gt;&lt;a href=|http://darbybible.com/jonah/3.htm| title=|Darby Bible Translation| target=|_top|&gt;DBY&lt;/a&gt;</v>
      </c>
      <c r="AO89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9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9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92" t="str">
        <f>CONCATENATE("&lt;/li&gt;&lt;li&gt;&lt;a href=|http://",AR1191,"/jonah/3.htm","| ","title=|",AR1190,"| target=|_top|&gt;",AR1192,"&lt;/a&gt;")</f>
        <v>&lt;/li&gt;&lt;li&gt;&lt;a href=|http://websterbible.com/jonah/3.htm| title=|Webster's Bible Translation| target=|_top|&gt;WBS&lt;/a&gt;</v>
      </c>
      <c r="AS89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92" t="str">
        <f>CONCATENATE("&lt;/li&gt;&lt;li&gt;&lt;a href=|http://",AT1191,"/jonah/3-1.htm","| ","title=|",AT1190,"| target=|_top|&gt;",AT1192,"&lt;/a&gt;")</f>
        <v>&lt;/li&gt;&lt;li&gt;&lt;a href=|http://biblebrowser.com/jonah/3-1.htm| title=|Split View| target=|_top|&gt;Split&lt;/a&gt;</v>
      </c>
      <c r="AU892" s="2" t="s">
        <v>1276</v>
      </c>
      <c r="AV892" t="s">
        <v>64</v>
      </c>
    </row>
    <row r="893" spans="1:48">
      <c r="A893" t="s">
        <v>622</v>
      </c>
      <c r="B893" t="s">
        <v>934</v>
      </c>
      <c r="C893" t="s">
        <v>624</v>
      </c>
      <c r="D893" t="s">
        <v>1268</v>
      </c>
      <c r="E893" t="s">
        <v>1277</v>
      </c>
      <c r="F893" t="s">
        <v>1304</v>
      </c>
      <c r="G893" t="s">
        <v>1266</v>
      </c>
      <c r="H893" t="s">
        <v>1305</v>
      </c>
      <c r="I893" t="s">
        <v>1303</v>
      </c>
      <c r="J893" t="s">
        <v>1267</v>
      </c>
      <c r="K893" t="s">
        <v>1275</v>
      </c>
      <c r="L893" s="2" t="s">
        <v>1274</v>
      </c>
      <c r="M893" t="str">
        <f t="shared" ref="M893:AB893" si="3568">CONCATENATE("&lt;/li&gt;&lt;li&gt;&lt;a href=|http://",M1191,"/jonah/4.htm","| ","title=|",M1190,"| target=|_top|&gt;",M1192,"&lt;/a&gt;")</f>
        <v>&lt;/li&gt;&lt;li&gt;&lt;a href=|http://niv.scripturetext.com/jonah/4.htm| title=|New International Version| target=|_top|&gt;NIV&lt;/a&gt;</v>
      </c>
      <c r="N893" t="str">
        <f t="shared" si="3568"/>
        <v>&lt;/li&gt;&lt;li&gt;&lt;a href=|http://nlt.scripturetext.com/jonah/4.htm| title=|New Living Translation| target=|_top|&gt;NLT&lt;/a&gt;</v>
      </c>
      <c r="O893" t="str">
        <f t="shared" si="3568"/>
        <v>&lt;/li&gt;&lt;li&gt;&lt;a href=|http://nasb.scripturetext.com/jonah/4.htm| title=|New American Standard Bible| target=|_top|&gt;NAS&lt;/a&gt;</v>
      </c>
      <c r="P893" t="str">
        <f t="shared" si="3568"/>
        <v>&lt;/li&gt;&lt;li&gt;&lt;a href=|http://gwt.scripturetext.com/jonah/4.htm| title=|God's Word Translation| target=|_top|&gt;GWT&lt;/a&gt;</v>
      </c>
      <c r="Q893" t="str">
        <f t="shared" si="3568"/>
        <v>&lt;/li&gt;&lt;li&gt;&lt;a href=|http://kingjbible.com/jonah/4.htm| title=|King James Bible| target=|_top|&gt;KJV&lt;/a&gt;</v>
      </c>
      <c r="R893" t="str">
        <f t="shared" si="3568"/>
        <v>&lt;/li&gt;&lt;li&gt;&lt;a href=|http://asvbible.com/jonah/4.htm| title=|American Standard Version| target=|_top|&gt;ASV&lt;/a&gt;</v>
      </c>
      <c r="S893" t="str">
        <f t="shared" si="3568"/>
        <v>&lt;/li&gt;&lt;li&gt;&lt;a href=|http://drb.scripturetext.com/jonah/4.htm| title=|Douay-Rheims Bible| target=|_top|&gt;DRB&lt;/a&gt;</v>
      </c>
      <c r="T893" t="str">
        <f t="shared" si="3568"/>
        <v>&lt;/li&gt;&lt;li&gt;&lt;a href=|http://erv.scripturetext.com/jonah/4.htm| title=|English Revised Version| target=|_top|&gt;ERV&lt;/a&gt;</v>
      </c>
      <c r="V893" t="str">
        <f>CONCATENATE("&lt;/li&gt;&lt;li&gt;&lt;a href=|http://",V1191,"/jonah/4.htm","| ","title=|",V1190,"| target=|_top|&gt;",V1192,"&lt;/a&gt;")</f>
        <v>&lt;/li&gt;&lt;li&gt;&lt;a href=|http://study.interlinearbible.org/jonah/4.htm| title=|Hebrew Study Bible| target=|_top|&gt;Heb Study&lt;/a&gt;</v>
      </c>
      <c r="W893" t="str">
        <f t="shared" si="3568"/>
        <v>&lt;/li&gt;&lt;li&gt;&lt;a href=|http://apostolic.interlinearbible.org/jonah/4.htm| title=|Apostolic Bible Polyglot Interlinear| target=|_top|&gt;Polyglot&lt;/a&gt;</v>
      </c>
      <c r="X893" t="str">
        <f t="shared" si="3568"/>
        <v>&lt;/li&gt;&lt;li&gt;&lt;a href=|http://interlinearbible.org/jonah/4.htm| title=|Interlinear Bible| target=|_top|&gt;Interlin&lt;/a&gt;</v>
      </c>
      <c r="Y893" t="str">
        <f t="shared" ref="Y893" si="3569">CONCATENATE("&lt;/li&gt;&lt;li&gt;&lt;a href=|http://",Y1191,"/jonah/4.htm","| ","title=|",Y1190,"| target=|_top|&gt;",Y1192,"&lt;/a&gt;")</f>
        <v>&lt;/li&gt;&lt;li&gt;&lt;a href=|http://bibleoutline.org/jonah/4.htm| title=|Outline with People and Places List| target=|_top|&gt;Outline&lt;/a&gt;</v>
      </c>
      <c r="Z893" t="str">
        <f t="shared" si="3568"/>
        <v>&lt;/li&gt;&lt;li&gt;&lt;a href=|http://kjvs.scripturetext.com/jonah/4.htm| title=|King James Bible with Strong's Numbers| target=|_top|&gt;Strong's&lt;/a&gt;</v>
      </c>
      <c r="AA893" t="str">
        <f t="shared" si="3568"/>
        <v>&lt;/li&gt;&lt;li&gt;&lt;a href=|http://childrensbibleonline.com/jonah/4.htm| title=|The Children's Bible| target=|_top|&gt;Children's&lt;/a&gt;</v>
      </c>
      <c r="AB893" s="2" t="str">
        <f t="shared" si="3568"/>
        <v>&lt;/li&gt;&lt;li&gt;&lt;a href=|http://tsk.scripturetext.com/jonah/4.htm| title=|Treasury of Scripture Knowledge| target=|_top|&gt;TSK&lt;/a&gt;</v>
      </c>
      <c r="AC893" t="str">
        <f>CONCATENATE("&lt;a href=|http://",AC1191,"/jonah/4.htm","| ","title=|",AC1190,"| target=|_top|&gt;",AC1192,"&lt;/a&gt;")</f>
        <v>&lt;a href=|http://parallelbible.com/jonah/4.htm| title=|Parallel Chapters| target=|_top|&gt;PAR&lt;/a&gt;</v>
      </c>
      <c r="AD893" s="2" t="str">
        <f t="shared" ref="AD893:AK893" si="3570">CONCATENATE("&lt;/li&gt;&lt;li&gt;&lt;a href=|http://",AD1191,"/jonah/4.htm","| ","title=|",AD1190,"| target=|_top|&gt;",AD1192,"&lt;/a&gt;")</f>
        <v>&lt;/li&gt;&lt;li&gt;&lt;a href=|http://gsb.biblecommenter.com/jonah/4.htm| title=|Geneva Study Bible| target=|_top|&gt;GSB&lt;/a&gt;</v>
      </c>
      <c r="AE893" s="2" t="str">
        <f t="shared" si="3570"/>
        <v>&lt;/li&gt;&lt;li&gt;&lt;a href=|http://jfb.biblecommenter.com/jonah/4.htm| title=|Jamieson-Fausset-Brown Bible Commentary| target=|_top|&gt;JFB&lt;/a&gt;</v>
      </c>
      <c r="AF893" s="2" t="str">
        <f t="shared" si="3570"/>
        <v>&lt;/li&gt;&lt;li&gt;&lt;a href=|http://kjt.biblecommenter.com/jonah/4.htm| title=|King James Translators' Notes| target=|_top|&gt;KJT&lt;/a&gt;</v>
      </c>
      <c r="AG893" s="2" t="str">
        <f t="shared" si="3570"/>
        <v>&lt;/li&gt;&lt;li&gt;&lt;a href=|http://mhc.biblecommenter.com/jonah/4.htm| title=|Matthew Henry's Concise Commentary| target=|_top|&gt;MHC&lt;/a&gt;</v>
      </c>
      <c r="AH893" s="2" t="str">
        <f t="shared" si="3570"/>
        <v>&lt;/li&gt;&lt;li&gt;&lt;a href=|http://sco.biblecommenter.com/jonah/4.htm| title=|Scofield Reference Notes| target=|_top|&gt;SCO&lt;/a&gt;</v>
      </c>
      <c r="AI893" s="2" t="str">
        <f t="shared" si="3570"/>
        <v>&lt;/li&gt;&lt;li&gt;&lt;a href=|http://wes.biblecommenter.com/jonah/4.htm| title=|Wesley's Notes on the Bible| target=|_top|&gt;WES&lt;/a&gt;</v>
      </c>
      <c r="AJ893" t="str">
        <f t="shared" si="3570"/>
        <v>&lt;/li&gt;&lt;li&gt;&lt;a href=|http://worldebible.com/jonah/4.htm| title=|World English Bible| target=|_top|&gt;WEB&lt;/a&gt;</v>
      </c>
      <c r="AK893" t="str">
        <f t="shared" si="3570"/>
        <v>&lt;/li&gt;&lt;li&gt;&lt;a href=|http://yltbible.com/jonah/4.htm| title=|Young's Literal Translation| target=|_top|&gt;YLT&lt;/a&gt;</v>
      </c>
      <c r="AL893" t="str">
        <f>CONCATENATE("&lt;a href=|http://",AL1191,"/jonah/4.htm","| ","title=|",AL1190,"| target=|_top|&gt;",AL1192,"&lt;/a&gt;")</f>
        <v>&lt;a href=|http://kjv.us/jonah/4.htm| title=|American King James Version| target=|_top|&gt;AKJ&lt;/a&gt;</v>
      </c>
      <c r="AM893" t="str">
        <f t="shared" ref="AM893:AN893" si="3571">CONCATENATE("&lt;/li&gt;&lt;li&gt;&lt;a href=|http://",AM1191,"/jonah/4.htm","| ","title=|",AM1190,"| target=|_top|&gt;",AM1192,"&lt;/a&gt;")</f>
        <v>&lt;/li&gt;&lt;li&gt;&lt;a href=|http://basicenglishbible.com/jonah/4.htm| title=|Bible in Basic English| target=|_top|&gt;BBE&lt;/a&gt;</v>
      </c>
      <c r="AN893" t="str">
        <f t="shared" si="3571"/>
        <v>&lt;/li&gt;&lt;li&gt;&lt;a href=|http://darbybible.com/jonah/4.htm| title=|Darby Bible Translation| target=|_top|&gt;DBY&lt;/a&gt;</v>
      </c>
      <c r="AO89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9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9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93" t="str">
        <f>CONCATENATE("&lt;/li&gt;&lt;li&gt;&lt;a href=|http://",AR1191,"/jonah/4.htm","| ","title=|",AR1190,"| target=|_top|&gt;",AR1192,"&lt;/a&gt;")</f>
        <v>&lt;/li&gt;&lt;li&gt;&lt;a href=|http://websterbible.com/jonah/4.htm| title=|Webster's Bible Translation| target=|_top|&gt;WBS&lt;/a&gt;</v>
      </c>
      <c r="AS89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93" t="str">
        <f>CONCATENATE("&lt;/li&gt;&lt;li&gt;&lt;a href=|http://",AT1191,"/jonah/4-1.htm","| ","title=|",AT1190,"| target=|_top|&gt;",AT1192,"&lt;/a&gt;")</f>
        <v>&lt;/li&gt;&lt;li&gt;&lt;a href=|http://biblebrowser.com/jonah/4-1.htm| title=|Split View| target=|_top|&gt;Split&lt;/a&gt;</v>
      </c>
      <c r="AU893" s="2" t="s">
        <v>1276</v>
      </c>
      <c r="AV893" t="s">
        <v>64</v>
      </c>
    </row>
    <row r="894" spans="1:48">
      <c r="A894" t="s">
        <v>622</v>
      </c>
      <c r="B894" t="s">
        <v>935</v>
      </c>
      <c r="C894" t="s">
        <v>624</v>
      </c>
      <c r="D894" t="s">
        <v>1268</v>
      </c>
      <c r="E894" t="s">
        <v>1277</v>
      </c>
      <c r="F894" t="s">
        <v>1304</v>
      </c>
      <c r="G894" t="s">
        <v>1266</v>
      </c>
      <c r="H894" t="s">
        <v>1305</v>
      </c>
      <c r="I894" t="s">
        <v>1303</v>
      </c>
      <c r="J894" t="s">
        <v>1267</v>
      </c>
      <c r="K894" t="s">
        <v>1275</v>
      </c>
      <c r="L894" s="2" t="s">
        <v>1274</v>
      </c>
      <c r="M894" t="str">
        <f t="shared" ref="M894:AB894" si="3572">CONCATENATE("&lt;/li&gt;&lt;li&gt;&lt;a href=|http://",M1191,"/micah/1.htm","| ","title=|",M1190,"| target=|_top|&gt;",M1192,"&lt;/a&gt;")</f>
        <v>&lt;/li&gt;&lt;li&gt;&lt;a href=|http://niv.scripturetext.com/micah/1.htm| title=|New International Version| target=|_top|&gt;NIV&lt;/a&gt;</v>
      </c>
      <c r="N894" t="str">
        <f t="shared" si="3572"/>
        <v>&lt;/li&gt;&lt;li&gt;&lt;a href=|http://nlt.scripturetext.com/micah/1.htm| title=|New Living Translation| target=|_top|&gt;NLT&lt;/a&gt;</v>
      </c>
      <c r="O894" t="str">
        <f t="shared" si="3572"/>
        <v>&lt;/li&gt;&lt;li&gt;&lt;a href=|http://nasb.scripturetext.com/micah/1.htm| title=|New American Standard Bible| target=|_top|&gt;NAS&lt;/a&gt;</v>
      </c>
      <c r="P894" t="str">
        <f t="shared" si="3572"/>
        <v>&lt;/li&gt;&lt;li&gt;&lt;a href=|http://gwt.scripturetext.com/micah/1.htm| title=|God's Word Translation| target=|_top|&gt;GWT&lt;/a&gt;</v>
      </c>
      <c r="Q894" t="str">
        <f t="shared" si="3572"/>
        <v>&lt;/li&gt;&lt;li&gt;&lt;a href=|http://kingjbible.com/micah/1.htm| title=|King James Bible| target=|_top|&gt;KJV&lt;/a&gt;</v>
      </c>
      <c r="R894" t="str">
        <f t="shared" si="3572"/>
        <v>&lt;/li&gt;&lt;li&gt;&lt;a href=|http://asvbible.com/micah/1.htm| title=|American Standard Version| target=|_top|&gt;ASV&lt;/a&gt;</v>
      </c>
      <c r="S894" t="str">
        <f t="shared" si="3572"/>
        <v>&lt;/li&gt;&lt;li&gt;&lt;a href=|http://drb.scripturetext.com/micah/1.htm| title=|Douay-Rheims Bible| target=|_top|&gt;DRB&lt;/a&gt;</v>
      </c>
      <c r="T894" t="str">
        <f t="shared" si="3572"/>
        <v>&lt;/li&gt;&lt;li&gt;&lt;a href=|http://erv.scripturetext.com/micah/1.htm| title=|English Revised Version| target=|_top|&gt;ERV&lt;/a&gt;</v>
      </c>
      <c r="V894" t="str">
        <f>CONCATENATE("&lt;/li&gt;&lt;li&gt;&lt;a href=|http://",V1191,"/micah/1.htm","| ","title=|",V1190,"| target=|_top|&gt;",V1192,"&lt;/a&gt;")</f>
        <v>&lt;/li&gt;&lt;li&gt;&lt;a href=|http://study.interlinearbible.org/micah/1.htm| title=|Hebrew Study Bible| target=|_top|&gt;Heb Study&lt;/a&gt;</v>
      </c>
      <c r="W894" t="str">
        <f t="shared" si="3572"/>
        <v>&lt;/li&gt;&lt;li&gt;&lt;a href=|http://apostolic.interlinearbible.org/micah/1.htm| title=|Apostolic Bible Polyglot Interlinear| target=|_top|&gt;Polyglot&lt;/a&gt;</v>
      </c>
      <c r="X894" t="str">
        <f t="shared" si="3572"/>
        <v>&lt;/li&gt;&lt;li&gt;&lt;a href=|http://interlinearbible.org/micah/1.htm| title=|Interlinear Bible| target=|_top|&gt;Interlin&lt;/a&gt;</v>
      </c>
      <c r="Y894" t="str">
        <f t="shared" ref="Y894" si="3573">CONCATENATE("&lt;/li&gt;&lt;li&gt;&lt;a href=|http://",Y1191,"/micah/1.htm","| ","title=|",Y1190,"| target=|_top|&gt;",Y1192,"&lt;/a&gt;")</f>
        <v>&lt;/li&gt;&lt;li&gt;&lt;a href=|http://bibleoutline.org/micah/1.htm| title=|Outline with People and Places List| target=|_top|&gt;Outline&lt;/a&gt;</v>
      </c>
      <c r="Z894" t="str">
        <f t="shared" si="3572"/>
        <v>&lt;/li&gt;&lt;li&gt;&lt;a href=|http://kjvs.scripturetext.com/micah/1.htm| title=|King James Bible with Strong's Numbers| target=|_top|&gt;Strong's&lt;/a&gt;</v>
      </c>
      <c r="AA894" t="str">
        <f t="shared" si="3572"/>
        <v>&lt;/li&gt;&lt;li&gt;&lt;a href=|http://childrensbibleonline.com/micah/1.htm| title=|The Children's Bible| target=|_top|&gt;Children's&lt;/a&gt;</v>
      </c>
      <c r="AB894" s="2" t="str">
        <f t="shared" si="3572"/>
        <v>&lt;/li&gt;&lt;li&gt;&lt;a href=|http://tsk.scripturetext.com/micah/1.htm| title=|Treasury of Scripture Knowledge| target=|_top|&gt;TSK&lt;/a&gt;</v>
      </c>
      <c r="AC894" t="str">
        <f>CONCATENATE("&lt;a href=|http://",AC1191,"/micah/1.htm","| ","title=|",AC1190,"| target=|_top|&gt;",AC1192,"&lt;/a&gt;")</f>
        <v>&lt;a href=|http://parallelbible.com/micah/1.htm| title=|Parallel Chapters| target=|_top|&gt;PAR&lt;/a&gt;</v>
      </c>
      <c r="AD894" s="2" t="str">
        <f t="shared" ref="AD894:AK894" si="3574">CONCATENATE("&lt;/li&gt;&lt;li&gt;&lt;a href=|http://",AD1191,"/micah/1.htm","| ","title=|",AD1190,"| target=|_top|&gt;",AD1192,"&lt;/a&gt;")</f>
        <v>&lt;/li&gt;&lt;li&gt;&lt;a href=|http://gsb.biblecommenter.com/micah/1.htm| title=|Geneva Study Bible| target=|_top|&gt;GSB&lt;/a&gt;</v>
      </c>
      <c r="AE894" s="2" t="str">
        <f t="shared" si="3574"/>
        <v>&lt;/li&gt;&lt;li&gt;&lt;a href=|http://jfb.biblecommenter.com/micah/1.htm| title=|Jamieson-Fausset-Brown Bible Commentary| target=|_top|&gt;JFB&lt;/a&gt;</v>
      </c>
      <c r="AF894" s="2" t="str">
        <f t="shared" si="3574"/>
        <v>&lt;/li&gt;&lt;li&gt;&lt;a href=|http://kjt.biblecommenter.com/micah/1.htm| title=|King James Translators' Notes| target=|_top|&gt;KJT&lt;/a&gt;</v>
      </c>
      <c r="AG894" s="2" t="str">
        <f t="shared" si="3574"/>
        <v>&lt;/li&gt;&lt;li&gt;&lt;a href=|http://mhc.biblecommenter.com/micah/1.htm| title=|Matthew Henry's Concise Commentary| target=|_top|&gt;MHC&lt;/a&gt;</v>
      </c>
      <c r="AH894" s="2" t="str">
        <f t="shared" si="3574"/>
        <v>&lt;/li&gt;&lt;li&gt;&lt;a href=|http://sco.biblecommenter.com/micah/1.htm| title=|Scofield Reference Notes| target=|_top|&gt;SCO&lt;/a&gt;</v>
      </c>
      <c r="AI894" s="2" t="str">
        <f t="shared" si="3574"/>
        <v>&lt;/li&gt;&lt;li&gt;&lt;a href=|http://wes.biblecommenter.com/micah/1.htm| title=|Wesley's Notes on the Bible| target=|_top|&gt;WES&lt;/a&gt;</v>
      </c>
      <c r="AJ894" t="str">
        <f t="shared" si="3574"/>
        <v>&lt;/li&gt;&lt;li&gt;&lt;a href=|http://worldebible.com/micah/1.htm| title=|World English Bible| target=|_top|&gt;WEB&lt;/a&gt;</v>
      </c>
      <c r="AK894" t="str">
        <f t="shared" si="3574"/>
        <v>&lt;/li&gt;&lt;li&gt;&lt;a href=|http://yltbible.com/micah/1.htm| title=|Young's Literal Translation| target=|_top|&gt;YLT&lt;/a&gt;</v>
      </c>
      <c r="AL894" t="str">
        <f>CONCATENATE("&lt;a href=|http://",AL1191,"/micah/1.htm","| ","title=|",AL1190,"| target=|_top|&gt;",AL1192,"&lt;/a&gt;")</f>
        <v>&lt;a href=|http://kjv.us/micah/1.htm| title=|American King James Version| target=|_top|&gt;AKJ&lt;/a&gt;</v>
      </c>
      <c r="AM894" t="str">
        <f t="shared" ref="AM894:AN894" si="3575">CONCATENATE("&lt;/li&gt;&lt;li&gt;&lt;a href=|http://",AM1191,"/micah/1.htm","| ","title=|",AM1190,"| target=|_top|&gt;",AM1192,"&lt;/a&gt;")</f>
        <v>&lt;/li&gt;&lt;li&gt;&lt;a href=|http://basicenglishbible.com/micah/1.htm| title=|Bible in Basic English| target=|_top|&gt;BBE&lt;/a&gt;</v>
      </c>
      <c r="AN894" t="str">
        <f t="shared" si="3575"/>
        <v>&lt;/li&gt;&lt;li&gt;&lt;a href=|http://darbybible.com/micah/1.htm| title=|Darby Bible Translation| target=|_top|&gt;DBY&lt;/a&gt;</v>
      </c>
      <c r="AO89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9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9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94" t="str">
        <f>CONCATENATE("&lt;/li&gt;&lt;li&gt;&lt;a href=|http://",AR1191,"/micah/1.htm","| ","title=|",AR1190,"| target=|_top|&gt;",AR1192,"&lt;/a&gt;")</f>
        <v>&lt;/li&gt;&lt;li&gt;&lt;a href=|http://websterbible.com/micah/1.htm| title=|Webster's Bible Translation| target=|_top|&gt;WBS&lt;/a&gt;</v>
      </c>
      <c r="AS89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94" t="str">
        <f>CONCATENATE("&lt;/li&gt;&lt;li&gt;&lt;a href=|http://",AT1191,"/micah/1-1.htm","| ","title=|",AT1190,"| target=|_top|&gt;",AT1192,"&lt;/a&gt;")</f>
        <v>&lt;/li&gt;&lt;li&gt;&lt;a href=|http://biblebrowser.com/micah/1-1.htm| title=|Split View| target=|_top|&gt;Split&lt;/a&gt;</v>
      </c>
      <c r="AU894" s="2" t="s">
        <v>1276</v>
      </c>
      <c r="AV894" t="s">
        <v>64</v>
      </c>
    </row>
    <row r="895" spans="1:48">
      <c r="A895" t="s">
        <v>622</v>
      </c>
      <c r="B895" t="s">
        <v>936</v>
      </c>
      <c r="C895" t="s">
        <v>624</v>
      </c>
      <c r="D895" t="s">
        <v>1268</v>
      </c>
      <c r="E895" t="s">
        <v>1277</v>
      </c>
      <c r="F895" t="s">
        <v>1304</v>
      </c>
      <c r="G895" t="s">
        <v>1266</v>
      </c>
      <c r="H895" t="s">
        <v>1305</v>
      </c>
      <c r="I895" t="s">
        <v>1303</v>
      </c>
      <c r="J895" t="s">
        <v>1267</v>
      </c>
      <c r="K895" t="s">
        <v>1275</v>
      </c>
      <c r="L895" s="2" t="s">
        <v>1274</v>
      </c>
      <c r="M895" t="str">
        <f t="shared" ref="M895:AB895" si="3576">CONCATENATE("&lt;/li&gt;&lt;li&gt;&lt;a href=|http://",M1191,"/micah/2.htm","| ","title=|",M1190,"| target=|_top|&gt;",M1192,"&lt;/a&gt;")</f>
        <v>&lt;/li&gt;&lt;li&gt;&lt;a href=|http://niv.scripturetext.com/micah/2.htm| title=|New International Version| target=|_top|&gt;NIV&lt;/a&gt;</v>
      </c>
      <c r="N895" t="str">
        <f t="shared" si="3576"/>
        <v>&lt;/li&gt;&lt;li&gt;&lt;a href=|http://nlt.scripturetext.com/micah/2.htm| title=|New Living Translation| target=|_top|&gt;NLT&lt;/a&gt;</v>
      </c>
      <c r="O895" t="str">
        <f t="shared" si="3576"/>
        <v>&lt;/li&gt;&lt;li&gt;&lt;a href=|http://nasb.scripturetext.com/micah/2.htm| title=|New American Standard Bible| target=|_top|&gt;NAS&lt;/a&gt;</v>
      </c>
      <c r="P895" t="str">
        <f t="shared" si="3576"/>
        <v>&lt;/li&gt;&lt;li&gt;&lt;a href=|http://gwt.scripturetext.com/micah/2.htm| title=|God's Word Translation| target=|_top|&gt;GWT&lt;/a&gt;</v>
      </c>
      <c r="Q895" t="str">
        <f t="shared" si="3576"/>
        <v>&lt;/li&gt;&lt;li&gt;&lt;a href=|http://kingjbible.com/micah/2.htm| title=|King James Bible| target=|_top|&gt;KJV&lt;/a&gt;</v>
      </c>
      <c r="R895" t="str">
        <f t="shared" si="3576"/>
        <v>&lt;/li&gt;&lt;li&gt;&lt;a href=|http://asvbible.com/micah/2.htm| title=|American Standard Version| target=|_top|&gt;ASV&lt;/a&gt;</v>
      </c>
      <c r="S895" t="str">
        <f t="shared" si="3576"/>
        <v>&lt;/li&gt;&lt;li&gt;&lt;a href=|http://drb.scripturetext.com/micah/2.htm| title=|Douay-Rheims Bible| target=|_top|&gt;DRB&lt;/a&gt;</v>
      </c>
      <c r="T895" t="str">
        <f t="shared" si="3576"/>
        <v>&lt;/li&gt;&lt;li&gt;&lt;a href=|http://erv.scripturetext.com/micah/2.htm| title=|English Revised Version| target=|_top|&gt;ERV&lt;/a&gt;</v>
      </c>
      <c r="V895" t="str">
        <f>CONCATENATE("&lt;/li&gt;&lt;li&gt;&lt;a href=|http://",V1191,"/micah/2.htm","| ","title=|",V1190,"| target=|_top|&gt;",V1192,"&lt;/a&gt;")</f>
        <v>&lt;/li&gt;&lt;li&gt;&lt;a href=|http://study.interlinearbible.org/micah/2.htm| title=|Hebrew Study Bible| target=|_top|&gt;Heb Study&lt;/a&gt;</v>
      </c>
      <c r="W895" t="str">
        <f t="shared" si="3576"/>
        <v>&lt;/li&gt;&lt;li&gt;&lt;a href=|http://apostolic.interlinearbible.org/micah/2.htm| title=|Apostolic Bible Polyglot Interlinear| target=|_top|&gt;Polyglot&lt;/a&gt;</v>
      </c>
      <c r="X895" t="str">
        <f t="shared" si="3576"/>
        <v>&lt;/li&gt;&lt;li&gt;&lt;a href=|http://interlinearbible.org/micah/2.htm| title=|Interlinear Bible| target=|_top|&gt;Interlin&lt;/a&gt;</v>
      </c>
      <c r="Y895" t="str">
        <f t="shared" ref="Y895" si="3577">CONCATENATE("&lt;/li&gt;&lt;li&gt;&lt;a href=|http://",Y1191,"/micah/2.htm","| ","title=|",Y1190,"| target=|_top|&gt;",Y1192,"&lt;/a&gt;")</f>
        <v>&lt;/li&gt;&lt;li&gt;&lt;a href=|http://bibleoutline.org/micah/2.htm| title=|Outline with People and Places List| target=|_top|&gt;Outline&lt;/a&gt;</v>
      </c>
      <c r="Z895" t="str">
        <f t="shared" si="3576"/>
        <v>&lt;/li&gt;&lt;li&gt;&lt;a href=|http://kjvs.scripturetext.com/micah/2.htm| title=|King James Bible with Strong's Numbers| target=|_top|&gt;Strong's&lt;/a&gt;</v>
      </c>
      <c r="AA895" t="str">
        <f t="shared" si="3576"/>
        <v>&lt;/li&gt;&lt;li&gt;&lt;a href=|http://childrensbibleonline.com/micah/2.htm| title=|The Children's Bible| target=|_top|&gt;Children's&lt;/a&gt;</v>
      </c>
      <c r="AB895" s="2" t="str">
        <f t="shared" si="3576"/>
        <v>&lt;/li&gt;&lt;li&gt;&lt;a href=|http://tsk.scripturetext.com/micah/2.htm| title=|Treasury of Scripture Knowledge| target=|_top|&gt;TSK&lt;/a&gt;</v>
      </c>
      <c r="AC895" t="str">
        <f>CONCATENATE("&lt;a href=|http://",AC1191,"/micah/2.htm","| ","title=|",AC1190,"| target=|_top|&gt;",AC1192,"&lt;/a&gt;")</f>
        <v>&lt;a href=|http://parallelbible.com/micah/2.htm| title=|Parallel Chapters| target=|_top|&gt;PAR&lt;/a&gt;</v>
      </c>
      <c r="AD895" s="2" t="str">
        <f t="shared" ref="AD895:AK895" si="3578">CONCATENATE("&lt;/li&gt;&lt;li&gt;&lt;a href=|http://",AD1191,"/micah/2.htm","| ","title=|",AD1190,"| target=|_top|&gt;",AD1192,"&lt;/a&gt;")</f>
        <v>&lt;/li&gt;&lt;li&gt;&lt;a href=|http://gsb.biblecommenter.com/micah/2.htm| title=|Geneva Study Bible| target=|_top|&gt;GSB&lt;/a&gt;</v>
      </c>
      <c r="AE895" s="2" t="str">
        <f t="shared" si="3578"/>
        <v>&lt;/li&gt;&lt;li&gt;&lt;a href=|http://jfb.biblecommenter.com/micah/2.htm| title=|Jamieson-Fausset-Brown Bible Commentary| target=|_top|&gt;JFB&lt;/a&gt;</v>
      </c>
      <c r="AF895" s="2" t="str">
        <f t="shared" si="3578"/>
        <v>&lt;/li&gt;&lt;li&gt;&lt;a href=|http://kjt.biblecommenter.com/micah/2.htm| title=|King James Translators' Notes| target=|_top|&gt;KJT&lt;/a&gt;</v>
      </c>
      <c r="AG895" s="2" t="str">
        <f t="shared" si="3578"/>
        <v>&lt;/li&gt;&lt;li&gt;&lt;a href=|http://mhc.biblecommenter.com/micah/2.htm| title=|Matthew Henry's Concise Commentary| target=|_top|&gt;MHC&lt;/a&gt;</v>
      </c>
      <c r="AH895" s="2" t="str">
        <f t="shared" si="3578"/>
        <v>&lt;/li&gt;&lt;li&gt;&lt;a href=|http://sco.biblecommenter.com/micah/2.htm| title=|Scofield Reference Notes| target=|_top|&gt;SCO&lt;/a&gt;</v>
      </c>
      <c r="AI895" s="2" t="str">
        <f t="shared" si="3578"/>
        <v>&lt;/li&gt;&lt;li&gt;&lt;a href=|http://wes.biblecommenter.com/micah/2.htm| title=|Wesley's Notes on the Bible| target=|_top|&gt;WES&lt;/a&gt;</v>
      </c>
      <c r="AJ895" t="str">
        <f t="shared" si="3578"/>
        <v>&lt;/li&gt;&lt;li&gt;&lt;a href=|http://worldebible.com/micah/2.htm| title=|World English Bible| target=|_top|&gt;WEB&lt;/a&gt;</v>
      </c>
      <c r="AK895" t="str">
        <f t="shared" si="3578"/>
        <v>&lt;/li&gt;&lt;li&gt;&lt;a href=|http://yltbible.com/micah/2.htm| title=|Young's Literal Translation| target=|_top|&gt;YLT&lt;/a&gt;</v>
      </c>
      <c r="AL895" t="str">
        <f>CONCATENATE("&lt;a href=|http://",AL1191,"/micah/2.htm","| ","title=|",AL1190,"| target=|_top|&gt;",AL1192,"&lt;/a&gt;")</f>
        <v>&lt;a href=|http://kjv.us/micah/2.htm| title=|American King James Version| target=|_top|&gt;AKJ&lt;/a&gt;</v>
      </c>
      <c r="AM895" t="str">
        <f t="shared" ref="AM895:AN895" si="3579">CONCATENATE("&lt;/li&gt;&lt;li&gt;&lt;a href=|http://",AM1191,"/micah/2.htm","| ","title=|",AM1190,"| target=|_top|&gt;",AM1192,"&lt;/a&gt;")</f>
        <v>&lt;/li&gt;&lt;li&gt;&lt;a href=|http://basicenglishbible.com/micah/2.htm| title=|Bible in Basic English| target=|_top|&gt;BBE&lt;/a&gt;</v>
      </c>
      <c r="AN895" t="str">
        <f t="shared" si="3579"/>
        <v>&lt;/li&gt;&lt;li&gt;&lt;a href=|http://darbybible.com/micah/2.htm| title=|Darby Bible Translation| target=|_top|&gt;DBY&lt;/a&gt;</v>
      </c>
      <c r="AO89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9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9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95" t="str">
        <f>CONCATENATE("&lt;/li&gt;&lt;li&gt;&lt;a href=|http://",AR1191,"/micah/2.htm","| ","title=|",AR1190,"| target=|_top|&gt;",AR1192,"&lt;/a&gt;")</f>
        <v>&lt;/li&gt;&lt;li&gt;&lt;a href=|http://websterbible.com/micah/2.htm| title=|Webster's Bible Translation| target=|_top|&gt;WBS&lt;/a&gt;</v>
      </c>
      <c r="AS89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95" t="str">
        <f>CONCATENATE("&lt;/li&gt;&lt;li&gt;&lt;a href=|http://",AT1191,"/micah/2-1.htm","| ","title=|",AT1190,"| target=|_top|&gt;",AT1192,"&lt;/a&gt;")</f>
        <v>&lt;/li&gt;&lt;li&gt;&lt;a href=|http://biblebrowser.com/micah/2-1.htm| title=|Split View| target=|_top|&gt;Split&lt;/a&gt;</v>
      </c>
      <c r="AU895" s="2" t="s">
        <v>1276</v>
      </c>
      <c r="AV895" t="s">
        <v>64</v>
      </c>
    </row>
    <row r="896" spans="1:48">
      <c r="A896" t="s">
        <v>622</v>
      </c>
      <c r="B896" t="s">
        <v>937</v>
      </c>
      <c r="C896" t="s">
        <v>624</v>
      </c>
      <c r="D896" t="s">
        <v>1268</v>
      </c>
      <c r="E896" t="s">
        <v>1277</v>
      </c>
      <c r="F896" t="s">
        <v>1304</v>
      </c>
      <c r="G896" t="s">
        <v>1266</v>
      </c>
      <c r="H896" t="s">
        <v>1305</v>
      </c>
      <c r="I896" t="s">
        <v>1303</v>
      </c>
      <c r="J896" t="s">
        <v>1267</v>
      </c>
      <c r="K896" t="s">
        <v>1275</v>
      </c>
      <c r="L896" s="2" t="s">
        <v>1274</v>
      </c>
      <c r="M896" t="str">
        <f t="shared" ref="M896:AB896" si="3580">CONCATENATE("&lt;/li&gt;&lt;li&gt;&lt;a href=|http://",M1191,"/micah/3.htm","| ","title=|",M1190,"| target=|_top|&gt;",M1192,"&lt;/a&gt;")</f>
        <v>&lt;/li&gt;&lt;li&gt;&lt;a href=|http://niv.scripturetext.com/micah/3.htm| title=|New International Version| target=|_top|&gt;NIV&lt;/a&gt;</v>
      </c>
      <c r="N896" t="str">
        <f t="shared" si="3580"/>
        <v>&lt;/li&gt;&lt;li&gt;&lt;a href=|http://nlt.scripturetext.com/micah/3.htm| title=|New Living Translation| target=|_top|&gt;NLT&lt;/a&gt;</v>
      </c>
      <c r="O896" t="str">
        <f t="shared" si="3580"/>
        <v>&lt;/li&gt;&lt;li&gt;&lt;a href=|http://nasb.scripturetext.com/micah/3.htm| title=|New American Standard Bible| target=|_top|&gt;NAS&lt;/a&gt;</v>
      </c>
      <c r="P896" t="str">
        <f t="shared" si="3580"/>
        <v>&lt;/li&gt;&lt;li&gt;&lt;a href=|http://gwt.scripturetext.com/micah/3.htm| title=|God's Word Translation| target=|_top|&gt;GWT&lt;/a&gt;</v>
      </c>
      <c r="Q896" t="str">
        <f t="shared" si="3580"/>
        <v>&lt;/li&gt;&lt;li&gt;&lt;a href=|http://kingjbible.com/micah/3.htm| title=|King James Bible| target=|_top|&gt;KJV&lt;/a&gt;</v>
      </c>
      <c r="R896" t="str">
        <f t="shared" si="3580"/>
        <v>&lt;/li&gt;&lt;li&gt;&lt;a href=|http://asvbible.com/micah/3.htm| title=|American Standard Version| target=|_top|&gt;ASV&lt;/a&gt;</v>
      </c>
      <c r="S896" t="str">
        <f t="shared" si="3580"/>
        <v>&lt;/li&gt;&lt;li&gt;&lt;a href=|http://drb.scripturetext.com/micah/3.htm| title=|Douay-Rheims Bible| target=|_top|&gt;DRB&lt;/a&gt;</v>
      </c>
      <c r="T896" t="str">
        <f t="shared" si="3580"/>
        <v>&lt;/li&gt;&lt;li&gt;&lt;a href=|http://erv.scripturetext.com/micah/3.htm| title=|English Revised Version| target=|_top|&gt;ERV&lt;/a&gt;</v>
      </c>
      <c r="V896" t="str">
        <f>CONCATENATE("&lt;/li&gt;&lt;li&gt;&lt;a href=|http://",V1191,"/micah/3.htm","| ","title=|",V1190,"| target=|_top|&gt;",V1192,"&lt;/a&gt;")</f>
        <v>&lt;/li&gt;&lt;li&gt;&lt;a href=|http://study.interlinearbible.org/micah/3.htm| title=|Hebrew Study Bible| target=|_top|&gt;Heb Study&lt;/a&gt;</v>
      </c>
      <c r="W896" t="str">
        <f t="shared" si="3580"/>
        <v>&lt;/li&gt;&lt;li&gt;&lt;a href=|http://apostolic.interlinearbible.org/micah/3.htm| title=|Apostolic Bible Polyglot Interlinear| target=|_top|&gt;Polyglot&lt;/a&gt;</v>
      </c>
      <c r="X896" t="str">
        <f t="shared" si="3580"/>
        <v>&lt;/li&gt;&lt;li&gt;&lt;a href=|http://interlinearbible.org/micah/3.htm| title=|Interlinear Bible| target=|_top|&gt;Interlin&lt;/a&gt;</v>
      </c>
      <c r="Y896" t="str">
        <f t="shared" ref="Y896" si="3581">CONCATENATE("&lt;/li&gt;&lt;li&gt;&lt;a href=|http://",Y1191,"/micah/3.htm","| ","title=|",Y1190,"| target=|_top|&gt;",Y1192,"&lt;/a&gt;")</f>
        <v>&lt;/li&gt;&lt;li&gt;&lt;a href=|http://bibleoutline.org/micah/3.htm| title=|Outline with People and Places List| target=|_top|&gt;Outline&lt;/a&gt;</v>
      </c>
      <c r="Z896" t="str">
        <f t="shared" si="3580"/>
        <v>&lt;/li&gt;&lt;li&gt;&lt;a href=|http://kjvs.scripturetext.com/micah/3.htm| title=|King James Bible with Strong's Numbers| target=|_top|&gt;Strong's&lt;/a&gt;</v>
      </c>
      <c r="AA896" t="str">
        <f t="shared" si="3580"/>
        <v>&lt;/li&gt;&lt;li&gt;&lt;a href=|http://childrensbibleonline.com/micah/3.htm| title=|The Children's Bible| target=|_top|&gt;Children's&lt;/a&gt;</v>
      </c>
      <c r="AB896" s="2" t="str">
        <f t="shared" si="3580"/>
        <v>&lt;/li&gt;&lt;li&gt;&lt;a href=|http://tsk.scripturetext.com/micah/3.htm| title=|Treasury of Scripture Knowledge| target=|_top|&gt;TSK&lt;/a&gt;</v>
      </c>
      <c r="AC896" t="str">
        <f>CONCATENATE("&lt;a href=|http://",AC1191,"/micah/3.htm","| ","title=|",AC1190,"| target=|_top|&gt;",AC1192,"&lt;/a&gt;")</f>
        <v>&lt;a href=|http://parallelbible.com/micah/3.htm| title=|Parallel Chapters| target=|_top|&gt;PAR&lt;/a&gt;</v>
      </c>
      <c r="AD896" s="2" t="str">
        <f t="shared" ref="AD896:AK896" si="3582">CONCATENATE("&lt;/li&gt;&lt;li&gt;&lt;a href=|http://",AD1191,"/micah/3.htm","| ","title=|",AD1190,"| target=|_top|&gt;",AD1192,"&lt;/a&gt;")</f>
        <v>&lt;/li&gt;&lt;li&gt;&lt;a href=|http://gsb.biblecommenter.com/micah/3.htm| title=|Geneva Study Bible| target=|_top|&gt;GSB&lt;/a&gt;</v>
      </c>
      <c r="AE896" s="2" t="str">
        <f t="shared" si="3582"/>
        <v>&lt;/li&gt;&lt;li&gt;&lt;a href=|http://jfb.biblecommenter.com/micah/3.htm| title=|Jamieson-Fausset-Brown Bible Commentary| target=|_top|&gt;JFB&lt;/a&gt;</v>
      </c>
      <c r="AF896" s="2" t="str">
        <f t="shared" si="3582"/>
        <v>&lt;/li&gt;&lt;li&gt;&lt;a href=|http://kjt.biblecommenter.com/micah/3.htm| title=|King James Translators' Notes| target=|_top|&gt;KJT&lt;/a&gt;</v>
      </c>
      <c r="AG896" s="2" t="str">
        <f t="shared" si="3582"/>
        <v>&lt;/li&gt;&lt;li&gt;&lt;a href=|http://mhc.biblecommenter.com/micah/3.htm| title=|Matthew Henry's Concise Commentary| target=|_top|&gt;MHC&lt;/a&gt;</v>
      </c>
      <c r="AH896" s="2" t="str">
        <f t="shared" si="3582"/>
        <v>&lt;/li&gt;&lt;li&gt;&lt;a href=|http://sco.biblecommenter.com/micah/3.htm| title=|Scofield Reference Notes| target=|_top|&gt;SCO&lt;/a&gt;</v>
      </c>
      <c r="AI896" s="2" t="str">
        <f t="shared" si="3582"/>
        <v>&lt;/li&gt;&lt;li&gt;&lt;a href=|http://wes.biblecommenter.com/micah/3.htm| title=|Wesley's Notes on the Bible| target=|_top|&gt;WES&lt;/a&gt;</v>
      </c>
      <c r="AJ896" t="str">
        <f t="shared" si="3582"/>
        <v>&lt;/li&gt;&lt;li&gt;&lt;a href=|http://worldebible.com/micah/3.htm| title=|World English Bible| target=|_top|&gt;WEB&lt;/a&gt;</v>
      </c>
      <c r="AK896" t="str">
        <f t="shared" si="3582"/>
        <v>&lt;/li&gt;&lt;li&gt;&lt;a href=|http://yltbible.com/micah/3.htm| title=|Young's Literal Translation| target=|_top|&gt;YLT&lt;/a&gt;</v>
      </c>
      <c r="AL896" t="str">
        <f>CONCATENATE("&lt;a href=|http://",AL1191,"/micah/3.htm","| ","title=|",AL1190,"| target=|_top|&gt;",AL1192,"&lt;/a&gt;")</f>
        <v>&lt;a href=|http://kjv.us/micah/3.htm| title=|American King James Version| target=|_top|&gt;AKJ&lt;/a&gt;</v>
      </c>
      <c r="AM896" t="str">
        <f t="shared" ref="AM896:AN896" si="3583">CONCATENATE("&lt;/li&gt;&lt;li&gt;&lt;a href=|http://",AM1191,"/micah/3.htm","| ","title=|",AM1190,"| target=|_top|&gt;",AM1192,"&lt;/a&gt;")</f>
        <v>&lt;/li&gt;&lt;li&gt;&lt;a href=|http://basicenglishbible.com/micah/3.htm| title=|Bible in Basic English| target=|_top|&gt;BBE&lt;/a&gt;</v>
      </c>
      <c r="AN896" t="str">
        <f t="shared" si="3583"/>
        <v>&lt;/li&gt;&lt;li&gt;&lt;a href=|http://darbybible.com/micah/3.htm| title=|Darby Bible Translation| target=|_top|&gt;DBY&lt;/a&gt;</v>
      </c>
      <c r="AO89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9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9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96" t="str">
        <f>CONCATENATE("&lt;/li&gt;&lt;li&gt;&lt;a href=|http://",AR1191,"/micah/3.htm","| ","title=|",AR1190,"| target=|_top|&gt;",AR1192,"&lt;/a&gt;")</f>
        <v>&lt;/li&gt;&lt;li&gt;&lt;a href=|http://websterbible.com/micah/3.htm| title=|Webster's Bible Translation| target=|_top|&gt;WBS&lt;/a&gt;</v>
      </c>
      <c r="AS89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96" t="str">
        <f>CONCATENATE("&lt;/li&gt;&lt;li&gt;&lt;a href=|http://",AT1191,"/micah/3-1.htm","| ","title=|",AT1190,"| target=|_top|&gt;",AT1192,"&lt;/a&gt;")</f>
        <v>&lt;/li&gt;&lt;li&gt;&lt;a href=|http://biblebrowser.com/micah/3-1.htm| title=|Split View| target=|_top|&gt;Split&lt;/a&gt;</v>
      </c>
      <c r="AU896" s="2" t="s">
        <v>1276</v>
      </c>
      <c r="AV896" t="s">
        <v>64</v>
      </c>
    </row>
    <row r="897" spans="1:48">
      <c r="A897" t="s">
        <v>622</v>
      </c>
      <c r="B897" t="s">
        <v>938</v>
      </c>
      <c r="C897" t="s">
        <v>624</v>
      </c>
      <c r="D897" t="s">
        <v>1268</v>
      </c>
      <c r="E897" t="s">
        <v>1277</v>
      </c>
      <c r="F897" t="s">
        <v>1304</v>
      </c>
      <c r="G897" t="s">
        <v>1266</v>
      </c>
      <c r="H897" t="s">
        <v>1305</v>
      </c>
      <c r="I897" t="s">
        <v>1303</v>
      </c>
      <c r="J897" t="s">
        <v>1267</v>
      </c>
      <c r="K897" t="s">
        <v>1275</v>
      </c>
      <c r="L897" s="2" t="s">
        <v>1274</v>
      </c>
      <c r="M897" t="str">
        <f t="shared" ref="M897:AB897" si="3584">CONCATENATE("&lt;/li&gt;&lt;li&gt;&lt;a href=|http://",M1191,"/micah/4.htm","| ","title=|",M1190,"| target=|_top|&gt;",M1192,"&lt;/a&gt;")</f>
        <v>&lt;/li&gt;&lt;li&gt;&lt;a href=|http://niv.scripturetext.com/micah/4.htm| title=|New International Version| target=|_top|&gt;NIV&lt;/a&gt;</v>
      </c>
      <c r="N897" t="str">
        <f t="shared" si="3584"/>
        <v>&lt;/li&gt;&lt;li&gt;&lt;a href=|http://nlt.scripturetext.com/micah/4.htm| title=|New Living Translation| target=|_top|&gt;NLT&lt;/a&gt;</v>
      </c>
      <c r="O897" t="str">
        <f t="shared" si="3584"/>
        <v>&lt;/li&gt;&lt;li&gt;&lt;a href=|http://nasb.scripturetext.com/micah/4.htm| title=|New American Standard Bible| target=|_top|&gt;NAS&lt;/a&gt;</v>
      </c>
      <c r="P897" t="str">
        <f t="shared" si="3584"/>
        <v>&lt;/li&gt;&lt;li&gt;&lt;a href=|http://gwt.scripturetext.com/micah/4.htm| title=|God's Word Translation| target=|_top|&gt;GWT&lt;/a&gt;</v>
      </c>
      <c r="Q897" t="str">
        <f t="shared" si="3584"/>
        <v>&lt;/li&gt;&lt;li&gt;&lt;a href=|http://kingjbible.com/micah/4.htm| title=|King James Bible| target=|_top|&gt;KJV&lt;/a&gt;</v>
      </c>
      <c r="R897" t="str">
        <f t="shared" si="3584"/>
        <v>&lt;/li&gt;&lt;li&gt;&lt;a href=|http://asvbible.com/micah/4.htm| title=|American Standard Version| target=|_top|&gt;ASV&lt;/a&gt;</v>
      </c>
      <c r="S897" t="str">
        <f t="shared" si="3584"/>
        <v>&lt;/li&gt;&lt;li&gt;&lt;a href=|http://drb.scripturetext.com/micah/4.htm| title=|Douay-Rheims Bible| target=|_top|&gt;DRB&lt;/a&gt;</v>
      </c>
      <c r="T897" t="str">
        <f t="shared" si="3584"/>
        <v>&lt;/li&gt;&lt;li&gt;&lt;a href=|http://erv.scripturetext.com/micah/4.htm| title=|English Revised Version| target=|_top|&gt;ERV&lt;/a&gt;</v>
      </c>
      <c r="V897" t="str">
        <f>CONCATENATE("&lt;/li&gt;&lt;li&gt;&lt;a href=|http://",V1191,"/micah/4.htm","| ","title=|",V1190,"| target=|_top|&gt;",V1192,"&lt;/a&gt;")</f>
        <v>&lt;/li&gt;&lt;li&gt;&lt;a href=|http://study.interlinearbible.org/micah/4.htm| title=|Hebrew Study Bible| target=|_top|&gt;Heb Study&lt;/a&gt;</v>
      </c>
      <c r="W897" t="str">
        <f t="shared" si="3584"/>
        <v>&lt;/li&gt;&lt;li&gt;&lt;a href=|http://apostolic.interlinearbible.org/micah/4.htm| title=|Apostolic Bible Polyglot Interlinear| target=|_top|&gt;Polyglot&lt;/a&gt;</v>
      </c>
      <c r="X897" t="str">
        <f t="shared" si="3584"/>
        <v>&lt;/li&gt;&lt;li&gt;&lt;a href=|http://interlinearbible.org/micah/4.htm| title=|Interlinear Bible| target=|_top|&gt;Interlin&lt;/a&gt;</v>
      </c>
      <c r="Y897" t="str">
        <f t="shared" ref="Y897" si="3585">CONCATENATE("&lt;/li&gt;&lt;li&gt;&lt;a href=|http://",Y1191,"/micah/4.htm","| ","title=|",Y1190,"| target=|_top|&gt;",Y1192,"&lt;/a&gt;")</f>
        <v>&lt;/li&gt;&lt;li&gt;&lt;a href=|http://bibleoutline.org/micah/4.htm| title=|Outline with People and Places List| target=|_top|&gt;Outline&lt;/a&gt;</v>
      </c>
      <c r="Z897" t="str">
        <f t="shared" si="3584"/>
        <v>&lt;/li&gt;&lt;li&gt;&lt;a href=|http://kjvs.scripturetext.com/micah/4.htm| title=|King James Bible with Strong's Numbers| target=|_top|&gt;Strong's&lt;/a&gt;</v>
      </c>
      <c r="AA897" t="str">
        <f t="shared" si="3584"/>
        <v>&lt;/li&gt;&lt;li&gt;&lt;a href=|http://childrensbibleonline.com/micah/4.htm| title=|The Children's Bible| target=|_top|&gt;Children's&lt;/a&gt;</v>
      </c>
      <c r="AB897" s="2" t="str">
        <f t="shared" si="3584"/>
        <v>&lt;/li&gt;&lt;li&gt;&lt;a href=|http://tsk.scripturetext.com/micah/4.htm| title=|Treasury of Scripture Knowledge| target=|_top|&gt;TSK&lt;/a&gt;</v>
      </c>
      <c r="AC897" t="str">
        <f>CONCATENATE("&lt;a href=|http://",AC1191,"/micah/4.htm","| ","title=|",AC1190,"| target=|_top|&gt;",AC1192,"&lt;/a&gt;")</f>
        <v>&lt;a href=|http://parallelbible.com/micah/4.htm| title=|Parallel Chapters| target=|_top|&gt;PAR&lt;/a&gt;</v>
      </c>
      <c r="AD897" s="2" t="str">
        <f t="shared" ref="AD897:AK897" si="3586">CONCATENATE("&lt;/li&gt;&lt;li&gt;&lt;a href=|http://",AD1191,"/micah/4.htm","| ","title=|",AD1190,"| target=|_top|&gt;",AD1192,"&lt;/a&gt;")</f>
        <v>&lt;/li&gt;&lt;li&gt;&lt;a href=|http://gsb.biblecommenter.com/micah/4.htm| title=|Geneva Study Bible| target=|_top|&gt;GSB&lt;/a&gt;</v>
      </c>
      <c r="AE897" s="2" t="str">
        <f t="shared" si="3586"/>
        <v>&lt;/li&gt;&lt;li&gt;&lt;a href=|http://jfb.biblecommenter.com/micah/4.htm| title=|Jamieson-Fausset-Brown Bible Commentary| target=|_top|&gt;JFB&lt;/a&gt;</v>
      </c>
      <c r="AF897" s="2" t="str">
        <f t="shared" si="3586"/>
        <v>&lt;/li&gt;&lt;li&gt;&lt;a href=|http://kjt.biblecommenter.com/micah/4.htm| title=|King James Translators' Notes| target=|_top|&gt;KJT&lt;/a&gt;</v>
      </c>
      <c r="AG897" s="2" t="str">
        <f t="shared" si="3586"/>
        <v>&lt;/li&gt;&lt;li&gt;&lt;a href=|http://mhc.biblecommenter.com/micah/4.htm| title=|Matthew Henry's Concise Commentary| target=|_top|&gt;MHC&lt;/a&gt;</v>
      </c>
      <c r="AH897" s="2" t="str">
        <f t="shared" si="3586"/>
        <v>&lt;/li&gt;&lt;li&gt;&lt;a href=|http://sco.biblecommenter.com/micah/4.htm| title=|Scofield Reference Notes| target=|_top|&gt;SCO&lt;/a&gt;</v>
      </c>
      <c r="AI897" s="2" t="str">
        <f t="shared" si="3586"/>
        <v>&lt;/li&gt;&lt;li&gt;&lt;a href=|http://wes.biblecommenter.com/micah/4.htm| title=|Wesley's Notes on the Bible| target=|_top|&gt;WES&lt;/a&gt;</v>
      </c>
      <c r="AJ897" t="str">
        <f t="shared" si="3586"/>
        <v>&lt;/li&gt;&lt;li&gt;&lt;a href=|http://worldebible.com/micah/4.htm| title=|World English Bible| target=|_top|&gt;WEB&lt;/a&gt;</v>
      </c>
      <c r="AK897" t="str">
        <f t="shared" si="3586"/>
        <v>&lt;/li&gt;&lt;li&gt;&lt;a href=|http://yltbible.com/micah/4.htm| title=|Young's Literal Translation| target=|_top|&gt;YLT&lt;/a&gt;</v>
      </c>
      <c r="AL897" t="str">
        <f>CONCATENATE("&lt;a href=|http://",AL1191,"/micah/4.htm","| ","title=|",AL1190,"| target=|_top|&gt;",AL1192,"&lt;/a&gt;")</f>
        <v>&lt;a href=|http://kjv.us/micah/4.htm| title=|American King James Version| target=|_top|&gt;AKJ&lt;/a&gt;</v>
      </c>
      <c r="AM897" t="str">
        <f t="shared" ref="AM897:AN897" si="3587">CONCATENATE("&lt;/li&gt;&lt;li&gt;&lt;a href=|http://",AM1191,"/micah/4.htm","| ","title=|",AM1190,"| target=|_top|&gt;",AM1192,"&lt;/a&gt;")</f>
        <v>&lt;/li&gt;&lt;li&gt;&lt;a href=|http://basicenglishbible.com/micah/4.htm| title=|Bible in Basic English| target=|_top|&gt;BBE&lt;/a&gt;</v>
      </c>
      <c r="AN897" t="str">
        <f t="shared" si="3587"/>
        <v>&lt;/li&gt;&lt;li&gt;&lt;a href=|http://darbybible.com/micah/4.htm| title=|Darby Bible Translation| target=|_top|&gt;DBY&lt;/a&gt;</v>
      </c>
      <c r="AO89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9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9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97" t="str">
        <f>CONCATENATE("&lt;/li&gt;&lt;li&gt;&lt;a href=|http://",AR1191,"/micah/4.htm","| ","title=|",AR1190,"| target=|_top|&gt;",AR1192,"&lt;/a&gt;")</f>
        <v>&lt;/li&gt;&lt;li&gt;&lt;a href=|http://websterbible.com/micah/4.htm| title=|Webster's Bible Translation| target=|_top|&gt;WBS&lt;/a&gt;</v>
      </c>
      <c r="AS89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97" t="str">
        <f>CONCATENATE("&lt;/li&gt;&lt;li&gt;&lt;a href=|http://",AT1191,"/micah/4-1.htm","| ","title=|",AT1190,"| target=|_top|&gt;",AT1192,"&lt;/a&gt;")</f>
        <v>&lt;/li&gt;&lt;li&gt;&lt;a href=|http://biblebrowser.com/micah/4-1.htm| title=|Split View| target=|_top|&gt;Split&lt;/a&gt;</v>
      </c>
      <c r="AU897" s="2" t="s">
        <v>1276</v>
      </c>
      <c r="AV897" t="s">
        <v>64</v>
      </c>
    </row>
    <row r="898" spans="1:48">
      <c r="A898" t="s">
        <v>622</v>
      </c>
      <c r="B898" t="s">
        <v>939</v>
      </c>
      <c r="C898" t="s">
        <v>624</v>
      </c>
      <c r="D898" t="s">
        <v>1268</v>
      </c>
      <c r="E898" t="s">
        <v>1277</v>
      </c>
      <c r="F898" t="s">
        <v>1304</v>
      </c>
      <c r="G898" t="s">
        <v>1266</v>
      </c>
      <c r="H898" t="s">
        <v>1305</v>
      </c>
      <c r="I898" t="s">
        <v>1303</v>
      </c>
      <c r="J898" t="s">
        <v>1267</v>
      </c>
      <c r="K898" t="s">
        <v>1275</v>
      </c>
      <c r="L898" s="2" t="s">
        <v>1274</v>
      </c>
      <c r="M898" t="str">
        <f t="shared" ref="M898:AB898" si="3588">CONCATENATE("&lt;/li&gt;&lt;li&gt;&lt;a href=|http://",M1191,"/micah/5.htm","| ","title=|",M1190,"| target=|_top|&gt;",M1192,"&lt;/a&gt;")</f>
        <v>&lt;/li&gt;&lt;li&gt;&lt;a href=|http://niv.scripturetext.com/micah/5.htm| title=|New International Version| target=|_top|&gt;NIV&lt;/a&gt;</v>
      </c>
      <c r="N898" t="str">
        <f t="shared" si="3588"/>
        <v>&lt;/li&gt;&lt;li&gt;&lt;a href=|http://nlt.scripturetext.com/micah/5.htm| title=|New Living Translation| target=|_top|&gt;NLT&lt;/a&gt;</v>
      </c>
      <c r="O898" t="str">
        <f t="shared" si="3588"/>
        <v>&lt;/li&gt;&lt;li&gt;&lt;a href=|http://nasb.scripturetext.com/micah/5.htm| title=|New American Standard Bible| target=|_top|&gt;NAS&lt;/a&gt;</v>
      </c>
      <c r="P898" t="str">
        <f t="shared" si="3588"/>
        <v>&lt;/li&gt;&lt;li&gt;&lt;a href=|http://gwt.scripturetext.com/micah/5.htm| title=|God's Word Translation| target=|_top|&gt;GWT&lt;/a&gt;</v>
      </c>
      <c r="Q898" t="str">
        <f t="shared" si="3588"/>
        <v>&lt;/li&gt;&lt;li&gt;&lt;a href=|http://kingjbible.com/micah/5.htm| title=|King James Bible| target=|_top|&gt;KJV&lt;/a&gt;</v>
      </c>
      <c r="R898" t="str">
        <f t="shared" si="3588"/>
        <v>&lt;/li&gt;&lt;li&gt;&lt;a href=|http://asvbible.com/micah/5.htm| title=|American Standard Version| target=|_top|&gt;ASV&lt;/a&gt;</v>
      </c>
      <c r="S898" t="str">
        <f t="shared" si="3588"/>
        <v>&lt;/li&gt;&lt;li&gt;&lt;a href=|http://drb.scripturetext.com/micah/5.htm| title=|Douay-Rheims Bible| target=|_top|&gt;DRB&lt;/a&gt;</v>
      </c>
      <c r="T898" t="str">
        <f t="shared" si="3588"/>
        <v>&lt;/li&gt;&lt;li&gt;&lt;a href=|http://erv.scripturetext.com/micah/5.htm| title=|English Revised Version| target=|_top|&gt;ERV&lt;/a&gt;</v>
      </c>
      <c r="V898" t="str">
        <f>CONCATENATE("&lt;/li&gt;&lt;li&gt;&lt;a href=|http://",V1191,"/micah/5.htm","| ","title=|",V1190,"| target=|_top|&gt;",V1192,"&lt;/a&gt;")</f>
        <v>&lt;/li&gt;&lt;li&gt;&lt;a href=|http://study.interlinearbible.org/micah/5.htm| title=|Hebrew Study Bible| target=|_top|&gt;Heb Study&lt;/a&gt;</v>
      </c>
      <c r="W898" t="str">
        <f t="shared" si="3588"/>
        <v>&lt;/li&gt;&lt;li&gt;&lt;a href=|http://apostolic.interlinearbible.org/micah/5.htm| title=|Apostolic Bible Polyglot Interlinear| target=|_top|&gt;Polyglot&lt;/a&gt;</v>
      </c>
      <c r="X898" t="str">
        <f t="shared" si="3588"/>
        <v>&lt;/li&gt;&lt;li&gt;&lt;a href=|http://interlinearbible.org/micah/5.htm| title=|Interlinear Bible| target=|_top|&gt;Interlin&lt;/a&gt;</v>
      </c>
      <c r="Y898" t="str">
        <f t="shared" ref="Y898" si="3589">CONCATENATE("&lt;/li&gt;&lt;li&gt;&lt;a href=|http://",Y1191,"/micah/5.htm","| ","title=|",Y1190,"| target=|_top|&gt;",Y1192,"&lt;/a&gt;")</f>
        <v>&lt;/li&gt;&lt;li&gt;&lt;a href=|http://bibleoutline.org/micah/5.htm| title=|Outline with People and Places List| target=|_top|&gt;Outline&lt;/a&gt;</v>
      </c>
      <c r="Z898" t="str">
        <f t="shared" si="3588"/>
        <v>&lt;/li&gt;&lt;li&gt;&lt;a href=|http://kjvs.scripturetext.com/micah/5.htm| title=|King James Bible with Strong's Numbers| target=|_top|&gt;Strong's&lt;/a&gt;</v>
      </c>
      <c r="AA898" t="str">
        <f t="shared" si="3588"/>
        <v>&lt;/li&gt;&lt;li&gt;&lt;a href=|http://childrensbibleonline.com/micah/5.htm| title=|The Children's Bible| target=|_top|&gt;Children's&lt;/a&gt;</v>
      </c>
      <c r="AB898" s="2" t="str">
        <f t="shared" si="3588"/>
        <v>&lt;/li&gt;&lt;li&gt;&lt;a href=|http://tsk.scripturetext.com/micah/5.htm| title=|Treasury of Scripture Knowledge| target=|_top|&gt;TSK&lt;/a&gt;</v>
      </c>
      <c r="AC898" t="str">
        <f>CONCATENATE("&lt;a href=|http://",AC1191,"/micah/5.htm","| ","title=|",AC1190,"| target=|_top|&gt;",AC1192,"&lt;/a&gt;")</f>
        <v>&lt;a href=|http://parallelbible.com/micah/5.htm| title=|Parallel Chapters| target=|_top|&gt;PAR&lt;/a&gt;</v>
      </c>
      <c r="AD898" s="2" t="str">
        <f t="shared" ref="AD898:AK898" si="3590">CONCATENATE("&lt;/li&gt;&lt;li&gt;&lt;a href=|http://",AD1191,"/micah/5.htm","| ","title=|",AD1190,"| target=|_top|&gt;",AD1192,"&lt;/a&gt;")</f>
        <v>&lt;/li&gt;&lt;li&gt;&lt;a href=|http://gsb.biblecommenter.com/micah/5.htm| title=|Geneva Study Bible| target=|_top|&gt;GSB&lt;/a&gt;</v>
      </c>
      <c r="AE898" s="2" t="str">
        <f t="shared" si="3590"/>
        <v>&lt;/li&gt;&lt;li&gt;&lt;a href=|http://jfb.biblecommenter.com/micah/5.htm| title=|Jamieson-Fausset-Brown Bible Commentary| target=|_top|&gt;JFB&lt;/a&gt;</v>
      </c>
      <c r="AF898" s="2" t="str">
        <f t="shared" si="3590"/>
        <v>&lt;/li&gt;&lt;li&gt;&lt;a href=|http://kjt.biblecommenter.com/micah/5.htm| title=|King James Translators' Notes| target=|_top|&gt;KJT&lt;/a&gt;</v>
      </c>
      <c r="AG898" s="2" t="str">
        <f t="shared" si="3590"/>
        <v>&lt;/li&gt;&lt;li&gt;&lt;a href=|http://mhc.biblecommenter.com/micah/5.htm| title=|Matthew Henry's Concise Commentary| target=|_top|&gt;MHC&lt;/a&gt;</v>
      </c>
      <c r="AH898" s="2" t="str">
        <f t="shared" si="3590"/>
        <v>&lt;/li&gt;&lt;li&gt;&lt;a href=|http://sco.biblecommenter.com/micah/5.htm| title=|Scofield Reference Notes| target=|_top|&gt;SCO&lt;/a&gt;</v>
      </c>
      <c r="AI898" s="2" t="str">
        <f t="shared" si="3590"/>
        <v>&lt;/li&gt;&lt;li&gt;&lt;a href=|http://wes.biblecommenter.com/micah/5.htm| title=|Wesley's Notes on the Bible| target=|_top|&gt;WES&lt;/a&gt;</v>
      </c>
      <c r="AJ898" t="str">
        <f t="shared" si="3590"/>
        <v>&lt;/li&gt;&lt;li&gt;&lt;a href=|http://worldebible.com/micah/5.htm| title=|World English Bible| target=|_top|&gt;WEB&lt;/a&gt;</v>
      </c>
      <c r="AK898" t="str">
        <f t="shared" si="3590"/>
        <v>&lt;/li&gt;&lt;li&gt;&lt;a href=|http://yltbible.com/micah/5.htm| title=|Young's Literal Translation| target=|_top|&gt;YLT&lt;/a&gt;</v>
      </c>
      <c r="AL898" t="str">
        <f>CONCATENATE("&lt;a href=|http://",AL1191,"/micah/5.htm","| ","title=|",AL1190,"| target=|_top|&gt;",AL1192,"&lt;/a&gt;")</f>
        <v>&lt;a href=|http://kjv.us/micah/5.htm| title=|American King James Version| target=|_top|&gt;AKJ&lt;/a&gt;</v>
      </c>
      <c r="AM898" t="str">
        <f t="shared" ref="AM898:AN898" si="3591">CONCATENATE("&lt;/li&gt;&lt;li&gt;&lt;a href=|http://",AM1191,"/micah/5.htm","| ","title=|",AM1190,"| target=|_top|&gt;",AM1192,"&lt;/a&gt;")</f>
        <v>&lt;/li&gt;&lt;li&gt;&lt;a href=|http://basicenglishbible.com/micah/5.htm| title=|Bible in Basic English| target=|_top|&gt;BBE&lt;/a&gt;</v>
      </c>
      <c r="AN898" t="str">
        <f t="shared" si="3591"/>
        <v>&lt;/li&gt;&lt;li&gt;&lt;a href=|http://darbybible.com/micah/5.htm| title=|Darby Bible Translation| target=|_top|&gt;DBY&lt;/a&gt;</v>
      </c>
      <c r="AO89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9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9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98" t="str">
        <f>CONCATENATE("&lt;/li&gt;&lt;li&gt;&lt;a href=|http://",AR1191,"/micah/5.htm","| ","title=|",AR1190,"| target=|_top|&gt;",AR1192,"&lt;/a&gt;")</f>
        <v>&lt;/li&gt;&lt;li&gt;&lt;a href=|http://websterbible.com/micah/5.htm| title=|Webster's Bible Translation| target=|_top|&gt;WBS&lt;/a&gt;</v>
      </c>
      <c r="AS89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98" t="str">
        <f>CONCATENATE("&lt;/li&gt;&lt;li&gt;&lt;a href=|http://",AT1191,"/micah/5-1.htm","| ","title=|",AT1190,"| target=|_top|&gt;",AT1192,"&lt;/a&gt;")</f>
        <v>&lt;/li&gt;&lt;li&gt;&lt;a href=|http://biblebrowser.com/micah/5-1.htm| title=|Split View| target=|_top|&gt;Split&lt;/a&gt;</v>
      </c>
      <c r="AU898" s="2" t="s">
        <v>1276</v>
      </c>
      <c r="AV898" t="s">
        <v>64</v>
      </c>
    </row>
    <row r="899" spans="1:48">
      <c r="A899" t="s">
        <v>622</v>
      </c>
      <c r="B899" t="s">
        <v>940</v>
      </c>
      <c r="C899" t="s">
        <v>624</v>
      </c>
      <c r="D899" t="s">
        <v>1268</v>
      </c>
      <c r="E899" t="s">
        <v>1277</v>
      </c>
      <c r="F899" t="s">
        <v>1304</v>
      </c>
      <c r="G899" t="s">
        <v>1266</v>
      </c>
      <c r="H899" t="s">
        <v>1305</v>
      </c>
      <c r="I899" t="s">
        <v>1303</v>
      </c>
      <c r="J899" t="s">
        <v>1267</v>
      </c>
      <c r="K899" t="s">
        <v>1275</v>
      </c>
      <c r="L899" s="2" t="s">
        <v>1274</v>
      </c>
      <c r="M899" t="str">
        <f t="shared" ref="M899:AB899" si="3592">CONCATENATE("&lt;/li&gt;&lt;li&gt;&lt;a href=|http://",M1191,"/micah/6.htm","| ","title=|",M1190,"| target=|_top|&gt;",M1192,"&lt;/a&gt;")</f>
        <v>&lt;/li&gt;&lt;li&gt;&lt;a href=|http://niv.scripturetext.com/micah/6.htm| title=|New International Version| target=|_top|&gt;NIV&lt;/a&gt;</v>
      </c>
      <c r="N899" t="str">
        <f t="shared" si="3592"/>
        <v>&lt;/li&gt;&lt;li&gt;&lt;a href=|http://nlt.scripturetext.com/micah/6.htm| title=|New Living Translation| target=|_top|&gt;NLT&lt;/a&gt;</v>
      </c>
      <c r="O899" t="str">
        <f t="shared" si="3592"/>
        <v>&lt;/li&gt;&lt;li&gt;&lt;a href=|http://nasb.scripturetext.com/micah/6.htm| title=|New American Standard Bible| target=|_top|&gt;NAS&lt;/a&gt;</v>
      </c>
      <c r="P899" t="str">
        <f t="shared" si="3592"/>
        <v>&lt;/li&gt;&lt;li&gt;&lt;a href=|http://gwt.scripturetext.com/micah/6.htm| title=|God's Word Translation| target=|_top|&gt;GWT&lt;/a&gt;</v>
      </c>
      <c r="Q899" t="str">
        <f t="shared" si="3592"/>
        <v>&lt;/li&gt;&lt;li&gt;&lt;a href=|http://kingjbible.com/micah/6.htm| title=|King James Bible| target=|_top|&gt;KJV&lt;/a&gt;</v>
      </c>
      <c r="R899" t="str">
        <f t="shared" si="3592"/>
        <v>&lt;/li&gt;&lt;li&gt;&lt;a href=|http://asvbible.com/micah/6.htm| title=|American Standard Version| target=|_top|&gt;ASV&lt;/a&gt;</v>
      </c>
      <c r="S899" t="str">
        <f t="shared" si="3592"/>
        <v>&lt;/li&gt;&lt;li&gt;&lt;a href=|http://drb.scripturetext.com/micah/6.htm| title=|Douay-Rheims Bible| target=|_top|&gt;DRB&lt;/a&gt;</v>
      </c>
      <c r="T899" t="str">
        <f t="shared" si="3592"/>
        <v>&lt;/li&gt;&lt;li&gt;&lt;a href=|http://erv.scripturetext.com/micah/6.htm| title=|English Revised Version| target=|_top|&gt;ERV&lt;/a&gt;</v>
      </c>
      <c r="V899" t="str">
        <f>CONCATENATE("&lt;/li&gt;&lt;li&gt;&lt;a href=|http://",V1191,"/micah/6.htm","| ","title=|",V1190,"| target=|_top|&gt;",V1192,"&lt;/a&gt;")</f>
        <v>&lt;/li&gt;&lt;li&gt;&lt;a href=|http://study.interlinearbible.org/micah/6.htm| title=|Hebrew Study Bible| target=|_top|&gt;Heb Study&lt;/a&gt;</v>
      </c>
      <c r="W899" t="str">
        <f t="shared" si="3592"/>
        <v>&lt;/li&gt;&lt;li&gt;&lt;a href=|http://apostolic.interlinearbible.org/micah/6.htm| title=|Apostolic Bible Polyglot Interlinear| target=|_top|&gt;Polyglot&lt;/a&gt;</v>
      </c>
      <c r="X899" t="str">
        <f t="shared" si="3592"/>
        <v>&lt;/li&gt;&lt;li&gt;&lt;a href=|http://interlinearbible.org/micah/6.htm| title=|Interlinear Bible| target=|_top|&gt;Interlin&lt;/a&gt;</v>
      </c>
      <c r="Y899" t="str">
        <f t="shared" ref="Y899" si="3593">CONCATENATE("&lt;/li&gt;&lt;li&gt;&lt;a href=|http://",Y1191,"/micah/6.htm","| ","title=|",Y1190,"| target=|_top|&gt;",Y1192,"&lt;/a&gt;")</f>
        <v>&lt;/li&gt;&lt;li&gt;&lt;a href=|http://bibleoutline.org/micah/6.htm| title=|Outline with People and Places List| target=|_top|&gt;Outline&lt;/a&gt;</v>
      </c>
      <c r="Z899" t="str">
        <f t="shared" si="3592"/>
        <v>&lt;/li&gt;&lt;li&gt;&lt;a href=|http://kjvs.scripturetext.com/micah/6.htm| title=|King James Bible with Strong's Numbers| target=|_top|&gt;Strong's&lt;/a&gt;</v>
      </c>
      <c r="AA899" t="str">
        <f t="shared" si="3592"/>
        <v>&lt;/li&gt;&lt;li&gt;&lt;a href=|http://childrensbibleonline.com/micah/6.htm| title=|The Children's Bible| target=|_top|&gt;Children's&lt;/a&gt;</v>
      </c>
      <c r="AB899" s="2" t="str">
        <f t="shared" si="3592"/>
        <v>&lt;/li&gt;&lt;li&gt;&lt;a href=|http://tsk.scripturetext.com/micah/6.htm| title=|Treasury of Scripture Knowledge| target=|_top|&gt;TSK&lt;/a&gt;</v>
      </c>
      <c r="AC899" t="str">
        <f>CONCATENATE("&lt;a href=|http://",AC1191,"/micah/6.htm","| ","title=|",AC1190,"| target=|_top|&gt;",AC1192,"&lt;/a&gt;")</f>
        <v>&lt;a href=|http://parallelbible.com/micah/6.htm| title=|Parallel Chapters| target=|_top|&gt;PAR&lt;/a&gt;</v>
      </c>
      <c r="AD899" s="2" t="str">
        <f t="shared" ref="AD899:AK899" si="3594">CONCATENATE("&lt;/li&gt;&lt;li&gt;&lt;a href=|http://",AD1191,"/micah/6.htm","| ","title=|",AD1190,"| target=|_top|&gt;",AD1192,"&lt;/a&gt;")</f>
        <v>&lt;/li&gt;&lt;li&gt;&lt;a href=|http://gsb.biblecommenter.com/micah/6.htm| title=|Geneva Study Bible| target=|_top|&gt;GSB&lt;/a&gt;</v>
      </c>
      <c r="AE899" s="2" t="str">
        <f t="shared" si="3594"/>
        <v>&lt;/li&gt;&lt;li&gt;&lt;a href=|http://jfb.biblecommenter.com/micah/6.htm| title=|Jamieson-Fausset-Brown Bible Commentary| target=|_top|&gt;JFB&lt;/a&gt;</v>
      </c>
      <c r="AF899" s="2" t="str">
        <f t="shared" si="3594"/>
        <v>&lt;/li&gt;&lt;li&gt;&lt;a href=|http://kjt.biblecommenter.com/micah/6.htm| title=|King James Translators' Notes| target=|_top|&gt;KJT&lt;/a&gt;</v>
      </c>
      <c r="AG899" s="2" t="str">
        <f t="shared" si="3594"/>
        <v>&lt;/li&gt;&lt;li&gt;&lt;a href=|http://mhc.biblecommenter.com/micah/6.htm| title=|Matthew Henry's Concise Commentary| target=|_top|&gt;MHC&lt;/a&gt;</v>
      </c>
      <c r="AH899" s="2" t="str">
        <f t="shared" si="3594"/>
        <v>&lt;/li&gt;&lt;li&gt;&lt;a href=|http://sco.biblecommenter.com/micah/6.htm| title=|Scofield Reference Notes| target=|_top|&gt;SCO&lt;/a&gt;</v>
      </c>
      <c r="AI899" s="2" t="str">
        <f t="shared" si="3594"/>
        <v>&lt;/li&gt;&lt;li&gt;&lt;a href=|http://wes.biblecommenter.com/micah/6.htm| title=|Wesley's Notes on the Bible| target=|_top|&gt;WES&lt;/a&gt;</v>
      </c>
      <c r="AJ899" t="str">
        <f t="shared" si="3594"/>
        <v>&lt;/li&gt;&lt;li&gt;&lt;a href=|http://worldebible.com/micah/6.htm| title=|World English Bible| target=|_top|&gt;WEB&lt;/a&gt;</v>
      </c>
      <c r="AK899" t="str">
        <f t="shared" si="3594"/>
        <v>&lt;/li&gt;&lt;li&gt;&lt;a href=|http://yltbible.com/micah/6.htm| title=|Young's Literal Translation| target=|_top|&gt;YLT&lt;/a&gt;</v>
      </c>
      <c r="AL899" t="str">
        <f>CONCATENATE("&lt;a href=|http://",AL1191,"/micah/6.htm","| ","title=|",AL1190,"| target=|_top|&gt;",AL1192,"&lt;/a&gt;")</f>
        <v>&lt;a href=|http://kjv.us/micah/6.htm| title=|American King James Version| target=|_top|&gt;AKJ&lt;/a&gt;</v>
      </c>
      <c r="AM899" t="str">
        <f t="shared" ref="AM899:AN899" si="3595">CONCATENATE("&lt;/li&gt;&lt;li&gt;&lt;a href=|http://",AM1191,"/micah/6.htm","| ","title=|",AM1190,"| target=|_top|&gt;",AM1192,"&lt;/a&gt;")</f>
        <v>&lt;/li&gt;&lt;li&gt;&lt;a href=|http://basicenglishbible.com/micah/6.htm| title=|Bible in Basic English| target=|_top|&gt;BBE&lt;/a&gt;</v>
      </c>
      <c r="AN899" t="str">
        <f t="shared" si="3595"/>
        <v>&lt;/li&gt;&lt;li&gt;&lt;a href=|http://darbybible.com/micah/6.htm| title=|Darby Bible Translation| target=|_top|&gt;DBY&lt;/a&gt;</v>
      </c>
      <c r="AO89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89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89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899" t="str">
        <f>CONCATENATE("&lt;/li&gt;&lt;li&gt;&lt;a href=|http://",AR1191,"/micah/6.htm","| ","title=|",AR1190,"| target=|_top|&gt;",AR1192,"&lt;/a&gt;")</f>
        <v>&lt;/li&gt;&lt;li&gt;&lt;a href=|http://websterbible.com/micah/6.htm| title=|Webster's Bible Translation| target=|_top|&gt;WBS&lt;/a&gt;</v>
      </c>
      <c r="AS89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899" t="str">
        <f>CONCATENATE("&lt;/li&gt;&lt;li&gt;&lt;a href=|http://",AT1191,"/micah/6-1.htm","| ","title=|",AT1190,"| target=|_top|&gt;",AT1192,"&lt;/a&gt;")</f>
        <v>&lt;/li&gt;&lt;li&gt;&lt;a href=|http://biblebrowser.com/micah/6-1.htm| title=|Split View| target=|_top|&gt;Split&lt;/a&gt;</v>
      </c>
      <c r="AU899" s="2" t="s">
        <v>1276</v>
      </c>
      <c r="AV899" t="s">
        <v>64</v>
      </c>
    </row>
    <row r="900" spans="1:48">
      <c r="A900" t="s">
        <v>622</v>
      </c>
      <c r="B900" t="s">
        <v>941</v>
      </c>
      <c r="C900" t="s">
        <v>624</v>
      </c>
      <c r="D900" t="s">
        <v>1268</v>
      </c>
      <c r="E900" t="s">
        <v>1277</v>
      </c>
      <c r="F900" t="s">
        <v>1304</v>
      </c>
      <c r="G900" t="s">
        <v>1266</v>
      </c>
      <c r="H900" t="s">
        <v>1305</v>
      </c>
      <c r="I900" t="s">
        <v>1303</v>
      </c>
      <c r="J900" t="s">
        <v>1267</v>
      </c>
      <c r="K900" t="s">
        <v>1275</v>
      </c>
      <c r="L900" s="2" t="s">
        <v>1274</v>
      </c>
      <c r="M900" t="str">
        <f t="shared" ref="M900:AB900" si="3596">CONCATENATE("&lt;/li&gt;&lt;li&gt;&lt;a href=|http://",M1191,"/micah/7.htm","| ","title=|",M1190,"| target=|_top|&gt;",M1192,"&lt;/a&gt;")</f>
        <v>&lt;/li&gt;&lt;li&gt;&lt;a href=|http://niv.scripturetext.com/micah/7.htm| title=|New International Version| target=|_top|&gt;NIV&lt;/a&gt;</v>
      </c>
      <c r="N900" t="str">
        <f t="shared" si="3596"/>
        <v>&lt;/li&gt;&lt;li&gt;&lt;a href=|http://nlt.scripturetext.com/micah/7.htm| title=|New Living Translation| target=|_top|&gt;NLT&lt;/a&gt;</v>
      </c>
      <c r="O900" t="str">
        <f t="shared" si="3596"/>
        <v>&lt;/li&gt;&lt;li&gt;&lt;a href=|http://nasb.scripturetext.com/micah/7.htm| title=|New American Standard Bible| target=|_top|&gt;NAS&lt;/a&gt;</v>
      </c>
      <c r="P900" t="str">
        <f t="shared" si="3596"/>
        <v>&lt;/li&gt;&lt;li&gt;&lt;a href=|http://gwt.scripturetext.com/micah/7.htm| title=|God's Word Translation| target=|_top|&gt;GWT&lt;/a&gt;</v>
      </c>
      <c r="Q900" t="str">
        <f t="shared" si="3596"/>
        <v>&lt;/li&gt;&lt;li&gt;&lt;a href=|http://kingjbible.com/micah/7.htm| title=|King James Bible| target=|_top|&gt;KJV&lt;/a&gt;</v>
      </c>
      <c r="R900" t="str">
        <f t="shared" si="3596"/>
        <v>&lt;/li&gt;&lt;li&gt;&lt;a href=|http://asvbible.com/micah/7.htm| title=|American Standard Version| target=|_top|&gt;ASV&lt;/a&gt;</v>
      </c>
      <c r="S900" t="str">
        <f t="shared" si="3596"/>
        <v>&lt;/li&gt;&lt;li&gt;&lt;a href=|http://drb.scripturetext.com/micah/7.htm| title=|Douay-Rheims Bible| target=|_top|&gt;DRB&lt;/a&gt;</v>
      </c>
      <c r="T900" t="str">
        <f t="shared" si="3596"/>
        <v>&lt;/li&gt;&lt;li&gt;&lt;a href=|http://erv.scripturetext.com/micah/7.htm| title=|English Revised Version| target=|_top|&gt;ERV&lt;/a&gt;</v>
      </c>
      <c r="V900" t="str">
        <f>CONCATENATE("&lt;/li&gt;&lt;li&gt;&lt;a href=|http://",V1191,"/micah/7.htm","| ","title=|",V1190,"| target=|_top|&gt;",V1192,"&lt;/a&gt;")</f>
        <v>&lt;/li&gt;&lt;li&gt;&lt;a href=|http://study.interlinearbible.org/micah/7.htm| title=|Hebrew Study Bible| target=|_top|&gt;Heb Study&lt;/a&gt;</v>
      </c>
      <c r="W900" t="str">
        <f t="shared" si="3596"/>
        <v>&lt;/li&gt;&lt;li&gt;&lt;a href=|http://apostolic.interlinearbible.org/micah/7.htm| title=|Apostolic Bible Polyglot Interlinear| target=|_top|&gt;Polyglot&lt;/a&gt;</v>
      </c>
      <c r="X900" t="str">
        <f t="shared" si="3596"/>
        <v>&lt;/li&gt;&lt;li&gt;&lt;a href=|http://interlinearbible.org/micah/7.htm| title=|Interlinear Bible| target=|_top|&gt;Interlin&lt;/a&gt;</v>
      </c>
      <c r="Y900" t="str">
        <f t="shared" ref="Y900" si="3597">CONCATENATE("&lt;/li&gt;&lt;li&gt;&lt;a href=|http://",Y1191,"/micah/7.htm","| ","title=|",Y1190,"| target=|_top|&gt;",Y1192,"&lt;/a&gt;")</f>
        <v>&lt;/li&gt;&lt;li&gt;&lt;a href=|http://bibleoutline.org/micah/7.htm| title=|Outline with People and Places List| target=|_top|&gt;Outline&lt;/a&gt;</v>
      </c>
      <c r="Z900" t="str">
        <f t="shared" si="3596"/>
        <v>&lt;/li&gt;&lt;li&gt;&lt;a href=|http://kjvs.scripturetext.com/micah/7.htm| title=|King James Bible with Strong's Numbers| target=|_top|&gt;Strong's&lt;/a&gt;</v>
      </c>
      <c r="AA900" t="str">
        <f t="shared" si="3596"/>
        <v>&lt;/li&gt;&lt;li&gt;&lt;a href=|http://childrensbibleonline.com/micah/7.htm| title=|The Children's Bible| target=|_top|&gt;Children's&lt;/a&gt;</v>
      </c>
      <c r="AB900" s="2" t="str">
        <f t="shared" si="3596"/>
        <v>&lt;/li&gt;&lt;li&gt;&lt;a href=|http://tsk.scripturetext.com/micah/7.htm| title=|Treasury of Scripture Knowledge| target=|_top|&gt;TSK&lt;/a&gt;</v>
      </c>
      <c r="AC900" t="str">
        <f>CONCATENATE("&lt;a href=|http://",AC1191,"/micah/7.htm","| ","title=|",AC1190,"| target=|_top|&gt;",AC1192,"&lt;/a&gt;")</f>
        <v>&lt;a href=|http://parallelbible.com/micah/7.htm| title=|Parallel Chapters| target=|_top|&gt;PAR&lt;/a&gt;</v>
      </c>
      <c r="AD900" s="2" t="str">
        <f t="shared" ref="AD900:AK900" si="3598">CONCATENATE("&lt;/li&gt;&lt;li&gt;&lt;a href=|http://",AD1191,"/micah/7.htm","| ","title=|",AD1190,"| target=|_top|&gt;",AD1192,"&lt;/a&gt;")</f>
        <v>&lt;/li&gt;&lt;li&gt;&lt;a href=|http://gsb.biblecommenter.com/micah/7.htm| title=|Geneva Study Bible| target=|_top|&gt;GSB&lt;/a&gt;</v>
      </c>
      <c r="AE900" s="2" t="str">
        <f t="shared" si="3598"/>
        <v>&lt;/li&gt;&lt;li&gt;&lt;a href=|http://jfb.biblecommenter.com/micah/7.htm| title=|Jamieson-Fausset-Brown Bible Commentary| target=|_top|&gt;JFB&lt;/a&gt;</v>
      </c>
      <c r="AF900" s="2" t="str">
        <f t="shared" si="3598"/>
        <v>&lt;/li&gt;&lt;li&gt;&lt;a href=|http://kjt.biblecommenter.com/micah/7.htm| title=|King James Translators' Notes| target=|_top|&gt;KJT&lt;/a&gt;</v>
      </c>
      <c r="AG900" s="2" t="str">
        <f t="shared" si="3598"/>
        <v>&lt;/li&gt;&lt;li&gt;&lt;a href=|http://mhc.biblecommenter.com/micah/7.htm| title=|Matthew Henry's Concise Commentary| target=|_top|&gt;MHC&lt;/a&gt;</v>
      </c>
      <c r="AH900" s="2" t="str">
        <f t="shared" si="3598"/>
        <v>&lt;/li&gt;&lt;li&gt;&lt;a href=|http://sco.biblecommenter.com/micah/7.htm| title=|Scofield Reference Notes| target=|_top|&gt;SCO&lt;/a&gt;</v>
      </c>
      <c r="AI900" s="2" t="str">
        <f t="shared" si="3598"/>
        <v>&lt;/li&gt;&lt;li&gt;&lt;a href=|http://wes.biblecommenter.com/micah/7.htm| title=|Wesley's Notes on the Bible| target=|_top|&gt;WES&lt;/a&gt;</v>
      </c>
      <c r="AJ900" t="str">
        <f t="shared" si="3598"/>
        <v>&lt;/li&gt;&lt;li&gt;&lt;a href=|http://worldebible.com/micah/7.htm| title=|World English Bible| target=|_top|&gt;WEB&lt;/a&gt;</v>
      </c>
      <c r="AK900" t="str">
        <f t="shared" si="3598"/>
        <v>&lt;/li&gt;&lt;li&gt;&lt;a href=|http://yltbible.com/micah/7.htm| title=|Young's Literal Translation| target=|_top|&gt;YLT&lt;/a&gt;</v>
      </c>
      <c r="AL900" t="str">
        <f>CONCATENATE("&lt;a href=|http://",AL1191,"/micah/7.htm","| ","title=|",AL1190,"| target=|_top|&gt;",AL1192,"&lt;/a&gt;")</f>
        <v>&lt;a href=|http://kjv.us/micah/7.htm| title=|American King James Version| target=|_top|&gt;AKJ&lt;/a&gt;</v>
      </c>
      <c r="AM900" t="str">
        <f t="shared" ref="AM900:AN900" si="3599">CONCATENATE("&lt;/li&gt;&lt;li&gt;&lt;a href=|http://",AM1191,"/micah/7.htm","| ","title=|",AM1190,"| target=|_top|&gt;",AM1192,"&lt;/a&gt;")</f>
        <v>&lt;/li&gt;&lt;li&gt;&lt;a href=|http://basicenglishbible.com/micah/7.htm| title=|Bible in Basic English| target=|_top|&gt;BBE&lt;/a&gt;</v>
      </c>
      <c r="AN900" t="str">
        <f t="shared" si="3599"/>
        <v>&lt;/li&gt;&lt;li&gt;&lt;a href=|http://darbybible.com/micah/7.htm| title=|Darby Bible Translation| target=|_top|&gt;DBY&lt;/a&gt;</v>
      </c>
      <c r="AO90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0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0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00" t="str">
        <f>CONCATENATE("&lt;/li&gt;&lt;li&gt;&lt;a href=|http://",AR1191,"/micah/7.htm","| ","title=|",AR1190,"| target=|_top|&gt;",AR1192,"&lt;/a&gt;")</f>
        <v>&lt;/li&gt;&lt;li&gt;&lt;a href=|http://websterbible.com/micah/7.htm| title=|Webster's Bible Translation| target=|_top|&gt;WBS&lt;/a&gt;</v>
      </c>
      <c r="AS90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00" t="str">
        <f>CONCATENATE("&lt;/li&gt;&lt;li&gt;&lt;a href=|http://",AT1191,"/micah/7-1.htm","| ","title=|",AT1190,"| target=|_top|&gt;",AT1192,"&lt;/a&gt;")</f>
        <v>&lt;/li&gt;&lt;li&gt;&lt;a href=|http://biblebrowser.com/micah/7-1.htm| title=|Split View| target=|_top|&gt;Split&lt;/a&gt;</v>
      </c>
      <c r="AU900" s="2" t="s">
        <v>1276</v>
      </c>
      <c r="AV900" t="s">
        <v>64</v>
      </c>
    </row>
    <row r="901" spans="1:48">
      <c r="A901" t="s">
        <v>622</v>
      </c>
      <c r="B901" t="s">
        <v>942</v>
      </c>
      <c r="C901" t="s">
        <v>624</v>
      </c>
      <c r="D901" t="s">
        <v>1268</v>
      </c>
      <c r="E901" t="s">
        <v>1277</v>
      </c>
      <c r="F901" t="s">
        <v>1304</v>
      </c>
      <c r="G901" t="s">
        <v>1266</v>
      </c>
      <c r="H901" t="s">
        <v>1305</v>
      </c>
      <c r="I901" t="s">
        <v>1303</v>
      </c>
      <c r="J901" t="s">
        <v>1267</v>
      </c>
      <c r="K901" t="s">
        <v>1275</v>
      </c>
      <c r="L901" s="2" t="s">
        <v>1274</v>
      </c>
      <c r="M901" t="str">
        <f t="shared" ref="M901:AB901" si="3600">CONCATENATE("&lt;/li&gt;&lt;li&gt;&lt;a href=|http://",M1191,"/nahum/1.htm","| ","title=|",M1190,"| target=|_top|&gt;",M1192,"&lt;/a&gt;")</f>
        <v>&lt;/li&gt;&lt;li&gt;&lt;a href=|http://niv.scripturetext.com/nahum/1.htm| title=|New International Version| target=|_top|&gt;NIV&lt;/a&gt;</v>
      </c>
      <c r="N901" t="str">
        <f t="shared" si="3600"/>
        <v>&lt;/li&gt;&lt;li&gt;&lt;a href=|http://nlt.scripturetext.com/nahum/1.htm| title=|New Living Translation| target=|_top|&gt;NLT&lt;/a&gt;</v>
      </c>
      <c r="O901" t="str">
        <f t="shared" si="3600"/>
        <v>&lt;/li&gt;&lt;li&gt;&lt;a href=|http://nasb.scripturetext.com/nahum/1.htm| title=|New American Standard Bible| target=|_top|&gt;NAS&lt;/a&gt;</v>
      </c>
      <c r="P901" t="str">
        <f t="shared" si="3600"/>
        <v>&lt;/li&gt;&lt;li&gt;&lt;a href=|http://gwt.scripturetext.com/nahum/1.htm| title=|God's Word Translation| target=|_top|&gt;GWT&lt;/a&gt;</v>
      </c>
      <c r="Q901" t="str">
        <f t="shared" si="3600"/>
        <v>&lt;/li&gt;&lt;li&gt;&lt;a href=|http://kingjbible.com/nahum/1.htm| title=|King James Bible| target=|_top|&gt;KJV&lt;/a&gt;</v>
      </c>
      <c r="R901" t="str">
        <f t="shared" si="3600"/>
        <v>&lt;/li&gt;&lt;li&gt;&lt;a href=|http://asvbible.com/nahum/1.htm| title=|American Standard Version| target=|_top|&gt;ASV&lt;/a&gt;</v>
      </c>
      <c r="S901" t="str">
        <f t="shared" si="3600"/>
        <v>&lt;/li&gt;&lt;li&gt;&lt;a href=|http://drb.scripturetext.com/nahum/1.htm| title=|Douay-Rheims Bible| target=|_top|&gt;DRB&lt;/a&gt;</v>
      </c>
      <c r="T901" t="str">
        <f t="shared" si="3600"/>
        <v>&lt;/li&gt;&lt;li&gt;&lt;a href=|http://erv.scripturetext.com/nahum/1.htm| title=|English Revised Version| target=|_top|&gt;ERV&lt;/a&gt;</v>
      </c>
      <c r="V901" t="str">
        <f>CONCATENATE("&lt;/li&gt;&lt;li&gt;&lt;a href=|http://",V1191,"/nahum/1.htm","| ","title=|",V1190,"| target=|_top|&gt;",V1192,"&lt;/a&gt;")</f>
        <v>&lt;/li&gt;&lt;li&gt;&lt;a href=|http://study.interlinearbible.org/nahum/1.htm| title=|Hebrew Study Bible| target=|_top|&gt;Heb Study&lt;/a&gt;</v>
      </c>
      <c r="W901" t="str">
        <f t="shared" si="3600"/>
        <v>&lt;/li&gt;&lt;li&gt;&lt;a href=|http://apostolic.interlinearbible.org/nahum/1.htm| title=|Apostolic Bible Polyglot Interlinear| target=|_top|&gt;Polyglot&lt;/a&gt;</v>
      </c>
      <c r="X901" t="str">
        <f t="shared" si="3600"/>
        <v>&lt;/li&gt;&lt;li&gt;&lt;a href=|http://interlinearbible.org/nahum/1.htm| title=|Interlinear Bible| target=|_top|&gt;Interlin&lt;/a&gt;</v>
      </c>
      <c r="Y901" t="str">
        <f t="shared" ref="Y901" si="3601">CONCATENATE("&lt;/li&gt;&lt;li&gt;&lt;a href=|http://",Y1191,"/nahum/1.htm","| ","title=|",Y1190,"| target=|_top|&gt;",Y1192,"&lt;/a&gt;")</f>
        <v>&lt;/li&gt;&lt;li&gt;&lt;a href=|http://bibleoutline.org/nahum/1.htm| title=|Outline with People and Places List| target=|_top|&gt;Outline&lt;/a&gt;</v>
      </c>
      <c r="Z901" t="str">
        <f t="shared" si="3600"/>
        <v>&lt;/li&gt;&lt;li&gt;&lt;a href=|http://kjvs.scripturetext.com/nahum/1.htm| title=|King James Bible with Strong's Numbers| target=|_top|&gt;Strong's&lt;/a&gt;</v>
      </c>
      <c r="AA901" t="str">
        <f t="shared" si="3600"/>
        <v>&lt;/li&gt;&lt;li&gt;&lt;a href=|http://childrensbibleonline.com/nahum/1.htm| title=|The Children's Bible| target=|_top|&gt;Children's&lt;/a&gt;</v>
      </c>
      <c r="AB901" s="2" t="str">
        <f t="shared" si="3600"/>
        <v>&lt;/li&gt;&lt;li&gt;&lt;a href=|http://tsk.scripturetext.com/nahum/1.htm| title=|Treasury of Scripture Knowledge| target=|_top|&gt;TSK&lt;/a&gt;</v>
      </c>
      <c r="AC901" t="str">
        <f>CONCATENATE("&lt;a href=|http://",AC1191,"/nahum/1.htm","| ","title=|",AC1190,"| target=|_top|&gt;",AC1192,"&lt;/a&gt;")</f>
        <v>&lt;a href=|http://parallelbible.com/nahum/1.htm| title=|Parallel Chapters| target=|_top|&gt;PAR&lt;/a&gt;</v>
      </c>
      <c r="AD901" s="2" t="str">
        <f t="shared" ref="AD901:AK901" si="3602">CONCATENATE("&lt;/li&gt;&lt;li&gt;&lt;a href=|http://",AD1191,"/nahum/1.htm","| ","title=|",AD1190,"| target=|_top|&gt;",AD1192,"&lt;/a&gt;")</f>
        <v>&lt;/li&gt;&lt;li&gt;&lt;a href=|http://gsb.biblecommenter.com/nahum/1.htm| title=|Geneva Study Bible| target=|_top|&gt;GSB&lt;/a&gt;</v>
      </c>
      <c r="AE901" s="2" t="str">
        <f t="shared" si="3602"/>
        <v>&lt;/li&gt;&lt;li&gt;&lt;a href=|http://jfb.biblecommenter.com/nahum/1.htm| title=|Jamieson-Fausset-Brown Bible Commentary| target=|_top|&gt;JFB&lt;/a&gt;</v>
      </c>
      <c r="AF901" s="2" t="str">
        <f t="shared" si="3602"/>
        <v>&lt;/li&gt;&lt;li&gt;&lt;a href=|http://kjt.biblecommenter.com/nahum/1.htm| title=|King James Translators' Notes| target=|_top|&gt;KJT&lt;/a&gt;</v>
      </c>
      <c r="AG901" s="2" t="str">
        <f t="shared" si="3602"/>
        <v>&lt;/li&gt;&lt;li&gt;&lt;a href=|http://mhc.biblecommenter.com/nahum/1.htm| title=|Matthew Henry's Concise Commentary| target=|_top|&gt;MHC&lt;/a&gt;</v>
      </c>
      <c r="AH901" s="2" t="str">
        <f t="shared" si="3602"/>
        <v>&lt;/li&gt;&lt;li&gt;&lt;a href=|http://sco.biblecommenter.com/nahum/1.htm| title=|Scofield Reference Notes| target=|_top|&gt;SCO&lt;/a&gt;</v>
      </c>
      <c r="AI901" s="2" t="str">
        <f t="shared" si="3602"/>
        <v>&lt;/li&gt;&lt;li&gt;&lt;a href=|http://wes.biblecommenter.com/nahum/1.htm| title=|Wesley's Notes on the Bible| target=|_top|&gt;WES&lt;/a&gt;</v>
      </c>
      <c r="AJ901" t="str">
        <f t="shared" si="3602"/>
        <v>&lt;/li&gt;&lt;li&gt;&lt;a href=|http://worldebible.com/nahum/1.htm| title=|World English Bible| target=|_top|&gt;WEB&lt;/a&gt;</v>
      </c>
      <c r="AK901" t="str">
        <f t="shared" si="3602"/>
        <v>&lt;/li&gt;&lt;li&gt;&lt;a href=|http://yltbible.com/nahum/1.htm| title=|Young's Literal Translation| target=|_top|&gt;YLT&lt;/a&gt;</v>
      </c>
      <c r="AL901" t="str">
        <f>CONCATENATE("&lt;a href=|http://",AL1191,"/nahum/1.htm","| ","title=|",AL1190,"| target=|_top|&gt;",AL1192,"&lt;/a&gt;")</f>
        <v>&lt;a href=|http://kjv.us/nahum/1.htm| title=|American King James Version| target=|_top|&gt;AKJ&lt;/a&gt;</v>
      </c>
      <c r="AM901" t="str">
        <f t="shared" ref="AM901:AN901" si="3603">CONCATENATE("&lt;/li&gt;&lt;li&gt;&lt;a href=|http://",AM1191,"/nahum/1.htm","| ","title=|",AM1190,"| target=|_top|&gt;",AM1192,"&lt;/a&gt;")</f>
        <v>&lt;/li&gt;&lt;li&gt;&lt;a href=|http://basicenglishbible.com/nahum/1.htm| title=|Bible in Basic English| target=|_top|&gt;BBE&lt;/a&gt;</v>
      </c>
      <c r="AN901" t="str">
        <f t="shared" si="3603"/>
        <v>&lt;/li&gt;&lt;li&gt;&lt;a href=|http://darbybible.com/nahum/1.htm| title=|Darby Bible Translation| target=|_top|&gt;DBY&lt;/a&gt;</v>
      </c>
      <c r="AO90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0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0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01" t="str">
        <f>CONCATENATE("&lt;/li&gt;&lt;li&gt;&lt;a href=|http://",AR1191,"/nahum/1.htm","| ","title=|",AR1190,"| target=|_top|&gt;",AR1192,"&lt;/a&gt;")</f>
        <v>&lt;/li&gt;&lt;li&gt;&lt;a href=|http://websterbible.com/nahum/1.htm| title=|Webster's Bible Translation| target=|_top|&gt;WBS&lt;/a&gt;</v>
      </c>
      <c r="AS90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01" t="str">
        <f>CONCATENATE("&lt;/li&gt;&lt;li&gt;&lt;a href=|http://",AT1191,"/nahum/1-1.htm","| ","title=|",AT1190,"| target=|_top|&gt;",AT1192,"&lt;/a&gt;")</f>
        <v>&lt;/li&gt;&lt;li&gt;&lt;a href=|http://biblebrowser.com/nahum/1-1.htm| title=|Split View| target=|_top|&gt;Split&lt;/a&gt;</v>
      </c>
      <c r="AU901" s="2" t="s">
        <v>1276</v>
      </c>
      <c r="AV901" t="s">
        <v>64</v>
      </c>
    </row>
    <row r="902" spans="1:48">
      <c r="A902" t="s">
        <v>622</v>
      </c>
      <c r="B902" t="s">
        <v>943</v>
      </c>
      <c r="C902" t="s">
        <v>624</v>
      </c>
      <c r="D902" t="s">
        <v>1268</v>
      </c>
      <c r="E902" t="s">
        <v>1277</v>
      </c>
      <c r="F902" t="s">
        <v>1304</v>
      </c>
      <c r="G902" t="s">
        <v>1266</v>
      </c>
      <c r="H902" t="s">
        <v>1305</v>
      </c>
      <c r="I902" t="s">
        <v>1303</v>
      </c>
      <c r="J902" t="s">
        <v>1267</v>
      </c>
      <c r="K902" t="s">
        <v>1275</v>
      </c>
      <c r="L902" s="2" t="s">
        <v>1274</v>
      </c>
      <c r="M902" t="str">
        <f t="shared" ref="M902:AB902" si="3604">CONCATENATE("&lt;/li&gt;&lt;li&gt;&lt;a href=|http://",M1191,"/nahum/2.htm","| ","title=|",M1190,"| target=|_top|&gt;",M1192,"&lt;/a&gt;")</f>
        <v>&lt;/li&gt;&lt;li&gt;&lt;a href=|http://niv.scripturetext.com/nahum/2.htm| title=|New International Version| target=|_top|&gt;NIV&lt;/a&gt;</v>
      </c>
      <c r="N902" t="str">
        <f t="shared" si="3604"/>
        <v>&lt;/li&gt;&lt;li&gt;&lt;a href=|http://nlt.scripturetext.com/nahum/2.htm| title=|New Living Translation| target=|_top|&gt;NLT&lt;/a&gt;</v>
      </c>
      <c r="O902" t="str">
        <f t="shared" si="3604"/>
        <v>&lt;/li&gt;&lt;li&gt;&lt;a href=|http://nasb.scripturetext.com/nahum/2.htm| title=|New American Standard Bible| target=|_top|&gt;NAS&lt;/a&gt;</v>
      </c>
      <c r="P902" t="str">
        <f t="shared" si="3604"/>
        <v>&lt;/li&gt;&lt;li&gt;&lt;a href=|http://gwt.scripturetext.com/nahum/2.htm| title=|God's Word Translation| target=|_top|&gt;GWT&lt;/a&gt;</v>
      </c>
      <c r="Q902" t="str">
        <f t="shared" si="3604"/>
        <v>&lt;/li&gt;&lt;li&gt;&lt;a href=|http://kingjbible.com/nahum/2.htm| title=|King James Bible| target=|_top|&gt;KJV&lt;/a&gt;</v>
      </c>
      <c r="R902" t="str">
        <f t="shared" si="3604"/>
        <v>&lt;/li&gt;&lt;li&gt;&lt;a href=|http://asvbible.com/nahum/2.htm| title=|American Standard Version| target=|_top|&gt;ASV&lt;/a&gt;</v>
      </c>
      <c r="S902" t="str">
        <f t="shared" si="3604"/>
        <v>&lt;/li&gt;&lt;li&gt;&lt;a href=|http://drb.scripturetext.com/nahum/2.htm| title=|Douay-Rheims Bible| target=|_top|&gt;DRB&lt;/a&gt;</v>
      </c>
      <c r="T902" t="str">
        <f t="shared" si="3604"/>
        <v>&lt;/li&gt;&lt;li&gt;&lt;a href=|http://erv.scripturetext.com/nahum/2.htm| title=|English Revised Version| target=|_top|&gt;ERV&lt;/a&gt;</v>
      </c>
      <c r="V902" t="str">
        <f>CONCATENATE("&lt;/li&gt;&lt;li&gt;&lt;a href=|http://",V1191,"/nahum/2.htm","| ","title=|",V1190,"| target=|_top|&gt;",V1192,"&lt;/a&gt;")</f>
        <v>&lt;/li&gt;&lt;li&gt;&lt;a href=|http://study.interlinearbible.org/nahum/2.htm| title=|Hebrew Study Bible| target=|_top|&gt;Heb Study&lt;/a&gt;</v>
      </c>
      <c r="W902" t="str">
        <f t="shared" si="3604"/>
        <v>&lt;/li&gt;&lt;li&gt;&lt;a href=|http://apostolic.interlinearbible.org/nahum/2.htm| title=|Apostolic Bible Polyglot Interlinear| target=|_top|&gt;Polyglot&lt;/a&gt;</v>
      </c>
      <c r="X902" t="str">
        <f t="shared" si="3604"/>
        <v>&lt;/li&gt;&lt;li&gt;&lt;a href=|http://interlinearbible.org/nahum/2.htm| title=|Interlinear Bible| target=|_top|&gt;Interlin&lt;/a&gt;</v>
      </c>
      <c r="Y902" t="str">
        <f t="shared" ref="Y902" si="3605">CONCATENATE("&lt;/li&gt;&lt;li&gt;&lt;a href=|http://",Y1191,"/nahum/2.htm","| ","title=|",Y1190,"| target=|_top|&gt;",Y1192,"&lt;/a&gt;")</f>
        <v>&lt;/li&gt;&lt;li&gt;&lt;a href=|http://bibleoutline.org/nahum/2.htm| title=|Outline with People and Places List| target=|_top|&gt;Outline&lt;/a&gt;</v>
      </c>
      <c r="Z902" t="str">
        <f t="shared" si="3604"/>
        <v>&lt;/li&gt;&lt;li&gt;&lt;a href=|http://kjvs.scripturetext.com/nahum/2.htm| title=|King James Bible with Strong's Numbers| target=|_top|&gt;Strong's&lt;/a&gt;</v>
      </c>
      <c r="AA902" t="str">
        <f t="shared" si="3604"/>
        <v>&lt;/li&gt;&lt;li&gt;&lt;a href=|http://childrensbibleonline.com/nahum/2.htm| title=|The Children's Bible| target=|_top|&gt;Children's&lt;/a&gt;</v>
      </c>
      <c r="AB902" s="2" t="str">
        <f t="shared" si="3604"/>
        <v>&lt;/li&gt;&lt;li&gt;&lt;a href=|http://tsk.scripturetext.com/nahum/2.htm| title=|Treasury of Scripture Knowledge| target=|_top|&gt;TSK&lt;/a&gt;</v>
      </c>
      <c r="AC902" t="str">
        <f>CONCATENATE("&lt;a href=|http://",AC1191,"/nahum/2.htm","| ","title=|",AC1190,"| target=|_top|&gt;",AC1192,"&lt;/a&gt;")</f>
        <v>&lt;a href=|http://parallelbible.com/nahum/2.htm| title=|Parallel Chapters| target=|_top|&gt;PAR&lt;/a&gt;</v>
      </c>
      <c r="AD902" s="2" t="str">
        <f t="shared" ref="AD902:AK902" si="3606">CONCATENATE("&lt;/li&gt;&lt;li&gt;&lt;a href=|http://",AD1191,"/nahum/2.htm","| ","title=|",AD1190,"| target=|_top|&gt;",AD1192,"&lt;/a&gt;")</f>
        <v>&lt;/li&gt;&lt;li&gt;&lt;a href=|http://gsb.biblecommenter.com/nahum/2.htm| title=|Geneva Study Bible| target=|_top|&gt;GSB&lt;/a&gt;</v>
      </c>
      <c r="AE902" s="2" t="str">
        <f t="shared" si="3606"/>
        <v>&lt;/li&gt;&lt;li&gt;&lt;a href=|http://jfb.biblecommenter.com/nahum/2.htm| title=|Jamieson-Fausset-Brown Bible Commentary| target=|_top|&gt;JFB&lt;/a&gt;</v>
      </c>
      <c r="AF902" s="2" t="str">
        <f t="shared" si="3606"/>
        <v>&lt;/li&gt;&lt;li&gt;&lt;a href=|http://kjt.biblecommenter.com/nahum/2.htm| title=|King James Translators' Notes| target=|_top|&gt;KJT&lt;/a&gt;</v>
      </c>
      <c r="AG902" s="2" t="str">
        <f t="shared" si="3606"/>
        <v>&lt;/li&gt;&lt;li&gt;&lt;a href=|http://mhc.biblecommenter.com/nahum/2.htm| title=|Matthew Henry's Concise Commentary| target=|_top|&gt;MHC&lt;/a&gt;</v>
      </c>
      <c r="AH902" s="2" t="str">
        <f t="shared" si="3606"/>
        <v>&lt;/li&gt;&lt;li&gt;&lt;a href=|http://sco.biblecommenter.com/nahum/2.htm| title=|Scofield Reference Notes| target=|_top|&gt;SCO&lt;/a&gt;</v>
      </c>
      <c r="AI902" s="2" t="str">
        <f t="shared" si="3606"/>
        <v>&lt;/li&gt;&lt;li&gt;&lt;a href=|http://wes.biblecommenter.com/nahum/2.htm| title=|Wesley's Notes on the Bible| target=|_top|&gt;WES&lt;/a&gt;</v>
      </c>
      <c r="AJ902" t="str">
        <f t="shared" si="3606"/>
        <v>&lt;/li&gt;&lt;li&gt;&lt;a href=|http://worldebible.com/nahum/2.htm| title=|World English Bible| target=|_top|&gt;WEB&lt;/a&gt;</v>
      </c>
      <c r="AK902" t="str">
        <f t="shared" si="3606"/>
        <v>&lt;/li&gt;&lt;li&gt;&lt;a href=|http://yltbible.com/nahum/2.htm| title=|Young's Literal Translation| target=|_top|&gt;YLT&lt;/a&gt;</v>
      </c>
      <c r="AL902" t="str">
        <f>CONCATENATE("&lt;a href=|http://",AL1191,"/nahum/2.htm","| ","title=|",AL1190,"| target=|_top|&gt;",AL1192,"&lt;/a&gt;")</f>
        <v>&lt;a href=|http://kjv.us/nahum/2.htm| title=|American King James Version| target=|_top|&gt;AKJ&lt;/a&gt;</v>
      </c>
      <c r="AM902" t="str">
        <f t="shared" ref="AM902:AN902" si="3607">CONCATENATE("&lt;/li&gt;&lt;li&gt;&lt;a href=|http://",AM1191,"/nahum/2.htm","| ","title=|",AM1190,"| target=|_top|&gt;",AM1192,"&lt;/a&gt;")</f>
        <v>&lt;/li&gt;&lt;li&gt;&lt;a href=|http://basicenglishbible.com/nahum/2.htm| title=|Bible in Basic English| target=|_top|&gt;BBE&lt;/a&gt;</v>
      </c>
      <c r="AN902" t="str">
        <f t="shared" si="3607"/>
        <v>&lt;/li&gt;&lt;li&gt;&lt;a href=|http://darbybible.com/nahum/2.htm| title=|Darby Bible Translation| target=|_top|&gt;DBY&lt;/a&gt;</v>
      </c>
      <c r="AO90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0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0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02" t="str">
        <f>CONCATENATE("&lt;/li&gt;&lt;li&gt;&lt;a href=|http://",AR1191,"/nahum/2.htm","| ","title=|",AR1190,"| target=|_top|&gt;",AR1192,"&lt;/a&gt;")</f>
        <v>&lt;/li&gt;&lt;li&gt;&lt;a href=|http://websterbible.com/nahum/2.htm| title=|Webster's Bible Translation| target=|_top|&gt;WBS&lt;/a&gt;</v>
      </c>
      <c r="AS90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02" t="str">
        <f>CONCATENATE("&lt;/li&gt;&lt;li&gt;&lt;a href=|http://",AT1191,"/nahum/2-1.htm","| ","title=|",AT1190,"| target=|_top|&gt;",AT1192,"&lt;/a&gt;")</f>
        <v>&lt;/li&gt;&lt;li&gt;&lt;a href=|http://biblebrowser.com/nahum/2-1.htm| title=|Split View| target=|_top|&gt;Split&lt;/a&gt;</v>
      </c>
      <c r="AU902" s="2" t="s">
        <v>1276</v>
      </c>
      <c r="AV902" t="s">
        <v>64</v>
      </c>
    </row>
    <row r="903" spans="1:48">
      <c r="A903" t="s">
        <v>622</v>
      </c>
      <c r="B903" t="s">
        <v>944</v>
      </c>
      <c r="C903" t="s">
        <v>624</v>
      </c>
      <c r="D903" t="s">
        <v>1268</v>
      </c>
      <c r="E903" t="s">
        <v>1277</v>
      </c>
      <c r="F903" t="s">
        <v>1304</v>
      </c>
      <c r="G903" t="s">
        <v>1266</v>
      </c>
      <c r="H903" t="s">
        <v>1305</v>
      </c>
      <c r="I903" t="s">
        <v>1303</v>
      </c>
      <c r="J903" t="s">
        <v>1267</v>
      </c>
      <c r="K903" t="s">
        <v>1275</v>
      </c>
      <c r="L903" s="2" t="s">
        <v>1274</v>
      </c>
      <c r="M903" t="str">
        <f t="shared" ref="M903:AB903" si="3608">CONCATENATE("&lt;/li&gt;&lt;li&gt;&lt;a href=|http://",M1191,"/nahum/3.htm","| ","title=|",M1190,"| target=|_top|&gt;",M1192,"&lt;/a&gt;")</f>
        <v>&lt;/li&gt;&lt;li&gt;&lt;a href=|http://niv.scripturetext.com/nahum/3.htm| title=|New International Version| target=|_top|&gt;NIV&lt;/a&gt;</v>
      </c>
      <c r="N903" t="str">
        <f t="shared" si="3608"/>
        <v>&lt;/li&gt;&lt;li&gt;&lt;a href=|http://nlt.scripturetext.com/nahum/3.htm| title=|New Living Translation| target=|_top|&gt;NLT&lt;/a&gt;</v>
      </c>
      <c r="O903" t="str">
        <f t="shared" si="3608"/>
        <v>&lt;/li&gt;&lt;li&gt;&lt;a href=|http://nasb.scripturetext.com/nahum/3.htm| title=|New American Standard Bible| target=|_top|&gt;NAS&lt;/a&gt;</v>
      </c>
      <c r="P903" t="str">
        <f t="shared" si="3608"/>
        <v>&lt;/li&gt;&lt;li&gt;&lt;a href=|http://gwt.scripturetext.com/nahum/3.htm| title=|God's Word Translation| target=|_top|&gt;GWT&lt;/a&gt;</v>
      </c>
      <c r="Q903" t="str">
        <f t="shared" si="3608"/>
        <v>&lt;/li&gt;&lt;li&gt;&lt;a href=|http://kingjbible.com/nahum/3.htm| title=|King James Bible| target=|_top|&gt;KJV&lt;/a&gt;</v>
      </c>
      <c r="R903" t="str">
        <f t="shared" si="3608"/>
        <v>&lt;/li&gt;&lt;li&gt;&lt;a href=|http://asvbible.com/nahum/3.htm| title=|American Standard Version| target=|_top|&gt;ASV&lt;/a&gt;</v>
      </c>
      <c r="S903" t="str">
        <f t="shared" si="3608"/>
        <v>&lt;/li&gt;&lt;li&gt;&lt;a href=|http://drb.scripturetext.com/nahum/3.htm| title=|Douay-Rheims Bible| target=|_top|&gt;DRB&lt;/a&gt;</v>
      </c>
      <c r="T903" t="str">
        <f t="shared" si="3608"/>
        <v>&lt;/li&gt;&lt;li&gt;&lt;a href=|http://erv.scripturetext.com/nahum/3.htm| title=|English Revised Version| target=|_top|&gt;ERV&lt;/a&gt;</v>
      </c>
      <c r="V903" t="str">
        <f>CONCATENATE("&lt;/li&gt;&lt;li&gt;&lt;a href=|http://",V1191,"/nahum/3.htm","| ","title=|",V1190,"| target=|_top|&gt;",V1192,"&lt;/a&gt;")</f>
        <v>&lt;/li&gt;&lt;li&gt;&lt;a href=|http://study.interlinearbible.org/nahum/3.htm| title=|Hebrew Study Bible| target=|_top|&gt;Heb Study&lt;/a&gt;</v>
      </c>
      <c r="W903" t="str">
        <f t="shared" si="3608"/>
        <v>&lt;/li&gt;&lt;li&gt;&lt;a href=|http://apostolic.interlinearbible.org/nahum/3.htm| title=|Apostolic Bible Polyglot Interlinear| target=|_top|&gt;Polyglot&lt;/a&gt;</v>
      </c>
      <c r="X903" t="str">
        <f t="shared" si="3608"/>
        <v>&lt;/li&gt;&lt;li&gt;&lt;a href=|http://interlinearbible.org/nahum/3.htm| title=|Interlinear Bible| target=|_top|&gt;Interlin&lt;/a&gt;</v>
      </c>
      <c r="Y903" t="str">
        <f t="shared" ref="Y903" si="3609">CONCATENATE("&lt;/li&gt;&lt;li&gt;&lt;a href=|http://",Y1191,"/nahum/3.htm","| ","title=|",Y1190,"| target=|_top|&gt;",Y1192,"&lt;/a&gt;")</f>
        <v>&lt;/li&gt;&lt;li&gt;&lt;a href=|http://bibleoutline.org/nahum/3.htm| title=|Outline with People and Places List| target=|_top|&gt;Outline&lt;/a&gt;</v>
      </c>
      <c r="Z903" t="str">
        <f t="shared" si="3608"/>
        <v>&lt;/li&gt;&lt;li&gt;&lt;a href=|http://kjvs.scripturetext.com/nahum/3.htm| title=|King James Bible with Strong's Numbers| target=|_top|&gt;Strong's&lt;/a&gt;</v>
      </c>
      <c r="AA903" t="str">
        <f t="shared" si="3608"/>
        <v>&lt;/li&gt;&lt;li&gt;&lt;a href=|http://childrensbibleonline.com/nahum/3.htm| title=|The Children's Bible| target=|_top|&gt;Children's&lt;/a&gt;</v>
      </c>
      <c r="AB903" s="2" t="str">
        <f t="shared" si="3608"/>
        <v>&lt;/li&gt;&lt;li&gt;&lt;a href=|http://tsk.scripturetext.com/nahum/3.htm| title=|Treasury of Scripture Knowledge| target=|_top|&gt;TSK&lt;/a&gt;</v>
      </c>
      <c r="AC903" t="str">
        <f>CONCATENATE("&lt;a href=|http://",AC1191,"/nahum/3.htm","| ","title=|",AC1190,"| target=|_top|&gt;",AC1192,"&lt;/a&gt;")</f>
        <v>&lt;a href=|http://parallelbible.com/nahum/3.htm| title=|Parallel Chapters| target=|_top|&gt;PAR&lt;/a&gt;</v>
      </c>
      <c r="AD903" s="2" t="str">
        <f t="shared" ref="AD903:AK903" si="3610">CONCATENATE("&lt;/li&gt;&lt;li&gt;&lt;a href=|http://",AD1191,"/nahum/3.htm","| ","title=|",AD1190,"| target=|_top|&gt;",AD1192,"&lt;/a&gt;")</f>
        <v>&lt;/li&gt;&lt;li&gt;&lt;a href=|http://gsb.biblecommenter.com/nahum/3.htm| title=|Geneva Study Bible| target=|_top|&gt;GSB&lt;/a&gt;</v>
      </c>
      <c r="AE903" s="2" t="str">
        <f t="shared" si="3610"/>
        <v>&lt;/li&gt;&lt;li&gt;&lt;a href=|http://jfb.biblecommenter.com/nahum/3.htm| title=|Jamieson-Fausset-Brown Bible Commentary| target=|_top|&gt;JFB&lt;/a&gt;</v>
      </c>
      <c r="AF903" s="2" t="str">
        <f t="shared" si="3610"/>
        <v>&lt;/li&gt;&lt;li&gt;&lt;a href=|http://kjt.biblecommenter.com/nahum/3.htm| title=|King James Translators' Notes| target=|_top|&gt;KJT&lt;/a&gt;</v>
      </c>
      <c r="AG903" s="2" t="str">
        <f t="shared" si="3610"/>
        <v>&lt;/li&gt;&lt;li&gt;&lt;a href=|http://mhc.biblecommenter.com/nahum/3.htm| title=|Matthew Henry's Concise Commentary| target=|_top|&gt;MHC&lt;/a&gt;</v>
      </c>
      <c r="AH903" s="2" t="str">
        <f t="shared" si="3610"/>
        <v>&lt;/li&gt;&lt;li&gt;&lt;a href=|http://sco.biblecommenter.com/nahum/3.htm| title=|Scofield Reference Notes| target=|_top|&gt;SCO&lt;/a&gt;</v>
      </c>
      <c r="AI903" s="2" t="str">
        <f t="shared" si="3610"/>
        <v>&lt;/li&gt;&lt;li&gt;&lt;a href=|http://wes.biblecommenter.com/nahum/3.htm| title=|Wesley's Notes on the Bible| target=|_top|&gt;WES&lt;/a&gt;</v>
      </c>
      <c r="AJ903" t="str">
        <f t="shared" si="3610"/>
        <v>&lt;/li&gt;&lt;li&gt;&lt;a href=|http://worldebible.com/nahum/3.htm| title=|World English Bible| target=|_top|&gt;WEB&lt;/a&gt;</v>
      </c>
      <c r="AK903" t="str">
        <f t="shared" si="3610"/>
        <v>&lt;/li&gt;&lt;li&gt;&lt;a href=|http://yltbible.com/nahum/3.htm| title=|Young's Literal Translation| target=|_top|&gt;YLT&lt;/a&gt;</v>
      </c>
      <c r="AL903" t="str">
        <f>CONCATENATE("&lt;a href=|http://",AL1191,"/nahum/3.htm","| ","title=|",AL1190,"| target=|_top|&gt;",AL1192,"&lt;/a&gt;")</f>
        <v>&lt;a href=|http://kjv.us/nahum/3.htm| title=|American King James Version| target=|_top|&gt;AKJ&lt;/a&gt;</v>
      </c>
      <c r="AM903" t="str">
        <f t="shared" ref="AM903:AN903" si="3611">CONCATENATE("&lt;/li&gt;&lt;li&gt;&lt;a href=|http://",AM1191,"/nahum/3.htm","| ","title=|",AM1190,"| target=|_top|&gt;",AM1192,"&lt;/a&gt;")</f>
        <v>&lt;/li&gt;&lt;li&gt;&lt;a href=|http://basicenglishbible.com/nahum/3.htm| title=|Bible in Basic English| target=|_top|&gt;BBE&lt;/a&gt;</v>
      </c>
      <c r="AN903" t="str">
        <f t="shared" si="3611"/>
        <v>&lt;/li&gt;&lt;li&gt;&lt;a href=|http://darbybible.com/nahum/3.htm| title=|Darby Bible Translation| target=|_top|&gt;DBY&lt;/a&gt;</v>
      </c>
      <c r="AO90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0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0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03" t="str">
        <f>CONCATENATE("&lt;/li&gt;&lt;li&gt;&lt;a href=|http://",AR1191,"/nahum/3.htm","| ","title=|",AR1190,"| target=|_top|&gt;",AR1192,"&lt;/a&gt;")</f>
        <v>&lt;/li&gt;&lt;li&gt;&lt;a href=|http://websterbible.com/nahum/3.htm| title=|Webster's Bible Translation| target=|_top|&gt;WBS&lt;/a&gt;</v>
      </c>
      <c r="AS90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03" t="str">
        <f>CONCATENATE("&lt;/li&gt;&lt;li&gt;&lt;a href=|http://",AT1191,"/nahum/3-1.htm","| ","title=|",AT1190,"| target=|_top|&gt;",AT1192,"&lt;/a&gt;")</f>
        <v>&lt;/li&gt;&lt;li&gt;&lt;a href=|http://biblebrowser.com/nahum/3-1.htm| title=|Split View| target=|_top|&gt;Split&lt;/a&gt;</v>
      </c>
      <c r="AU903" s="2" t="s">
        <v>1276</v>
      </c>
      <c r="AV903" t="s">
        <v>64</v>
      </c>
    </row>
    <row r="904" spans="1:48">
      <c r="A904" t="s">
        <v>622</v>
      </c>
      <c r="B904" t="s">
        <v>945</v>
      </c>
      <c r="C904" t="s">
        <v>624</v>
      </c>
      <c r="D904" t="s">
        <v>1268</v>
      </c>
      <c r="E904" t="s">
        <v>1277</v>
      </c>
      <c r="F904" t="s">
        <v>1304</v>
      </c>
      <c r="G904" t="s">
        <v>1266</v>
      </c>
      <c r="H904" t="s">
        <v>1305</v>
      </c>
      <c r="I904" t="s">
        <v>1303</v>
      </c>
      <c r="J904" t="s">
        <v>1267</v>
      </c>
      <c r="K904" t="s">
        <v>1275</v>
      </c>
      <c r="L904" s="2" t="s">
        <v>1274</v>
      </c>
      <c r="M904" t="str">
        <f t="shared" ref="M904:AB904" si="3612">CONCATENATE("&lt;/li&gt;&lt;li&gt;&lt;a href=|http://",M1191,"/habakkuk/1.htm","| ","title=|",M1190,"| target=|_top|&gt;",M1192,"&lt;/a&gt;")</f>
        <v>&lt;/li&gt;&lt;li&gt;&lt;a href=|http://niv.scripturetext.com/habakkuk/1.htm| title=|New International Version| target=|_top|&gt;NIV&lt;/a&gt;</v>
      </c>
      <c r="N904" t="str">
        <f t="shared" si="3612"/>
        <v>&lt;/li&gt;&lt;li&gt;&lt;a href=|http://nlt.scripturetext.com/habakkuk/1.htm| title=|New Living Translation| target=|_top|&gt;NLT&lt;/a&gt;</v>
      </c>
      <c r="O904" t="str">
        <f t="shared" si="3612"/>
        <v>&lt;/li&gt;&lt;li&gt;&lt;a href=|http://nasb.scripturetext.com/habakkuk/1.htm| title=|New American Standard Bible| target=|_top|&gt;NAS&lt;/a&gt;</v>
      </c>
      <c r="P904" t="str">
        <f t="shared" si="3612"/>
        <v>&lt;/li&gt;&lt;li&gt;&lt;a href=|http://gwt.scripturetext.com/habakkuk/1.htm| title=|God's Word Translation| target=|_top|&gt;GWT&lt;/a&gt;</v>
      </c>
      <c r="Q904" t="str">
        <f t="shared" si="3612"/>
        <v>&lt;/li&gt;&lt;li&gt;&lt;a href=|http://kingjbible.com/habakkuk/1.htm| title=|King James Bible| target=|_top|&gt;KJV&lt;/a&gt;</v>
      </c>
      <c r="R904" t="str">
        <f t="shared" si="3612"/>
        <v>&lt;/li&gt;&lt;li&gt;&lt;a href=|http://asvbible.com/habakkuk/1.htm| title=|American Standard Version| target=|_top|&gt;ASV&lt;/a&gt;</v>
      </c>
      <c r="S904" t="str">
        <f t="shared" si="3612"/>
        <v>&lt;/li&gt;&lt;li&gt;&lt;a href=|http://drb.scripturetext.com/habakkuk/1.htm| title=|Douay-Rheims Bible| target=|_top|&gt;DRB&lt;/a&gt;</v>
      </c>
      <c r="T904" t="str">
        <f t="shared" si="3612"/>
        <v>&lt;/li&gt;&lt;li&gt;&lt;a href=|http://erv.scripturetext.com/habakkuk/1.htm| title=|English Revised Version| target=|_top|&gt;ERV&lt;/a&gt;</v>
      </c>
      <c r="V904" t="str">
        <f>CONCATENATE("&lt;/li&gt;&lt;li&gt;&lt;a href=|http://",V1191,"/habakkuk/1.htm","| ","title=|",V1190,"| target=|_top|&gt;",V1192,"&lt;/a&gt;")</f>
        <v>&lt;/li&gt;&lt;li&gt;&lt;a href=|http://study.interlinearbible.org/habakkuk/1.htm| title=|Hebrew Study Bible| target=|_top|&gt;Heb Study&lt;/a&gt;</v>
      </c>
      <c r="W904" t="str">
        <f t="shared" si="3612"/>
        <v>&lt;/li&gt;&lt;li&gt;&lt;a href=|http://apostolic.interlinearbible.org/habakkuk/1.htm| title=|Apostolic Bible Polyglot Interlinear| target=|_top|&gt;Polyglot&lt;/a&gt;</v>
      </c>
      <c r="X904" t="str">
        <f t="shared" si="3612"/>
        <v>&lt;/li&gt;&lt;li&gt;&lt;a href=|http://interlinearbible.org/habakkuk/1.htm| title=|Interlinear Bible| target=|_top|&gt;Interlin&lt;/a&gt;</v>
      </c>
      <c r="Y904" t="str">
        <f t="shared" ref="Y904" si="3613">CONCATENATE("&lt;/li&gt;&lt;li&gt;&lt;a href=|http://",Y1191,"/habakkuk/1.htm","| ","title=|",Y1190,"| target=|_top|&gt;",Y1192,"&lt;/a&gt;")</f>
        <v>&lt;/li&gt;&lt;li&gt;&lt;a href=|http://bibleoutline.org/habakkuk/1.htm| title=|Outline with People and Places List| target=|_top|&gt;Outline&lt;/a&gt;</v>
      </c>
      <c r="Z904" t="str">
        <f t="shared" si="3612"/>
        <v>&lt;/li&gt;&lt;li&gt;&lt;a href=|http://kjvs.scripturetext.com/habakkuk/1.htm| title=|King James Bible with Strong's Numbers| target=|_top|&gt;Strong's&lt;/a&gt;</v>
      </c>
      <c r="AA904" t="str">
        <f t="shared" si="3612"/>
        <v>&lt;/li&gt;&lt;li&gt;&lt;a href=|http://childrensbibleonline.com/habakkuk/1.htm| title=|The Children's Bible| target=|_top|&gt;Children's&lt;/a&gt;</v>
      </c>
      <c r="AB904" s="2" t="str">
        <f t="shared" si="3612"/>
        <v>&lt;/li&gt;&lt;li&gt;&lt;a href=|http://tsk.scripturetext.com/habakkuk/1.htm| title=|Treasury of Scripture Knowledge| target=|_top|&gt;TSK&lt;/a&gt;</v>
      </c>
      <c r="AC904" t="str">
        <f>CONCATENATE("&lt;a href=|http://",AC1191,"/habakkuk/1.htm","| ","title=|",AC1190,"| target=|_top|&gt;",AC1192,"&lt;/a&gt;")</f>
        <v>&lt;a href=|http://parallelbible.com/habakkuk/1.htm| title=|Parallel Chapters| target=|_top|&gt;PAR&lt;/a&gt;</v>
      </c>
      <c r="AD904" s="2" t="str">
        <f t="shared" ref="AD904:AK904" si="3614">CONCATENATE("&lt;/li&gt;&lt;li&gt;&lt;a href=|http://",AD1191,"/habakkuk/1.htm","| ","title=|",AD1190,"| target=|_top|&gt;",AD1192,"&lt;/a&gt;")</f>
        <v>&lt;/li&gt;&lt;li&gt;&lt;a href=|http://gsb.biblecommenter.com/habakkuk/1.htm| title=|Geneva Study Bible| target=|_top|&gt;GSB&lt;/a&gt;</v>
      </c>
      <c r="AE904" s="2" t="str">
        <f t="shared" si="3614"/>
        <v>&lt;/li&gt;&lt;li&gt;&lt;a href=|http://jfb.biblecommenter.com/habakkuk/1.htm| title=|Jamieson-Fausset-Brown Bible Commentary| target=|_top|&gt;JFB&lt;/a&gt;</v>
      </c>
      <c r="AF904" s="2" t="str">
        <f t="shared" si="3614"/>
        <v>&lt;/li&gt;&lt;li&gt;&lt;a href=|http://kjt.biblecommenter.com/habakkuk/1.htm| title=|King James Translators' Notes| target=|_top|&gt;KJT&lt;/a&gt;</v>
      </c>
      <c r="AG904" s="2" t="str">
        <f t="shared" si="3614"/>
        <v>&lt;/li&gt;&lt;li&gt;&lt;a href=|http://mhc.biblecommenter.com/habakkuk/1.htm| title=|Matthew Henry's Concise Commentary| target=|_top|&gt;MHC&lt;/a&gt;</v>
      </c>
      <c r="AH904" s="2" t="str">
        <f t="shared" si="3614"/>
        <v>&lt;/li&gt;&lt;li&gt;&lt;a href=|http://sco.biblecommenter.com/habakkuk/1.htm| title=|Scofield Reference Notes| target=|_top|&gt;SCO&lt;/a&gt;</v>
      </c>
      <c r="AI904" s="2" t="str">
        <f t="shared" si="3614"/>
        <v>&lt;/li&gt;&lt;li&gt;&lt;a href=|http://wes.biblecommenter.com/habakkuk/1.htm| title=|Wesley's Notes on the Bible| target=|_top|&gt;WES&lt;/a&gt;</v>
      </c>
      <c r="AJ904" t="str">
        <f t="shared" si="3614"/>
        <v>&lt;/li&gt;&lt;li&gt;&lt;a href=|http://worldebible.com/habakkuk/1.htm| title=|World English Bible| target=|_top|&gt;WEB&lt;/a&gt;</v>
      </c>
      <c r="AK904" t="str">
        <f t="shared" si="3614"/>
        <v>&lt;/li&gt;&lt;li&gt;&lt;a href=|http://yltbible.com/habakkuk/1.htm| title=|Young's Literal Translation| target=|_top|&gt;YLT&lt;/a&gt;</v>
      </c>
      <c r="AL904" t="str">
        <f>CONCATENATE("&lt;a href=|http://",AL1191,"/habakkuk/1.htm","| ","title=|",AL1190,"| target=|_top|&gt;",AL1192,"&lt;/a&gt;")</f>
        <v>&lt;a href=|http://kjv.us/habakkuk/1.htm| title=|American King James Version| target=|_top|&gt;AKJ&lt;/a&gt;</v>
      </c>
      <c r="AM904" t="str">
        <f t="shared" ref="AM904:AN904" si="3615">CONCATENATE("&lt;/li&gt;&lt;li&gt;&lt;a href=|http://",AM1191,"/habakkuk/1.htm","| ","title=|",AM1190,"| target=|_top|&gt;",AM1192,"&lt;/a&gt;")</f>
        <v>&lt;/li&gt;&lt;li&gt;&lt;a href=|http://basicenglishbible.com/habakkuk/1.htm| title=|Bible in Basic English| target=|_top|&gt;BBE&lt;/a&gt;</v>
      </c>
      <c r="AN904" t="str">
        <f t="shared" si="3615"/>
        <v>&lt;/li&gt;&lt;li&gt;&lt;a href=|http://darbybible.com/habakkuk/1.htm| title=|Darby Bible Translation| target=|_top|&gt;DBY&lt;/a&gt;</v>
      </c>
      <c r="AO90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0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0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04" t="str">
        <f>CONCATENATE("&lt;/li&gt;&lt;li&gt;&lt;a href=|http://",AR1191,"/habakkuk/1.htm","| ","title=|",AR1190,"| target=|_top|&gt;",AR1192,"&lt;/a&gt;")</f>
        <v>&lt;/li&gt;&lt;li&gt;&lt;a href=|http://websterbible.com/habakkuk/1.htm| title=|Webster's Bible Translation| target=|_top|&gt;WBS&lt;/a&gt;</v>
      </c>
      <c r="AS90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04" t="str">
        <f>CONCATENATE("&lt;/li&gt;&lt;li&gt;&lt;a href=|http://",AT1191,"/habakkuk/1-1.htm","| ","title=|",AT1190,"| target=|_top|&gt;",AT1192,"&lt;/a&gt;")</f>
        <v>&lt;/li&gt;&lt;li&gt;&lt;a href=|http://biblebrowser.com/habakkuk/1-1.htm| title=|Split View| target=|_top|&gt;Split&lt;/a&gt;</v>
      </c>
      <c r="AU904" s="2" t="s">
        <v>1276</v>
      </c>
      <c r="AV904" t="s">
        <v>64</v>
      </c>
    </row>
    <row r="905" spans="1:48">
      <c r="A905" t="s">
        <v>622</v>
      </c>
      <c r="B905" t="s">
        <v>946</v>
      </c>
      <c r="C905" t="s">
        <v>624</v>
      </c>
      <c r="D905" t="s">
        <v>1268</v>
      </c>
      <c r="E905" t="s">
        <v>1277</v>
      </c>
      <c r="F905" t="s">
        <v>1304</v>
      </c>
      <c r="G905" t="s">
        <v>1266</v>
      </c>
      <c r="H905" t="s">
        <v>1305</v>
      </c>
      <c r="I905" t="s">
        <v>1303</v>
      </c>
      <c r="J905" t="s">
        <v>1267</v>
      </c>
      <c r="K905" t="s">
        <v>1275</v>
      </c>
      <c r="L905" s="2" t="s">
        <v>1274</v>
      </c>
      <c r="M905" t="str">
        <f t="shared" ref="M905:AB905" si="3616">CONCATENATE("&lt;/li&gt;&lt;li&gt;&lt;a href=|http://",M1191,"/habakkuk/2.htm","| ","title=|",M1190,"| target=|_top|&gt;",M1192,"&lt;/a&gt;")</f>
        <v>&lt;/li&gt;&lt;li&gt;&lt;a href=|http://niv.scripturetext.com/habakkuk/2.htm| title=|New International Version| target=|_top|&gt;NIV&lt;/a&gt;</v>
      </c>
      <c r="N905" t="str">
        <f t="shared" si="3616"/>
        <v>&lt;/li&gt;&lt;li&gt;&lt;a href=|http://nlt.scripturetext.com/habakkuk/2.htm| title=|New Living Translation| target=|_top|&gt;NLT&lt;/a&gt;</v>
      </c>
      <c r="O905" t="str">
        <f t="shared" si="3616"/>
        <v>&lt;/li&gt;&lt;li&gt;&lt;a href=|http://nasb.scripturetext.com/habakkuk/2.htm| title=|New American Standard Bible| target=|_top|&gt;NAS&lt;/a&gt;</v>
      </c>
      <c r="P905" t="str">
        <f t="shared" si="3616"/>
        <v>&lt;/li&gt;&lt;li&gt;&lt;a href=|http://gwt.scripturetext.com/habakkuk/2.htm| title=|God's Word Translation| target=|_top|&gt;GWT&lt;/a&gt;</v>
      </c>
      <c r="Q905" t="str">
        <f t="shared" si="3616"/>
        <v>&lt;/li&gt;&lt;li&gt;&lt;a href=|http://kingjbible.com/habakkuk/2.htm| title=|King James Bible| target=|_top|&gt;KJV&lt;/a&gt;</v>
      </c>
      <c r="R905" t="str">
        <f t="shared" si="3616"/>
        <v>&lt;/li&gt;&lt;li&gt;&lt;a href=|http://asvbible.com/habakkuk/2.htm| title=|American Standard Version| target=|_top|&gt;ASV&lt;/a&gt;</v>
      </c>
      <c r="S905" t="str">
        <f t="shared" si="3616"/>
        <v>&lt;/li&gt;&lt;li&gt;&lt;a href=|http://drb.scripturetext.com/habakkuk/2.htm| title=|Douay-Rheims Bible| target=|_top|&gt;DRB&lt;/a&gt;</v>
      </c>
      <c r="T905" t="str">
        <f t="shared" si="3616"/>
        <v>&lt;/li&gt;&lt;li&gt;&lt;a href=|http://erv.scripturetext.com/habakkuk/2.htm| title=|English Revised Version| target=|_top|&gt;ERV&lt;/a&gt;</v>
      </c>
      <c r="V905" t="str">
        <f>CONCATENATE("&lt;/li&gt;&lt;li&gt;&lt;a href=|http://",V1191,"/habakkuk/2.htm","| ","title=|",V1190,"| target=|_top|&gt;",V1192,"&lt;/a&gt;")</f>
        <v>&lt;/li&gt;&lt;li&gt;&lt;a href=|http://study.interlinearbible.org/habakkuk/2.htm| title=|Hebrew Study Bible| target=|_top|&gt;Heb Study&lt;/a&gt;</v>
      </c>
      <c r="W905" t="str">
        <f t="shared" si="3616"/>
        <v>&lt;/li&gt;&lt;li&gt;&lt;a href=|http://apostolic.interlinearbible.org/habakkuk/2.htm| title=|Apostolic Bible Polyglot Interlinear| target=|_top|&gt;Polyglot&lt;/a&gt;</v>
      </c>
      <c r="X905" t="str">
        <f t="shared" si="3616"/>
        <v>&lt;/li&gt;&lt;li&gt;&lt;a href=|http://interlinearbible.org/habakkuk/2.htm| title=|Interlinear Bible| target=|_top|&gt;Interlin&lt;/a&gt;</v>
      </c>
      <c r="Y905" t="str">
        <f t="shared" ref="Y905" si="3617">CONCATENATE("&lt;/li&gt;&lt;li&gt;&lt;a href=|http://",Y1191,"/habakkuk/2.htm","| ","title=|",Y1190,"| target=|_top|&gt;",Y1192,"&lt;/a&gt;")</f>
        <v>&lt;/li&gt;&lt;li&gt;&lt;a href=|http://bibleoutline.org/habakkuk/2.htm| title=|Outline with People and Places List| target=|_top|&gt;Outline&lt;/a&gt;</v>
      </c>
      <c r="Z905" t="str">
        <f t="shared" si="3616"/>
        <v>&lt;/li&gt;&lt;li&gt;&lt;a href=|http://kjvs.scripturetext.com/habakkuk/2.htm| title=|King James Bible with Strong's Numbers| target=|_top|&gt;Strong's&lt;/a&gt;</v>
      </c>
      <c r="AA905" t="str">
        <f t="shared" si="3616"/>
        <v>&lt;/li&gt;&lt;li&gt;&lt;a href=|http://childrensbibleonline.com/habakkuk/2.htm| title=|The Children's Bible| target=|_top|&gt;Children's&lt;/a&gt;</v>
      </c>
      <c r="AB905" s="2" t="str">
        <f t="shared" si="3616"/>
        <v>&lt;/li&gt;&lt;li&gt;&lt;a href=|http://tsk.scripturetext.com/habakkuk/2.htm| title=|Treasury of Scripture Knowledge| target=|_top|&gt;TSK&lt;/a&gt;</v>
      </c>
      <c r="AC905" t="str">
        <f>CONCATENATE("&lt;a href=|http://",AC1191,"/habakkuk/2.htm","| ","title=|",AC1190,"| target=|_top|&gt;",AC1192,"&lt;/a&gt;")</f>
        <v>&lt;a href=|http://parallelbible.com/habakkuk/2.htm| title=|Parallel Chapters| target=|_top|&gt;PAR&lt;/a&gt;</v>
      </c>
      <c r="AD905" s="2" t="str">
        <f t="shared" ref="AD905:AK905" si="3618">CONCATENATE("&lt;/li&gt;&lt;li&gt;&lt;a href=|http://",AD1191,"/habakkuk/2.htm","| ","title=|",AD1190,"| target=|_top|&gt;",AD1192,"&lt;/a&gt;")</f>
        <v>&lt;/li&gt;&lt;li&gt;&lt;a href=|http://gsb.biblecommenter.com/habakkuk/2.htm| title=|Geneva Study Bible| target=|_top|&gt;GSB&lt;/a&gt;</v>
      </c>
      <c r="AE905" s="2" t="str">
        <f t="shared" si="3618"/>
        <v>&lt;/li&gt;&lt;li&gt;&lt;a href=|http://jfb.biblecommenter.com/habakkuk/2.htm| title=|Jamieson-Fausset-Brown Bible Commentary| target=|_top|&gt;JFB&lt;/a&gt;</v>
      </c>
      <c r="AF905" s="2" t="str">
        <f t="shared" si="3618"/>
        <v>&lt;/li&gt;&lt;li&gt;&lt;a href=|http://kjt.biblecommenter.com/habakkuk/2.htm| title=|King James Translators' Notes| target=|_top|&gt;KJT&lt;/a&gt;</v>
      </c>
      <c r="AG905" s="2" t="str">
        <f t="shared" si="3618"/>
        <v>&lt;/li&gt;&lt;li&gt;&lt;a href=|http://mhc.biblecommenter.com/habakkuk/2.htm| title=|Matthew Henry's Concise Commentary| target=|_top|&gt;MHC&lt;/a&gt;</v>
      </c>
      <c r="AH905" s="2" t="str">
        <f t="shared" si="3618"/>
        <v>&lt;/li&gt;&lt;li&gt;&lt;a href=|http://sco.biblecommenter.com/habakkuk/2.htm| title=|Scofield Reference Notes| target=|_top|&gt;SCO&lt;/a&gt;</v>
      </c>
      <c r="AI905" s="2" t="str">
        <f t="shared" si="3618"/>
        <v>&lt;/li&gt;&lt;li&gt;&lt;a href=|http://wes.biblecommenter.com/habakkuk/2.htm| title=|Wesley's Notes on the Bible| target=|_top|&gt;WES&lt;/a&gt;</v>
      </c>
      <c r="AJ905" t="str">
        <f t="shared" si="3618"/>
        <v>&lt;/li&gt;&lt;li&gt;&lt;a href=|http://worldebible.com/habakkuk/2.htm| title=|World English Bible| target=|_top|&gt;WEB&lt;/a&gt;</v>
      </c>
      <c r="AK905" t="str">
        <f t="shared" si="3618"/>
        <v>&lt;/li&gt;&lt;li&gt;&lt;a href=|http://yltbible.com/habakkuk/2.htm| title=|Young's Literal Translation| target=|_top|&gt;YLT&lt;/a&gt;</v>
      </c>
      <c r="AL905" t="str">
        <f>CONCATENATE("&lt;a href=|http://",AL1191,"/habakkuk/2.htm","| ","title=|",AL1190,"| target=|_top|&gt;",AL1192,"&lt;/a&gt;")</f>
        <v>&lt;a href=|http://kjv.us/habakkuk/2.htm| title=|American King James Version| target=|_top|&gt;AKJ&lt;/a&gt;</v>
      </c>
      <c r="AM905" t="str">
        <f t="shared" ref="AM905:AN905" si="3619">CONCATENATE("&lt;/li&gt;&lt;li&gt;&lt;a href=|http://",AM1191,"/habakkuk/2.htm","| ","title=|",AM1190,"| target=|_top|&gt;",AM1192,"&lt;/a&gt;")</f>
        <v>&lt;/li&gt;&lt;li&gt;&lt;a href=|http://basicenglishbible.com/habakkuk/2.htm| title=|Bible in Basic English| target=|_top|&gt;BBE&lt;/a&gt;</v>
      </c>
      <c r="AN905" t="str">
        <f t="shared" si="3619"/>
        <v>&lt;/li&gt;&lt;li&gt;&lt;a href=|http://darbybible.com/habakkuk/2.htm| title=|Darby Bible Translation| target=|_top|&gt;DBY&lt;/a&gt;</v>
      </c>
      <c r="AO90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0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0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05" t="str">
        <f>CONCATENATE("&lt;/li&gt;&lt;li&gt;&lt;a href=|http://",AR1191,"/habakkuk/2.htm","| ","title=|",AR1190,"| target=|_top|&gt;",AR1192,"&lt;/a&gt;")</f>
        <v>&lt;/li&gt;&lt;li&gt;&lt;a href=|http://websterbible.com/habakkuk/2.htm| title=|Webster's Bible Translation| target=|_top|&gt;WBS&lt;/a&gt;</v>
      </c>
      <c r="AS90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05" t="str">
        <f>CONCATENATE("&lt;/li&gt;&lt;li&gt;&lt;a href=|http://",AT1191,"/habakkuk/2-1.htm","| ","title=|",AT1190,"| target=|_top|&gt;",AT1192,"&lt;/a&gt;")</f>
        <v>&lt;/li&gt;&lt;li&gt;&lt;a href=|http://biblebrowser.com/habakkuk/2-1.htm| title=|Split View| target=|_top|&gt;Split&lt;/a&gt;</v>
      </c>
      <c r="AU905" s="2" t="s">
        <v>1276</v>
      </c>
      <c r="AV905" t="s">
        <v>64</v>
      </c>
    </row>
    <row r="906" spans="1:48">
      <c r="A906" t="s">
        <v>622</v>
      </c>
      <c r="B906" t="s">
        <v>947</v>
      </c>
      <c r="C906" t="s">
        <v>624</v>
      </c>
      <c r="D906" t="s">
        <v>1268</v>
      </c>
      <c r="E906" t="s">
        <v>1277</v>
      </c>
      <c r="F906" t="s">
        <v>1304</v>
      </c>
      <c r="G906" t="s">
        <v>1266</v>
      </c>
      <c r="H906" t="s">
        <v>1305</v>
      </c>
      <c r="I906" t="s">
        <v>1303</v>
      </c>
      <c r="J906" t="s">
        <v>1267</v>
      </c>
      <c r="K906" t="s">
        <v>1275</v>
      </c>
      <c r="L906" s="2" t="s">
        <v>1274</v>
      </c>
      <c r="M906" t="str">
        <f t="shared" ref="M906:AB906" si="3620">CONCATENATE("&lt;/li&gt;&lt;li&gt;&lt;a href=|http://",M1191,"/habakkuk/3.htm","| ","title=|",M1190,"| target=|_top|&gt;",M1192,"&lt;/a&gt;")</f>
        <v>&lt;/li&gt;&lt;li&gt;&lt;a href=|http://niv.scripturetext.com/habakkuk/3.htm| title=|New International Version| target=|_top|&gt;NIV&lt;/a&gt;</v>
      </c>
      <c r="N906" t="str">
        <f t="shared" si="3620"/>
        <v>&lt;/li&gt;&lt;li&gt;&lt;a href=|http://nlt.scripturetext.com/habakkuk/3.htm| title=|New Living Translation| target=|_top|&gt;NLT&lt;/a&gt;</v>
      </c>
      <c r="O906" t="str">
        <f t="shared" si="3620"/>
        <v>&lt;/li&gt;&lt;li&gt;&lt;a href=|http://nasb.scripturetext.com/habakkuk/3.htm| title=|New American Standard Bible| target=|_top|&gt;NAS&lt;/a&gt;</v>
      </c>
      <c r="P906" t="str">
        <f t="shared" si="3620"/>
        <v>&lt;/li&gt;&lt;li&gt;&lt;a href=|http://gwt.scripturetext.com/habakkuk/3.htm| title=|God's Word Translation| target=|_top|&gt;GWT&lt;/a&gt;</v>
      </c>
      <c r="Q906" t="str">
        <f t="shared" si="3620"/>
        <v>&lt;/li&gt;&lt;li&gt;&lt;a href=|http://kingjbible.com/habakkuk/3.htm| title=|King James Bible| target=|_top|&gt;KJV&lt;/a&gt;</v>
      </c>
      <c r="R906" t="str">
        <f t="shared" si="3620"/>
        <v>&lt;/li&gt;&lt;li&gt;&lt;a href=|http://asvbible.com/habakkuk/3.htm| title=|American Standard Version| target=|_top|&gt;ASV&lt;/a&gt;</v>
      </c>
      <c r="S906" t="str">
        <f t="shared" si="3620"/>
        <v>&lt;/li&gt;&lt;li&gt;&lt;a href=|http://drb.scripturetext.com/habakkuk/3.htm| title=|Douay-Rheims Bible| target=|_top|&gt;DRB&lt;/a&gt;</v>
      </c>
      <c r="T906" t="str">
        <f t="shared" si="3620"/>
        <v>&lt;/li&gt;&lt;li&gt;&lt;a href=|http://erv.scripturetext.com/habakkuk/3.htm| title=|English Revised Version| target=|_top|&gt;ERV&lt;/a&gt;</v>
      </c>
      <c r="V906" t="str">
        <f>CONCATENATE("&lt;/li&gt;&lt;li&gt;&lt;a href=|http://",V1191,"/habakkuk/3.htm","| ","title=|",V1190,"| target=|_top|&gt;",V1192,"&lt;/a&gt;")</f>
        <v>&lt;/li&gt;&lt;li&gt;&lt;a href=|http://study.interlinearbible.org/habakkuk/3.htm| title=|Hebrew Study Bible| target=|_top|&gt;Heb Study&lt;/a&gt;</v>
      </c>
      <c r="W906" t="str">
        <f t="shared" si="3620"/>
        <v>&lt;/li&gt;&lt;li&gt;&lt;a href=|http://apostolic.interlinearbible.org/habakkuk/3.htm| title=|Apostolic Bible Polyglot Interlinear| target=|_top|&gt;Polyglot&lt;/a&gt;</v>
      </c>
      <c r="X906" t="str">
        <f t="shared" si="3620"/>
        <v>&lt;/li&gt;&lt;li&gt;&lt;a href=|http://interlinearbible.org/habakkuk/3.htm| title=|Interlinear Bible| target=|_top|&gt;Interlin&lt;/a&gt;</v>
      </c>
      <c r="Y906" t="str">
        <f t="shared" ref="Y906" si="3621">CONCATENATE("&lt;/li&gt;&lt;li&gt;&lt;a href=|http://",Y1191,"/habakkuk/3.htm","| ","title=|",Y1190,"| target=|_top|&gt;",Y1192,"&lt;/a&gt;")</f>
        <v>&lt;/li&gt;&lt;li&gt;&lt;a href=|http://bibleoutline.org/habakkuk/3.htm| title=|Outline with People and Places List| target=|_top|&gt;Outline&lt;/a&gt;</v>
      </c>
      <c r="Z906" t="str">
        <f t="shared" si="3620"/>
        <v>&lt;/li&gt;&lt;li&gt;&lt;a href=|http://kjvs.scripturetext.com/habakkuk/3.htm| title=|King James Bible with Strong's Numbers| target=|_top|&gt;Strong's&lt;/a&gt;</v>
      </c>
      <c r="AA906" t="str">
        <f t="shared" si="3620"/>
        <v>&lt;/li&gt;&lt;li&gt;&lt;a href=|http://childrensbibleonline.com/habakkuk/3.htm| title=|The Children's Bible| target=|_top|&gt;Children's&lt;/a&gt;</v>
      </c>
      <c r="AB906" s="2" t="str">
        <f t="shared" si="3620"/>
        <v>&lt;/li&gt;&lt;li&gt;&lt;a href=|http://tsk.scripturetext.com/habakkuk/3.htm| title=|Treasury of Scripture Knowledge| target=|_top|&gt;TSK&lt;/a&gt;</v>
      </c>
      <c r="AC906" t="str">
        <f>CONCATENATE("&lt;a href=|http://",AC1191,"/habakkuk/3.htm","| ","title=|",AC1190,"| target=|_top|&gt;",AC1192,"&lt;/a&gt;")</f>
        <v>&lt;a href=|http://parallelbible.com/habakkuk/3.htm| title=|Parallel Chapters| target=|_top|&gt;PAR&lt;/a&gt;</v>
      </c>
      <c r="AD906" s="2" t="str">
        <f t="shared" ref="AD906:AK906" si="3622">CONCATENATE("&lt;/li&gt;&lt;li&gt;&lt;a href=|http://",AD1191,"/habakkuk/3.htm","| ","title=|",AD1190,"| target=|_top|&gt;",AD1192,"&lt;/a&gt;")</f>
        <v>&lt;/li&gt;&lt;li&gt;&lt;a href=|http://gsb.biblecommenter.com/habakkuk/3.htm| title=|Geneva Study Bible| target=|_top|&gt;GSB&lt;/a&gt;</v>
      </c>
      <c r="AE906" s="2" t="str">
        <f t="shared" si="3622"/>
        <v>&lt;/li&gt;&lt;li&gt;&lt;a href=|http://jfb.biblecommenter.com/habakkuk/3.htm| title=|Jamieson-Fausset-Brown Bible Commentary| target=|_top|&gt;JFB&lt;/a&gt;</v>
      </c>
      <c r="AF906" s="2" t="str">
        <f t="shared" si="3622"/>
        <v>&lt;/li&gt;&lt;li&gt;&lt;a href=|http://kjt.biblecommenter.com/habakkuk/3.htm| title=|King James Translators' Notes| target=|_top|&gt;KJT&lt;/a&gt;</v>
      </c>
      <c r="AG906" s="2" t="str">
        <f t="shared" si="3622"/>
        <v>&lt;/li&gt;&lt;li&gt;&lt;a href=|http://mhc.biblecommenter.com/habakkuk/3.htm| title=|Matthew Henry's Concise Commentary| target=|_top|&gt;MHC&lt;/a&gt;</v>
      </c>
      <c r="AH906" s="2" t="str">
        <f t="shared" si="3622"/>
        <v>&lt;/li&gt;&lt;li&gt;&lt;a href=|http://sco.biblecommenter.com/habakkuk/3.htm| title=|Scofield Reference Notes| target=|_top|&gt;SCO&lt;/a&gt;</v>
      </c>
      <c r="AI906" s="2" t="str">
        <f t="shared" si="3622"/>
        <v>&lt;/li&gt;&lt;li&gt;&lt;a href=|http://wes.biblecommenter.com/habakkuk/3.htm| title=|Wesley's Notes on the Bible| target=|_top|&gt;WES&lt;/a&gt;</v>
      </c>
      <c r="AJ906" t="str">
        <f t="shared" si="3622"/>
        <v>&lt;/li&gt;&lt;li&gt;&lt;a href=|http://worldebible.com/habakkuk/3.htm| title=|World English Bible| target=|_top|&gt;WEB&lt;/a&gt;</v>
      </c>
      <c r="AK906" t="str">
        <f t="shared" si="3622"/>
        <v>&lt;/li&gt;&lt;li&gt;&lt;a href=|http://yltbible.com/habakkuk/3.htm| title=|Young's Literal Translation| target=|_top|&gt;YLT&lt;/a&gt;</v>
      </c>
      <c r="AL906" t="str">
        <f>CONCATENATE("&lt;a href=|http://",AL1191,"/habakkuk/3.htm","| ","title=|",AL1190,"| target=|_top|&gt;",AL1192,"&lt;/a&gt;")</f>
        <v>&lt;a href=|http://kjv.us/habakkuk/3.htm| title=|American King James Version| target=|_top|&gt;AKJ&lt;/a&gt;</v>
      </c>
      <c r="AM906" t="str">
        <f t="shared" ref="AM906:AN906" si="3623">CONCATENATE("&lt;/li&gt;&lt;li&gt;&lt;a href=|http://",AM1191,"/habakkuk/3.htm","| ","title=|",AM1190,"| target=|_top|&gt;",AM1192,"&lt;/a&gt;")</f>
        <v>&lt;/li&gt;&lt;li&gt;&lt;a href=|http://basicenglishbible.com/habakkuk/3.htm| title=|Bible in Basic English| target=|_top|&gt;BBE&lt;/a&gt;</v>
      </c>
      <c r="AN906" t="str">
        <f t="shared" si="3623"/>
        <v>&lt;/li&gt;&lt;li&gt;&lt;a href=|http://darbybible.com/habakkuk/3.htm| title=|Darby Bible Translation| target=|_top|&gt;DBY&lt;/a&gt;</v>
      </c>
      <c r="AO90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0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0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06" t="str">
        <f>CONCATENATE("&lt;/li&gt;&lt;li&gt;&lt;a href=|http://",AR1191,"/habakkuk/3.htm","| ","title=|",AR1190,"| target=|_top|&gt;",AR1192,"&lt;/a&gt;")</f>
        <v>&lt;/li&gt;&lt;li&gt;&lt;a href=|http://websterbible.com/habakkuk/3.htm| title=|Webster's Bible Translation| target=|_top|&gt;WBS&lt;/a&gt;</v>
      </c>
      <c r="AS90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06" t="str">
        <f>CONCATENATE("&lt;/li&gt;&lt;li&gt;&lt;a href=|http://",AT1191,"/habakkuk/3-1.htm","| ","title=|",AT1190,"| target=|_top|&gt;",AT1192,"&lt;/a&gt;")</f>
        <v>&lt;/li&gt;&lt;li&gt;&lt;a href=|http://biblebrowser.com/habakkuk/3-1.htm| title=|Split View| target=|_top|&gt;Split&lt;/a&gt;</v>
      </c>
      <c r="AU906" s="2" t="s">
        <v>1276</v>
      </c>
      <c r="AV906" t="s">
        <v>64</v>
      </c>
    </row>
    <row r="907" spans="1:48">
      <c r="A907" t="s">
        <v>622</v>
      </c>
      <c r="B907" t="s">
        <v>948</v>
      </c>
      <c r="C907" t="s">
        <v>624</v>
      </c>
      <c r="D907" t="s">
        <v>1268</v>
      </c>
      <c r="E907" t="s">
        <v>1277</v>
      </c>
      <c r="F907" t="s">
        <v>1304</v>
      </c>
      <c r="G907" t="s">
        <v>1266</v>
      </c>
      <c r="H907" t="s">
        <v>1305</v>
      </c>
      <c r="I907" t="s">
        <v>1303</v>
      </c>
      <c r="J907" t="s">
        <v>1267</v>
      </c>
      <c r="K907" t="s">
        <v>1275</v>
      </c>
      <c r="L907" s="2" t="s">
        <v>1274</v>
      </c>
      <c r="M907" t="str">
        <f t="shared" ref="M907:AB907" si="3624">CONCATENATE("&lt;/li&gt;&lt;li&gt;&lt;a href=|http://",M1191,"/zephaniah/1.htm","| ","title=|",M1190,"| target=|_top|&gt;",M1192,"&lt;/a&gt;")</f>
        <v>&lt;/li&gt;&lt;li&gt;&lt;a href=|http://niv.scripturetext.com/zephaniah/1.htm| title=|New International Version| target=|_top|&gt;NIV&lt;/a&gt;</v>
      </c>
      <c r="N907" t="str">
        <f t="shared" si="3624"/>
        <v>&lt;/li&gt;&lt;li&gt;&lt;a href=|http://nlt.scripturetext.com/zephaniah/1.htm| title=|New Living Translation| target=|_top|&gt;NLT&lt;/a&gt;</v>
      </c>
      <c r="O907" t="str">
        <f t="shared" si="3624"/>
        <v>&lt;/li&gt;&lt;li&gt;&lt;a href=|http://nasb.scripturetext.com/zephaniah/1.htm| title=|New American Standard Bible| target=|_top|&gt;NAS&lt;/a&gt;</v>
      </c>
      <c r="P907" t="str">
        <f t="shared" si="3624"/>
        <v>&lt;/li&gt;&lt;li&gt;&lt;a href=|http://gwt.scripturetext.com/zephaniah/1.htm| title=|God's Word Translation| target=|_top|&gt;GWT&lt;/a&gt;</v>
      </c>
      <c r="Q907" t="str">
        <f t="shared" si="3624"/>
        <v>&lt;/li&gt;&lt;li&gt;&lt;a href=|http://kingjbible.com/zephaniah/1.htm| title=|King James Bible| target=|_top|&gt;KJV&lt;/a&gt;</v>
      </c>
      <c r="R907" t="str">
        <f t="shared" si="3624"/>
        <v>&lt;/li&gt;&lt;li&gt;&lt;a href=|http://asvbible.com/zephaniah/1.htm| title=|American Standard Version| target=|_top|&gt;ASV&lt;/a&gt;</v>
      </c>
      <c r="S907" t="str">
        <f t="shared" si="3624"/>
        <v>&lt;/li&gt;&lt;li&gt;&lt;a href=|http://drb.scripturetext.com/zephaniah/1.htm| title=|Douay-Rheims Bible| target=|_top|&gt;DRB&lt;/a&gt;</v>
      </c>
      <c r="T907" t="str">
        <f t="shared" si="3624"/>
        <v>&lt;/li&gt;&lt;li&gt;&lt;a href=|http://erv.scripturetext.com/zephaniah/1.htm| title=|English Revised Version| target=|_top|&gt;ERV&lt;/a&gt;</v>
      </c>
      <c r="V907" t="str">
        <f>CONCATENATE("&lt;/li&gt;&lt;li&gt;&lt;a href=|http://",V1191,"/zephaniah/1.htm","| ","title=|",V1190,"| target=|_top|&gt;",V1192,"&lt;/a&gt;")</f>
        <v>&lt;/li&gt;&lt;li&gt;&lt;a href=|http://study.interlinearbible.org/zephaniah/1.htm| title=|Hebrew Study Bible| target=|_top|&gt;Heb Study&lt;/a&gt;</v>
      </c>
      <c r="W907" t="str">
        <f t="shared" si="3624"/>
        <v>&lt;/li&gt;&lt;li&gt;&lt;a href=|http://apostolic.interlinearbible.org/zephaniah/1.htm| title=|Apostolic Bible Polyglot Interlinear| target=|_top|&gt;Polyglot&lt;/a&gt;</v>
      </c>
      <c r="X907" t="str">
        <f t="shared" si="3624"/>
        <v>&lt;/li&gt;&lt;li&gt;&lt;a href=|http://interlinearbible.org/zephaniah/1.htm| title=|Interlinear Bible| target=|_top|&gt;Interlin&lt;/a&gt;</v>
      </c>
      <c r="Y907" t="str">
        <f t="shared" ref="Y907" si="3625">CONCATENATE("&lt;/li&gt;&lt;li&gt;&lt;a href=|http://",Y1191,"/zephaniah/1.htm","| ","title=|",Y1190,"| target=|_top|&gt;",Y1192,"&lt;/a&gt;")</f>
        <v>&lt;/li&gt;&lt;li&gt;&lt;a href=|http://bibleoutline.org/zephaniah/1.htm| title=|Outline with People and Places List| target=|_top|&gt;Outline&lt;/a&gt;</v>
      </c>
      <c r="Z907" t="str">
        <f t="shared" si="3624"/>
        <v>&lt;/li&gt;&lt;li&gt;&lt;a href=|http://kjvs.scripturetext.com/zephaniah/1.htm| title=|King James Bible with Strong's Numbers| target=|_top|&gt;Strong's&lt;/a&gt;</v>
      </c>
      <c r="AA907" t="str">
        <f t="shared" si="3624"/>
        <v>&lt;/li&gt;&lt;li&gt;&lt;a href=|http://childrensbibleonline.com/zephaniah/1.htm| title=|The Children's Bible| target=|_top|&gt;Children's&lt;/a&gt;</v>
      </c>
      <c r="AB907" s="2" t="str">
        <f t="shared" si="3624"/>
        <v>&lt;/li&gt;&lt;li&gt;&lt;a href=|http://tsk.scripturetext.com/zephaniah/1.htm| title=|Treasury of Scripture Knowledge| target=|_top|&gt;TSK&lt;/a&gt;</v>
      </c>
      <c r="AC907" t="str">
        <f>CONCATENATE("&lt;a href=|http://",AC1191,"/zephaniah/1.htm","| ","title=|",AC1190,"| target=|_top|&gt;",AC1192,"&lt;/a&gt;")</f>
        <v>&lt;a href=|http://parallelbible.com/zephaniah/1.htm| title=|Parallel Chapters| target=|_top|&gt;PAR&lt;/a&gt;</v>
      </c>
      <c r="AD907" s="2" t="str">
        <f t="shared" ref="AD907:AK907" si="3626">CONCATENATE("&lt;/li&gt;&lt;li&gt;&lt;a href=|http://",AD1191,"/zephaniah/1.htm","| ","title=|",AD1190,"| target=|_top|&gt;",AD1192,"&lt;/a&gt;")</f>
        <v>&lt;/li&gt;&lt;li&gt;&lt;a href=|http://gsb.biblecommenter.com/zephaniah/1.htm| title=|Geneva Study Bible| target=|_top|&gt;GSB&lt;/a&gt;</v>
      </c>
      <c r="AE907" s="2" t="str">
        <f t="shared" si="3626"/>
        <v>&lt;/li&gt;&lt;li&gt;&lt;a href=|http://jfb.biblecommenter.com/zephaniah/1.htm| title=|Jamieson-Fausset-Brown Bible Commentary| target=|_top|&gt;JFB&lt;/a&gt;</v>
      </c>
      <c r="AF907" s="2" t="str">
        <f t="shared" si="3626"/>
        <v>&lt;/li&gt;&lt;li&gt;&lt;a href=|http://kjt.biblecommenter.com/zephaniah/1.htm| title=|King James Translators' Notes| target=|_top|&gt;KJT&lt;/a&gt;</v>
      </c>
      <c r="AG907" s="2" t="str">
        <f t="shared" si="3626"/>
        <v>&lt;/li&gt;&lt;li&gt;&lt;a href=|http://mhc.biblecommenter.com/zephaniah/1.htm| title=|Matthew Henry's Concise Commentary| target=|_top|&gt;MHC&lt;/a&gt;</v>
      </c>
      <c r="AH907" s="2" t="str">
        <f t="shared" si="3626"/>
        <v>&lt;/li&gt;&lt;li&gt;&lt;a href=|http://sco.biblecommenter.com/zephaniah/1.htm| title=|Scofield Reference Notes| target=|_top|&gt;SCO&lt;/a&gt;</v>
      </c>
      <c r="AI907" s="2" t="str">
        <f t="shared" si="3626"/>
        <v>&lt;/li&gt;&lt;li&gt;&lt;a href=|http://wes.biblecommenter.com/zephaniah/1.htm| title=|Wesley's Notes on the Bible| target=|_top|&gt;WES&lt;/a&gt;</v>
      </c>
      <c r="AJ907" t="str">
        <f t="shared" si="3626"/>
        <v>&lt;/li&gt;&lt;li&gt;&lt;a href=|http://worldebible.com/zephaniah/1.htm| title=|World English Bible| target=|_top|&gt;WEB&lt;/a&gt;</v>
      </c>
      <c r="AK907" t="str">
        <f t="shared" si="3626"/>
        <v>&lt;/li&gt;&lt;li&gt;&lt;a href=|http://yltbible.com/zephaniah/1.htm| title=|Young's Literal Translation| target=|_top|&gt;YLT&lt;/a&gt;</v>
      </c>
      <c r="AL907" t="str">
        <f>CONCATENATE("&lt;a href=|http://",AL1191,"/zephaniah/1.htm","| ","title=|",AL1190,"| target=|_top|&gt;",AL1192,"&lt;/a&gt;")</f>
        <v>&lt;a href=|http://kjv.us/zephaniah/1.htm| title=|American King James Version| target=|_top|&gt;AKJ&lt;/a&gt;</v>
      </c>
      <c r="AM907" t="str">
        <f t="shared" ref="AM907:AN907" si="3627">CONCATENATE("&lt;/li&gt;&lt;li&gt;&lt;a href=|http://",AM1191,"/zephaniah/1.htm","| ","title=|",AM1190,"| target=|_top|&gt;",AM1192,"&lt;/a&gt;")</f>
        <v>&lt;/li&gt;&lt;li&gt;&lt;a href=|http://basicenglishbible.com/zephaniah/1.htm| title=|Bible in Basic English| target=|_top|&gt;BBE&lt;/a&gt;</v>
      </c>
      <c r="AN907" t="str">
        <f t="shared" si="3627"/>
        <v>&lt;/li&gt;&lt;li&gt;&lt;a href=|http://darbybible.com/zephaniah/1.htm| title=|Darby Bible Translation| target=|_top|&gt;DBY&lt;/a&gt;</v>
      </c>
      <c r="AO90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0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0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07" t="str">
        <f>CONCATENATE("&lt;/li&gt;&lt;li&gt;&lt;a href=|http://",AR1191,"/zephaniah/1.htm","| ","title=|",AR1190,"| target=|_top|&gt;",AR1192,"&lt;/a&gt;")</f>
        <v>&lt;/li&gt;&lt;li&gt;&lt;a href=|http://websterbible.com/zephaniah/1.htm| title=|Webster's Bible Translation| target=|_top|&gt;WBS&lt;/a&gt;</v>
      </c>
      <c r="AS90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07" t="str">
        <f>CONCATENATE("&lt;/li&gt;&lt;li&gt;&lt;a href=|http://",AT1191,"/zephaniah/1-1.htm","| ","title=|",AT1190,"| target=|_top|&gt;",AT1192,"&lt;/a&gt;")</f>
        <v>&lt;/li&gt;&lt;li&gt;&lt;a href=|http://biblebrowser.com/zephaniah/1-1.htm| title=|Split View| target=|_top|&gt;Split&lt;/a&gt;</v>
      </c>
      <c r="AU907" s="2" t="s">
        <v>1276</v>
      </c>
      <c r="AV907" t="s">
        <v>64</v>
      </c>
    </row>
    <row r="908" spans="1:48">
      <c r="A908" t="s">
        <v>622</v>
      </c>
      <c r="B908" t="s">
        <v>949</v>
      </c>
      <c r="C908" t="s">
        <v>624</v>
      </c>
      <c r="D908" t="s">
        <v>1268</v>
      </c>
      <c r="E908" t="s">
        <v>1277</v>
      </c>
      <c r="F908" t="s">
        <v>1304</v>
      </c>
      <c r="G908" t="s">
        <v>1266</v>
      </c>
      <c r="H908" t="s">
        <v>1305</v>
      </c>
      <c r="I908" t="s">
        <v>1303</v>
      </c>
      <c r="J908" t="s">
        <v>1267</v>
      </c>
      <c r="K908" t="s">
        <v>1275</v>
      </c>
      <c r="L908" s="2" t="s">
        <v>1274</v>
      </c>
      <c r="M908" t="str">
        <f t="shared" ref="M908:AB908" si="3628">CONCATENATE("&lt;/li&gt;&lt;li&gt;&lt;a href=|http://",M1191,"/zephaniah/2.htm","| ","title=|",M1190,"| target=|_top|&gt;",M1192,"&lt;/a&gt;")</f>
        <v>&lt;/li&gt;&lt;li&gt;&lt;a href=|http://niv.scripturetext.com/zephaniah/2.htm| title=|New International Version| target=|_top|&gt;NIV&lt;/a&gt;</v>
      </c>
      <c r="N908" t="str">
        <f t="shared" si="3628"/>
        <v>&lt;/li&gt;&lt;li&gt;&lt;a href=|http://nlt.scripturetext.com/zephaniah/2.htm| title=|New Living Translation| target=|_top|&gt;NLT&lt;/a&gt;</v>
      </c>
      <c r="O908" t="str">
        <f t="shared" si="3628"/>
        <v>&lt;/li&gt;&lt;li&gt;&lt;a href=|http://nasb.scripturetext.com/zephaniah/2.htm| title=|New American Standard Bible| target=|_top|&gt;NAS&lt;/a&gt;</v>
      </c>
      <c r="P908" t="str">
        <f t="shared" si="3628"/>
        <v>&lt;/li&gt;&lt;li&gt;&lt;a href=|http://gwt.scripturetext.com/zephaniah/2.htm| title=|God's Word Translation| target=|_top|&gt;GWT&lt;/a&gt;</v>
      </c>
      <c r="Q908" t="str">
        <f t="shared" si="3628"/>
        <v>&lt;/li&gt;&lt;li&gt;&lt;a href=|http://kingjbible.com/zephaniah/2.htm| title=|King James Bible| target=|_top|&gt;KJV&lt;/a&gt;</v>
      </c>
      <c r="R908" t="str">
        <f t="shared" si="3628"/>
        <v>&lt;/li&gt;&lt;li&gt;&lt;a href=|http://asvbible.com/zephaniah/2.htm| title=|American Standard Version| target=|_top|&gt;ASV&lt;/a&gt;</v>
      </c>
      <c r="S908" t="str">
        <f t="shared" si="3628"/>
        <v>&lt;/li&gt;&lt;li&gt;&lt;a href=|http://drb.scripturetext.com/zephaniah/2.htm| title=|Douay-Rheims Bible| target=|_top|&gt;DRB&lt;/a&gt;</v>
      </c>
      <c r="T908" t="str">
        <f t="shared" si="3628"/>
        <v>&lt;/li&gt;&lt;li&gt;&lt;a href=|http://erv.scripturetext.com/zephaniah/2.htm| title=|English Revised Version| target=|_top|&gt;ERV&lt;/a&gt;</v>
      </c>
      <c r="V908" t="str">
        <f>CONCATENATE("&lt;/li&gt;&lt;li&gt;&lt;a href=|http://",V1191,"/zephaniah/2.htm","| ","title=|",V1190,"| target=|_top|&gt;",V1192,"&lt;/a&gt;")</f>
        <v>&lt;/li&gt;&lt;li&gt;&lt;a href=|http://study.interlinearbible.org/zephaniah/2.htm| title=|Hebrew Study Bible| target=|_top|&gt;Heb Study&lt;/a&gt;</v>
      </c>
      <c r="W908" t="str">
        <f t="shared" si="3628"/>
        <v>&lt;/li&gt;&lt;li&gt;&lt;a href=|http://apostolic.interlinearbible.org/zephaniah/2.htm| title=|Apostolic Bible Polyglot Interlinear| target=|_top|&gt;Polyglot&lt;/a&gt;</v>
      </c>
      <c r="X908" t="str">
        <f t="shared" si="3628"/>
        <v>&lt;/li&gt;&lt;li&gt;&lt;a href=|http://interlinearbible.org/zephaniah/2.htm| title=|Interlinear Bible| target=|_top|&gt;Interlin&lt;/a&gt;</v>
      </c>
      <c r="Y908" t="str">
        <f t="shared" ref="Y908" si="3629">CONCATENATE("&lt;/li&gt;&lt;li&gt;&lt;a href=|http://",Y1191,"/zephaniah/2.htm","| ","title=|",Y1190,"| target=|_top|&gt;",Y1192,"&lt;/a&gt;")</f>
        <v>&lt;/li&gt;&lt;li&gt;&lt;a href=|http://bibleoutline.org/zephaniah/2.htm| title=|Outline with People and Places List| target=|_top|&gt;Outline&lt;/a&gt;</v>
      </c>
      <c r="Z908" t="str">
        <f t="shared" si="3628"/>
        <v>&lt;/li&gt;&lt;li&gt;&lt;a href=|http://kjvs.scripturetext.com/zephaniah/2.htm| title=|King James Bible with Strong's Numbers| target=|_top|&gt;Strong's&lt;/a&gt;</v>
      </c>
      <c r="AA908" t="str">
        <f t="shared" si="3628"/>
        <v>&lt;/li&gt;&lt;li&gt;&lt;a href=|http://childrensbibleonline.com/zephaniah/2.htm| title=|The Children's Bible| target=|_top|&gt;Children's&lt;/a&gt;</v>
      </c>
      <c r="AB908" s="2" t="str">
        <f t="shared" si="3628"/>
        <v>&lt;/li&gt;&lt;li&gt;&lt;a href=|http://tsk.scripturetext.com/zephaniah/2.htm| title=|Treasury of Scripture Knowledge| target=|_top|&gt;TSK&lt;/a&gt;</v>
      </c>
      <c r="AC908" t="str">
        <f>CONCATENATE("&lt;a href=|http://",AC1191,"/zephaniah/2.htm","| ","title=|",AC1190,"| target=|_top|&gt;",AC1192,"&lt;/a&gt;")</f>
        <v>&lt;a href=|http://parallelbible.com/zephaniah/2.htm| title=|Parallel Chapters| target=|_top|&gt;PAR&lt;/a&gt;</v>
      </c>
      <c r="AD908" s="2" t="str">
        <f t="shared" ref="AD908:AK908" si="3630">CONCATENATE("&lt;/li&gt;&lt;li&gt;&lt;a href=|http://",AD1191,"/zephaniah/2.htm","| ","title=|",AD1190,"| target=|_top|&gt;",AD1192,"&lt;/a&gt;")</f>
        <v>&lt;/li&gt;&lt;li&gt;&lt;a href=|http://gsb.biblecommenter.com/zephaniah/2.htm| title=|Geneva Study Bible| target=|_top|&gt;GSB&lt;/a&gt;</v>
      </c>
      <c r="AE908" s="2" t="str">
        <f t="shared" si="3630"/>
        <v>&lt;/li&gt;&lt;li&gt;&lt;a href=|http://jfb.biblecommenter.com/zephaniah/2.htm| title=|Jamieson-Fausset-Brown Bible Commentary| target=|_top|&gt;JFB&lt;/a&gt;</v>
      </c>
      <c r="AF908" s="2" t="str">
        <f t="shared" si="3630"/>
        <v>&lt;/li&gt;&lt;li&gt;&lt;a href=|http://kjt.biblecommenter.com/zephaniah/2.htm| title=|King James Translators' Notes| target=|_top|&gt;KJT&lt;/a&gt;</v>
      </c>
      <c r="AG908" s="2" t="str">
        <f t="shared" si="3630"/>
        <v>&lt;/li&gt;&lt;li&gt;&lt;a href=|http://mhc.biblecommenter.com/zephaniah/2.htm| title=|Matthew Henry's Concise Commentary| target=|_top|&gt;MHC&lt;/a&gt;</v>
      </c>
      <c r="AH908" s="2" t="str">
        <f t="shared" si="3630"/>
        <v>&lt;/li&gt;&lt;li&gt;&lt;a href=|http://sco.biblecommenter.com/zephaniah/2.htm| title=|Scofield Reference Notes| target=|_top|&gt;SCO&lt;/a&gt;</v>
      </c>
      <c r="AI908" s="2" t="str">
        <f t="shared" si="3630"/>
        <v>&lt;/li&gt;&lt;li&gt;&lt;a href=|http://wes.biblecommenter.com/zephaniah/2.htm| title=|Wesley's Notes on the Bible| target=|_top|&gt;WES&lt;/a&gt;</v>
      </c>
      <c r="AJ908" t="str">
        <f t="shared" si="3630"/>
        <v>&lt;/li&gt;&lt;li&gt;&lt;a href=|http://worldebible.com/zephaniah/2.htm| title=|World English Bible| target=|_top|&gt;WEB&lt;/a&gt;</v>
      </c>
      <c r="AK908" t="str">
        <f t="shared" si="3630"/>
        <v>&lt;/li&gt;&lt;li&gt;&lt;a href=|http://yltbible.com/zephaniah/2.htm| title=|Young's Literal Translation| target=|_top|&gt;YLT&lt;/a&gt;</v>
      </c>
      <c r="AL908" t="str">
        <f>CONCATENATE("&lt;a href=|http://",AL1191,"/zephaniah/2.htm","| ","title=|",AL1190,"| target=|_top|&gt;",AL1192,"&lt;/a&gt;")</f>
        <v>&lt;a href=|http://kjv.us/zephaniah/2.htm| title=|American King James Version| target=|_top|&gt;AKJ&lt;/a&gt;</v>
      </c>
      <c r="AM908" t="str">
        <f t="shared" ref="AM908:AN908" si="3631">CONCATENATE("&lt;/li&gt;&lt;li&gt;&lt;a href=|http://",AM1191,"/zephaniah/2.htm","| ","title=|",AM1190,"| target=|_top|&gt;",AM1192,"&lt;/a&gt;")</f>
        <v>&lt;/li&gt;&lt;li&gt;&lt;a href=|http://basicenglishbible.com/zephaniah/2.htm| title=|Bible in Basic English| target=|_top|&gt;BBE&lt;/a&gt;</v>
      </c>
      <c r="AN908" t="str">
        <f t="shared" si="3631"/>
        <v>&lt;/li&gt;&lt;li&gt;&lt;a href=|http://darbybible.com/zephaniah/2.htm| title=|Darby Bible Translation| target=|_top|&gt;DBY&lt;/a&gt;</v>
      </c>
      <c r="AO90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0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0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08" t="str">
        <f>CONCATENATE("&lt;/li&gt;&lt;li&gt;&lt;a href=|http://",AR1191,"/zephaniah/2.htm","| ","title=|",AR1190,"| target=|_top|&gt;",AR1192,"&lt;/a&gt;")</f>
        <v>&lt;/li&gt;&lt;li&gt;&lt;a href=|http://websterbible.com/zephaniah/2.htm| title=|Webster's Bible Translation| target=|_top|&gt;WBS&lt;/a&gt;</v>
      </c>
      <c r="AS90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08" t="str">
        <f>CONCATENATE("&lt;/li&gt;&lt;li&gt;&lt;a href=|http://",AT1191,"/zephaniah/2-1.htm","| ","title=|",AT1190,"| target=|_top|&gt;",AT1192,"&lt;/a&gt;")</f>
        <v>&lt;/li&gt;&lt;li&gt;&lt;a href=|http://biblebrowser.com/zephaniah/2-1.htm| title=|Split View| target=|_top|&gt;Split&lt;/a&gt;</v>
      </c>
      <c r="AU908" s="2" t="s">
        <v>1276</v>
      </c>
      <c r="AV908" t="s">
        <v>64</v>
      </c>
    </row>
    <row r="909" spans="1:48">
      <c r="A909" t="s">
        <v>622</v>
      </c>
      <c r="B909" t="s">
        <v>950</v>
      </c>
      <c r="C909" t="s">
        <v>624</v>
      </c>
      <c r="D909" t="s">
        <v>1268</v>
      </c>
      <c r="E909" t="s">
        <v>1277</v>
      </c>
      <c r="F909" t="s">
        <v>1304</v>
      </c>
      <c r="G909" t="s">
        <v>1266</v>
      </c>
      <c r="H909" t="s">
        <v>1305</v>
      </c>
      <c r="I909" t="s">
        <v>1303</v>
      </c>
      <c r="J909" t="s">
        <v>1267</v>
      </c>
      <c r="K909" t="s">
        <v>1275</v>
      </c>
      <c r="L909" s="2" t="s">
        <v>1274</v>
      </c>
      <c r="M909" t="str">
        <f t="shared" ref="M909:AB909" si="3632">CONCATENATE("&lt;/li&gt;&lt;li&gt;&lt;a href=|http://",M1191,"/zephaniah/3.htm","| ","title=|",M1190,"| target=|_top|&gt;",M1192,"&lt;/a&gt;")</f>
        <v>&lt;/li&gt;&lt;li&gt;&lt;a href=|http://niv.scripturetext.com/zephaniah/3.htm| title=|New International Version| target=|_top|&gt;NIV&lt;/a&gt;</v>
      </c>
      <c r="N909" t="str">
        <f t="shared" si="3632"/>
        <v>&lt;/li&gt;&lt;li&gt;&lt;a href=|http://nlt.scripturetext.com/zephaniah/3.htm| title=|New Living Translation| target=|_top|&gt;NLT&lt;/a&gt;</v>
      </c>
      <c r="O909" t="str">
        <f t="shared" si="3632"/>
        <v>&lt;/li&gt;&lt;li&gt;&lt;a href=|http://nasb.scripturetext.com/zephaniah/3.htm| title=|New American Standard Bible| target=|_top|&gt;NAS&lt;/a&gt;</v>
      </c>
      <c r="P909" t="str">
        <f t="shared" si="3632"/>
        <v>&lt;/li&gt;&lt;li&gt;&lt;a href=|http://gwt.scripturetext.com/zephaniah/3.htm| title=|God's Word Translation| target=|_top|&gt;GWT&lt;/a&gt;</v>
      </c>
      <c r="Q909" t="str">
        <f t="shared" si="3632"/>
        <v>&lt;/li&gt;&lt;li&gt;&lt;a href=|http://kingjbible.com/zephaniah/3.htm| title=|King James Bible| target=|_top|&gt;KJV&lt;/a&gt;</v>
      </c>
      <c r="R909" t="str">
        <f t="shared" si="3632"/>
        <v>&lt;/li&gt;&lt;li&gt;&lt;a href=|http://asvbible.com/zephaniah/3.htm| title=|American Standard Version| target=|_top|&gt;ASV&lt;/a&gt;</v>
      </c>
      <c r="S909" t="str">
        <f t="shared" si="3632"/>
        <v>&lt;/li&gt;&lt;li&gt;&lt;a href=|http://drb.scripturetext.com/zephaniah/3.htm| title=|Douay-Rheims Bible| target=|_top|&gt;DRB&lt;/a&gt;</v>
      </c>
      <c r="T909" t="str">
        <f t="shared" si="3632"/>
        <v>&lt;/li&gt;&lt;li&gt;&lt;a href=|http://erv.scripturetext.com/zephaniah/3.htm| title=|English Revised Version| target=|_top|&gt;ERV&lt;/a&gt;</v>
      </c>
      <c r="V909" t="str">
        <f>CONCATENATE("&lt;/li&gt;&lt;li&gt;&lt;a href=|http://",V1191,"/zephaniah/3.htm","| ","title=|",V1190,"| target=|_top|&gt;",V1192,"&lt;/a&gt;")</f>
        <v>&lt;/li&gt;&lt;li&gt;&lt;a href=|http://study.interlinearbible.org/zephaniah/3.htm| title=|Hebrew Study Bible| target=|_top|&gt;Heb Study&lt;/a&gt;</v>
      </c>
      <c r="W909" t="str">
        <f t="shared" si="3632"/>
        <v>&lt;/li&gt;&lt;li&gt;&lt;a href=|http://apostolic.interlinearbible.org/zephaniah/3.htm| title=|Apostolic Bible Polyglot Interlinear| target=|_top|&gt;Polyglot&lt;/a&gt;</v>
      </c>
      <c r="X909" t="str">
        <f t="shared" si="3632"/>
        <v>&lt;/li&gt;&lt;li&gt;&lt;a href=|http://interlinearbible.org/zephaniah/3.htm| title=|Interlinear Bible| target=|_top|&gt;Interlin&lt;/a&gt;</v>
      </c>
      <c r="Y909" t="str">
        <f t="shared" ref="Y909" si="3633">CONCATENATE("&lt;/li&gt;&lt;li&gt;&lt;a href=|http://",Y1191,"/zephaniah/3.htm","| ","title=|",Y1190,"| target=|_top|&gt;",Y1192,"&lt;/a&gt;")</f>
        <v>&lt;/li&gt;&lt;li&gt;&lt;a href=|http://bibleoutline.org/zephaniah/3.htm| title=|Outline with People and Places List| target=|_top|&gt;Outline&lt;/a&gt;</v>
      </c>
      <c r="Z909" t="str">
        <f t="shared" si="3632"/>
        <v>&lt;/li&gt;&lt;li&gt;&lt;a href=|http://kjvs.scripturetext.com/zephaniah/3.htm| title=|King James Bible with Strong's Numbers| target=|_top|&gt;Strong's&lt;/a&gt;</v>
      </c>
      <c r="AA909" t="str">
        <f t="shared" si="3632"/>
        <v>&lt;/li&gt;&lt;li&gt;&lt;a href=|http://childrensbibleonline.com/zephaniah/3.htm| title=|The Children's Bible| target=|_top|&gt;Children's&lt;/a&gt;</v>
      </c>
      <c r="AB909" s="2" t="str">
        <f t="shared" si="3632"/>
        <v>&lt;/li&gt;&lt;li&gt;&lt;a href=|http://tsk.scripturetext.com/zephaniah/3.htm| title=|Treasury of Scripture Knowledge| target=|_top|&gt;TSK&lt;/a&gt;</v>
      </c>
      <c r="AC909" t="str">
        <f>CONCATENATE("&lt;a href=|http://",AC1191,"/zephaniah/3.htm","| ","title=|",AC1190,"| target=|_top|&gt;",AC1192,"&lt;/a&gt;")</f>
        <v>&lt;a href=|http://parallelbible.com/zephaniah/3.htm| title=|Parallel Chapters| target=|_top|&gt;PAR&lt;/a&gt;</v>
      </c>
      <c r="AD909" s="2" t="str">
        <f t="shared" ref="AD909:AK909" si="3634">CONCATENATE("&lt;/li&gt;&lt;li&gt;&lt;a href=|http://",AD1191,"/zephaniah/3.htm","| ","title=|",AD1190,"| target=|_top|&gt;",AD1192,"&lt;/a&gt;")</f>
        <v>&lt;/li&gt;&lt;li&gt;&lt;a href=|http://gsb.biblecommenter.com/zephaniah/3.htm| title=|Geneva Study Bible| target=|_top|&gt;GSB&lt;/a&gt;</v>
      </c>
      <c r="AE909" s="2" t="str">
        <f t="shared" si="3634"/>
        <v>&lt;/li&gt;&lt;li&gt;&lt;a href=|http://jfb.biblecommenter.com/zephaniah/3.htm| title=|Jamieson-Fausset-Brown Bible Commentary| target=|_top|&gt;JFB&lt;/a&gt;</v>
      </c>
      <c r="AF909" s="2" t="str">
        <f t="shared" si="3634"/>
        <v>&lt;/li&gt;&lt;li&gt;&lt;a href=|http://kjt.biblecommenter.com/zephaniah/3.htm| title=|King James Translators' Notes| target=|_top|&gt;KJT&lt;/a&gt;</v>
      </c>
      <c r="AG909" s="2" t="str">
        <f t="shared" si="3634"/>
        <v>&lt;/li&gt;&lt;li&gt;&lt;a href=|http://mhc.biblecommenter.com/zephaniah/3.htm| title=|Matthew Henry's Concise Commentary| target=|_top|&gt;MHC&lt;/a&gt;</v>
      </c>
      <c r="AH909" s="2" t="str">
        <f t="shared" si="3634"/>
        <v>&lt;/li&gt;&lt;li&gt;&lt;a href=|http://sco.biblecommenter.com/zephaniah/3.htm| title=|Scofield Reference Notes| target=|_top|&gt;SCO&lt;/a&gt;</v>
      </c>
      <c r="AI909" s="2" t="str">
        <f t="shared" si="3634"/>
        <v>&lt;/li&gt;&lt;li&gt;&lt;a href=|http://wes.biblecommenter.com/zephaniah/3.htm| title=|Wesley's Notes on the Bible| target=|_top|&gt;WES&lt;/a&gt;</v>
      </c>
      <c r="AJ909" t="str">
        <f t="shared" si="3634"/>
        <v>&lt;/li&gt;&lt;li&gt;&lt;a href=|http://worldebible.com/zephaniah/3.htm| title=|World English Bible| target=|_top|&gt;WEB&lt;/a&gt;</v>
      </c>
      <c r="AK909" t="str">
        <f t="shared" si="3634"/>
        <v>&lt;/li&gt;&lt;li&gt;&lt;a href=|http://yltbible.com/zephaniah/3.htm| title=|Young's Literal Translation| target=|_top|&gt;YLT&lt;/a&gt;</v>
      </c>
      <c r="AL909" t="str">
        <f>CONCATENATE("&lt;a href=|http://",AL1191,"/zephaniah/3.htm","| ","title=|",AL1190,"| target=|_top|&gt;",AL1192,"&lt;/a&gt;")</f>
        <v>&lt;a href=|http://kjv.us/zephaniah/3.htm| title=|American King James Version| target=|_top|&gt;AKJ&lt;/a&gt;</v>
      </c>
      <c r="AM909" t="str">
        <f t="shared" ref="AM909:AN909" si="3635">CONCATENATE("&lt;/li&gt;&lt;li&gt;&lt;a href=|http://",AM1191,"/zephaniah/3.htm","| ","title=|",AM1190,"| target=|_top|&gt;",AM1192,"&lt;/a&gt;")</f>
        <v>&lt;/li&gt;&lt;li&gt;&lt;a href=|http://basicenglishbible.com/zephaniah/3.htm| title=|Bible in Basic English| target=|_top|&gt;BBE&lt;/a&gt;</v>
      </c>
      <c r="AN909" t="str">
        <f t="shared" si="3635"/>
        <v>&lt;/li&gt;&lt;li&gt;&lt;a href=|http://darbybible.com/zephaniah/3.htm| title=|Darby Bible Translation| target=|_top|&gt;DBY&lt;/a&gt;</v>
      </c>
      <c r="AO90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0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0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09" t="str">
        <f>CONCATENATE("&lt;/li&gt;&lt;li&gt;&lt;a href=|http://",AR1191,"/zephaniah/3.htm","| ","title=|",AR1190,"| target=|_top|&gt;",AR1192,"&lt;/a&gt;")</f>
        <v>&lt;/li&gt;&lt;li&gt;&lt;a href=|http://websterbible.com/zephaniah/3.htm| title=|Webster's Bible Translation| target=|_top|&gt;WBS&lt;/a&gt;</v>
      </c>
      <c r="AS90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09" t="str">
        <f>CONCATENATE("&lt;/li&gt;&lt;li&gt;&lt;a href=|http://",AT1191,"/zephaniah/3-1.htm","| ","title=|",AT1190,"| target=|_top|&gt;",AT1192,"&lt;/a&gt;")</f>
        <v>&lt;/li&gt;&lt;li&gt;&lt;a href=|http://biblebrowser.com/zephaniah/3-1.htm| title=|Split View| target=|_top|&gt;Split&lt;/a&gt;</v>
      </c>
      <c r="AU909" s="2" t="s">
        <v>1276</v>
      </c>
      <c r="AV909" t="s">
        <v>64</v>
      </c>
    </row>
    <row r="910" spans="1:48">
      <c r="A910" t="s">
        <v>622</v>
      </c>
      <c r="B910" t="s">
        <v>951</v>
      </c>
      <c r="C910" t="s">
        <v>624</v>
      </c>
      <c r="D910" t="s">
        <v>1268</v>
      </c>
      <c r="E910" t="s">
        <v>1277</v>
      </c>
      <c r="F910" t="s">
        <v>1304</v>
      </c>
      <c r="G910" t="s">
        <v>1266</v>
      </c>
      <c r="H910" t="s">
        <v>1305</v>
      </c>
      <c r="I910" t="s">
        <v>1303</v>
      </c>
      <c r="J910" t="s">
        <v>1267</v>
      </c>
      <c r="K910" t="s">
        <v>1275</v>
      </c>
      <c r="L910" s="2" t="s">
        <v>1274</v>
      </c>
      <c r="M910" t="str">
        <f t="shared" ref="M910:AB910" si="3636">CONCATENATE("&lt;/li&gt;&lt;li&gt;&lt;a href=|http://",M1191,"/haggai/1.htm","| ","title=|",M1190,"| target=|_top|&gt;",M1192,"&lt;/a&gt;")</f>
        <v>&lt;/li&gt;&lt;li&gt;&lt;a href=|http://niv.scripturetext.com/haggai/1.htm| title=|New International Version| target=|_top|&gt;NIV&lt;/a&gt;</v>
      </c>
      <c r="N910" t="str">
        <f t="shared" si="3636"/>
        <v>&lt;/li&gt;&lt;li&gt;&lt;a href=|http://nlt.scripturetext.com/haggai/1.htm| title=|New Living Translation| target=|_top|&gt;NLT&lt;/a&gt;</v>
      </c>
      <c r="O910" t="str">
        <f t="shared" si="3636"/>
        <v>&lt;/li&gt;&lt;li&gt;&lt;a href=|http://nasb.scripturetext.com/haggai/1.htm| title=|New American Standard Bible| target=|_top|&gt;NAS&lt;/a&gt;</v>
      </c>
      <c r="P910" t="str">
        <f t="shared" si="3636"/>
        <v>&lt;/li&gt;&lt;li&gt;&lt;a href=|http://gwt.scripturetext.com/haggai/1.htm| title=|God's Word Translation| target=|_top|&gt;GWT&lt;/a&gt;</v>
      </c>
      <c r="Q910" t="str">
        <f t="shared" si="3636"/>
        <v>&lt;/li&gt;&lt;li&gt;&lt;a href=|http://kingjbible.com/haggai/1.htm| title=|King James Bible| target=|_top|&gt;KJV&lt;/a&gt;</v>
      </c>
      <c r="R910" t="str">
        <f t="shared" si="3636"/>
        <v>&lt;/li&gt;&lt;li&gt;&lt;a href=|http://asvbible.com/haggai/1.htm| title=|American Standard Version| target=|_top|&gt;ASV&lt;/a&gt;</v>
      </c>
      <c r="S910" t="str">
        <f t="shared" si="3636"/>
        <v>&lt;/li&gt;&lt;li&gt;&lt;a href=|http://drb.scripturetext.com/haggai/1.htm| title=|Douay-Rheims Bible| target=|_top|&gt;DRB&lt;/a&gt;</v>
      </c>
      <c r="T910" t="str">
        <f t="shared" si="3636"/>
        <v>&lt;/li&gt;&lt;li&gt;&lt;a href=|http://erv.scripturetext.com/haggai/1.htm| title=|English Revised Version| target=|_top|&gt;ERV&lt;/a&gt;</v>
      </c>
      <c r="V910" t="str">
        <f>CONCATENATE("&lt;/li&gt;&lt;li&gt;&lt;a href=|http://",V1191,"/haggai/1.htm","| ","title=|",V1190,"| target=|_top|&gt;",V1192,"&lt;/a&gt;")</f>
        <v>&lt;/li&gt;&lt;li&gt;&lt;a href=|http://study.interlinearbible.org/haggai/1.htm| title=|Hebrew Study Bible| target=|_top|&gt;Heb Study&lt;/a&gt;</v>
      </c>
      <c r="W910" t="str">
        <f t="shared" si="3636"/>
        <v>&lt;/li&gt;&lt;li&gt;&lt;a href=|http://apostolic.interlinearbible.org/haggai/1.htm| title=|Apostolic Bible Polyglot Interlinear| target=|_top|&gt;Polyglot&lt;/a&gt;</v>
      </c>
      <c r="X910" t="str">
        <f t="shared" si="3636"/>
        <v>&lt;/li&gt;&lt;li&gt;&lt;a href=|http://interlinearbible.org/haggai/1.htm| title=|Interlinear Bible| target=|_top|&gt;Interlin&lt;/a&gt;</v>
      </c>
      <c r="Y910" t="str">
        <f t="shared" ref="Y910" si="3637">CONCATENATE("&lt;/li&gt;&lt;li&gt;&lt;a href=|http://",Y1191,"/haggai/1.htm","| ","title=|",Y1190,"| target=|_top|&gt;",Y1192,"&lt;/a&gt;")</f>
        <v>&lt;/li&gt;&lt;li&gt;&lt;a href=|http://bibleoutline.org/haggai/1.htm| title=|Outline with People and Places List| target=|_top|&gt;Outline&lt;/a&gt;</v>
      </c>
      <c r="Z910" t="str">
        <f t="shared" si="3636"/>
        <v>&lt;/li&gt;&lt;li&gt;&lt;a href=|http://kjvs.scripturetext.com/haggai/1.htm| title=|King James Bible with Strong's Numbers| target=|_top|&gt;Strong's&lt;/a&gt;</v>
      </c>
      <c r="AA910" t="str">
        <f t="shared" si="3636"/>
        <v>&lt;/li&gt;&lt;li&gt;&lt;a href=|http://childrensbibleonline.com/haggai/1.htm| title=|The Children's Bible| target=|_top|&gt;Children's&lt;/a&gt;</v>
      </c>
      <c r="AB910" s="2" t="str">
        <f t="shared" si="3636"/>
        <v>&lt;/li&gt;&lt;li&gt;&lt;a href=|http://tsk.scripturetext.com/haggai/1.htm| title=|Treasury of Scripture Knowledge| target=|_top|&gt;TSK&lt;/a&gt;</v>
      </c>
      <c r="AC910" t="str">
        <f>CONCATENATE("&lt;a href=|http://",AC1191,"/haggai/1.htm","| ","title=|",AC1190,"| target=|_top|&gt;",AC1192,"&lt;/a&gt;")</f>
        <v>&lt;a href=|http://parallelbible.com/haggai/1.htm| title=|Parallel Chapters| target=|_top|&gt;PAR&lt;/a&gt;</v>
      </c>
      <c r="AD910" s="2" t="str">
        <f t="shared" ref="AD910:AK910" si="3638">CONCATENATE("&lt;/li&gt;&lt;li&gt;&lt;a href=|http://",AD1191,"/haggai/1.htm","| ","title=|",AD1190,"| target=|_top|&gt;",AD1192,"&lt;/a&gt;")</f>
        <v>&lt;/li&gt;&lt;li&gt;&lt;a href=|http://gsb.biblecommenter.com/haggai/1.htm| title=|Geneva Study Bible| target=|_top|&gt;GSB&lt;/a&gt;</v>
      </c>
      <c r="AE910" s="2" t="str">
        <f t="shared" si="3638"/>
        <v>&lt;/li&gt;&lt;li&gt;&lt;a href=|http://jfb.biblecommenter.com/haggai/1.htm| title=|Jamieson-Fausset-Brown Bible Commentary| target=|_top|&gt;JFB&lt;/a&gt;</v>
      </c>
      <c r="AF910" s="2" t="str">
        <f t="shared" si="3638"/>
        <v>&lt;/li&gt;&lt;li&gt;&lt;a href=|http://kjt.biblecommenter.com/haggai/1.htm| title=|King James Translators' Notes| target=|_top|&gt;KJT&lt;/a&gt;</v>
      </c>
      <c r="AG910" s="2" t="str">
        <f t="shared" si="3638"/>
        <v>&lt;/li&gt;&lt;li&gt;&lt;a href=|http://mhc.biblecommenter.com/haggai/1.htm| title=|Matthew Henry's Concise Commentary| target=|_top|&gt;MHC&lt;/a&gt;</v>
      </c>
      <c r="AH910" s="2" t="str">
        <f t="shared" si="3638"/>
        <v>&lt;/li&gt;&lt;li&gt;&lt;a href=|http://sco.biblecommenter.com/haggai/1.htm| title=|Scofield Reference Notes| target=|_top|&gt;SCO&lt;/a&gt;</v>
      </c>
      <c r="AI910" s="2" t="str">
        <f t="shared" si="3638"/>
        <v>&lt;/li&gt;&lt;li&gt;&lt;a href=|http://wes.biblecommenter.com/haggai/1.htm| title=|Wesley's Notes on the Bible| target=|_top|&gt;WES&lt;/a&gt;</v>
      </c>
      <c r="AJ910" t="str">
        <f t="shared" si="3638"/>
        <v>&lt;/li&gt;&lt;li&gt;&lt;a href=|http://worldebible.com/haggai/1.htm| title=|World English Bible| target=|_top|&gt;WEB&lt;/a&gt;</v>
      </c>
      <c r="AK910" t="str">
        <f t="shared" si="3638"/>
        <v>&lt;/li&gt;&lt;li&gt;&lt;a href=|http://yltbible.com/haggai/1.htm| title=|Young's Literal Translation| target=|_top|&gt;YLT&lt;/a&gt;</v>
      </c>
      <c r="AL910" t="str">
        <f>CONCATENATE("&lt;a href=|http://",AL1191,"/haggai/1.htm","| ","title=|",AL1190,"| target=|_top|&gt;",AL1192,"&lt;/a&gt;")</f>
        <v>&lt;a href=|http://kjv.us/haggai/1.htm| title=|American King James Version| target=|_top|&gt;AKJ&lt;/a&gt;</v>
      </c>
      <c r="AM910" t="str">
        <f t="shared" ref="AM910:AN910" si="3639">CONCATENATE("&lt;/li&gt;&lt;li&gt;&lt;a href=|http://",AM1191,"/haggai/1.htm","| ","title=|",AM1190,"| target=|_top|&gt;",AM1192,"&lt;/a&gt;")</f>
        <v>&lt;/li&gt;&lt;li&gt;&lt;a href=|http://basicenglishbible.com/haggai/1.htm| title=|Bible in Basic English| target=|_top|&gt;BBE&lt;/a&gt;</v>
      </c>
      <c r="AN910" t="str">
        <f t="shared" si="3639"/>
        <v>&lt;/li&gt;&lt;li&gt;&lt;a href=|http://darbybible.com/haggai/1.htm| title=|Darby Bible Translation| target=|_top|&gt;DBY&lt;/a&gt;</v>
      </c>
      <c r="AO91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1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1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10" t="str">
        <f>CONCATENATE("&lt;/li&gt;&lt;li&gt;&lt;a href=|http://",AR1191,"/haggai/1.htm","| ","title=|",AR1190,"| target=|_top|&gt;",AR1192,"&lt;/a&gt;")</f>
        <v>&lt;/li&gt;&lt;li&gt;&lt;a href=|http://websterbible.com/haggai/1.htm| title=|Webster's Bible Translation| target=|_top|&gt;WBS&lt;/a&gt;</v>
      </c>
      <c r="AS91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10" t="str">
        <f>CONCATENATE("&lt;/li&gt;&lt;li&gt;&lt;a href=|http://",AT1191,"/haggai/1-1.htm","| ","title=|",AT1190,"| target=|_top|&gt;",AT1192,"&lt;/a&gt;")</f>
        <v>&lt;/li&gt;&lt;li&gt;&lt;a href=|http://biblebrowser.com/haggai/1-1.htm| title=|Split View| target=|_top|&gt;Split&lt;/a&gt;</v>
      </c>
      <c r="AU910" s="2" t="s">
        <v>1276</v>
      </c>
      <c r="AV910" t="s">
        <v>64</v>
      </c>
    </row>
    <row r="911" spans="1:48">
      <c r="A911" t="s">
        <v>622</v>
      </c>
      <c r="B911" t="s">
        <v>952</v>
      </c>
      <c r="C911" t="s">
        <v>624</v>
      </c>
      <c r="D911" t="s">
        <v>1268</v>
      </c>
      <c r="E911" t="s">
        <v>1277</v>
      </c>
      <c r="F911" t="s">
        <v>1304</v>
      </c>
      <c r="G911" t="s">
        <v>1266</v>
      </c>
      <c r="H911" t="s">
        <v>1305</v>
      </c>
      <c r="I911" t="s">
        <v>1303</v>
      </c>
      <c r="J911" t="s">
        <v>1267</v>
      </c>
      <c r="K911" t="s">
        <v>1275</v>
      </c>
      <c r="L911" s="2" t="s">
        <v>1274</v>
      </c>
      <c r="M911" t="str">
        <f t="shared" ref="M911:AB911" si="3640">CONCATENATE("&lt;/li&gt;&lt;li&gt;&lt;a href=|http://",M1191,"/haggai/2.htm","| ","title=|",M1190,"| target=|_top|&gt;",M1192,"&lt;/a&gt;")</f>
        <v>&lt;/li&gt;&lt;li&gt;&lt;a href=|http://niv.scripturetext.com/haggai/2.htm| title=|New International Version| target=|_top|&gt;NIV&lt;/a&gt;</v>
      </c>
      <c r="N911" t="str">
        <f t="shared" si="3640"/>
        <v>&lt;/li&gt;&lt;li&gt;&lt;a href=|http://nlt.scripturetext.com/haggai/2.htm| title=|New Living Translation| target=|_top|&gt;NLT&lt;/a&gt;</v>
      </c>
      <c r="O911" t="str">
        <f t="shared" si="3640"/>
        <v>&lt;/li&gt;&lt;li&gt;&lt;a href=|http://nasb.scripturetext.com/haggai/2.htm| title=|New American Standard Bible| target=|_top|&gt;NAS&lt;/a&gt;</v>
      </c>
      <c r="P911" t="str">
        <f t="shared" si="3640"/>
        <v>&lt;/li&gt;&lt;li&gt;&lt;a href=|http://gwt.scripturetext.com/haggai/2.htm| title=|God's Word Translation| target=|_top|&gt;GWT&lt;/a&gt;</v>
      </c>
      <c r="Q911" t="str">
        <f t="shared" si="3640"/>
        <v>&lt;/li&gt;&lt;li&gt;&lt;a href=|http://kingjbible.com/haggai/2.htm| title=|King James Bible| target=|_top|&gt;KJV&lt;/a&gt;</v>
      </c>
      <c r="R911" t="str">
        <f t="shared" si="3640"/>
        <v>&lt;/li&gt;&lt;li&gt;&lt;a href=|http://asvbible.com/haggai/2.htm| title=|American Standard Version| target=|_top|&gt;ASV&lt;/a&gt;</v>
      </c>
      <c r="S911" t="str">
        <f t="shared" si="3640"/>
        <v>&lt;/li&gt;&lt;li&gt;&lt;a href=|http://drb.scripturetext.com/haggai/2.htm| title=|Douay-Rheims Bible| target=|_top|&gt;DRB&lt;/a&gt;</v>
      </c>
      <c r="T911" t="str">
        <f t="shared" si="3640"/>
        <v>&lt;/li&gt;&lt;li&gt;&lt;a href=|http://erv.scripturetext.com/haggai/2.htm| title=|English Revised Version| target=|_top|&gt;ERV&lt;/a&gt;</v>
      </c>
      <c r="V911" t="str">
        <f>CONCATENATE("&lt;/li&gt;&lt;li&gt;&lt;a href=|http://",V1191,"/haggai/2.htm","| ","title=|",V1190,"| target=|_top|&gt;",V1192,"&lt;/a&gt;")</f>
        <v>&lt;/li&gt;&lt;li&gt;&lt;a href=|http://study.interlinearbible.org/haggai/2.htm| title=|Hebrew Study Bible| target=|_top|&gt;Heb Study&lt;/a&gt;</v>
      </c>
      <c r="W911" t="str">
        <f t="shared" si="3640"/>
        <v>&lt;/li&gt;&lt;li&gt;&lt;a href=|http://apostolic.interlinearbible.org/haggai/2.htm| title=|Apostolic Bible Polyglot Interlinear| target=|_top|&gt;Polyglot&lt;/a&gt;</v>
      </c>
      <c r="X911" t="str">
        <f t="shared" si="3640"/>
        <v>&lt;/li&gt;&lt;li&gt;&lt;a href=|http://interlinearbible.org/haggai/2.htm| title=|Interlinear Bible| target=|_top|&gt;Interlin&lt;/a&gt;</v>
      </c>
      <c r="Y911" t="str">
        <f t="shared" ref="Y911" si="3641">CONCATENATE("&lt;/li&gt;&lt;li&gt;&lt;a href=|http://",Y1191,"/haggai/2.htm","| ","title=|",Y1190,"| target=|_top|&gt;",Y1192,"&lt;/a&gt;")</f>
        <v>&lt;/li&gt;&lt;li&gt;&lt;a href=|http://bibleoutline.org/haggai/2.htm| title=|Outline with People and Places List| target=|_top|&gt;Outline&lt;/a&gt;</v>
      </c>
      <c r="Z911" t="str">
        <f t="shared" si="3640"/>
        <v>&lt;/li&gt;&lt;li&gt;&lt;a href=|http://kjvs.scripturetext.com/haggai/2.htm| title=|King James Bible with Strong's Numbers| target=|_top|&gt;Strong's&lt;/a&gt;</v>
      </c>
      <c r="AA911" t="str">
        <f t="shared" si="3640"/>
        <v>&lt;/li&gt;&lt;li&gt;&lt;a href=|http://childrensbibleonline.com/haggai/2.htm| title=|The Children's Bible| target=|_top|&gt;Children's&lt;/a&gt;</v>
      </c>
      <c r="AB911" s="2" t="str">
        <f t="shared" si="3640"/>
        <v>&lt;/li&gt;&lt;li&gt;&lt;a href=|http://tsk.scripturetext.com/haggai/2.htm| title=|Treasury of Scripture Knowledge| target=|_top|&gt;TSK&lt;/a&gt;</v>
      </c>
      <c r="AC911" t="str">
        <f>CONCATENATE("&lt;a href=|http://",AC1191,"/haggai/2.htm","| ","title=|",AC1190,"| target=|_top|&gt;",AC1192,"&lt;/a&gt;")</f>
        <v>&lt;a href=|http://parallelbible.com/haggai/2.htm| title=|Parallel Chapters| target=|_top|&gt;PAR&lt;/a&gt;</v>
      </c>
      <c r="AD911" s="2" t="str">
        <f t="shared" ref="AD911:AK911" si="3642">CONCATENATE("&lt;/li&gt;&lt;li&gt;&lt;a href=|http://",AD1191,"/haggai/2.htm","| ","title=|",AD1190,"| target=|_top|&gt;",AD1192,"&lt;/a&gt;")</f>
        <v>&lt;/li&gt;&lt;li&gt;&lt;a href=|http://gsb.biblecommenter.com/haggai/2.htm| title=|Geneva Study Bible| target=|_top|&gt;GSB&lt;/a&gt;</v>
      </c>
      <c r="AE911" s="2" t="str">
        <f t="shared" si="3642"/>
        <v>&lt;/li&gt;&lt;li&gt;&lt;a href=|http://jfb.biblecommenter.com/haggai/2.htm| title=|Jamieson-Fausset-Brown Bible Commentary| target=|_top|&gt;JFB&lt;/a&gt;</v>
      </c>
      <c r="AF911" s="2" t="str">
        <f t="shared" si="3642"/>
        <v>&lt;/li&gt;&lt;li&gt;&lt;a href=|http://kjt.biblecommenter.com/haggai/2.htm| title=|King James Translators' Notes| target=|_top|&gt;KJT&lt;/a&gt;</v>
      </c>
      <c r="AG911" s="2" t="str">
        <f t="shared" si="3642"/>
        <v>&lt;/li&gt;&lt;li&gt;&lt;a href=|http://mhc.biblecommenter.com/haggai/2.htm| title=|Matthew Henry's Concise Commentary| target=|_top|&gt;MHC&lt;/a&gt;</v>
      </c>
      <c r="AH911" s="2" t="str">
        <f t="shared" si="3642"/>
        <v>&lt;/li&gt;&lt;li&gt;&lt;a href=|http://sco.biblecommenter.com/haggai/2.htm| title=|Scofield Reference Notes| target=|_top|&gt;SCO&lt;/a&gt;</v>
      </c>
      <c r="AI911" s="2" t="str">
        <f t="shared" si="3642"/>
        <v>&lt;/li&gt;&lt;li&gt;&lt;a href=|http://wes.biblecommenter.com/haggai/2.htm| title=|Wesley's Notes on the Bible| target=|_top|&gt;WES&lt;/a&gt;</v>
      </c>
      <c r="AJ911" t="str">
        <f t="shared" si="3642"/>
        <v>&lt;/li&gt;&lt;li&gt;&lt;a href=|http://worldebible.com/haggai/2.htm| title=|World English Bible| target=|_top|&gt;WEB&lt;/a&gt;</v>
      </c>
      <c r="AK911" t="str">
        <f t="shared" si="3642"/>
        <v>&lt;/li&gt;&lt;li&gt;&lt;a href=|http://yltbible.com/haggai/2.htm| title=|Young's Literal Translation| target=|_top|&gt;YLT&lt;/a&gt;</v>
      </c>
      <c r="AL911" t="str">
        <f>CONCATENATE("&lt;a href=|http://",AL1191,"/haggai/2.htm","| ","title=|",AL1190,"| target=|_top|&gt;",AL1192,"&lt;/a&gt;")</f>
        <v>&lt;a href=|http://kjv.us/haggai/2.htm| title=|American King James Version| target=|_top|&gt;AKJ&lt;/a&gt;</v>
      </c>
      <c r="AM911" t="str">
        <f t="shared" ref="AM911:AN911" si="3643">CONCATENATE("&lt;/li&gt;&lt;li&gt;&lt;a href=|http://",AM1191,"/haggai/2.htm","| ","title=|",AM1190,"| target=|_top|&gt;",AM1192,"&lt;/a&gt;")</f>
        <v>&lt;/li&gt;&lt;li&gt;&lt;a href=|http://basicenglishbible.com/haggai/2.htm| title=|Bible in Basic English| target=|_top|&gt;BBE&lt;/a&gt;</v>
      </c>
      <c r="AN911" t="str">
        <f t="shared" si="3643"/>
        <v>&lt;/li&gt;&lt;li&gt;&lt;a href=|http://darbybible.com/haggai/2.htm| title=|Darby Bible Translation| target=|_top|&gt;DBY&lt;/a&gt;</v>
      </c>
      <c r="AO91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1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1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11" t="str">
        <f>CONCATENATE("&lt;/li&gt;&lt;li&gt;&lt;a href=|http://",AR1191,"/haggai/2.htm","| ","title=|",AR1190,"| target=|_top|&gt;",AR1192,"&lt;/a&gt;")</f>
        <v>&lt;/li&gt;&lt;li&gt;&lt;a href=|http://websterbible.com/haggai/2.htm| title=|Webster's Bible Translation| target=|_top|&gt;WBS&lt;/a&gt;</v>
      </c>
      <c r="AS91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11" t="str">
        <f>CONCATENATE("&lt;/li&gt;&lt;li&gt;&lt;a href=|http://",AT1191,"/haggai/2-1.htm","| ","title=|",AT1190,"| target=|_top|&gt;",AT1192,"&lt;/a&gt;")</f>
        <v>&lt;/li&gt;&lt;li&gt;&lt;a href=|http://biblebrowser.com/haggai/2-1.htm| title=|Split View| target=|_top|&gt;Split&lt;/a&gt;</v>
      </c>
      <c r="AU911" s="2" t="s">
        <v>1276</v>
      </c>
      <c r="AV911" t="s">
        <v>64</v>
      </c>
    </row>
    <row r="912" spans="1:48">
      <c r="A912" t="s">
        <v>622</v>
      </c>
      <c r="B912" t="s">
        <v>953</v>
      </c>
      <c r="C912" t="s">
        <v>624</v>
      </c>
      <c r="D912" t="s">
        <v>1268</v>
      </c>
      <c r="E912" t="s">
        <v>1277</v>
      </c>
      <c r="F912" t="s">
        <v>1304</v>
      </c>
      <c r="G912" t="s">
        <v>1266</v>
      </c>
      <c r="H912" t="s">
        <v>1305</v>
      </c>
      <c r="I912" t="s">
        <v>1303</v>
      </c>
      <c r="J912" t="s">
        <v>1267</v>
      </c>
      <c r="K912" t="s">
        <v>1275</v>
      </c>
      <c r="L912" s="2" t="s">
        <v>1274</v>
      </c>
      <c r="M912" t="str">
        <f t="shared" ref="M912:AB912" si="3644">CONCATENATE("&lt;/li&gt;&lt;li&gt;&lt;a href=|http://",M1191,"/zechariah/1.htm","| ","title=|",M1190,"| target=|_top|&gt;",M1192,"&lt;/a&gt;")</f>
        <v>&lt;/li&gt;&lt;li&gt;&lt;a href=|http://niv.scripturetext.com/zechariah/1.htm| title=|New International Version| target=|_top|&gt;NIV&lt;/a&gt;</v>
      </c>
      <c r="N912" t="str">
        <f t="shared" si="3644"/>
        <v>&lt;/li&gt;&lt;li&gt;&lt;a href=|http://nlt.scripturetext.com/zechariah/1.htm| title=|New Living Translation| target=|_top|&gt;NLT&lt;/a&gt;</v>
      </c>
      <c r="O912" t="str">
        <f t="shared" si="3644"/>
        <v>&lt;/li&gt;&lt;li&gt;&lt;a href=|http://nasb.scripturetext.com/zechariah/1.htm| title=|New American Standard Bible| target=|_top|&gt;NAS&lt;/a&gt;</v>
      </c>
      <c r="P912" t="str">
        <f t="shared" si="3644"/>
        <v>&lt;/li&gt;&lt;li&gt;&lt;a href=|http://gwt.scripturetext.com/zechariah/1.htm| title=|God's Word Translation| target=|_top|&gt;GWT&lt;/a&gt;</v>
      </c>
      <c r="Q912" t="str">
        <f t="shared" si="3644"/>
        <v>&lt;/li&gt;&lt;li&gt;&lt;a href=|http://kingjbible.com/zechariah/1.htm| title=|King James Bible| target=|_top|&gt;KJV&lt;/a&gt;</v>
      </c>
      <c r="R912" t="str">
        <f t="shared" si="3644"/>
        <v>&lt;/li&gt;&lt;li&gt;&lt;a href=|http://asvbible.com/zechariah/1.htm| title=|American Standard Version| target=|_top|&gt;ASV&lt;/a&gt;</v>
      </c>
      <c r="S912" t="str">
        <f t="shared" si="3644"/>
        <v>&lt;/li&gt;&lt;li&gt;&lt;a href=|http://drb.scripturetext.com/zechariah/1.htm| title=|Douay-Rheims Bible| target=|_top|&gt;DRB&lt;/a&gt;</v>
      </c>
      <c r="T912" t="str">
        <f t="shared" si="3644"/>
        <v>&lt;/li&gt;&lt;li&gt;&lt;a href=|http://erv.scripturetext.com/zechariah/1.htm| title=|English Revised Version| target=|_top|&gt;ERV&lt;/a&gt;</v>
      </c>
      <c r="V912" t="str">
        <f>CONCATENATE("&lt;/li&gt;&lt;li&gt;&lt;a href=|http://",V1191,"/zechariah/1.htm","| ","title=|",V1190,"| target=|_top|&gt;",V1192,"&lt;/a&gt;")</f>
        <v>&lt;/li&gt;&lt;li&gt;&lt;a href=|http://study.interlinearbible.org/zechariah/1.htm| title=|Hebrew Study Bible| target=|_top|&gt;Heb Study&lt;/a&gt;</v>
      </c>
      <c r="W912" t="str">
        <f t="shared" si="3644"/>
        <v>&lt;/li&gt;&lt;li&gt;&lt;a href=|http://apostolic.interlinearbible.org/zechariah/1.htm| title=|Apostolic Bible Polyglot Interlinear| target=|_top|&gt;Polyglot&lt;/a&gt;</v>
      </c>
      <c r="X912" t="str">
        <f t="shared" si="3644"/>
        <v>&lt;/li&gt;&lt;li&gt;&lt;a href=|http://interlinearbible.org/zechariah/1.htm| title=|Interlinear Bible| target=|_top|&gt;Interlin&lt;/a&gt;</v>
      </c>
      <c r="Y912" t="str">
        <f t="shared" ref="Y912" si="3645">CONCATENATE("&lt;/li&gt;&lt;li&gt;&lt;a href=|http://",Y1191,"/zechariah/1.htm","| ","title=|",Y1190,"| target=|_top|&gt;",Y1192,"&lt;/a&gt;")</f>
        <v>&lt;/li&gt;&lt;li&gt;&lt;a href=|http://bibleoutline.org/zechariah/1.htm| title=|Outline with People and Places List| target=|_top|&gt;Outline&lt;/a&gt;</v>
      </c>
      <c r="Z912" t="str">
        <f t="shared" si="3644"/>
        <v>&lt;/li&gt;&lt;li&gt;&lt;a href=|http://kjvs.scripturetext.com/zechariah/1.htm| title=|King James Bible with Strong's Numbers| target=|_top|&gt;Strong's&lt;/a&gt;</v>
      </c>
      <c r="AA912" t="str">
        <f t="shared" si="3644"/>
        <v>&lt;/li&gt;&lt;li&gt;&lt;a href=|http://childrensbibleonline.com/zechariah/1.htm| title=|The Children's Bible| target=|_top|&gt;Children's&lt;/a&gt;</v>
      </c>
      <c r="AB912" s="2" t="str">
        <f t="shared" si="3644"/>
        <v>&lt;/li&gt;&lt;li&gt;&lt;a href=|http://tsk.scripturetext.com/zechariah/1.htm| title=|Treasury of Scripture Knowledge| target=|_top|&gt;TSK&lt;/a&gt;</v>
      </c>
      <c r="AC912" t="str">
        <f>CONCATENATE("&lt;a href=|http://",AC1191,"/zechariah/1.htm","| ","title=|",AC1190,"| target=|_top|&gt;",AC1192,"&lt;/a&gt;")</f>
        <v>&lt;a href=|http://parallelbible.com/zechariah/1.htm| title=|Parallel Chapters| target=|_top|&gt;PAR&lt;/a&gt;</v>
      </c>
      <c r="AD912" s="2" t="str">
        <f t="shared" ref="AD912:AK912" si="3646">CONCATENATE("&lt;/li&gt;&lt;li&gt;&lt;a href=|http://",AD1191,"/zechariah/1.htm","| ","title=|",AD1190,"| target=|_top|&gt;",AD1192,"&lt;/a&gt;")</f>
        <v>&lt;/li&gt;&lt;li&gt;&lt;a href=|http://gsb.biblecommenter.com/zechariah/1.htm| title=|Geneva Study Bible| target=|_top|&gt;GSB&lt;/a&gt;</v>
      </c>
      <c r="AE912" s="2" t="str">
        <f t="shared" si="3646"/>
        <v>&lt;/li&gt;&lt;li&gt;&lt;a href=|http://jfb.biblecommenter.com/zechariah/1.htm| title=|Jamieson-Fausset-Brown Bible Commentary| target=|_top|&gt;JFB&lt;/a&gt;</v>
      </c>
      <c r="AF912" s="2" t="str">
        <f t="shared" si="3646"/>
        <v>&lt;/li&gt;&lt;li&gt;&lt;a href=|http://kjt.biblecommenter.com/zechariah/1.htm| title=|King James Translators' Notes| target=|_top|&gt;KJT&lt;/a&gt;</v>
      </c>
      <c r="AG912" s="2" t="str">
        <f t="shared" si="3646"/>
        <v>&lt;/li&gt;&lt;li&gt;&lt;a href=|http://mhc.biblecommenter.com/zechariah/1.htm| title=|Matthew Henry's Concise Commentary| target=|_top|&gt;MHC&lt;/a&gt;</v>
      </c>
      <c r="AH912" s="2" t="str">
        <f t="shared" si="3646"/>
        <v>&lt;/li&gt;&lt;li&gt;&lt;a href=|http://sco.biblecommenter.com/zechariah/1.htm| title=|Scofield Reference Notes| target=|_top|&gt;SCO&lt;/a&gt;</v>
      </c>
      <c r="AI912" s="2" t="str">
        <f t="shared" si="3646"/>
        <v>&lt;/li&gt;&lt;li&gt;&lt;a href=|http://wes.biblecommenter.com/zechariah/1.htm| title=|Wesley's Notes on the Bible| target=|_top|&gt;WES&lt;/a&gt;</v>
      </c>
      <c r="AJ912" t="str">
        <f t="shared" si="3646"/>
        <v>&lt;/li&gt;&lt;li&gt;&lt;a href=|http://worldebible.com/zechariah/1.htm| title=|World English Bible| target=|_top|&gt;WEB&lt;/a&gt;</v>
      </c>
      <c r="AK912" t="str">
        <f t="shared" si="3646"/>
        <v>&lt;/li&gt;&lt;li&gt;&lt;a href=|http://yltbible.com/zechariah/1.htm| title=|Young's Literal Translation| target=|_top|&gt;YLT&lt;/a&gt;</v>
      </c>
      <c r="AL912" t="str">
        <f>CONCATENATE("&lt;a href=|http://",AL1191,"/zechariah/1.htm","| ","title=|",AL1190,"| target=|_top|&gt;",AL1192,"&lt;/a&gt;")</f>
        <v>&lt;a href=|http://kjv.us/zechariah/1.htm| title=|American King James Version| target=|_top|&gt;AKJ&lt;/a&gt;</v>
      </c>
      <c r="AM912" t="str">
        <f t="shared" ref="AM912:AN912" si="3647">CONCATENATE("&lt;/li&gt;&lt;li&gt;&lt;a href=|http://",AM1191,"/zechariah/1.htm","| ","title=|",AM1190,"| target=|_top|&gt;",AM1192,"&lt;/a&gt;")</f>
        <v>&lt;/li&gt;&lt;li&gt;&lt;a href=|http://basicenglishbible.com/zechariah/1.htm| title=|Bible in Basic English| target=|_top|&gt;BBE&lt;/a&gt;</v>
      </c>
      <c r="AN912" t="str">
        <f t="shared" si="3647"/>
        <v>&lt;/li&gt;&lt;li&gt;&lt;a href=|http://darbybible.com/zechariah/1.htm| title=|Darby Bible Translation| target=|_top|&gt;DBY&lt;/a&gt;</v>
      </c>
      <c r="AO91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1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1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12" t="str">
        <f>CONCATENATE("&lt;/li&gt;&lt;li&gt;&lt;a href=|http://",AR1191,"/zechariah/1.htm","| ","title=|",AR1190,"| target=|_top|&gt;",AR1192,"&lt;/a&gt;")</f>
        <v>&lt;/li&gt;&lt;li&gt;&lt;a href=|http://websterbible.com/zechariah/1.htm| title=|Webster's Bible Translation| target=|_top|&gt;WBS&lt;/a&gt;</v>
      </c>
      <c r="AS91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12" t="str">
        <f>CONCATENATE("&lt;/li&gt;&lt;li&gt;&lt;a href=|http://",AT1191,"/zechariah/1-1.htm","| ","title=|",AT1190,"| target=|_top|&gt;",AT1192,"&lt;/a&gt;")</f>
        <v>&lt;/li&gt;&lt;li&gt;&lt;a href=|http://biblebrowser.com/zechariah/1-1.htm| title=|Split View| target=|_top|&gt;Split&lt;/a&gt;</v>
      </c>
      <c r="AU912" s="2" t="s">
        <v>1276</v>
      </c>
      <c r="AV912" t="s">
        <v>64</v>
      </c>
    </row>
    <row r="913" spans="1:48">
      <c r="A913" t="s">
        <v>622</v>
      </c>
      <c r="B913" t="s">
        <v>954</v>
      </c>
      <c r="C913" t="s">
        <v>624</v>
      </c>
      <c r="D913" t="s">
        <v>1268</v>
      </c>
      <c r="E913" t="s">
        <v>1277</v>
      </c>
      <c r="F913" t="s">
        <v>1304</v>
      </c>
      <c r="G913" t="s">
        <v>1266</v>
      </c>
      <c r="H913" t="s">
        <v>1305</v>
      </c>
      <c r="I913" t="s">
        <v>1303</v>
      </c>
      <c r="J913" t="s">
        <v>1267</v>
      </c>
      <c r="K913" t="s">
        <v>1275</v>
      </c>
      <c r="L913" s="2" t="s">
        <v>1274</v>
      </c>
      <c r="M913" t="str">
        <f t="shared" ref="M913:AB913" si="3648">CONCATENATE("&lt;/li&gt;&lt;li&gt;&lt;a href=|http://",M1191,"/zechariah/2.htm","| ","title=|",M1190,"| target=|_top|&gt;",M1192,"&lt;/a&gt;")</f>
        <v>&lt;/li&gt;&lt;li&gt;&lt;a href=|http://niv.scripturetext.com/zechariah/2.htm| title=|New International Version| target=|_top|&gt;NIV&lt;/a&gt;</v>
      </c>
      <c r="N913" t="str">
        <f t="shared" si="3648"/>
        <v>&lt;/li&gt;&lt;li&gt;&lt;a href=|http://nlt.scripturetext.com/zechariah/2.htm| title=|New Living Translation| target=|_top|&gt;NLT&lt;/a&gt;</v>
      </c>
      <c r="O913" t="str">
        <f t="shared" si="3648"/>
        <v>&lt;/li&gt;&lt;li&gt;&lt;a href=|http://nasb.scripturetext.com/zechariah/2.htm| title=|New American Standard Bible| target=|_top|&gt;NAS&lt;/a&gt;</v>
      </c>
      <c r="P913" t="str">
        <f t="shared" si="3648"/>
        <v>&lt;/li&gt;&lt;li&gt;&lt;a href=|http://gwt.scripturetext.com/zechariah/2.htm| title=|God's Word Translation| target=|_top|&gt;GWT&lt;/a&gt;</v>
      </c>
      <c r="Q913" t="str">
        <f t="shared" si="3648"/>
        <v>&lt;/li&gt;&lt;li&gt;&lt;a href=|http://kingjbible.com/zechariah/2.htm| title=|King James Bible| target=|_top|&gt;KJV&lt;/a&gt;</v>
      </c>
      <c r="R913" t="str">
        <f t="shared" si="3648"/>
        <v>&lt;/li&gt;&lt;li&gt;&lt;a href=|http://asvbible.com/zechariah/2.htm| title=|American Standard Version| target=|_top|&gt;ASV&lt;/a&gt;</v>
      </c>
      <c r="S913" t="str">
        <f t="shared" si="3648"/>
        <v>&lt;/li&gt;&lt;li&gt;&lt;a href=|http://drb.scripturetext.com/zechariah/2.htm| title=|Douay-Rheims Bible| target=|_top|&gt;DRB&lt;/a&gt;</v>
      </c>
      <c r="T913" t="str">
        <f t="shared" si="3648"/>
        <v>&lt;/li&gt;&lt;li&gt;&lt;a href=|http://erv.scripturetext.com/zechariah/2.htm| title=|English Revised Version| target=|_top|&gt;ERV&lt;/a&gt;</v>
      </c>
      <c r="V913" t="str">
        <f>CONCATENATE("&lt;/li&gt;&lt;li&gt;&lt;a href=|http://",V1191,"/zechariah/2.htm","| ","title=|",V1190,"| target=|_top|&gt;",V1192,"&lt;/a&gt;")</f>
        <v>&lt;/li&gt;&lt;li&gt;&lt;a href=|http://study.interlinearbible.org/zechariah/2.htm| title=|Hebrew Study Bible| target=|_top|&gt;Heb Study&lt;/a&gt;</v>
      </c>
      <c r="W913" t="str">
        <f t="shared" si="3648"/>
        <v>&lt;/li&gt;&lt;li&gt;&lt;a href=|http://apostolic.interlinearbible.org/zechariah/2.htm| title=|Apostolic Bible Polyglot Interlinear| target=|_top|&gt;Polyglot&lt;/a&gt;</v>
      </c>
      <c r="X913" t="str">
        <f t="shared" si="3648"/>
        <v>&lt;/li&gt;&lt;li&gt;&lt;a href=|http://interlinearbible.org/zechariah/2.htm| title=|Interlinear Bible| target=|_top|&gt;Interlin&lt;/a&gt;</v>
      </c>
      <c r="Y913" t="str">
        <f t="shared" ref="Y913" si="3649">CONCATENATE("&lt;/li&gt;&lt;li&gt;&lt;a href=|http://",Y1191,"/zechariah/2.htm","| ","title=|",Y1190,"| target=|_top|&gt;",Y1192,"&lt;/a&gt;")</f>
        <v>&lt;/li&gt;&lt;li&gt;&lt;a href=|http://bibleoutline.org/zechariah/2.htm| title=|Outline with People and Places List| target=|_top|&gt;Outline&lt;/a&gt;</v>
      </c>
      <c r="Z913" t="str">
        <f t="shared" si="3648"/>
        <v>&lt;/li&gt;&lt;li&gt;&lt;a href=|http://kjvs.scripturetext.com/zechariah/2.htm| title=|King James Bible with Strong's Numbers| target=|_top|&gt;Strong's&lt;/a&gt;</v>
      </c>
      <c r="AA913" t="str">
        <f t="shared" si="3648"/>
        <v>&lt;/li&gt;&lt;li&gt;&lt;a href=|http://childrensbibleonline.com/zechariah/2.htm| title=|The Children's Bible| target=|_top|&gt;Children's&lt;/a&gt;</v>
      </c>
      <c r="AB913" s="2" t="str">
        <f t="shared" si="3648"/>
        <v>&lt;/li&gt;&lt;li&gt;&lt;a href=|http://tsk.scripturetext.com/zechariah/2.htm| title=|Treasury of Scripture Knowledge| target=|_top|&gt;TSK&lt;/a&gt;</v>
      </c>
      <c r="AC913" t="str">
        <f>CONCATENATE("&lt;a href=|http://",AC1191,"/zechariah/2.htm","| ","title=|",AC1190,"| target=|_top|&gt;",AC1192,"&lt;/a&gt;")</f>
        <v>&lt;a href=|http://parallelbible.com/zechariah/2.htm| title=|Parallel Chapters| target=|_top|&gt;PAR&lt;/a&gt;</v>
      </c>
      <c r="AD913" s="2" t="str">
        <f t="shared" ref="AD913:AK913" si="3650">CONCATENATE("&lt;/li&gt;&lt;li&gt;&lt;a href=|http://",AD1191,"/zechariah/2.htm","| ","title=|",AD1190,"| target=|_top|&gt;",AD1192,"&lt;/a&gt;")</f>
        <v>&lt;/li&gt;&lt;li&gt;&lt;a href=|http://gsb.biblecommenter.com/zechariah/2.htm| title=|Geneva Study Bible| target=|_top|&gt;GSB&lt;/a&gt;</v>
      </c>
      <c r="AE913" s="2" t="str">
        <f t="shared" si="3650"/>
        <v>&lt;/li&gt;&lt;li&gt;&lt;a href=|http://jfb.biblecommenter.com/zechariah/2.htm| title=|Jamieson-Fausset-Brown Bible Commentary| target=|_top|&gt;JFB&lt;/a&gt;</v>
      </c>
      <c r="AF913" s="2" t="str">
        <f t="shared" si="3650"/>
        <v>&lt;/li&gt;&lt;li&gt;&lt;a href=|http://kjt.biblecommenter.com/zechariah/2.htm| title=|King James Translators' Notes| target=|_top|&gt;KJT&lt;/a&gt;</v>
      </c>
      <c r="AG913" s="2" t="str">
        <f t="shared" si="3650"/>
        <v>&lt;/li&gt;&lt;li&gt;&lt;a href=|http://mhc.biblecommenter.com/zechariah/2.htm| title=|Matthew Henry's Concise Commentary| target=|_top|&gt;MHC&lt;/a&gt;</v>
      </c>
      <c r="AH913" s="2" t="str">
        <f t="shared" si="3650"/>
        <v>&lt;/li&gt;&lt;li&gt;&lt;a href=|http://sco.biblecommenter.com/zechariah/2.htm| title=|Scofield Reference Notes| target=|_top|&gt;SCO&lt;/a&gt;</v>
      </c>
      <c r="AI913" s="2" t="str">
        <f t="shared" si="3650"/>
        <v>&lt;/li&gt;&lt;li&gt;&lt;a href=|http://wes.biblecommenter.com/zechariah/2.htm| title=|Wesley's Notes on the Bible| target=|_top|&gt;WES&lt;/a&gt;</v>
      </c>
      <c r="AJ913" t="str">
        <f t="shared" si="3650"/>
        <v>&lt;/li&gt;&lt;li&gt;&lt;a href=|http://worldebible.com/zechariah/2.htm| title=|World English Bible| target=|_top|&gt;WEB&lt;/a&gt;</v>
      </c>
      <c r="AK913" t="str">
        <f t="shared" si="3650"/>
        <v>&lt;/li&gt;&lt;li&gt;&lt;a href=|http://yltbible.com/zechariah/2.htm| title=|Young's Literal Translation| target=|_top|&gt;YLT&lt;/a&gt;</v>
      </c>
      <c r="AL913" t="str">
        <f>CONCATENATE("&lt;a href=|http://",AL1191,"/zechariah/2.htm","| ","title=|",AL1190,"| target=|_top|&gt;",AL1192,"&lt;/a&gt;")</f>
        <v>&lt;a href=|http://kjv.us/zechariah/2.htm| title=|American King James Version| target=|_top|&gt;AKJ&lt;/a&gt;</v>
      </c>
      <c r="AM913" t="str">
        <f t="shared" ref="AM913:AN913" si="3651">CONCATENATE("&lt;/li&gt;&lt;li&gt;&lt;a href=|http://",AM1191,"/zechariah/2.htm","| ","title=|",AM1190,"| target=|_top|&gt;",AM1192,"&lt;/a&gt;")</f>
        <v>&lt;/li&gt;&lt;li&gt;&lt;a href=|http://basicenglishbible.com/zechariah/2.htm| title=|Bible in Basic English| target=|_top|&gt;BBE&lt;/a&gt;</v>
      </c>
      <c r="AN913" t="str">
        <f t="shared" si="3651"/>
        <v>&lt;/li&gt;&lt;li&gt;&lt;a href=|http://darbybible.com/zechariah/2.htm| title=|Darby Bible Translation| target=|_top|&gt;DBY&lt;/a&gt;</v>
      </c>
      <c r="AO91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1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1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13" t="str">
        <f>CONCATENATE("&lt;/li&gt;&lt;li&gt;&lt;a href=|http://",AR1191,"/zechariah/2.htm","| ","title=|",AR1190,"| target=|_top|&gt;",AR1192,"&lt;/a&gt;")</f>
        <v>&lt;/li&gt;&lt;li&gt;&lt;a href=|http://websterbible.com/zechariah/2.htm| title=|Webster's Bible Translation| target=|_top|&gt;WBS&lt;/a&gt;</v>
      </c>
      <c r="AS91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13" t="str">
        <f>CONCATENATE("&lt;/li&gt;&lt;li&gt;&lt;a href=|http://",AT1191,"/zechariah/2-1.htm","| ","title=|",AT1190,"| target=|_top|&gt;",AT1192,"&lt;/a&gt;")</f>
        <v>&lt;/li&gt;&lt;li&gt;&lt;a href=|http://biblebrowser.com/zechariah/2-1.htm| title=|Split View| target=|_top|&gt;Split&lt;/a&gt;</v>
      </c>
      <c r="AU913" s="2" t="s">
        <v>1276</v>
      </c>
      <c r="AV913" t="s">
        <v>64</v>
      </c>
    </row>
    <row r="914" spans="1:48">
      <c r="A914" t="s">
        <v>622</v>
      </c>
      <c r="B914" t="s">
        <v>955</v>
      </c>
      <c r="C914" t="s">
        <v>624</v>
      </c>
      <c r="D914" t="s">
        <v>1268</v>
      </c>
      <c r="E914" t="s">
        <v>1277</v>
      </c>
      <c r="F914" t="s">
        <v>1304</v>
      </c>
      <c r="G914" t="s">
        <v>1266</v>
      </c>
      <c r="H914" t="s">
        <v>1305</v>
      </c>
      <c r="I914" t="s">
        <v>1303</v>
      </c>
      <c r="J914" t="s">
        <v>1267</v>
      </c>
      <c r="K914" t="s">
        <v>1275</v>
      </c>
      <c r="L914" s="2" t="s">
        <v>1274</v>
      </c>
      <c r="M914" t="str">
        <f t="shared" ref="M914:AB914" si="3652">CONCATENATE("&lt;/li&gt;&lt;li&gt;&lt;a href=|http://",M1191,"/zechariah/3.htm","| ","title=|",M1190,"| target=|_top|&gt;",M1192,"&lt;/a&gt;")</f>
        <v>&lt;/li&gt;&lt;li&gt;&lt;a href=|http://niv.scripturetext.com/zechariah/3.htm| title=|New International Version| target=|_top|&gt;NIV&lt;/a&gt;</v>
      </c>
      <c r="N914" t="str">
        <f t="shared" si="3652"/>
        <v>&lt;/li&gt;&lt;li&gt;&lt;a href=|http://nlt.scripturetext.com/zechariah/3.htm| title=|New Living Translation| target=|_top|&gt;NLT&lt;/a&gt;</v>
      </c>
      <c r="O914" t="str">
        <f t="shared" si="3652"/>
        <v>&lt;/li&gt;&lt;li&gt;&lt;a href=|http://nasb.scripturetext.com/zechariah/3.htm| title=|New American Standard Bible| target=|_top|&gt;NAS&lt;/a&gt;</v>
      </c>
      <c r="P914" t="str">
        <f t="shared" si="3652"/>
        <v>&lt;/li&gt;&lt;li&gt;&lt;a href=|http://gwt.scripturetext.com/zechariah/3.htm| title=|God's Word Translation| target=|_top|&gt;GWT&lt;/a&gt;</v>
      </c>
      <c r="Q914" t="str">
        <f t="shared" si="3652"/>
        <v>&lt;/li&gt;&lt;li&gt;&lt;a href=|http://kingjbible.com/zechariah/3.htm| title=|King James Bible| target=|_top|&gt;KJV&lt;/a&gt;</v>
      </c>
      <c r="R914" t="str">
        <f t="shared" si="3652"/>
        <v>&lt;/li&gt;&lt;li&gt;&lt;a href=|http://asvbible.com/zechariah/3.htm| title=|American Standard Version| target=|_top|&gt;ASV&lt;/a&gt;</v>
      </c>
      <c r="S914" t="str">
        <f t="shared" si="3652"/>
        <v>&lt;/li&gt;&lt;li&gt;&lt;a href=|http://drb.scripturetext.com/zechariah/3.htm| title=|Douay-Rheims Bible| target=|_top|&gt;DRB&lt;/a&gt;</v>
      </c>
      <c r="T914" t="str">
        <f t="shared" si="3652"/>
        <v>&lt;/li&gt;&lt;li&gt;&lt;a href=|http://erv.scripturetext.com/zechariah/3.htm| title=|English Revised Version| target=|_top|&gt;ERV&lt;/a&gt;</v>
      </c>
      <c r="V914" t="str">
        <f>CONCATENATE("&lt;/li&gt;&lt;li&gt;&lt;a href=|http://",V1191,"/zechariah/3.htm","| ","title=|",V1190,"| target=|_top|&gt;",V1192,"&lt;/a&gt;")</f>
        <v>&lt;/li&gt;&lt;li&gt;&lt;a href=|http://study.interlinearbible.org/zechariah/3.htm| title=|Hebrew Study Bible| target=|_top|&gt;Heb Study&lt;/a&gt;</v>
      </c>
      <c r="W914" t="str">
        <f t="shared" si="3652"/>
        <v>&lt;/li&gt;&lt;li&gt;&lt;a href=|http://apostolic.interlinearbible.org/zechariah/3.htm| title=|Apostolic Bible Polyglot Interlinear| target=|_top|&gt;Polyglot&lt;/a&gt;</v>
      </c>
      <c r="X914" t="str">
        <f t="shared" si="3652"/>
        <v>&lt;/li&gt;&lt;li&gt;&lt;a href=|http://interlinearbible.org/zechariah/3.htm| title=|Interlinear Bible| target=|_top|&gt;Interlin&lt;/a&gt;</v>
      </c>
      <c r="Y914" t="str">
        <f t="shared" ref="Y914" si="3653">CONCATENATE("&lt;/li&gt;&lt;li&gt;&lt;a href=|http://",Y1191,"/zechariah/3.htm","| ","title=|",Y1190,"| target=|_top|&gt;",Y1192,"&lt;/a&gt;")</f>
        <v>&lt;/li&gt;&lt;li&gt;&lt;a href=|http://bibleoutline.org/zechariah/3.htm| title=|Outline with People and Places List| target=|_top|&gt;Outline&lt;/a&gt;</v>
      </c>
      <c r="Z914" t="str">
        <f t="shared" si="3652"/>
        <v>&lt;/li&gt;&lt;li&gt;&lt;a href=|http://kjvs.scripturetext.com/zechariah/3.htm| title=|King James Bible with Strong's Numbers| target=|_top|&gt;Strong's&lt;/a&gt;</v>
      </c>
      <c r="AA914" t="str">
        <f t="shared" si="3652"/>
        <v>&lt;/li&gt;&lt;li&gt;&lt;a href=|http://childrensbibleonline.com/zechariah/3.htm| title=|The Children's Bible| target=|_top|&gt;Children's&lt;/a&gt;</v>
      </c>
      <c r="AB914" s="2" t="str">
        <f t="shared" si="3652"/>
        <v>&lt;/li&gt;&lt;li&gt;&lt;a href=|http://tsk.scripturetext.com/zechariah/3.htm| title=|Treasury of Scripture Knowledge| target=|_top|&gt;TSK&lt;/a&gt;</v>
      </c>
      <c r="AC914" t="str">
        <f>CONCATENATE("&lt;a href=|http://",AC1191,"/zechariah/3.htm","| ","title=|",AC1190,"| target=|_top|&gt;",AC1192,"&lt;/a&gt;")</f>
        <v>&lt;a href=|http://parallelbible.com/zechariah/3.htm| title=|Parallel Chapters| target=|_top|&gt;PAR&lt;/a&gt;</v>
      </c>
      <c r="AD914" s="2" t="str">
        <f t="shared" ref="AD914:AK914" si="3654">CONCATENATE("&lt;/li&gt;&lt;li&gt;&lt;a href=|http://",AD1191,"/zechariah/3.htm","| ","title=|",AD1190,"| target=|_top|&gt;",AD1192,"&lt;/a&gt;")</f>
        <v>&lt;/li&gt;&lt;li&gt;&lt;a href=|http://gsb.biblecommenter.com/zechariah/3.htm| title=|Geneva Study Bible| target=|_top|&gt;GSB&lt;/a&gt;</v>
      </c>
      <c r="AE914" s="2" t="str">
        <f t="shared" si="3654"/>
        <v>&lt;/li&gt;&lt;li&gt;&lt;a href=|http://jfb.biblecommenter.com/zechariah/3.htm| title=|Jamieson-Fausset-Brown Bible Commentary| target=|_top|&gt;JFB&lt;/a&gt;</v>
      </c>
      <c r="AF914" s="2" t="str">
        <f t="shared" si="3654"/>
        <v>&lt;/li&gt;&lt;li&gt;&lt;a href=|http://kjt.biblecommenter.com/zechariah/3.htm| title=|King James Translators' Notes| target=|_top|&gt;KJT&lt;/a&gt;</v>
      </c>
      <c r="AG914" s="2" t="str">
        <f t="shared" si="3654"/>
        <v>&lt;/li&gt;&lt;li&gt;&lt;a href=|http://mhc.biblecommenter.com/zechariah/3.htm| title=|Matthew Henry's Concise Commentary| target=|_top|&gt;MHC&lt;/a&gt;</v>
      </c>
      <c r="AH914" s="2" t="str">
        <f t="shared" si="3654"/>
        <v>&lt;/li&gt;&lt;li&gt;&lt;a href=|http://sco.biblecommenter.com/zechariah/3.htm| title=|Scofield Reference Notes| target=|_top|&gt;SCO&lt;/a&gt;</v>
      </c>
      <c r="AI914" s="2" t="str">
        <f t="shared" si="3654"/>
        <v>&lt;/li&gt;&lt;li&gt;&lt;a href=|http://wes.biblecommenter.com/zechariah/3.htm| title=|Wesley's Notes on the Bible| target=|_top|&gt;WES&lt;/a&gt;</v>
      </c>
      <c r="AJ914" t="str">
        <f t="shared" si="3654"/>
        <v>&lt;/li&gt;&lt;li&gt;&lt;a href=|http://worldebible.com/zechariah/3.htm| title=|World English Bible| target=|_top|&gt;WEB&lt;/a&gt;</v>
      </c>
      <c r="AK914" t="str">
        <f t="shared" si="3654"/>
        <v>&lt;/li&gt;&lt;li&gt;&lt;a href=|http://yltbible.com/zechariah/3.htm| title=|Young's Literal Translation| target=|_top|&gt;YLT&lt;/a&gt;</v>
      </c>
      <c r="AL914" t="str">
        <f>CONCATENATE("&lt;a href=|http://",AL1191,"/zechariah/3.htm","| ","title=|",AL1190,"| target=|_top|&gt;",AL1192,"&lt;/a&gt;")</f>
        <v>&lt;a href=|http://kjv.us/zechariah/3.htm| title=|American King James Version| target=|_top|&gt;AKJ&lt;/a&gt;</v>
      </c>
      <c r="AM914" t="str">
        <f t="shared" ref="AM914:AN914" si="3655">CONCATENATE("&lt;/li&gt;&lt;li&gt;&lt;a href=|http://",AM1191,"/zechariah/3.htm","| ","title=|",AM1190,"| target=|_top|&gt;",AM1192,"&lt;/a&gt;")</f>
        <v>&lt;/li&gt;&lt;li&gt;&lt;a href=|http://basicenglishbible.com/zechariah/3.htm| title=|Bible in Basic English| target=|_top|&gt;BBE&lt;/a&gt;</v>
      </c>
      <c r="AN914" t="str">
        <f t="shared" si="3655"/>
        <v>&lt;/li&gt;&lt;li&gt;&lt;a href=|http://darbybible.com/zechariah/3.htm| title=|Darby Bible Translation| target=|_top|&gt;DBY&lt;/a&gt;</v>
      </c>
      <c r="AO91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1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1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14" t="str">
        <f>CONCATENATE("&lt;/li&gt;&lt;li&gt;&lt;a href=|http://",AR1191,"/zechariah/3.htm","| ","title=|",AR1190,"| target=|_top|&gt;",AR1192,"&lt;/a&gt;")</f>
        <v>&lt;/li&gt;&lt;li&gt;&lt;a href=|http://websterbible.com/zechariah/3.htm| title=|Webster's Bible Translation| target=|_top|&gt;WBS&lt;/a&gt;</v>
      </c>
      <c r="AS91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14" t="str">
        <f>CONCATENATE("&lt;/li&gt;&lt;li&gt;&lt;a href=|http://",AT1191,"/zechariah/3-1.htm","| ","title=|",AT1190,"| target=|_top|&gt;",AT1192,"&lt;/a&gt;")</f>
        <v>&lt;/li&gt;&lt;li&gt;&lt;a href=|http://biblebrowser.com/zechariah/3-1.htm| title=|Split View| target=|_top|&gt;Split&lt;/a&gt;</v>
      </c>
      <c r="AU914" s="2" t="s">
        <v>1276</v>
      </c>
      <c r="AV914" t="s">
        <v>64</v>
      </c>
    </row>
    <row r="915" spans="1:48">
      <c r="A915" t="s">
        <v>622</v>
      </c>
      <c r="B915" t="s">
        <v>956</v>
      </c>
      <c r="C915" t="s">
        <v>624</v>
      </c>
      <c r="D915" t="s">
        <v>1268</v>
      </c>
      <c r="E915" t="s">
        <v>1277</v>
      </c>
      <c r="F915" t="s">
        <v>1304</v>
      </c>
      <c r="G915" t="s">
        <v>1266</v>
      </c>
      <c r="H915" t="s">
        <v>1305</v>
      </c>
      <c r="I915" t="s">
        <v>1303</v>
      </c>
      <c r="J915" t="s">
        <v>1267</v>
      </c>
      <c r="K915" t="s">
        <v>1275</v>
      </c>
      <c r="L915" s="2" t="s">
        <v>1274</v>
      </c>
      <c r="M915" t="str">
        <f t="shared" ref="M915:AB915" si="3656">CONCATENATE("&lt;/li&gt;&lt;li&gt;&lt;a href=|http://",M1191,"/zechariah/4.htm","| ","title=|",M1190,"| target=|_top|&gt;",M1192,"&lt;/a&gt;")</f>
        <v>&lt;/li&gt;&lt;li&gt;&lt;a href=|http://niv.scripturetext.com/zechariah/4.htm| title=|New International Version| target=|_top|&gt;NIV&lt;/a&gt;</v>
      </c>
      <c r="N915" t="str">
        <f t="shared" si="3656"/>
        <v>&lt;/li&gt;&lt;li&gt;&lt;a href=|http://nlt.scripturetext.com/zechariah/4.htm| title=|New Living Translation| target=|_top|&gt;NLT&lt;/a&gt;</v>
      </c>
      <c r="O915" t="str">
        <f t="shared" si="3656"/>
        <v>&lt;/li&gt;&lt;li&gt;&lt;a href=|http://nasb.scripturetext.com/zechariah/4.htm| title=|New American Standard Bible| target=|_top|&gt;NAS&lt;/a&gt;</v>
      </c>
      <c r="P915" t="str">
        <f t="shared" si="3656"/>
        <v>&lt;/li&gt;&lt;li&gt;&lt;a href=|http://gwt.scripturetext.com/zechariah/4.htm| title=|God's Word Translation| target=|_top|&gt;GWT&lt;/a&gt;</v>
      </c>
      <c r="Q915" t="str">
        <f t="shared" si="3656"/>
        <v>&lt;/li&gt;&lt;li&gt;&lt;a href=|http://kingjbible.com/zechariah/4.htm| title=|King James Bible| target=|_top|&gt;KJV&lt;/a&gt;</v>
      </c>
      <c r="R915" t="str">
        <f t="shared" si="3656"/>
        <v>&lt;/li&gt;&lt;li&gt;&lt;a href=|http://asvbible.com/zechariah/4.htm| title=|American Standard Version| target=|_top|&gt;ASV&lt;/a&gt;</v>
      </c>
      <c r="S915" t="str">
        <f t="shared" si="3656"/>
        <v>&lt;/li&gt;&lt;li&gt;&lt;a href=|http://drb.scripturetext.com/zechariah/4.htm| title=|Douay-Rheims Bible| target=|_top|&gt;DRB&lt;/a&gt;</v>
      </c>
      <c r="T915" t="str">
        <f t="shared" si="3656"/>
        <v>&lt;/li&gt;&lt;li&gt;&lt;a href=|http://erv.scripturetext.com/zechariah/4.htm| title=|English Revised Version| target=|_top|&gt;ERV&lt;/a&gt;</v>
      </c>
      <c r="V915" t="str">
        <f>CONCATENATE("&lt;/li&gt;&lt;li&gt;&lt;a href=|http://",V1191,"/zechariah/4.htm","| ","title=|",V1190,"| target=|_top|&gt;",V1192,"&lt;/a&gt;")</f>
        <v>&lt;/li&gt;&lt;li&gt;&lt;a href=|http://study.interlinearbible.org/zechariah/4.htm| title=|Hebrew Study Bible| target=|_top|&gt;Heb Study&lt;/a&gt;</v>
      </c>
      <c r="W915" t="str">
        <f t="shared" si="3656"/>
        <v>&lt;/li&gt;&lt;li&gt;&lt;a href=|http://apostolic.interlinearbible.org/zechariah/4.htm| title=|Apostolic Bible Polyglot Interlinear| target=|_top|&gt;Polyglot&lt;/a&gt;</v>
      </c>
      <c r="X915" t="str">
        <f t="shared" si="3656"/>
        <v>&lt;/li&gt;&lt;li&gt;&lt;a href=|http://interlinearbible.org/zechariah/4.htm| title=|Interlinear Bible| target=|_top|&gt;Interlin&lt;/a&gt;</v>
      </c>
      <c r="Y915" t="str">
        <f t="shared" ref="Y915" si="3657">CONCATENATE("&lt;/li&gt;&lt;li&gt;&lt;a href=|http://",Y1191,"/zechariah/4.htm","| ","title=|",Y1190,"| target=|_top|&gt;",Y1192,"&lt;/a&gt;")</f>
        <v>&lt;/li&gt;&lt;li&gt;&lt;a href=|http://bibleoutline.org/zechariah/4.htm| title=|Outline with People and Places List| target=|_top|&gt;Outline&lt;/a&gt;</v>
      </c>
      <c r="Z915" t="str">
        <f t="shared" si="3656"/>
        <v>&lt;/li&gt;&lt;li&gt;&lt;a href=|http://kjvs.scripturetext.com/zechariah/4.htm| title=|King James Bible with Strong's Numbers| target=|_top|&gt;Strong's&lt;/a&gt;</v>
      </c>
      <c r="AA915" t="str">
        <f t="shared" si="3656"/>
        <v>&lt;/li&gt;&lt;li&gt;&lt;a href=|http://childrensbibleonline.com/zechariah/4.htm| title=|The Children's Bible| target=|_top|&gt;Children's&lt;/a&gt;</v>
      </c>
      <c r="AB915" s="2" t="str">
        <f t="shared" si="3656"/>
        <v>&lt;/li&gt;&lt;li&gt;&lt;a href=|http://tsk.scripturetext.com/zechariah/4.htm| title=|Treasury of Scripture Knowledge| target=|_top|&gt;TSK&lt;/a&gt;</v>
      </c>
      <c r="AC915" t="str">
        <f>CONCATENATE("&lt;a href=|http://",AC1191,"/zechariah/4.htm","| ","title=|",AC1190,"| target=|_top|&gt;",AC1192,"&lt;/a&gt;")</f>
        <v>&lt;a href=|http://parallelbible.com/zechariah/4.htm| title=|Parallel Chapters| target=|_top|&gt;PAR&lt;/a&gt;</v>
      </c>
      <c r="AD915" s="2" t="str">
        <f t="shared" ref="AD915:AK915" si="3658">CONCATENATE("&lt;/li&gt;&lt;li&gt;&lt;a href=|http://",AD1191,"/zechariah/4.htm","| ","title=|",AD1190,"| target=|_top|&gt;",AD1192,"&lt;/a&gt;")</f>
        <v>&lt;/li&gt;&lt;li&gt;&lt;a href=|http://gsb.biblecommenter.com/zechariah/4.htm| title=|Geneva Study Bible| target=|_top|&gt;GSB&lt;/a&gt;</v>
      </c>
      <c r="AE915" s="2" t="str">
        <f t="shared" si="3658"/>
        <v>&lt;/li&gt;&lt;li&gt;&lt;a href=|http://jfb.biblecommenter.com/zechariah/4.htm| title=|Jamieson-Fausset-Brown Bible Commentary| target=|_top|&gt;JFB&lt;/a&gt;</v>
      </c>
      <c r="AF915" s="2" t="str">
        <f t="shared" si="3658"/>
        <v>&lt;/li&gt;&lt;li&gt;&lt;a href=|http://kjt.biblecommenter.com/zechariah/4.htm| title=|King James Translators' Notes| target=|_top|&gt;KJT&lt;/a&gt;</v>
      </c>
      <c r="AG915" s="2" t="str">
        <f t="shared" si="3658"/>
        <v>&lt;/li&gt;&lt;li&gt;&lt;a href=|http://mhc.biblecommenter.com/zechariah/4.htm| title=|Matthew Henry's Concise Commentary| target=|_top|&gt;MHC&lt;/a&gt;</v>
      </c>
      <c r="AH915" s="2" t="str">
        <f t="shared" si="3658"/>
        <v>&lt;/li&gt;&lt;li&gt;&lt;a href=|http://sco.biblecommenter.com/zechariah/4.htm| title=|Scofield Reference Notes| target=|_top|&gt;SCO&lt;/a&gt;</v>
      </c>
      <c r="AI915" s="2" t="str">
        <f t="shared" si="3658"/>
        <v>&lt;/li&gt;&lt;li&gt;&lt;a href=|http://wes.biblecommenter.com/zechariah/4.htm| title=|Wesley's Notes on the Bible| target=|_top|&gt;WES&lt;/a&gt;</v>
      </c>
      <c r="AJ915" t="str">
        <f t="shared" si="3658"/>
        <v>&lt;/li&gt;&lt;li&gt;&lt;a href=|http://worldebible.com/zechariah/4.htm| title=|World English Bible| target=|_top|&gt;WEB&lt;/a&gt;</v>
      </c>
      <c r="AK915" t="str">
        <f t="shared" si="3658"/>
        <v>&lt;/li&gt;&lt;li&gt;&lt;a href=|http://yltbible.com/zechariah/4.htm| title=|Young's Literal Translation| target=|_top|&gt;YLT&lt;/a&gt;</v>
      </c>
      <c r="AL915" t="str">
        <f>CONCATENATE("&lt;a href=|http://",AL1191,"/zechariah/4.htm","| ","title=|",AL1190,"| target=|_top|&gt;",AL1192,"&lt;/a&gt;")</f>
        <v>&lt;a href=|http://kjv.us/zechariah/4.htm| title=|American King James Version| target=|_top|&gt;AKJ&lt;/a&gt;</v>
      </c>
      <c r="AM915" t="str">
        <f t="shared" ref="AM915:AN915" si="3659">CONCATENATE("&lt;/li&gt;&lt;li&gt;&lt;a href=|http://",AM1191,"/zechariah/4.htm","| ","title=|",AM1190,"| target=|_top|&gt;",AM1192,"&lt;/a&gt;")</f>
        <v>&lt;/li&gt;&lt;li&gt;&lt;a href=|http://basicenglishbible.com/zechariah/4.htm| title=|Bible in Basic English| target=|_top|&gt;BBE&lt;/a&gt;</v>
      </c>
      <c r="AN915" t="str">
        <f t="shared" si="3659"/>
        <v>&lt;/li&gt;&lt;li&gt;&lt;a href=|http://darbybible.com/zechariah/4.htm| title=|Darby Bible Translation| target=|_top|&gt;DBY&lt;/a&gt;</v>
      </c>
      <c r="AO91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1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1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15" t="str">
        <f>CONCATENATE("&lt;/li&gt;&lt;li&gt;&lt;a href=|http://",AR1191,"/zechariah/4.htm","| ","title=|",AR1190,"| target=|_top|&gt;",AR1192,"&lt;/a&gt;")</f>
        <v>&lt;/li&gt;&lt;li&gt;&lt;a href=|http://websterbible.com/zechariah/4.htm| title=|Webster's Bible Translation| target=|_top|&gt;WBS&lt;/a&gt;</v>
      </c>
      <c r="AS91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15" t="str">
        <f>CONCATENATE("&lt;/li&gt;&lt;li&gt;&lt;a href=|http://",AT1191,"/zechariah/4-1.htm","| ","title=|",AT1190,"| target=|_top|&gt;",AT1192,"&lt;/a&gt;")</f>
        <v>&lt;/li&gt;&lt;li&gt;&lt;a href=|http://biblebrowser.com/zechariah/4-1.htm| title=|Split View| target=|_top|&gt;Split&lt;/a&gt;</v>
      </c>
      <c r="AU915" s="2" t="s">
        <v>1276</v>
      </c>
      <c r="AV915" t="s">
        <v>64</v>
      </c>
    </row>
    <row r="916" spans="1:48">
      <c r="A916" t="s">
        <v>622</v>
      </c>
      <c r="B916" t="s">
        <v>957</v>
      </c>
      <c r="C916" t="s">
        <v>624</v>
      </c>
      <c r="D916" t="s">
        <v>1268</v>
      </c>
      <c r="E916" t="s">
        <v>1277</v>
      </c>
      <c r="F916" t="s">
        <v>1304</v>
      </c>
      <c r="G916" t="s">
        <v>1266</v>
      </c>
      <c r="H916" t="s">
        <v>1305</v>
      </c>
      <c r="I916" t="s">
        <v>1303</v>
      </c>
      <c r="J916" t="s">
        <v>1267</v>
      </c>
      <c r="K916" t="s">
        <v>1275</v>
      </c>
      <c r="L916" s="2" t="s">
        <v>1274</v>
      </c>
      <c r="M916" t="str">
        <f t="shared" ref="M916:AB916" si="3660">CONCATENATE("&lt;/li&gt;&lt;li&gt;&lt;a href=|http://",M1191,"/zechariah/5.htm","| ","title=|",M1190,"| target=|_top|&gt;",M1192,"&lt;/a&gt;")</f>
        <v>&lt;/li&gt;&lt;li&gt;&lt;a href=|http://niv.scripturetext.com/zechariah/5.htm| title=|New International Version| target=|_top|&gt;NIV&lt;/a&gt;</v>
      </c>
      <c r="N916" t="str">
        <f t="shared" si="3660"/>
        <v>&lt;/li&gt;&lt;li&gt;&lt;a href=|http://nlt.scripturetext.com/zechariah/5.htm| title=|New Living Translation| target=|_top|&gt;NLT&lt;/a&gt;</v>
      </c>
      <c r="O916" t="str">
        <f t="shared" si="3660"/>
        <v>&lt;/li&gt;&lt;li&gt;&lt;a href=|http://nasb.scripturetext.com/zechariah/5.htm| title=|New American Standard Bible| target=|_top|&gt;NAS&lt;/a&gt;</v>
      </c>
      <c r="P916" t="str">
        <f t="shared" si="3660"/>
        <v>&lt;/li&gt;&lt;li&gt;&lt;a href=|http://gwt.scripturetext.com/zechariah/5.htm| title=|God's Word Translation| target=|_top|&gt;GWT&lt;/a&gt;</v>
      </c>
      <c r="Q916" t="str">
        <f t="shared" si="3660"/>
        <v>&lt;/li&gt;&lt;li&gt;&lt;a href=|http://kingjbible.com/zechariah/5.htm| title=|King James Bible| target=|_top|&gt;KJV&lt;/a&gt;</v>
      </c>
      <c r="R916" t="str">
        <f t="shared" si="3660"/>
        <v>&lt;/li&gt;&lt;li&gt;&lt;a href=|http://asvbible.com/zechariah/5.htm| title=|American Standard Version| target=|_top|&gt;ASV&lt;/a&gt;</v>
      </c>
      <c r="S916" t="str">
        <f t="shared" si="3660"/>
        <v>&lt;/li&gt;&lt;li&gt;&lt;a href=|http://drb.scripturetext.com/zechariah/5.htm| title=|Douay-Rheims Bible| target=|_top|&gt;DRB&lt;/a&gt;</v>
      </c>
      <c r="T916" t="str">
        <f t="shared" si="3660"/>
        <v>&lt;/li&gt;&lt;li&gt;&lt;a href=|http://erv.scripturetext.com/zechariah/5.htm| title=|English Revised Version| target=|_top|&gt;ERV&lt;/a&gt;</v>
      </c>
      <c r="V916" t="str">
        <f>CONCATENATE("&lt;/li&gt;&lt;li&gt;&lt;a href=|http://",V1191,"/zechariah/5.htm","| ","title=|",V1190,"| target=|_top|&gt;",V1192,"&lt;/a&gt;")</f>
        <v>&lt;/li&gt;&lt;li&gt;&lt;a href=|http://study.interlinearbible.org/zechariah/5.htm| title=|Hebrew Study Bible| target=|_top|&gt;Heb Study&lt;/a&gt;</v>
      </c>
      <c r="W916" t="str">
        <f t="shared" si="3660"/>
        <v>&lt;/li&gt;&lt;li&gt;&lt;a href=|http://apostolic.interlinearbible.org/zechariah/5.htm| title=|Apostolic Bible Polyglot Interlinear| target=|_top|&gt;Polyglot&lt;/a&gt;</v>
      </c>
      <c r="X916" t="str">
        <f t="shared" si="3660"/>
        <v>&lt;/li&gt;&lt;li&gt;&lt;a href=|http://interlinearbible.org/zechariah/5.htm| title=|Interlinear Bible| target=|_top|&gt;Interlin&lt;/a&gt;</v>
      </c>
      <c r="Y916" t="str">
        <f t="shared" ref="Y916" si="3661">CONCATENATE("&lt;/li&gt;&lt;li&gt;&lt;a href=|http://",Y1191,"/zechariah/5.htm","| ","title=|",Y1190,"| target=|_top|&gt;",Y1192,"&lt;/a&gt;")</f>
        <v>&lt;/li&gt;&lt;li&gt;&lt;a href=|http://bibleoutline.org/zechariah/5.htm| title=|Outline with People and Places List| target=|_top|&gt;Outline&lt;/a&gt;</v>
      </c>
      <c r="Z916" t="str">
        <f t="shared" si="3660"/>
        <v>&lt;/li&gt;&lt;li&gt;&lt;a href=|http://kjvs.scripturetext.com/zechariah/5.htm| title=|King James Bible with Strong's Numbers| target=|_top|&gt;Strong's&lt;/a&gt;</v>
      </c>
      <c r="AA916" t="str">
        <f t="shared" si="3660"/>
        <v>&lt;/li&gt;&lt;li&gt;&lt;a href=|http://childrensbibleonline.com/zechariah/5.htm| title=|The Children's Bible| target=|_top|&gt;Children's&lt;/a&gt;</v>
      </c>
      <c r="AB916" s="2" t="str">
        <f t="shared" si="3660"/>
        <v>&lt;/li&gt;&lt;li&gt;&lt;a href=|http://tsk.scripturetext.com/zechariah/5.htm| title=|Treasury of Scripture Knowledge| target=|_top|&gt;TSK&lt;/a&gt;</v>
      </c>
      <c r="AC916" t="str">
        <f>CONCATENATE("&lt;a href=|http://",AC1191,"/zechariah/5.htm","| ","title=|",AC1190,"| target=|_top|&gt;",AC1192,"&lt;/a&gt;")</f>
        <v>&lt;a href=|http://parallelbible.com/zechariah/5.htm| title=|Parallel Chapters| target=|_top|&gt;PAR&lt;/a&gt;</v>
      </c>
      <c r="AD916" s="2" t="str">
        <f t="shared" ref="AD916:AK916" si="3662">CONCATENATE("&lt;/li&gt;&lt;li&gt;&lt;a href=|http://",AD1191,"/zechariah/5.htm","| ","title=|",AD1190,"| target=|_top|&gt;",AD1192,"&lt;/a&gt;")</f>
        <v>&lt;/li&gt;&lt;li&gt;&lt;a href=|http://gsb.biblecommenter.com/zechariah/5.htm| title=|Geneva Study Bible| target=|_top|&gt;GSB&lt;/a&gt;</v>
      </c>
      <c r="AE916" s="2" t="str">
        <f t="shared" si="3662"/>
        <v>&lt;/li&gt;&lt;li&gt;&lt;a href=|http://jfb.biblecommenter.com/zechariah/5.htm| title=|Jamieson-Fausset-Brown Bible Commentary| target=|_top|&gt;JFB&lt;/a&gt;</v>
      </c>
      <c r="AF916" s="2" t="str">
        <f t="shared" si="3662"/>
        <v>&lt;/li&gt;&lt;li&gt;&lt;a href=|http://kjt.biblecommenter.com/zechariah/5.htm| title=|King James Translators' Notes| target=|_top|&gt;KJT&lt;/a&gt;</v>
      </c>
      <c r="AG916" s="2" t="str">
        <f t="shared" si="3662"/>
        <v>&lt;/li&gt;&lt;li&gt;&lt;a href=|http://mhc.biblecommenter.com/zechariah/5.htm| title=|Matthew Henry's Concise Commentary| target=|_top|&gt;MHC&lt;/a&gt;</v>
      </c>
      <c r="AH916" s="2" t="str">
        <f t="shared" si="3662"/>
        <v>&lt;/li&gt;&lt;li&gt;&lt;a href=|http://sco.biblecommenter.com/zechariah/5.htm| title=|Scofield Reference Notes| target=|_top|&gt;SCO&lt;/a&gt;</v>
      </c>
      <c r="AI916" s="2" t="str">
        <f t="shared" si="3662"/>
        <v>&lt;/li&gt;&lt;li&gt;&lt;a href=|http://wes.biblecommenter.com/zechariah/5.htm| title=|Wesley's Notes on the Bible| target=|_top|&gt;WES&lt;/a&gt;</v>
      </c>
      <c r="AJ916" t="str">
        <f t="shared" si="3662"/>
        <v>&lt;/li&gt;&lt;li&gt;&lt;a href=|http://worldebible.com/zechariah/5.htm| title=|World English Bible| target=|_top|&gt;WEB&lt;/a&gt;</v>
      </c>
      <c r="AK916" t="str">
        <f t="shared" si="3662"/>
        <v>&lt;/li&gt;&lt;li&gt;&lt;a href=|http://yltbible.com/zechariah/5.htm| title=|Young's Literal Translation| target=|_top|&gt;YLT&lt;/a&gt;</v>
      </c>
      <c r="AL916" t="str">
        <f>CONCATENATE("&lt;a href=|http://",AL1191,"/zechariah/5.htm","| ","title=|",AL1190,"| target=|_top|&gt;",AL1192,"&lt;/a&gt;")</f>
        <v>&lt;a href=|http://kjv.us/zechariah/5.htm| title=|American King James Version| target=|_top|&gt;AKJ&lt;/a&gt;</v>
      </c>
      <c r="AM916" t="str">
        <f t="shared" ref="AM916:AN916" si="3663">CONCATENATE("&lt;/li&gt;&lt;li&gt;&lt;a href=|http://",AM1191,"/zechariah/5.htm","| ","title=|",AM1190,"| target=|_top|&gt;",AM1192,"&lt;/a&gt;")</f>
        <v>&lt;/li&gt;&lt;li&gt;&lt;a href=|http://basicenglishbible.com/zechariah/5.htm| title=|Bible in Basic English| target=|_top|&gt;BBE&lt;/a&gt;</v>
      </c>
      <c r="AN916" t="str">
        <f t="shared" si="3663"/>
        <v>&lt;/li&gt;&lt;li&gt;&lt;a href=|http://darbybible.com/zechariah/5.htm| title=|Darby Bible Translation| target=|_top|&gt;DBY&lt;/a&gt;</v>
      </c>
      <c r="AO91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1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1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16" t="str">
        <f>CONCATENATE("&lt;/li&gt;&lt;li&gt;&lt;a href=|http://",AR1191,"/zechariah/5.htm","| ","title=|",AR1190,"| target=|_top|&gt;",AR1192,"&lt;/a&gt;")</f>
        <v>&lt;/li&gt;&lt;li&gt;&lt;a href=|http://websterbible.com/zechariah/5.htm| title=|Webster's Bible Translation| target=|_top|&gt;WBS&lt;/a&gt;</v>
      </c>
      <c r="AS91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16" t="str">
        <f>CONCATENATE("&lt;/li&gt;&lt;li&gt;&lt;a href=|http://",AT1191,"/zechariah/5-1.htm","| ","title=|",AT1190,"| target=|_top|&gt;",AT1192,"&lt;/a&gt;")</f>
        <v>&lt;/li&gt;&lt;li&gt;&lt;a href=|http://biblebrowser.com/zechariah/5-1.htm| title=|Split View| target=|_top|&gt;Split&lt;/a&gt;</v>
      </c>
      <c r="AU916" s="2" t="s">
        <v>1276</v>
      </c>
      <c r="AV916" t="s">
        <v>64</v>
      </c>
    </row>
    <row r="917" spans="1:48">
      <c r="A917" t="s">
        <v>622</v>
      </c>
      <c r="B917" t="s">
        <v>958</v>
      </c>
      <c r="C917" t="s">
        <v>624</v>
      </c>
      <c r="D917" t="s">
        <v>1268</v>
      </c>
      <c r="E917" t="s">
        <v>1277</v>
      </c>
      <c r="F917" t="s">
        <v>1304</v>
      </c>
      <c r="G917" t="s">
        <v>1266</v>
      </c>
      <c r="H917" t="s">
        <v>1305</v>
      </c>
      <c r="I917" t="s">
        <v>1303</v>
      </c>
      <c r="J917" t="s">
        <v>1267</v>
      </c>
      <c r="K917" t="s">
        <v>1275</v>
      </c>
      <c r="L917" s="2" t="s">
        <v>1274</v>
      </c>
      <c r="M917" t="str">
        <f t="shared" ref="M917:AB917" si="3664">CONCATENATE("&lt;/li&gt;&lt;li&gt;&lt;a href=|http://",M1191,"/zechariah/6.htm","| ","title=|",M1190,"| target=|_top|&gt;",M1192,"&lt;/a&gt;")</f>
        <v>&lt;/li&gt;&lt;li&gt;&lt;a href=|http://niv.scripturetext.com/zechariah/6.htm| title=|New International Version| target=|_top|&gt;NIV&lt;/a&gt;</v>
      </c>
      <c r="N917" t="str">
        <f t="shared" si="3664"/>
        <v>&lt;/li&gt;&lt;li&gt;&lt;a href=|http://nlt.scripturetext.com/zechariah/6.htm| title=|New Living Translation| target=|_top|&gt;NLT&lt;/a&gt;</v>
      </c>
      <c r="O917" t="str">
        <f t="shared" si="3664"/>
        <v>&lt;/li&gt;&lt;li&gt;&lt;a href=|http://nasb.scripturetext.com/zechariah/6.htm| title=|New American Standard Bible| target=|_top|&gt;NAS&lt;/a&gt;</v>
      </c>
      <c r="P917" t="str">
        <f t="shared" si="3664"/>
        <v>&lt;/li&gt;&lt;li&gt;&lt;a href=|http://gwt.scripturetext.com/zechariah/6.htm| title=|God's Word Translation| target=|_top|&gt;GWT&lt;/a&gt;</v>
      </c>
      <c r="Q917" t="str">
        <f t="shared" si="3664"/>
        <v>&lt;/li&gt;&lt;li&gt;&lt;a href=|http://kingjbible.com/zechariah/6.htm| title=|King James Bible| target=|_top|&gt;KJV&lt;/a&gt;</v>
      </c>
      <c r="R917" t="str">
        <f t="shared" si="3664"/>
        <v>&lt;/li&gt;&lt;li&gt;&lt;a href=|http://asvbible.com/zechariah/6.htm| title=|American Standard Version| target=|_top|&gt;ASV&lt;/a&gt;</v>
      </c>
      <c r="S917" t="str">
        <f t="shared" si="3664"/>
        <v>&lt;/li&gt;&lt;li&gt;&lt;a href=|http://drb.scripturetext.com/zechariah/6.htm| title=|Douay-Rheims Bible| target=|_top|&gt;DRB&lt;/a&gt;</v>
      </c>
      <c r="T917" t="str">
        <f t="shared" si="3664"/>
        <v>&lt;/li&gt;&lt;li&gt;&lt;a href=|http://erv.scripturetext.com/zechariah/6.htm| title=|English Revised Version| target=|_top|&gt;ERV&lt;/a&gt;</v>
      </c>
      <c r="V917" t="str">
        <f>CONCATENATE("&lt;/li&gt;&lt;li&gt;&lt;a href=|http://",V1191,"/zechariah/6.htm","| ","title=|",V1190,"| target=|_top|&gt;",V1192,"&lt;/a&gt;")</f>
        <v>&lt;/li&gt;&lt;li&gt;&lt;a href=|http://study.interlinearbible.org/zechariah/6.htm| title=|Hebrew Study Bible| target=|_top|&gt;Heb Study&lt;/a&gt;</v>
      </c>
      <c r="W917" t="str">
        <f t="shared" si="3664"/>
        <v>&lt;/li&gt;&lt;li&gt;&lt;a href=|http://apostolic.interlinearbible.org/zechariah/6.htm| title=|Apostolic Bible Polyglot Interlinear| target=|_top|&gt;Polyglot&lt;/a&gt;</v>
      </c>
      <c r="X917" t="str">
        <f t="shared" si="3664"/>
        <v>&lt;/li&gt;&lt;li&gt;&lt;a href=|http://interlinearbible.org/zechariah/6.htm| title=|Interlinear Bible| target=|_top|&gt;Interlin&lt;/a&gt;</v>
      </c>
      <c r="Y917" t="str">
        <f t="shared" ref="Y917" si="3665">CONCATENATE("&lt;/li&gt;&lt;li&gt;&lt;a href=|http://",Y1191,"/zechariah/6.htm","| ","title=|",Y1190,"| target=|_top|&gt;",Y1192,"&lt;/a&gt;")</f>
        <v>&lt;/li&gt;&lt;li&gt;&lt;a href=|http://bibleoutline.org/zechariah/6.htm| title=|Outline with People and Places List| target=|_top|&gt;Outline&lt;/a&gt;</v>
      </c>
      <c r="Z917" t="str">
        <f t="shared" si="3664"/>
        <v>&lt;/li&gt;&lt;li&gt;&lt;a href=|http://kjvs.scripturetext.com/zechariah/6.htm| title=|King James Bible with Strong's Numbers| target=|_top|&gt;Strong's&lt;/a&gt;</v>
      </c>
      <c r="AA917" t="str">
        <f t="shared" si="3664"/>
        <v>&lt;/li&gt;&lt;li&gt;&lt;a href=|http://childrensbibleonline.com/zechariah/6.htm| title=|The Children's Bible| target=|_top|&gt;Children's&lt;/a&gt;</v>
      </c>
      <c r="AB917" s="2" t="str">
        <f t="shared" si="3664"/>
        <v>&lt;/li&gt;&lt;li&gt;&lt;a href=|http://tsk.scripturetext.com/zechariah/6.htm| title=|Treasury of Scripture Knowledge| target=|_top|&gt;TSK&lt;/a&gt;</v>
      </c>
      <c r="AC917" t="str">
        <f>CONCATENATE("&lt;a href=|http://",AC1191,"/zechariah/6.htm","| ","title=|",AC1190,"| target=|_top|&gt;",AC1192,"&lt;/a&gt;")</f>
        <v>&lt;a href=|http://parallelbible.com/zechariah/6.htm| title=|Parallel Chapters| target=|_top|&gt;PAR&lt;/a&gt;</v>
      </c>
      <c r="AD917" s="2" t="str">
        <f t="shared" ref="AD917:AK917" si="3666">CONCATENATE("&lt;/li&gt;&lt;li&gt;&lt;a href=|http://",AD1191,"/zechariah/6.htm","| ","title=|",AD1190,"| target=|_top|&gt;",AD1192,"&lt;/a&gt;")</f>
        <v>&lt;/li&gt;&lt;li&gt;&lt;a href=|http://gsb.biblecommenter.com/zechariah/6.htm| title=|Geneva Study Bible| target=|_top|&gt;GSB&lt;/a&gt;</v>
      </c>
      <c r="AE917" s="2" t="str">
        <f t="shared" si="3666"/>
        <v>&lt;/li&gt;&lt;li&gt;&lt;a href=|http://jfb.biblecommenter.com/zechariah/6.htm| title=|Jamieson-Fausset-Brown Bible Commentary| target=|_top|&gt;JFB&lt;/a&gt;</v>
      </c>
      <c r="AF917" s="2" t="str">
        <f t="shared" si="3666"/>
        <v>&lt;/li&gt;&lt;li&gt;&lt;a href=|http://kjt.biblecommenter.com/zechariah/6.htm| title=|King James Translators' Notes| target=|_top|&gt;KJT&lt;/a&gt;</v>
      </c>
      <c r="AG917" s="2" t="str">
        <f t="shared" si="3666"/>
        <v>&lt;/li&gt;&lt;li&gt;&lt;a href=|http://mhc.biblecommenter.com/zechariah/6.htm| title=|Matthew Henry's Concise Commentary| target=|_top|&gt;MHC&lt;/a&gt;</v>
      </c>
      <c r="AH917" s="2" t="str">
        <f t="shared" si="3666"/>
        <v>&lt;/li&gt;&lt;li&gt;&lt;a href=|http://sco.biblecommenter.com/zechariah/6.htm| title=|Scofield Reference Notes| target=|_top|&gt;SCO&lt;/a&gt;</v>
      </c>
      <c r="AI917" s="2" t="str">
        <f t="shared" si="3666"/>
        <v>&lt;/li&gt;&lt;li&gt;&lt;a href=|http://wes.biblecommenter.com/zechariah/6.htm| title=|Wesley's Notes on the Bible| target=|_top|&gt;WES&lt;/a&gt;</v>
      </c>
      <c r="AJ917" t="str">
        <f t="shared" si="3666"/>
        <v>&lt;/li&gt;&lt;li&gt;&lt;a href=|http://worldebible.com/zechariah/6.htm| title=|World English Bible| target=|_top|&gt;WEB&lt;/a&gt;</v>
      </c>
      <c r="AK917" t="str">
        <f t="shared" si="3666"/>
        <v>&lt;/li&gt;&lt;li&gt;&lt;a href=|http://yltbible.com/zechariah/6.htm| title=|Young's Literal Translation| target=|_top|&gt;YLT&lt;/a&gt;</v>
      </c>
      <c r="AL917" t="str">
        <f>CONCATENATE("&lt;a href=|http://",AL1191,"/zechariah/6.htm","| ","title=|",AL1190,"| target=|_top|&gt;",AL1192,"&lt;/a&gt;")</f>
        <v>&lt;a href=|http://kjv.us/zechariah/6.htm| title=|American King James Version| target=|_top|&gt;AKJ&lt;/a&gt;</v>
      </c>
      <c r="AM917" t="str">
        <f t="shared" ref="AM917:AN917" si="3667">CONCATENATE("&lt;/li&gt;&lt;li&gt;&lt;a href=|http://",AM1191,"/zechariah/6.htm","| ","title=|",AM1190,"| target=|_top|&gt;",AM1192,"&lt;/a&gt;")</f>
        <v>&lt;/li&gt;&lt;li&gt;&lt;a href=|http://basicenglishbible.com/zechariah/6.htm| title=|Bible in Basic English| target=|_top|&gt;BBE&lt;/a&gt;</v>
      </c>
      <c r="AN917" t="str">
        <f t="shared" si="3667"/>
        <v>&lt;/li&gt;&lt;li&gt;&lt;a href=|http://darbybible.com/zechariah/6.htm| title=|Darby Bible Translation| target=|_top|&gt;DBY&lt;/a&gt;</v>
      </c>
      <c r="AO91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1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1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17" t="str">
        <f>CONCATENATE("&lt;/li&gt;&lt;li&gt;&lt;a href=|http://",AR1191,"/zechariah/6.htm","| ","title=|",AR1190,"| target=|_top|&gt;",AR1192,"&lt;/a&gt;")</f>
        <v>&lt;/li&gt;&lt;li&gt;&lt;a href=|http://websterbible.com/zechariah/6.htm| title=|Webster's Bible Translation| target=|_top|&gt;WBS&lt;/a&gt;</v>
      </c>
      <c r="AS91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17" t="str">
        <f>CONCATENATE("&lt;/li&gt;&lt;li&gt;&lt;a href=|http://",AT1191,"/zechariah/6-1.htm","| ","title=|",AT1190,"| target=|_top|&gt;",AT1192,"&lt;/a&gt;")</f>
        <v>&lt;/li&gt;&lt;li&gt;&lt;a href=|http://biblebrowser.com/zechariah/6-1.htm| title=|Split View| target=|_top|&gt;Split&lt;/a&gt;</v>
      </c>
      <c r="AU917" s="2" t="s">
        <v>1276</v>
      </c>
      <c r="AV917" t="s">
        <v>64</v>
      </c>
    </row>
    <row r="918" spans="1:48">
      <c r="A918" t="s">
        <v>622</v>
      </c>
      <c r="B918" t="s">
        <v>959</v>
      </c>
      <c r="C918" t="s">
        <v>624</v>
      </c>
      <c r="D918" t="s">
        <v>1268</v>
      </c>
      <c r="E918" t="s">
        <v>1277</v>
      </c>
      <c r="F918" t="s">
        <v>1304</v>
      </c>
      <c r="G918" t="s">
        <v>1266</v>
      </c>
      <c r="H918" t="s">
        <v>1305</v>
      </c>
      <c r="I918" t="s">
        <v>1303</v>
      </c>
      <c r="J918" t="s">
        <v>1267</v>
      </c>
      <c r="K918" t="s">
        <v>1275</v>
      </c>
      <c r="L918" s="2" t="s">
        <v>1274</v>
      </c>
      <c r="M918" t="str">
        <f t="shared" ref="M918:AB918" si="3668">CONCATENATE("&lt;/li&gt;&lt;li&gt;&lt;a href=|http://",M1191,"/zechariah/7.htm","| ","title=|",M1190,"| target=|_top|&gt;",M1192,"&lt;/a&gt;")</f>
        <v>&lt;/li&gt;&lt;li&gt;&lt;a href=|http://niv.scripturetext.com/zechariah/7.htm| title=|New International Version| target=|_top|&gt;NIV&lt;/a&gt;</v>
      </c>
      <c r="N918" t="str">
        <f t="shared" si="3668"/>
        <v>&lt;/li&gt;&lt;li&gt;&lt;a href=|http://nlt.scripturetext.com/zechariah/7.htm| title=|New Living Translation| target=|_top|&gt;NLT&lt;/a&gt;</v>
      </c>
      <c r="O918" t="str">
        <f t="shared" si="3668"/>
        <v>&lt;/li&gt;&lt;li&gt;&lt;a href=|http://nasb.scripturetext.com/zechariah/7.htm| title=|New American Standard Bible| target=|_top|&gt;NAS&lt;/a&gt;</v>
      </c>
      <c r="P918" t="str">
        <f t="shared" si="3668"/>
        <v>&lt;/li&gt;&lt;li&gt;&lt;a href=|http://gwt.scripturetext.com/zechariah/7.htm| title=|God's Word Translation| target=|_top|&gt;GWT&lt;/a&gt;</v>
      </c>
      <c r="Q918" t="str">
        <f t="shared" si="3668"/>
        <v>&lt;/li&gt;&lt;li&gt;&lt;a href=|http://kingjbible.com/zechariah/7.htm| title=|King James Bible| target=|_top|&gt;KJV&lt;/a&gt;</v>
      </c>
      <c r="R918" t="str">
        <f t="shared" si="3668"/>
        <v>&lt;/li&gt;&lt;li&gt;&lt;a href=|http://asvbible.com/zechariah/7.htm| title=|American Standard Version| target=|_top|&gt;ASV&lt;/a&gt;</v>
      </c>
      <c r="S918" t="str">
        <f t="shared" si="3668"/>
        <v>&lt;/li&gt;&lt;li&gt;&lt;a href=|http://drb.scripturetext.com/zechariah/7.htm| title=|Douay-Rheims Bible| target=|_top|&gt;DRB&lt;/a&gt;</v>
      </c>
      <c r="T918" t="str">
        <f t="shared" si="3668"/>
        <v>&lt;/li&gt;&lt;li&gt;&lt;a href=|http://erv.scripturetext.com/zechariah/7.htm| title=|English Revised Version| target=|_top|&gt;ERV&lt;/a&gt;</v>
      </c>
      <c r="V918" t="str">
        <f>CONCATENATE("&lt;/li&gt;&lt;li&gt;&lt;a href=|http://",V1191,"/zechariah/7.htm","| ","title=|",V1190,"| target=|_top|&gt;",V1192,"&lt;/a&gt;")</f>
        <v>&lt;/li&gt;&lt;li&gt;&lt;a href=|http://study.interlinearbible.org/zechariah/7.htm| title=|Hebrew Study Bible| target=|_top|&gt;Heb Study&lt;/a&gt;</v>
      </c>
      <c r="W918" t="str">
        <f t="shared" si="3668"/>
        <v>&lt;/li&gt;&lt;li&gt;&lt;a href=|http://apostolic.interlinearbible.org/zechariah/7.htm| title=|Apostolic Bible Polyglot Interlinear| target=|_top|&gt;Polyglot&lt;/a&gt;</v>
      </c>
      <c r="X918" t="str">
        <f t="shared" si="3668"/>
        <v>&lt;/li&gt;&lt;li&gt;&lt;a href=|http://interlinearbible.org/zechariah/7.htm| title=|Interlinear Bible| target=|_top|&gt;Interlin&lt;/a&gt;</v>
      </c>
      <c r="Y918" t="str">
        <f t="shared" ref="Y918" si="3669">CONCATENATE("&lt;/li&gt;&lt;li&gt;&lt;a href=|http://",Y1191,"/zechariah/7.htm","| ","title=|",Y1190,"| target=|_top|&gt;",Y1192,"&lt;/a&gt;")</f>
        <v>&lt;/li&gt;&lt;li&gt;&lt;a href=|http://bibleoutline.org/zechariah/7.htm| title=|Outline with People and Places List| target=|_top|&gt;Outline&lt;/a&gt;</v>
      </c>
      <c r="Z918" t="str">
        <f t="shared" si="3668"/>
        <v>&lt;/li&gt;&lt;li&gt;&lt;a href=|http://kjvs.scripturetext.com/zechariah/7.htm| title=|King James Bible with Strong's Numbers| target=|_top|&gt;Strong's&lt;/a&gt;</v>
      </c>
      <c r="AA918" t="str">
        <f t="shared" si="3668"/>
        <v>&lt;/li&gt;&lt;li&gt;&lt;a href=|http://childrensbibleonline.com/zechariah/7.htm| title=|The Children's Bible| target=|_top|&gt;Children's&lt;/a&gt;</v>
      </c>
      <c r="AB918" s="2" t="str">
        <f t="shared" si="3668"/>
        <v>&lt;/li&gt;&lt;li&gt;&lt;a href=|http://tsk.scripturetext.com/zechariah/7.htm| title=|Treasury of Scripture Knowledge| target=|_top|&gt;TSK&lt;/a&gt;</v>
      </c>
      <c r="AC918" t="str">
        <f>CONCATENATE("&lt;a href=|http://",AC1191,"/zechariah/7.htm","| ","title=|",AC1190,"| target=|_top|&gt;",AC1192,"&lt;/a&gt;")</f>
        <v>&lt;a href=|http://parallelbible.com/zechariah/7.htm| title=|Parallel Chapters| target=|_top|&gt;PAR&lt;/a&gt;</v>
      </c>
      <c r="AD918" s="2" t="str">
        <f t="shared" ref="AD918:AK918" si="3670">CONCATENATE("&lt;/li&gt;&lt;li&gt;&lt;a href=|http://",AD1191,"/zechariah/7.htm","| ","title=|",AD1190,"| target=|_top|&gt;",AD1192,"&lt;/a&gt;")</f>
        <v>&lt;/li&gt;&lt;li&gt;&lt;a href=|http://gsb.biblecommenter.com/zechariah/7.htm| title=|Geneva Study Bible| target=|_top|&gt;GSB&lt;/a&gt;</v>
      </c>
      <c r="AE918" s="2" t="str">
        <f t="shared" si="3670"/>
        <v>&lt;/li&gt;&lt;li&gt;&lt;a href=|http://jfb.biblecommenter.com/zechariah/7.htm| title=|Jamieson-Fausset-Brown Bible Commentary| target=|_top|&gt;JFB&lt;/a&gt;</v>
      </c>
      <c r="AF918" s="2" t="str">
        <f t="shared" si="3670"/>
        <v>&lt;/li&gt;&lt;li&gt;&lt;a href=|http://kjt.biblecommenter.com/zechariah/7.htm| title=|King James Translators' Notes| target=|_top|&gt;KJT&lt;/a&gt;</v>
      </c>
      <c r="AG918" s="2" t="str">
        <f t="shared" si="3670"/>
        <v>&lt;/li&gt;&lt;li&gt;&lt;a href=|http://mhc.biblecommenter.com/zechariah/7.htm| title=|Matthew Henry's Concise Commentary| target=|_top|&gt;MHC&lt;/a&gt;</v>
      </c>
      <c r="AH918" s="2" t="str">
        <f t="shared" si="3670"/>
        <v>&lt;/li&gt;&lt;li&gt;&lt;a href=|http://sco.biblecommenter.com/zechariah/7.htm| title=|Scofield Reference Notes| target=|_top|&gt;SCO&lt;/a&gt;</v>
      </c>
      <c r="AI918" s="2" t="str">
        <f t="shared" si="3670"/>
        <v>&lt;/li&gt;&lt;li&gt;&lt;a href=|http://wes.biblecommenter.com/zechariah/7.htm| title=|Wesley's Notes on the Bible| target=|_top|&gt;WES&lt;/a&gt;</v>
      </c>
      <c r="AJ918" t="str">
        <f t="shared" si="3670"/>
        <v>&lt;/li&gt;&lt;li&gt;&lt;a href=|http://worldebible.com/zechariah/7.htm| title=|World English Bible| target=|_top|&gt;WEB&lt;/a&gt;</v>
      </c>
      <c r="AK918" t="str">
        <f t="shared" si="3670"/>
        <v>&lt;/li&gt;&lt;li&gt;&lt;a href=|http://yltbible.com/zechariah/7.htm| title=|Young's Literal Translation| target=|_top|&gt;YLT&lt;/a&gt;</v>
      </c>
      <c r="AL918" t="str">
        <f>CONCATENATE("&lt;a href=|http://",AL1191,"/zechariah/7.htm","| ","title=|",AL1190,"| target=|_top|&gt;",AL1192,"&lt;/a&gt;")</f>
        <v>&lt;a href=|http://kjv.us/zechariah/7.htm| title=|American King James Version| target=|_top|&gt;AKJ&lt;/a&gt;</v>
      </c>
      <c r="AM918" t="str">
        <f t="shared" ref="AM918:AN918" si="3671">CONCATENATE("&lt;/li&gt;&lt;li&gt;&lt;a href=|http://",AM1191,"/zechariah/7.htm","| ","title=|",AM1190,"| target=|_top|&gt;",AM1192,"&lt;/a&gt;")</f>
        <v>&lt;/li&gt;&lt;li&gt;&lt;a href=|http://basicenglishbible.com/zechariah/7.htm| title=|Bible in Basic English| target=|_top|&gt;BBE&lt;/a&gt;</v>
      </c>
      <c r="AN918" t="str">
        <f t="shared" si="3671"/>
        <v>&lt;/li&gt;&lt;li&gt;&lt;a href=|http://darbybible.com/zechariah/7.htm| title=|Darby Bible Translation| target=|_top|&gt;DBY&lt;/a&gt;</v>
      </c>
      <c r="AO91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1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1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18" t="str">
        <f>CONCATENATE("&lt;/li&gt;&lt;li&gt;&lt;a href=|http://",AR1191,"/zechariah/7.htm","| ","title=|",AR1190,"| target=|_top|&gt;",AR1192,"&lt;/a&gt;")</f>
        <v>&lt;/li&gt;&lt;li&gt;&lt;a href=|http://websterbible.com/zechariah/7.htm| title=|Webster's Bible Translation| target=|_top|&gt;WBS&lt;/a&gt;</v>
      </c>
      <c r="AS91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18" t="str">
        <f>CONCATENATE("&lt;/li&gt;&lt;li&gt;&lt;a href=|http://",AT1191,"/zechariah/7-1.htm","| ","title=|",AT1190,"| target=|_top|&gt;",AT1192,"&lt;/a&gt;")</f>
        <v>&lt;/li&gt;&lt;li&gt;&lt;a href=|http://biblebrowser.com/zechariah/7-1.htm| title=|Split View| target=|_top|&gt;Split&lt;/a&gt;</v>
      </c>
      <c r="AU918" s="2" t="s">
        <v>1276</v>
      </c>
      <c r="AV918" t="s">
        <v>64</v>
      </c>
    </row>
    <row r="919" spans="1:48">
      <c r="A919" t="s">
        <v>622</v>
      </c>
      <c r="B919" t="s">
        <v>960</v>
      </c>
      <c r="C919" t="s">
        <v>624</v>
      </c>
      <c r="D919" t="s">
        <v>1268</v>
      </c>
      <c r="E919" t="s">
        <v>1277</v>
      </c>
      <c r="F919" t="s">
        <v>1304</v>
      </c>
      <c r="G919" t="s">
        <v>1266</v>
      </c>
      <c r="H919" t="s">
        <v>1305</v>
      </c>
      <c r="I919" t="s">
        <v>1303</v>
      </c>
      <c r="J919" t="s">
        <v>1267</v>
      </c>
      <c r="K919" t="s">
        <v>1275</v>
      </c>
      <c r="L919" s="2" t="s">
        <v>1274</v>
      </c>
      <c r="M919" t="str">
        <f t="shared" ref="M919:AB919" si="3672">CONCATENATE("&lt;/li&gt;&lt;li&gt;&lt;a href=|http://",M1191,"/zechariah/8.htm","| ","title=|",M1190,"| target=|_top|&gt;",M1192,"&lt;/a&gt;")</f>
        <v>&lt;/li&gt;&lt;li&gt;&lt;a href=|http://niv.scripturetext.com/zechariah/8.htm| title=|New International Version| target=|_top|&gt;NIV&lt;/a&gt;</v>
      </c>
      <c r="N919" t="str">
        <f t="shared" si="3672"/>
        <v>&lt;/li&gt;&lt;li&gt;&lt;a href=|http://nlt.scripturetext.com/zechariah/8.htm| title=|New Living Translation| target=|_top|&gt;NLT&lt;/a&gt;</v>
      </c>
      <c r="O919" t="str">
        <f t="shared" si="3672"/>
        <v>&lt;/li&gt;&lt;li&gt;&lt;a href=|http://nasb.scripturetext.com/zechariah/8.htm| title=|New American Standard Bible| target=|_top|&gt;NAS&lt;/a&gt;</v>
      </c>
      <c r="P919" t="str">
        <f t="shared" si="3672"/>
        <v>&lt;/li&gt;&lt;li&gt;&lt;a href=|http://gwt.scripturetext.com/zechariah/8.htm| title=|God's Word Translation| target=|_top|&gt;GWT&lt;/a&gt;</v>
      </c>
      <c r="Q919" t="str">
        <f t="shared" si="3672"/>
        <v>&lt;/li&gt;&lt;li&gt;&lt;a href=|http://kingjbible.com/zechariah/8.htm| title=|King James Bible| target=|_top|&gt;KJV&lt;/a&gt;</v>
      </c>
      <c r="R919" t="str">
        <f t="shared" si="3672"/>
        <v>&lt;/li&gt;&lt;li&gt;&lt;a href=|http://asvbible.com/zechariah/8.htm| title=|American Standard Version| target=|_top|&gt;ASV&lt;/a&gt;</v>
      </c>
      <c r="S919" t="str">
        <f t="shared" si="3672"/>
        <v>&lt;/li&gt;&lt;li&gt;&lt;a href=|http://drb.scripturetext.com/zechariah/8.htm| title=|Douay-Rheims Bible| target=|_top|&gt;DRB&lt;/a&gt;</v>
      </c>
      <c r="T919" t="str">
        <f t="shared" si="3672"/>
        <v>&lt;/li&gt;&lt;li&gt;&lt;a href=|http://erv.scripturetext.com/zechariah/8.htm| title=|English Revised Version| target=|_top|&gt;ERV&lt;/a&gt;</v>
      </c>
      <c r="V919" t="str">
        <f>CONCATENATE("&lt;/li&gt;&lt;li&gt;&lt;a href=|http://",V1191,"/zechariah/8.htm","| ","title=|",V1190,"| target=|_top|&gt;",V1192,"&lt;/a&gt;")</f>
        <v>&lt;/li&gt;&lt;li&gt;&lt;a href=|http://study.interlinearbible.org/zechariah/8.htm| title=|Hebrew Study Bible| target=|_top|&gt;Heb Study&lt;/a&gt;</v>
      </c>
      <c r="W919" t="str">
        <f t="shared" si="3672"/>
        <v>&lt;/li&gt;&lt;li&gt;&lt;a href=|http://apostolic.interlinearbible.org/zechariah/8.htm| title=|Apostolic Bible Polyglot Interlinear| target=|_top|&gt;Polyglot&lt;/a&gt;</v>
      </c>
      <c r="X919" t="str">
        <f t="shared" si="3672"/>
        <v>&lt;/li&gt;&lt;li&gt;&lt;a href=|http://interlinearbible.org/zechariah/8.htm| title=|Interlinear Bible| target=|_top|&gt;Interlin&lt;/a&gt;</v>
      </c>
      <c r="Y919" t="str">
        <f t="shared" ref="Y919" si="3673">CONCATENATE("&lt;/li&gt;&lt;li&gt;&lt;a href=|http://",Y1191,"/zechariah/8.htm","| ","title=|",Y1190,"| target=|_top|&gt;",Y1192,"&lt;/a&gt;")</f>
        <v>&lt;/li&gt;&lt;li&gt;&lt;a href=|http://bibleoutline.org/zechariah/8.htm| title=|Outline with People and Places List| target=|_top|&gt;Outline&lt;/a&gt;</v>
      </c>
      <c r="Z919" t="str">
        <f t="shared" si="3672"/>
        <v>&lt;/li&gt;&lt;li&gt;&lt;a href=|http://kjvs.scripturetext.com/zechariah/8.htm| title=|King James Bible with Strong's Numbers| target=|_top|&gt;Strong's&lt;/a&gt;</v>
      </c>
      <c r="AA919" t="str">
        <f t="shared" si="3672"/>
        <v>&lt;/li&gt;&lt;li&gt;&lt;a href=|http://childrensbibleonline.com/zechariah/8.htm| title=|The Children's Bible| target=|_top|&gt;Children's&lt;/a&gt;</v>
      </c>
      <c r="AB919" s="2" t="str">
        <f t="shared" si="3672"/>
        <v>&lt;/li&gt;&lt;li&gt;&lt;a href=|http://tsk.scripturetext.com/zechariah/8.htm| title=|Treasury of Scripture Knowledge| target=|_top|&gt;TSK&lt;/a&gt;</v>
      </c>
      <c r="AC919" t="str">
        <f>CONCATENATE("&lt;a href=|http://",AC1191,"/zechariah/8.htm","| ","title=|",AC1190,"| target=|_top|&gt;",AC1192,"&lt;/a&gt;")</f>
        <v>&lt;a href=|http://parallelbible.com/zechariah/8.htm| title=|Parallel Chapters| target=|_top|&gt;PAR&lt;/a&gt;</v>
      </c>
      <c r="AD919" s="2" t="str">
        <f t="shared" ref="AD919:AK919" si="3674">CONCATENATE("&lt;/li&gt;&lt;li&gt;&lt;a href=|http://",AD1191,"/zechariah/8.htm","| ","title=|",AD1190,"| target=|_top|&gt;",AD1192,"&lt;/a&gt;")</f>
        <v>&lt;/li&gt;&lt;li&gt;&lt;a href=|http://gsb.biblecommenter.com/zechariah/8.htm| title=|Geneva Study Bible| target=|_top|&gt;GSB&lt;/a&gt;</v>
      </c>
      <c r="AE919" s="2" t="str">
        <f t="shared" si="3674"/>
        <v>&lt;/li&gt;&lt;li&gt;&lt;a href=|http://jfb.biblecommenter.com/zechariah/8.htm| title=|Jamieson-Fausset-Brown Bible Commentary| target=|_top|&gt;JFB&lt;/a&gt;</v>
      </c>
      <c r="AF919" s="2" t="str">
        <f t="shared" si="3674"/>
        <v>&lt;/li&gt;&lt;li&gt;&lt;a href=|http://kjt.biblecommenter.com/zechariah/8.htm| title=|King James Translators' Notes| target=|_top|&gt;KJT&lt;/a&gt;</v>
      </c>
      <c r="AG919" s="2" t="str">
        <f t="shared" si="3674"/>
        <v>&lt;/li&gt;&lt;li&gt;&lt;a href=|http://mhc.biblecommenter.com/zechariah/8.htm| title=|Matthew Henry's Concise Commentary| target=|_top|&gt;MHC&lt;/a&gt;</v>
      </c>
      <c r="AH919" s="2" t="str">
        <f t="shared" si="3674"/>
        <v>&lt;/li&gt;&lt;li&gt;&lt;a href=|http://sco.biblecommenter.com/zechariah/8.htm| title=|Scofield Reference Notes| target=|_top|&gt;SCO&lt;/a&gt;</v>
      </c>
      <c r="AI919" s="2" t="str">
        <f t="shared" si="3674"/>
        <v>&lt;/li&gt;&lt;li&gt;&lt;a href=|http://wes.biblecommenter.com/zechariah/8.htm| title=|Wesley's Notes on the Bible| target=|_top|&gt;WES&lt;/a&gt;</v>
      </c>
      <c r="AJ919" t="str">
        <f t="shared" si="3674"/>
        <v>&lt;/li&gt;&lt;li&gt;&lt;a href=|http://worldebible.com/zechariah/8.htm| title=|World English Bible| target=|_top|&gt;WEB&lt;/a&gt;</v>
      </c>
      <c r="AK919" t="str">
        <f t="shared" si="3674"/>
        <v>&lt;/li&gt;&lt;li&gt;&lt;a href=|http://yltbible.com/zechariah/8.htm| title=|Young's Literal Translation| target=|_top|&gt;YLT&lt;/a&gt;</v>
      </c>
      <c r="AL919" t="str">
        <f>CONCATENATE("&lt;a href=|http://",AL1191,"/zechariah/8.htm","| ","title=|",AL1190,"| target=|_top|&gt;",AL1192,"&lt;/a&gt;")</f>
        <v>&lt;a href=|http://kjv.us/zechariah/8.htm| title=|American King James Version| target=|_top|&gt;AKJ&lt;/a&gt;</v>
      </c>
      <c r="AM919" t="str">
        <f t="shared" ref="AM919:AN919" si="3675">CONCATENATE("&lt;/li&gt;&lt;li&gt;&lt;a href=|http://",AM1191,"/zechariah/8.htm","| ","title=|",AM1190,"| target=|_top|&gt;",AM1192,"&lt;/a&gt;")</f>
        <v>&lt;/li&gt;&lt;li&gt;&lt;a href=|http://basicenglishbible.com/zechariah/8.htm| title=|Bible in Basic English| target=|_top|&gt;BBE&lt;/a&gt;</v>
      </c>
      <c r="AN919" t="str">
        <f t="shared" si="3675"/>
        <v>&lt;/li&gt;&lt;li&gt;&lt;a href=|http://darbybible.com/zechariah/8.htm| title=|Darby Bible Translation| target=|_top|&gt;DBY&lt;/a&gt;</v>
      </c>
      <c r="AO91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1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1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19" t="str">
        <f>CONCATENATE("&lt;/li&gt;&lt;li&gt;&lt;a href=|http://",AR1191,"/zechariah/8.htm","| ","title=|",AR1190,"| target=|_top|&gt;",AR1192,"&lt;/a&gt;")</f>
        <v>&lt;/li&gt;&lt;li&gt;&lt;a href=|http://websterbible.com/zechariah/8.htm| title=|Webster's Bible Translation| target=|_top|&gt;WBS&lt;/a&gt;</v>
      </c>
      <c r="AS91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19" t="str">
        <f>CONCATENATE("&lt;/li&gt;&lt;li&gt;&lt;a href=|http://",AT1191,"/zechariah/8-1.htm","| ","title=|",AT1190,"| target=|_top|&gt;",AT1192,"&lt;/a&gt;")</f>
        <v>&lt;/li&gt;&lt;li&gt;&lt;a href=|http://biblebrowser.com/zechariah/8-1.htm| title=|Split View| target=|_top|&gt;Split&lt;/a&gt;</v>
      </c>
      <c r="AU919" s="2" t="s">
        <v>1276</v>
      </c>
      <c r="AV919" t="s">
        <v>64</v>
      </c>
    </row>
    <row r="920" spans="1:48">
      <c r="A920" t="s">
        <v>622</v>
      </c>
      <c r="B920" t="s">
        <v>961</v>
      </c>
      <c r="C920" t="s">
        <v>624</v>
      </c>
      <c r="D920" t="s">
        <v>1268</v>
      </c>
      <c r="E920" t="s">
        <v>1277</v>
      </c>
      <c r="F920" t="s">
        <v>1304</v>
      </c>
      <c r="G920" t="s">
        <v>1266</v>
      </c>
      <c r="H920" t="s">
        <v>1305</v>
      </c>
      <c r="I920" t="s">
        <v>1303</v>
      </c>
      <c r="J920" t="s">
        <v>1267</v>
      </c>
      <c r="K920" t="s">
        <v>1275</v>
      </c>
      <c r="L920" s="2" t="s">
        <v>1274</v>
      </c>
      <c r="M920" t="str">
        <f t="shared" ref="M920:AB920" si="3676">CONCATENATE("&lt;/li&gt;&lt;li&gt;&lt;a href=|http://",M1191,"/zechariah/9.htm","| ","title=|",M1190,"| target=|_top|&gt;",M1192,"&lt;/a&gt;")</f>
        <v>&lt;/li&gt;&lt;li&gt;&lt;a href=|http://niv.scripturetext.com/zechariah/9.htm| title=|New International Version| target=|_top|&gt;NIV&lt;/a&gt;</v>
      </c>
      <c r="N920" t="str">
        <f t="shared" si="3676"/>
        <v>&lt;/li&gt;&lt;li&gt;&lt;a href=|http://nlt.scripturetext.com/zechariah/9.htm| title=|New Living Translation| target=|_top|&gt;NLT&lt;/a&gt;</v>
      </c>
      <c r="O920" t="str">
        <f t="shared" si="3676"/>
        <v>&lt;/li&gt;&lt;li&gt;&lt;a href=|http://nasb.scripturetext.com/zechariah/9.htm| title=|New American Standard Bible| target=|_top|&gt;NAS&lt;/a&gt;</v>
      </c>
      <c r="P920" t="str">
        <f t="shared" si="3676"/>
        <v>&lt;/li&gt;&lt;li&gt;&lt;a href=|http://gwt.scripturetext.com/zechariah/9.htm| title=|God's Word Translation| target=|_top|&gt;GWT&lt;/a&gt;</v>
      </c>
      <c r="Q920" t="str">
        <f t="shared" si="3676"/>
        <v>&lt;/li&gt;&lt;li&gt;&lt;a href=|http://kingjbible.com/zechariah/9.htm| title=|King James Bible| target=|_top|&gt;KJV&lt;/a&gt;</v>
      </c>
      <c r="R920" t="str">
        <f t="shared" si="3676"/>
        <v>&lt;/li&gt;&lt;li&gt;&lt;a href=|http://asvbible.com/zechariah/9.htm| title=|American Standard Version| target=|_top|&gt;ASV&lt;/a&gt;</v>
      </c>
      <c r="S920" t="str">
        <f t="shared" si="3676"/>
        <v>&lt;/li&gt;&lt;li&gt;&lt;a href=|http://drb.scripturetext.com/zechariah/9.htm| title=|Douay-Rheims Bible| target=|_top|&gt;DRB&lt;/a&gt;</v>
      </c>
      <c r="T920" t="str">
        <f t="shared" si="3676"/>
        <v>&lt;/li&gt;&lt;li&gt;&lt;a href=|http://erv.scripturetext.com/zechariah/9.htm| title=|English Revised Version| target=|_top|&gt;ERV&lt;/a&gt;</v>
      </c>
      <c r="V920" t="str">
        <f>CONCATENATE("&lt;/li&gt;&lt;li&gt;&lt;a href=|http://",V1191,"/zechariah/9.htm","| ","title=|",V1190,"| target=|_top|&gt;",V1192,"&lt;/a&gt;")</f>
        <v>&lt;/li&gt;&lt;li&gt;&lt;a href=|http://study.interlinearbible.org/zechariah/9.htm| title=|Hebrew Study Bible| target=|_top|&gt;Heb Study&lt;/a&gt;</v>
      </c>
      <c r="W920" t="str">
        <f t="shared" si="3676"/>
        <v>&lt;/li&gt;&lt;li&gt;&lt;a href=|http://apostolic.interlinearbible.org/zechariah/9.htm| title=|Apostolic Bible Polyglot Interlinear| target=|_top|&gt;Polyglot&lt;/a&gt;</v>
      </c>
      <c r="X920" t="str">
        <f t="shared" si="3676"/>
        <v>&lt;/li&gt;&lt;li&gt;&lt;a href=|http://interlinearbible.org/zechariah/9.htm| title=|Interlinear Bible| target=|_top|&gt;Interlin&lt;/a&gt;</v>
      </c>
      <c r="Y920" t="str">
        <f t="shared" ref="Y920" si="3677">CONCATENATE("&lt;/li&gt;&lt;li&gt;&lt;a href=|http://",Y1191,"/zechariah/9.htm","| ","title=|",Y1190,"| target=|_top|&gt;",Y1192,"&lt;/a&gt;")</f>
        <v>&lt;/li&gt;&lt;li&gt;&lt;a href=|http://bibleoutline.org/zechariah/9.htm| title=|Outline with People and Places List| target=|_top|&gt;Outline&lt;/a&gt;</v>
      </c>
      <c r="Z920" t="str">
        <f t="shared" si="3676"/>
        <v>&lt;/li&gt;&lt;li&gt;&lt;a href=|http://kjvs.scripturetext.com/zechariah/9.htm| title=|King James Bible with Strong's Numbers| target=|_top|&gt;Strong's&lt;/a&gt;</v>
      </c>
      <c r="AA920" t="str">
        <f t="shared" si="3676"/>
        <v>&lt;/li&gt;&lt;li&gt;&lt;a href=|http://childrensbibleonline.com/zechariah/9.htm| title=|The Children's Bible| target=|_top|&gt;Children's&lt;/a&gt;</v>
      </c>
      <c r="AB920" s="2" t="str">
        <f t="shared" si="3676"/>
        <v>&lt;/li&gt;&lt;li&gt;&lt;a href=|http://tsk.scripturetext.com/zechariah/9.htm| title=|Treasury of Scripture Knowledge| target=|_top|&gt;TSK&lt;/a&gt;</v>
      </c>
      <c r="AC920" t="str">
        <f>CONCATENATE("&lt;a href=|http://",AC1191,"/zechariah/9.htm","| ","title=|",AC1190,"| target=|_top|&gt;",AC1192,"&lt;/a&gt;")</f>
        <v>&lt;a href=|http://parallelbible.com/zechariah/9.htm| title=|Parallel Chapters| target=|_top|&gt;PAR&lt;/a&gt;</v>
      </c>
      <c r="AD920" s="2" t="str">
        <f t="shared" ref="AD920:AK920" si="3678">CONCATENATE("&lt;/li&gt;&lt;li&gt;&lt;a href=|http://",AD1191,"/zechariah/9.htm","| ","title=|",AD1190,"| target=|_top|&gt;",AD1192,"&lt;/a&gt;")</f>
        <v>&lt;/li&gt;&lt;li&gt;&lt;a href=|http://gsb.biblecommenter.com/zechariah/9.htm| title=|Geneva Study Bible| target=|_top|&gt;GSB&lt;/a&gt;</v>
      </c>
      <c r="AE920" s="2" t="str">
        <f t="shared" si="3678"/>
        <v>&lt;/li&gt;&lt;li&gt;&lt;a href=|http://jfb.biblecommenter.com/zechariah/9.htm| title=|Jamieson-Fausset-Brown Bible Commentary| target=|_top|&gt;JFB&lt;/a&gt;</v>
      </c>
      <c r="AF920" s="2" t="str">
        <f t="shared" si="3678"/>
        <v>&lt;/li&gt;&lt;li&gt;&lt;a href=|http://kjt.biblecommenter.com/zechariah/9.htm| title=|King James Translators' Notes| target=|_top|&gt;KJT&lt;/a&gt;</v>
      </c>
      <c r="AG920" s="2" t="str">
        <f t="shared" si="3678"/>
        <v>&lt;/li&gt;&lt;li&gt;&lt;a href=|http://mhc.biblecommenter.com/zechariah/9.htm| title=|Matthew Henry's Concise Commentary| target=|_top|&gt;MHC&lt;/a&gt;</v>
      </c>
      <c r="AH920" s="2" t="str">
        <f t="shared" si="3678"/>
        <v>&lt;/li&gt;&lt;li&gt;&lt;a href=|http://sco.biblecommenter.com/zechariah/9.htm| title=|Scofield Reference Notes| target=|_top|&gt;SCO&lt;/a&gt;</v>
      </c>
      <c r="AI920" s="2" t="str">
        <f t="shared" si="3678"/>
        <v>&lt;/li&gt;&lt;li&gt;&lt;a href=|http://wes.biblecommenter.com/zechariah/9.htm| title=|Wesley's Notes on the Bible| target=|_top|&gt;WES&lt;/a&gt;</v>
      </c>
      <c r="AJ920" t="str">
        <f t="shared" si="3678"/>
        <v>&lt;/li&gt;&lt;li&gt;&lt;a href=|http://worldebible.com/zechariah/9.htm| title=|World English Bible| target=|_top|&gt;WEB&lt;/a&gt;</v>
      </c>
      <c r="AK920" t="str">
        <f t="shared" si="3678"/>
        <v>&lt;/li&gt;&lt;li&gt;&lt;a href=|http://yltbible.com/zechariah/9.htm| title=|Young's Literal Translation| target=|_top|&gt;YLT&lt;/a&gt;</v>
      </c>
      <c r="AL920" t="str">
        <f>CONCATENATE("&lt;a href=|http://",AL1191,"/zechariah/9.htm","| ","title=|",AL1190,"| target=|_top|&gt;",AL1192,"&lt;/a&gt;")</f>
        <v>&lt;a href=|http://kjv.us/zechariah/9.htm| title=|American King James Version| target=|_top|&gt;AKJ&lt;/a&gt;</v>
      </c>
      <c r="AM920" t="str">
        <f t="shared" ref="AM920:AN920" si="3679">CONCATENATE("&lt;/li&gt;&lt;li&gt;&lt;a href=|http://",AM1191,"/zechariah/9.htm","| ","title=|",AM1190,"| target=|_top|&gt;",AM1192,"&lt;/a&gt;")</f>
        <v>&lt;/li&gt;&lt;li&gt;&lt;a href=|http://basicenglishbible.com/zechariah/9.htm| title=|Bible in Basic English| target=|_top|&gt;BBE&lt;/a&gt;</v>
      </c>
      <c r="AN920" t="str">
        <f t="shared" si="3679"/>
        <v>&lt;/li&gt;&lt;li&gt;&lt;a href=|http://darbybible.com/zechariah/9.htm| title=|Darby Bible Translation| target=|_top|&gt;DBY&lt;/a&gt;</v>
      </c>
      <c r="AO920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20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20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20" t="str">
        <f>CONCATENATE("&lt;/li&gt;&lt;li&gt;&lt;a href=|http://",AR1191,"/zechariah/9.htm","| ","title=|",AR1190,"| target=|_top|&gt;",AR1192,"&lt;/a&gt;")</f>
        <v>&lt;/li&gt;&lt;li&gt;&lt;a href=|http://websterbible.com/zechariah/9.htm| title=|Webster's Bible Translation| target=|_top|&gt;WBS&lt;/a&gt;</v>
      </c>
      <c r="AS920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20" t="str">
        <f>CONCATENATE("&lt;/li&gt;&lt;li&gt;&lt;a href=|http://",AT1191,"/zechariah/9-1.htm","| ","title=|",AT1190,"| target=|_top|&gt;",AT1192,"&lt;/a&gt;")</f>
        <v>&lt;/li&gt;&lt;li&gt;&lt;a href=|http://biblebrowser.com/zechariah/9-1.htm| title=|Split View| target=|_top|&gt;Split&lt;/a&gt;</v>
      </c>
      <c r="AU920" s="2" t="s">
        <v>1276</v>
      </c>
      <c r="AV920" t="s">
        <v>64</v>
      </c>
    </row>
    <row r="921" spans="1:48">
      <c r="A921" t="s">
        <v>622</v>
      </c>
      <c r="B921" t="s">
        <v>962</v>
      </c>
      <c r="C921" t="s">
        <v>624</v>
      </c>
      <c r="D921" t="s">
        <v>1268</v>
      </c>
      <c r="E921" t="s">
        <v>1277</v>
      </c>
      <c r="F921" t="s">
        <v>1304</v>
      </c>
      <c r="G921" t="s">
        <v>1266</v>
      </c>
      <c r="H921" t="s">
        <v>1305</v>
      </c>
      <c r="I921" t="s">
        <v>1303</v>
      </c>
      <c r="J921" t="s">
        <v>1267</v>
      </c>
      <c r="K921" t="s">
        <v>1275</v>
      </c>
      <c r="L921" s="2" t="s">
        <v>1274</v>
      </c>
      <c r="M921" t="str">
        <f t="shared" ref="M921:AB921" si="3680">CONCATENATE("&lt;/li&gt;&lt;li&gt;&lt;a href=|http://",M1191,"/zechariah/10.htm","| ","title=|",M1190,"| target=|_top|&gt;",M1192,"&lt;/a&gt;")</f>
        <v>&lt;/li&gt;&lt;li&gt;&lt;a href=|http://niv.scripturetext.com/zechariah/10.htm| title=|New International Version| target=|_top|&gt;NIV&lt;/a&gt;</v>
      </c>
      <c r="N921" t="str">
        <f t="shared" si="3680"/>
        <v>&lt;/li&gt;&lt;li&gt;&lt;a href=|http://nlt.scripturetext.com/zechariah/10.htm| title=|New Living Translation| target=|_top|&gt;NLT&lt;/a&gt;</v>
      </c>
      <c r="O921" t="str">
        <f t="shared" si="3680"/>
        <v>&lt;/li&gt;&lt;li&gt;&lt;a href=|http://nasb.scripturetext.com/zechariah/10.htm| title=|New American Standard Bible| target=|_top|&gt;NAS&lt;/a&gt;</v>
      </c>
      <c r="P921" t="str">
        <f t="shared" si="3680"/>
        <v>&lt;/li&gt;&lt;li&gt;&lt;a href=|http://gwt.scripturetext.com/zechariah/10.htm| title=|God's Word Translation| target=|_top|&gt;GWT&lt;/a&gt;</v>
      </c>
      <c r="Q921" t="str">
        <f t="shared" si="3680"/>
        <v>&lt;/li&gt;&lt;li&gt;&lt;a href=|http://kingjbible.com/zechariah/10.htm| title=|King James Bible| target=|_top|&gt;KJV&lt;/a&gt;</v>
      </c>
      <c r="R921" t="str">
        <f t="shared" si="3680"/>
        <v>&lt;/li&gt;&lt;li&gt;&lt;a href=|http://asvbible.com/zechariah/10.htm| title=|American Standard Version| target=|_top|&gt;ASV&lt;/a&gt;</v>
      </c>
      <c r="S921" t="str">
        <f t="shared" si="3680"/>
        <v>&lt;/li&gt;&lt;li&gt;&lt;a href=|http://drb.scripturetext.com/zechariah/10.htm| title=|Douay-Rheims Bible| target=|_top|&gt;DRB&lt;/a&gt;</v>
      </c>
      <c r="T921" t="str">
        <f t="shared" si="3680"/>
        <v>&lt;/li&gt;&lt;li&gt;&lt;a href=|http://erv.scripturetext.com/zechariah/10.htm| title=|English Revised Version| target=|_top|&gt;ERV&lt;/a&gt;</v>
      </c>
      <c r="V921" t="str">
        <f>CONCATENATE("&lt;/li&gt;&lt;li&gt;&lt;a href=|http://",V1191,"/zechariah/10.htm","| ","title=|",V1190,"| target=|_top|&gt;",V1192,"&lt;/a&gt;")</f>
        <v>&lt;/li&gt;&lt;li&gt;&lt;a href=|http://study.interlinearbible.org/zechariah/10.htm| title=|Hebrew Study Bible| target=|_top|&gt;Heb Study&lt;/a&gt;</v>
      </c>
      <c r="W921" t="str">
        <f t="shared" si="3680"/>
        <v>&lt;/li&gt;&lt;li&gt;&lt;a href=|http://apostolic.interlinearbible.org/zechariah/10.htm| title=|Apostolic Bible Polyglot Interlinear| target=|_top|&gt;Polyglot&lt;/a&gt;</v>
      </c>
      <c r="X921" t="str">
        <f t="shared" si="3680"/>
        <v>&lt;/li&gt;&lt;li&gt;&lt;a href=|http://interlinearbible.org/zechariah/10.htm| title=|Interlinear Bible| target=|_top|&gt;Interlin&lt;/a&gt;</v>
      </c>
      <c r="Y921" t="str">
        <f t="shared" ref="Y921" si="3681">CONCATENATE("&lt;/li&gt;&lt;li&gt;&lt;a href=|http://",Y1191,"/zechariah/10.htm","| ","title=|",Y1190,"| target=|_top|&gt;",Y1192,"&lt;/a&gt;")</f>
        <v>&lt;/li&gt;&lt;li&gt;&lt;a href=|http://bibleoutline.org/zechariah/10.htm| title=|Outline with People and Places List| target=|_top|&gt;Outline&lt;/a&gt;</v>
      </c>
      <c r="Z921" t="str">
        <f t="shared" si="3680"/>
        <v>&lt;/li&gt;&lt;li&gt;&lt;a href=|http://kjvs.scripturetext.com/zechariah/10.htm| title=|King James Bible with Strong's Numbers| target=|_top|&gt;Strong's&lt;/a&gt;</v>
      </c>
      <c r="AA921" t="str">
        <f t="shared" si="3680"/>
        <v>&lt;/li&gt;&lt;li&gt;&lt;a href=|http://childrensbibleonline.com/zechariah/10.htm| title=|The Children's Bible| target=|_top|&gt;Children's&lt;/a&gt;</v>
      </c>
      <c r="AB921" s="2" t="str">
        <f t="shared" si="3680"/>
        <v>&lt;/li&gt;&lt;li&gt;&lt;a href=|http://tsk.scripturetext.com/zechariah/10.htm| title=|Treasury of Scripture Knowledge| target=|_top|&gt;TSK&lt;/a&gt;</v>
      </c>
      <c r="AC921" t="str">
        <f>CONCATENATE("&lt;a href=|http://",AC1191,"/zechariah/10.htm","| ","title=|",AC1190,"| target=|_top|&gt;",AC1192,"&lt;/a&gt;")</f>
        <v>&lt;a href=|http://parallelbible.com/zechariah/10.htm| title=|Parallel Chapters| target=|_top|&gt;PAR&lt;/a&gt;</v>
      </c>
      <c r="AD921" s="2" t="str">
        <f t="shared" ref="AD921:AK921" si="3682">CONCATENATE("&lt;/li&gt;&lt;li&gt;&lt;a href=|http://",AD1191,"/zechariah/10.htm","| ","title=|",AD1190,"| target=|_top|&gt;",AD1192,"&lt;/a&gt;")</f>
        <v>&lt;/li&gt;&lt;li&gt;&lt;a href=|http://gsb.biblecommenter.com/zechariah/10.htm| title=|Geneva Study Bible| target=|_top|&gt;GSB&lt;/a&gt;</v>
      </c>
      <c r="AE921" s="2" t="str">
        <f t="shared" si="3682"/>
        <v>&lt;/li&gt;&lt;li&gt;&lt;a href=|http://jfb.biblecommenter.com/zechariah/10.htm| title=|Jamieson-Fausset-Brown Bible Commentary| target=|_top|&gt;JFB&lt;/a&gt;</v>
      </c>
      <c r="AF921" s="2" t="str">
        <f t="shared" si="3682"/>
        <v>&lt;/li&gt;&lt;li&gt;&lt;a href=|http://kjt.biblecommenter.com/zechariah/10.htm| title=|King James Translators' Notes| target=|_top|&gt;KJT&lt;/a&gt;</v>
      </c>
      <c r="AG921" s="2" t="str">
        <f t="shared" si="3682"/>
        <v>&lt;/li&gt;&lt;li&gt;&lt;a href=|http://mhc.biblecommenter.com/zechariah/10.htm| title=|Matthew Henry's Concise Commentary| target=|_top|&gt;MHC&lt;/a&gt;</v>
      </c>
      <c r="AH921" s="2" t="str">
        <f t="shared" si="3682"/>
        <v>&lt;/li&gt;&lt;li&gt;&lt;a href=|http://sco.biblecommenter.com/zechariah/10.htm| title=|Scofield Reference Notes| target=|_top|&gt;SCO&lt;/a&gt;</v>
      </c>
      <c r="AI921" s="2" t="str">
        <f t="shared" si="3682"/>
        <v>&lt;/li&gt;&lt;li&gt;&lt;a href=|http://wes.biblecommenter.com/zechariah/10.htm| title=|Wesley's Notes on the Bible| target=|_top|&gt;WES&lt;/a&gt;</v>
      </c>
      <c r="AJ921" t="str">
        <f t="shared" si="3682"/>
        <v>&lt;/li&gt;&lt;li&gt;&lt;a href=|http://worldebible.com/zechariah/10.htm| title=|World English Bible| target=|_top|&gt;WEB&lt;/a&gt;</v>
      </c>
      <c r="AK921" t="str">
        <f t="shared" si="3682"/>
        <v>&lt;/li&gt;&lt;li&gt;&lt;a href=|http://yltbible.com/zechariah/10.htm| title=|Young's Literal Translation| target=|_top|&gt;YLT&lt;/a&gt;</v>
      </c>
      <c r="AL921" t="str">
        <f>CONCATENATE("&lt;a href=|http://",AL1191,"/zechariah/10.htm","| ","title=|",AL1190,"| target=|_top|&gt;",AL1192,"&lt;/a&gt;")</f>
        <v>&lt;a href=|http://kjv.us/zechariah/10.htm| title=|American King James Version| target=|_top|&gt;AKJ&lt;/a&gt;</v>
      </c>
      <c r="AM921" t="str">
        <f t="shared" ref="AM921:AN921" si="3683">CONCATENATE("&lt;/li&gt;&lt;li&gt;&lt;a href=|http://",AM1191,"/zechariah/10.htm","| ","title=|",AM1190,"| target=|_top|&gt;",AM1192,"&lt;/a&gt;")</f>
        <v>&lt;/li&gt;&lt;li&gt;&lt;a href=|http://basicenglishbible.com/zechariah/10.htm| title=|Bible in Basic English| target=|_top|&gt;BBE&lt;/a&gt;</v>
      </c>
      <c r="AN921" t="str">
        <f t="shared" si="3683"/>
        <v>&lt;/li&gt;&lt;li&gt;&lt;a href=|http://darbybible.com/zechariah/10.htm| title=|Darby Bible Translation| target=|_top|&gt;DBY&lt;/a&gt;</v>
      </c>
      <c r="AO921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21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21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21" t="str">
        <f>CONCATENATE("&lt;/li&gt;&lt;li&gt;&lt;a href=|http://",AR1191,"/zechariah/10.htm","| ","title=|",AR1190,"| target=|_top|&gt;",AR1192,"&lt;/a&gt;")</f>
        <v>&lt;/li&gt;&lt;li&gt;&lt;a href=|http://websterbible.com/zechariah/10.htm| title=|Webster's Bible Translation| target=|_top|&gt;WBS&lt;/a&gt;</v>
      </c>
      <c r="AS921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21" t="str">
        <f>CONCATENATE("&lt;/li&gt;&lt;li&gt;&lt;a href=|http://",AT1191,"/zechariah/10-1.htm","| ","title=|",AT1190,"| target=|_top|&gt;",AT1192,"&lt;/a&gt;")</f>
        <v>&lt;/li&gt;&lt;li&gt;&lt;a href=|http://biblebrowser.com/zechariah/10-1.htm| title=|Split View| target=|_top|&gt;Split&lt;/a&gt;</v>
      </c>
      <c r="AU921" s="2" t="s">
        <v>1276</v>
      </c>
      <c r="AV921" t="s">
        <v>64</v>
      </c>
    </row>
    <row r="922" spans="1:48">
      <c r="A922" t="s">
        <v>622</v>
      </c>
      <c r="B922" t="s">
        <v>963</v>
      </c>
      <c r="C922" t="s">
        <v>624</v>
      </c>
      <c r="D922" t="s">
        <v>1268</v>
      </c>
      <c r="E922" t="s">
        <v>1277</v>
      </c>
      <c r="F922" t="s">
        <v>1304</v>
      </c>
      <c r="G922" t="s">
        <v>1266</v>
      </c>
      <c r="H922" t="s">
        <v>1305</v>
      </c>
      <c r="I922" t="s">
        <v>1303</v>
      </c>
      <c r="J922" t="s">
        <v>1267</v>
      </c>
      <c r="K922" t="s">
        <v>1275</v>
      </c>
      <c r="L922" s="2" t="s">
        <v>1274</v>
      </c>
      <c r="M922" t="str">
        <f t="shared" ref="M922:AB922" si="3684">CONCATENATE("&lt;/li&gt;&lt;li&gt;&lt;a href=|http://",M1191,"/zechariah/11.htm","| ","title=|",M1190,"| target=|_top|&gt;",M1192,"&lt;/a&gt;")</f>
        <v>&lt;/li&gt;&lt;li&gt;&lt;a href=|http://niv.scripturetext.com/zechariah/11.htm| title=|New International Version| target=|_top|&gt;NIV&lt;/a&gt;</v>
      </c>
      <c r="N922" t="str">
        <f t="shared" si="3684"/>
        <v>&lt;/li&gt;&lt;li&gt;&lt;a href=|http://nlt.scripturetext.com/zechariah/11.htm| title=|New Living Translation| target=|_top|&gt;NLT&lt;/a&gt;</v>
      </c>
      <c r="O922" t="str">
        <f t="shared" si="3684"/>
        <v>&lt;/li&gt;&lt;li&gt;&lt;a href=|http://nasb.scripturetext.com/zechariah/11.htm| title=|New American Standard Bible| target=|_top|&gt;NAS&lt;/a&gt;</v>
      </c>
      <c r="P922" t="str">
        <f t="shared" si="3684"/>
        <v>&lt;/li&gt;&lt;li&gt;&lt;a href=|http://gwt.scripturetext.com/zechariah/11.htm| title=|God's Word Translation| target=|_top|&gt;GWT&lt;/a&gt;</v>
      </c>
      <c r="Q922" t="str">
        <f t="shared" si="3684"/>
        <v>&lt;/li&gt;&lt;li&gt;&lt;a href=|http://kingjbible.com/zechariah/11.htm| title=|King James Bible| target=|_top|&gt;KJV&lt;/a&gt;</v>
      </c>
      <c r="R922" t="str">
        <f t="shared" si="3684"/>
        <v>&lt;/li&gt;&lt;li&gt;&lt;a href=|http://asvbible.com/zechariah/11.htm| title=|American Standard Version| target=|_top|&gt;ASV&lt;/a&gt;</v>
      </c>
      <c r="S922" t="str">
        <f t="shared" si="3684"/>
        <v>&lt;/li&gt;&lt;li&gt;&lt;a href=|http://drb.scripturetext.com/zechariah/11.htm| title=|Douay-Rheims Bible| target=|_top|&gt;DRB&lt;/a&gt;</v>
      </c>
      <c r="T922" t="str">
        <f t="shared" si="3684"/>
        <v>&lt;/li&gt;&lt;li&gt;&lt;a href=|http://erv.scripturetext.com/zechariah/11.htm| title=|English Revised Version| target=|_top|&gt;ERV&lt;/a&gt;</v>
      </c>
      <c r="V922" t="str">
        <f>CONCATENATE("&lt;/li&gt;&lt;li&gt;&lt;a href=|http://",V1191,"/zechariah/11.htm","| ","title=|",V1190,"| target=|_top|&gt;",V1192,"&lt;/a&gt;")</f>
        <v>&lt;/li&gt;&lt;li&gt;&lt;a href=|http://study.interlinearbible.org/zechariah/11.htm| title=|Hebrew Study Bible| target=|_top|&gt;Heb Study&lt;/a&gt;</v>
      </c>
      <c r="W922" t="str">
        <f t="shared" si="3684"/>
        <v>&lt;/li&gt;&lt;li&gt;&lt;a href=|http://apostolic.interlinearbible.org/zechariah/11.htm| title=|Apostolic Bible Polyglot Interlinear| target=|_top|&gt;Polyglot&lt;/a&gt;</v>
      </c>
      <c r="X922" t="str">
        <f t="shared" si="3684"/>
        <v>&lt;/li&gt;&lt;li&gt;&lt;a href=|http://interlinearbible.org/zechariah/11.htm| title=|Interlinear Bible| target=|_top|&gt;Interlin&lt;/a&gt;</v>
      </c>
      <c r="Y922" t="str">
        <f t="shared" ref="Y922" si="3685">CONCATENATE("&lt;/li&gt;&lt;li&gt;&lt;a href=|http://",Y1191,"/zechariah/11.htm","| ","title=|",Y1190,"| target=|_top|&gt;",Y1192,"&lt;/a&gt;")</f>
        <v>&lt;/li&gt;&lt;li&gt;&lt;a href=|http://bibleoutline.org/zechariah/11.htm| title=|Outline with People and Places List| target=|_top|&gt;Outline&lt;/a&gt;</v>
      </c>
      <c r="Z922" t="str">
        <f t="shared" si="3684"/>
        <v>&lt;/li&gt;&lt;li&gt;&lt;a href=|http://kjvs.scripturetext.com/zechariah/11.htm| title=|King James Bible with Strong's Numbers| target=|_top|&gt;Strong's&lt;/a&gt;</v>
      </c>
      <c r="AA922" t="str">
        <f t="shared" si="3684"/>
        <v>&lt;/li&gt;&lt;li&gt;&lt;a href=|http://childrensbibleonline.com/zechariah/11.htm| title=|The Children's Bible| target=|_top|&gt;Children's&lt;/a&gt;</v>
      </c>
      <c r="AB922" s="2" t="str">
        <f t="shared" si="3684"/>
        <v>&lt;/li&gt;&lt;li&gt;&lt;a href=|http://tsk.scripturetext.com/zechariah/11.htm| title=|Treasury of Scripture Knowledge| target=|_top|&gt;TSK&lt;/a&gt;</v>
      </c>
      <c r="AC922" t="str">
        <f>CONCATENATE("&lt;a href=|http://",AC1191,"/zechariah/11.htm","| ","title=|",AC1190,"| target=|_top|&gt;",AC1192,"&lt;/a&gt;")</f>
        <v>&lt;a href=|http://parallelbible.com/zechariah/11.htm| title=|Parallel Chapters| target=|_top|&gt;PAR&lt;/a&gt;</v>
      </c>
      <c r="AD922" s="2" t="str">
        <f t="shared" ref="AD922:AK922" si="3686">CONCATENATE("&lt;/li&gt;&lt;li&gt;&lt;a href=|http://",AD1191,"/zechariah/11.htm","| ","title=|",AD1190,"| target=|_top|&gt;",AD1192,"&lt;/a&gt;")</f>
        <v>&lt;/li&gt;&lt;li&gt;&lt;a href=|http://gsb.biblecommenter.com/zechariah/11.htm| title=|Geneva Study Bible| target=|_top|&gt;GSB&lt;/a&gt;</v>
      </c>
      <c r="AE922" s="2" t="str">
        <f t="shared" si="3686"/>
        <v>&lt;/li&gt;&lt;li&gt;&lt;a href=|http://jfb.biblecommenter.com/zechariah/11.htm| title=|Jamieson-Fausset-Brown Bible Commentary| target=|_top|&gt;JFB&lt;/a&gt;</v>
      </c>
      <c r="AF922" s="2" t="str">
        <f t="shared" si="3686"/>
        <v>&lt;/li&gt;&lt;li&gt;&lt;a href=|http://kjt.biblecommenter.com/zechariah/11.htm| title=|King James Translators' Notes| target=|_top|&gt;KJT&lt;/a&gt;</v>
      </c>
      <c r="AG922" s="2" t="str">
        <f t="shared" si="3686"/>
        <v>&lt;/li&gt;&lt;li&gt;&lt;a href=|http://mhc.biblecommenter.com/zechariah/11.htm| title=|Matthew Henry's Concise Commentary| target=|_top|&gt;MHC&lt;/a&gt;</v>
      </c>
      <c r="AH922" s="2" t="str">
        <f t="shared" si="3686"/>
        <v>&lt;/li&gt;&lt;li&gt;&lt;a href=|http://sco.biblecommenter.com/zechariah/11.htm| title=|Scofield Reference Notes| target=|_top|&gt;SCO&lt;/a&gt;</v>
      </c>
      <c r="AI922" s="2" t="str">
        <f t="shared" si="3686"/>
        <v>&lt;/li&gt;&lt;li&gt;&lt;a href=|http://wes.biblecommenter.com/zechariah/11.htm| title=|Wesley's Notes on the Bible| target=|_top|&gt;WES&lt;/a&gt;</v>
      </c>
      <c r="AJ922" t="str">
        <f t="shared" si="3686"/>
        <v>&lt;/li&gt;&lt;li&gt;&lt;a href=|http://worldebible.com/zechariah/11.htm| title=|World English Bible| target=|_top|&gt;WEB&lt;/a&gt;</v>
      </c>
      <c r="AK922" t="str">
        <f t="shared" si="3686"/>
        <v>&lt;/li&gt;&lt;li&gt;&lt;a href=|http://yltbible.com/zechariah/11.htm| title=|Young's Literal Translation| target=|_top|&gt;YLT&lt;/a&gt;</v>
      </c>
      <c r="AL922" t="str">
        <f>CONCATENATE("&lt;a href=|http://",AL1191,"/zechariah/11.htm","| ","title=|",AL1190,"| target=|_top|&gt;",AL1192,"&lt;/a&gt;")</f>
        <v>&lt;a href=|http://kjv.us/zechariah/11.htm| title=|American King James Version| target=|_top|&gt;AKJ&lt;/a&gt;</v>
      </c>
      <c r="AM922" t="str">
        <f t="shared" ref="AM922:AN922" si="3687">CONCATENATE("&lt;/li&gt;&lt;li&gt;&lt;a href=|http://",AM1191,"/zechariah/11.htm","| ","title=|",AM1190,"| target=|_top|&gt;",AM1192,"&lt;/a&gt;")</f>
        <v>&lt;/li&gt;&lt;li&gt;&lt;a href=|http://basicenglishbible.com/zechariah/11.htm| title=|Bible in Basic English| target=|_top|&gt;BBE&lt;/a&gt;</v>
      </c>
      <c r="AN922" t="str">
        <f t="shared" si="3687"/>
        <v>&lt;/li&gt;&lt;li&gt;&lt;a href=|http://darbybible.com/zechariah/11.htm| title=|Darby Bible Translation| target=|_top|&gt;DBY&lt;/a&gt;</v>
      </c>
      <c r="AO922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22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22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22" t="str">
        <f>CONCATENATE("&lt;/li&gt;&lt;li&gt;&lt;a href=|http://",AR1191,"/zechariah/11.htm","| ","title=|",AR1190,"| target=|_top|&gt;",AR1192,"&lt;/a&gt;")</f>
        <v>&lt;/li&gt;&lt;li&gt;&lt;a href=|http://websterbible.com/zechariah/11.htm| title=|Webster's Bible Translation| target=|_top|&gt;WBS&lt;/a&gt;</v>
      </c>
      <c r="AS922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22" t="str">
        <f>CONCATENATE("&lt;/li&gt;&lt;li&gt;&lt;a href=|http://",AT1191,"/zechariah/11-1.htm","| ","title=|",AT1190,"| target=|_top|&gt;",AT1192,"&lt;/a&gt;")</f>
        <v>&lt;/li&gt;&lt;li&gt;&lt;a href=|http://biblebrowser.com/zechariah/11-1.htm| title=|Split View| target=|_top|&gt;Split&lt;/a&gt;</v>
      </c>
      <c r="AU922" s="2" t="s">
        <v>1276</v>
      </c>
      <c r="AV922" t="s">
        <v>64</v>
      </c>
    </row>
    <row r="923" spans="1:48">
      <c r="A923" t="s">
        <v>622</v>
      </c>
      <c r="B923" t="s">
        <v>964</v>
      </c>
      <c r="C923" t="s">
        <v>624</v>
      </c>
      <c r="D923" t="s">
        <v>1268</v>
      </c>
      <c r="E923" t="s">
        <v>1277</v>
      </c>
      <c r="F923" t="s">
        <v>1304</v>
      </c>
      <c r="G923" t="s">
        <v>1266</v>
      </c>
      <c r="H923" t="s">
        <v>1305</v>
      </c>
      <c r="I923" t="s">
        <v>1303</v>
      </c>
      <c r="J923" t="s">
        <v>1267</v>
      </c>
      <c r="K923" t="s">
        <v>1275</v>
      </c>
      <c r="L923" s="2" t="s">
        <v>1274</v>
      </c>
      <c r="M923" t="str">
        <f t="shared" ref="M923:AB923" si="3688">CONCATENATE("&lt;/li&gt;&lt;li&gt;&lt;a href=|http://",M1191,"/zechariah/12.htm","| ","title=|",M1190,"| target=|_top|&gt;",M1192,"&lt;/a&gt;")</f>
        <v>&lt;/li&gt;&lt;li&gt;&lt;a href=|http://niv.scripturetext.com/zechariah/12.htm| title=|New International Version| target=|_top|&gt;NIV&lt;/a&gt;</v>
      </c>
      <c r="N923" t="str">
        <f t="shared" si="3688"/>
        <v>&lt;/li&gt;&lt;li&gt;&lt;a href=|http://nlt.scripturetext.com/zechariah/12.htm| title=|New Living Translation| target=|_top|&gt;NLT&lt;/a&gt;</v>
      </c>
      <c r="O923" t="str">
        <f t="shared" si="3688"/>
        <v>&lt;/li&gt;&lt;li&gt;&lt;a href=|http://nasb.scripturetext.com/zechariah/12.htm| title=|New American Standard Bible| target=|_top|&gt;NAS&lt;/a&gt;</v>
      </c>
      <c r="P923" t="str">
        <f t="shared" si="3688"/>
        <v>&lt;/li&gt;&lt;li&gt;&lt;a href=|http://gwt.scripturetext.com/zechariah/12.htm| title=|God's Word Translation| target=|_top|&gt;GWT&lt;/a&gt;</v>
      </c>
      <c r="Q923" t="str">
        <f t="shared" si="3688"/>
        <v>&lt;/li&gt;&lt;li&gt;&lt;a href=|http://kingjbible.com/zechariah/12.htm| title=|King James Bible| target=|_top|&gt;KJV&lt;/a&gt;</v>
      </c>
      <c r="R923" t="str">
        <f t="shared" si="3688"/>
        <v>&lt;/li&gt;&lt;li&gt;&lt;a href=|http://asvbible.com/zechariah/12.htm| title=|American Standard Version| target=|_top|&gt;ASV&lt;/a&gt;</v>
      </c>
      <c r="S923" t="str">
        <f t="shared" si="3688"/>
        <v>&lt;/li&gt;&lt;li&gt;&lt;a href=|http://drb.scripturetext.com/zechariah/12.htm| title=|Douay-Rheims Bible| target=|_top|&gt;DRB&lt;/a&gt;</v>
      </c>
      <c r="T923" t="str">
        <f t="shared" si="3688"/>
        <v>&lt;/li&gt;&lt;li&gt;&lt;a href=|http://erv.scripturetext.com/zechariah/12.htm| title=|English Revised Version| target=|_top|&gt;ERV&lt;/a&gt;</v>
      </c>
      <c r="V923" t="str">
        <f>CONCATENATE("&lt;/li&gt;&lt;li&gt;&lt;a href=|http://",V1191,"/zechariah/12.htm","| ","title=|",V1190,"| target=|_top|&gt;",V1192,"&lt;/a&gt;")</f>
        <v>&lt;/li&gt;&lt;li&gt;&lt;a href=|http://study.interlinearbible.org/zechariah/12.htm| title=|Hebrew Study Bible| target=|_top|&gt;Heb Study&lt;/a&gt;</v>
      </c>
      <c r="W923" t="str">
        <f t="shared" si="3688"/>
        <v>&lt;/li&gt;&lt;li&gt;&lt;a href=|http://apostolic.interlinearbible.org/zechariah/12.htm| title=|Apostolic Bible Polyglot Interlinear| target=|_top|&gt;Polyglot&lt;/a&gt;</v>
      </c>
      <c r="X923" t="str">
        <f t="shared" si="3688"/>
        <v>&lt;/li&gt;&lt;li&gt;&lt;a href=|http://interlinearbible.org/zechariah/12.htm| title=|Interlinear Bible| target=|_top|&gt;Interlin&lt;/a&gt;</v>
      </c>
      <c r="Y923" t="str">
        <f t="shared" ref="Y923" si="3689">CONCATENATE("&lt;/li&gt;&lt;li&gt;&lt;a href=|http://",Y1191,"/zechariah/12.htm","| ","title=|",Y1190,"| target=|_top|&gt;",Y1192,"&lt;/a&gt;")</f>
        <v>&lt;/li&gt;&lt;li&gt;&lt;a href=|http://bibleoutline.org/zechariah/12.htm| title=|Outline with People and Places List| target=|_top|&gt;Outline&lt;/a&gt;</v>
      </c>
      <c r="Z923" t="str">
        <f t="shared" si="3688"/>
        <v>&lt;/li&gt;&lt;li&gt;&lt;a href=|http://kjvs.scripturetext.com/zechariah/12.htm| title=|King James Bible with Strong's Numbers| target=|_top|&gt;Strong's&lt;/a&gt;</v>
      </c>
      <c r="AA923" t="str">
        <f t="shared" si="3688"/>
        <v>&lt;/li&gt;&lt;li&gt;&lt;a href=|http://childrensbibleonline.com/zechariah/12.htm| title=|The Children's Bible| target=|_top|&gt;Children's&lt;/a&gt;</v>
      </c>
      <c r="AB923" s="2" t="str">
        <f t="shared" si="3688"/>
        <v>&lt;/li&gt;&lt;li&gt;&lt;a href=|http://tsk.scripturetext.com/zechariah/12.htm| title=|Treasury of Scripture Knowledge| target=|_top|&gt;TSK&lt;/a&gt;</v>
      </c>
      <c r="AC923" t="str">
        <f>CONCATENATE("&lt;a href=|http://",AC1191,"/zechariah/12.htm","| ","title=|",AC1190,"| target=|_top|&gt;",AC1192,"&lt;/a&gt;")</f>
        <v>&lt;a href=|http://parallelbible.com/zechariah/12.htm| title=|Parallel Chapters| target=|_top|&gt;PAR&lt;/a&gt;</v>
      </c>
      <c r="AD923" s="2" t="str">
        <f t="shared" ref="AD923:AK923" si="3690">CONCATENATE("&lt;/li&gt;&lt;li&gt;&lt;a href=|http://",AD1191,"/zechariah/12.htm","| ","title=|",AD1190,"| target=|_top|&gt;",AD1192,"&lt;/a&gt;")</f>
        <v>&lt;/li&gt;&lt;li&gt;&lt;a href=|http://gsb.biblecommenter.com/zechariah/12.htm| title=|Geneva Study Bible| target=|_top|&gt;GSB&lt;/a&gt;</v>
      </c>
      <c r="AE923" s="2" t="str">
        <f t="shared" si="3690"/>
        <v>&lt;/li&gt;&lt;li&gt;&lt;a href=|http://jfb.biblecommenter.com/zechariah/12.htm| title=|Jamieson-Fausset-Brown Bible Commentary| target=|_top|&gt;JFB&lt;/a&gt;</v>
      </c>
      <c r="AF923" s="2" t="str">
        <f t="shared" si="3690"/>
        <v>&lt;/li&gt;&lt;li&gt;&lt;a href=|http://kjt.biblecommenter.com/zechariah/12.htm| title=|King James Translators' Notes| target=|_top|&gt;KJT&lt;/a&gt;</v>
      </c>
      <c r="AG923" s="2" t="str">
        <f t="shared" si="3690"/>
        <v>&lt;/li&gt;&lt;li&gt;&lt;a href=|http://mhc.biblecommenter.com/zechariah/12.htm| title=|Matthew Henry's Concise Commentary| target=|_top|&gt;MHC&lt;/a&gt;</v>
      </c>
      <c r="AH923" s="2" t="str">
        <f t="shared" si="3690"/>
        <v>&lt;/li&gt;&lt;li&gt;&lt;a href=|http://sco.biblecommenter.com/zechariah/12.htm| title=|Scofield Reference Notes| target=|_top|&gt;SCO&lt;/a&gt;</v>
      </c>
      <c r="AI923" s="2" t="str">
        <f t="shared" si="3690"/>
        <v>&lt;/li&gt;&lt;li&gt;&lt;a href=|http://wes.biblecommenter.com/zechariah/12.htm| title=|Wesley's Notes on the Bible| target=|_top|&gt;WES&lt;/a&gt;</v>
      </c>
      <c r="AJ923" t="str">
        <f t="shared" si="3690"/>
        <v>&lt;/li&gt;&lt;li&gt;&lt;a href=|http://worldebible.com/zechariah/12.htm| title=|World English Bible| target=|_top|&gt;WEB&lt;/a&gt;</v>
      </c>
      <c r="AK923" t="str">
        <f t="shared" si="3690"/>
        <v>&lt;/li&gt;&lt;li&gt;&lt;a href=|http://yltbible.com/zechariah/12.htm| title=|Young's Literal Translation| target=|_top|&gt;YLT&lt;/a&gt;</v>
      </c>
      <c r="AL923" t="str">
        <f>CONCATENATE("&lt;a href=|http://",AL1191,"/zechariah/12.htm","| ","title=|",AL1190,"| target=|_top|&gt;",AL1192,"&lt;/a&gt;")</f>
        <v>&lt;a href=|http://kjv.us/zechariah/12.htm| title=|American King James Version| target=|_top|&gt;AKJ&lt;/a&gt;</v>
      </c>
      <c r="AM923" t="str">
        <f t="shared" ref="AM923:AN923" si="3691">CONCATENATE("&lt;/li&gt;&lt;li&gt;&lt;a href=|http://",AM1191,"/zechariah/12.htm","| ","title=|",AM1190,"| target=|_top|&gt;",AM1192,"&lt;/a&gt;")</f>
        <v>&lt;/li&gt;&lt;li&gt;&lt;a href=|http://basicenglishbible.com/zechariah/12.htm| title=|Bible in Basic English| target=|_top|&gt;BBE&lt;/a&gt;</v>
      </c>
      <c r="AN923" t="str">
        <f t="shared" si="3691"/>
        <v>&lt;/li&gt;&lt;li&gt;&lt;a href=|http://darbybible.com/zechariah/12.htm| title=|Darby Bible Translation| target=|_top|&gt;DBY&lt;/a&gt;</v>
      </c>
      <c r="AO923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23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23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23" t="str">
        <f>CONCATENATE("&lt;/li&gt;&lt;li&gt;&lt;a href=|http://",AR1191,"/zechariah/12.htm","| ","title=|",AR1190,"| target=|_top|&gt;",AR1192,"&lt;/a&gt;")</f>
        <v>&lt;/li&gt;&lt;li&gt;&lt;a href=|http://websterbible.com/zechariah/12.htm| title=|Webster's Bible Translation| target=|_top|&gt;WBS&lt;/a&gt;</v>
      </c>
      <c r="AS923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23" t="str">
        <f>CONCATENATE("&lt;/li&gt;&lt;li&gt;&lt;a href=|http://",AT1191,"/zechariah/12-1.htm","| ","title=|",AT1190,"| target=|_top|&gt;",AT1192,"&lt;/a&gt;")</f>
        <v>&lt;/li&gt;&lt;li&gt;&lt;a href=|http://biblebrowser.com/zechariah/12-1.htm| title=|Split View| target=|_top|&gt;Split&lt;/a&gt;</v>
      </c>
      <c r="AU923" s="2" t="s">
        <v>1276</v>
      </c>
      <c r="AV923" t="s">
        <v>64</v>
      </c>
    </row>
    <row r="924" spans="1:48">
      <c r="A924" t="s">
        <v>622</v>
      </c>
      <c r="B924" t="s">
        <v>965</v>
      </c>
      <c r="C924" t="s">
        <v>624</v>
      </c>
      <c r="D924" t="s">
        <v>1268</v>
      </c>
      <c r="E924" t="s">
        <v>1277</v>
      </c>
      <c r="F924" t="s">
        <v>1304</v>
      </c>
      <c r="G924" t="s">
        <v>1266</v>
      </c>
      <c r="H924" t="s">
        <v>1305</v>
      </c>
      <c r="I924" t="s">
        <v>1303</v>
      </c>
      <c r="J924" t="s">
        <v>1267</v>
      </c>
      <c r="K924" t="s">
        <v>1275</v>
      </c>
      <c r="L924" s="2" t="s">
        <v>1274</v>
      </c>
      <c r="M924" t="str">
        <f t="shared" ref="M924:AB924" si="3692">CONCATENATE("&lt;/li&gt;&lt;li&gt;&lt;a href=|http://",M1191,"/zechariah/13.htm","| ","title=|",M1190,"| target=|_top|&gt;",M1192,"&lt;/a&gt;")</f>
        <v>&lt;/li&gt;&lt;li&gt;&lt;a href=|http://niv.scripturetext.com/zechariah/13.htm| title=|New International Version| target=|_top|&gt;NIV&lt;/a&gt;</v>
      </c>
      <c r="N924" t="str">
        <f t="shared" si="3692"/>
        <v>&lt;/li&gt;&lt;li&gt;&lt;a href=|http://nlt.scripturetext.com/zechariah/13.htm| title=|New Living Translation| target=|_top|&gt;NLT&lt;/a&gt;</v>
      </c>
      <c r="O924" t="str">
        <f t="shared" si="3692"/>
        <v>&lt;/li&gt;&lt;li&gt;&lt;a href=|http://nasb.scripturetext.com/zechariah/13.htm| title=|New American Standard Bible| target=|_top|&gt;NAS&lt;/a&gt;</v>
      </c>
      <c r="P924" t="str">
        <f t="shared" si="3692"/>
        <v>&lt;/li&gt;&lt;li&gt;&lt;a href=|http://gwt.scripturetext.com/zechariah/13.htm| title=|God's Word Translation| target=|_top|&gt;GWT&lt;/a&gt;</v>
      </c>
      <c r="Q924" t="str">
        <f t="shared" si="3692"/>
        <v>&lt;/li&gt;&lt;li&gt;&lt;a href=|http://kingjbible.com/zechariah/13.htm| title=|King James Bible| target=|_top|&gt;KJV&lt;/a&gt;</v>
      </c>
      <c r="R924" t="str">
        <f t="shared" si="3692"/>
        <v>&lt;/li&gt;&lt;li&gt;&lt;a href=|http://asvbible.com/zechariah/13.htm| title=|American Standard Version| target=|_top|&gt;ASV&lt;/a&gt;</v>
      </c>
      <c r="S924" t="str">
        <f t="shared" si="3692"/>
        <v>&lt;/li&gt;&lt;li&gt;&lt;a href=|http://drb.scripturetext.com/zechariah/13.htm| title=|Douay-Rheims Bible| target=|_top|&gt;DRB&lt;/a&gt;</v>
      </c>
      <c r="T924" t="str">
        <f t="shared" si="3692"/>
        <v>&lt;/li&gt;&lt;li&gt;&lt;a href=|http://erv.scripturetext.com/zechariah/13.htm| title=|English Revised Version| target=|_top|&gt;ERV&lt;/a&gt;</v>
      </c>
      <c r="V924" t="str">
        <f>CONCATENATE("&lt;/li&gt;&lt;li&gt;&lt;a href=|http://",V1191,"/zechariah/13.htm","| ","title=|",V1190,"| target=|_top|&gt;",V1192,"&lt;/a&gt;")</f>
        <v>&lt;/li&gt;&lt;li&gt;&lt;a href=|http://study.interlinearbible.org/zechariah/13.htm| title=|Hebrew Study Bible| target=|_top|&gt;Heb Study&lt;/a&gt;</v>
      </c>
      <c r="W924" t="str">
        <f t="shared" si="3692"/>
        <v>&lt;/li&gt;&lt;li&gt;&lt;a href=|http://apostolic.interlinearbible.org/zechariah/13.htm| title=|Apostolic Bible Polyglot Interlinear| target=|_top|&gt;Polyglot&lt;/a&gt;</v>
      </c>
      <c r="X924" t="str">
        <f t="shared" si="3692"/>
        <v>&lt;/li&gt;&lt;li&gt;&lt;a href=|http://interlinearbible.org/zechariah/13.htm| title=|Interlinear Bible| target=|_top|&gt;Interlin&lt;/a&gt;</v>
      </c>
      <c r="Y924" t="str">
        <f t="shared" ref="Y924" si="3693">CONCATENATE("&lt;/li&gt;&lt;li&gt;&lt;a href=|http://",Y1191,"/zechariah/13.htm","| ","title=|",Y1190,"| target=|_top|&gt;",Y1192,"&lt;/a&gt;")</f>
        <v>&lt;/li&gt;&lt;li&gt;&lt;a href=|http://bibleoutline.org/zechariah/13.htm| title=|Outline with People and Places List| target=|_top|&gt;Outline&lt;/a&gt;</v>
      </c>
      <c r="Z924" t="str">
        <f t="shared" si="3692"/>
        <v>&lt;/li&gt;&lt;li&gt;&lt;a href=|http://kjvs.scripturetext.com/zechariah/13.htm| title=|King James Bible with Strong's Numbers| target=|_top|&gt;Strong's&lt;/a&gt;</v>
      </c>
      <c r="AA924" t="str">
        <f t="shared" si="3692"/>
        <v>&lt;/li&gt;&lt;li&gt;&lt;a href=|http://childrensbibleonline.com/zechariah/13.htm| title=|The Children's Bible| target=|_top|&gt;Children's&lt;/a&gt;</v>
      </c>
      <c r="AB924" s="2" t="str">
        <f t="shared" si="3692"/>
        <v>&lt;/li&gt;&lt;li&gt;&lt;a href=|http://tsk.scripturetext.com/zechariah/13.htm| title=|Treasury of Scripture Knowledge| target=|_top|&gt;TSK&lt;/a&gt;</v>
      </c>
      <c r="AC924" t="str">
        <f>CONCATENATE("&lt;a href=|http://",AC1191,"/zechariah/13.htm","| ","title=|",AC1190,"| target=|_top|&gt;",AC1192,"&lt;/a&gt;")</f>
        <v>&lt;a href=|http://parallelbible.com/zechariah/13.htm| title=|Parallel Chapters| target=|_top|&gt;PAR&lt;/a&gt;</v>
      </c>
      <c r="AD924" s="2" t="str">
        <f t="shared" ref="AD924:AK924" si="3694">CONCATENATE("&lt;/li&gt;&lt;li&gt;&lt;a href=|http://",AD1191,"/zechariah/13.htm","| ","title=|",AD1190,"| target=|_top|&gt;",AD1192,"&lt;/a&gt;")</f>
        <v>&lt;/li&gt;&lt;li&gt;&lt;a href=|http://gsb.biblecommenter.com/zechariah/13.htm| title=|Geneva Study Bible| target=|_top|&gt;GSB&lt;/a&gt;</v>
      </c>
      <c r="AE924" s="2" t="str">
        <f t="shared" si="3694"/>
        <v>&lt;/li&gt;&lt;li&gt;&lt;a href=|http://jfb.biblecommenter.com/zechariah/13.htm| title=|Jamieson-Fausset-Brown Bible Commentary| target=|_top|&gt;JFB&lt;/a&gt;</v>
      </c>
      <c r="AF924" s="2" t="str">
        <f t="shared" si="3694"/>
        <v>&lt;/li&gt;&lt;li&gt;&lt;a href=|http://kjt.biblecommenter.com/zechariah/13.htm| title=|King James Translators' Notes| target=|_top|&gt;KJT&lt;/a&gt;</v>
      </c>
      <c r="AG924" s="2" t="str">
        <f t="shared" si="3694"/>
        <v>&lt;/li&gt;&lt;li&gt;&lt;a href=|http://mhc.biblecommenter.com/zechariah/13.htm| title=|Matthew Henry's Concise Commentary| target=|_top|&gt;MHC&lt;/a&gt;</v>
      </c>
      <c r="AH924" s="2" t="str">
        <f t="shared" si="3694"/>
        <v>&lt;/li&gt;&lt;li&gt;&lt;a href=|http://sco.biblecommenter.com/zechariah/13.htm| title=|Scofield Reference Notes| target=|_top|&gt;SCO&lt;/a&gt;</v>
      </c>
      <c r="AI924" s="2" t="str">
        <f t="shared" si="3694"/>
        <v>&lt;/li&gt;&lt;li&gt;&lt;a href=|http://wes.biblecommenter.com/zechariah/13.htm| title=|Wesley's Notes on the Bible| target=|_top|&gt;WES&lt;/a&gt;</v>
      </c>
      <c r="AJ924" t="str">
        <f t="shared" si="3694"/>
        <v>&lt;/li&gt;&lt;li&gt;&lt;a href=|http://worldebible.com/zechariah/13.htm| title=|World English Bible| target=|_top|&gt;WEB&lt;/a&gt;</v>
      </c>
      <c r="AK924" t="str">
        <f t="shared" si="3694"/>
        <v>&lt;/li&gt;&lt;li&gt;&lt;a href=|http://yltbible.com/zechariah/13.htm| title=|Young's Literal Translation| target=|_top|&gt;YLT&lt;/a&gt;</v>
      </c>
      <c r="AL924" t="str">
        <f>CONCATENATE("&lt;a href=|http://",AL1191,"/zechariah/13.htm","| ","title=|",AL1190,"| target=|_top|&gt;",AL1192,"&lt;/a&gt;")</f>
        <v>&lt;a href=|http://kjv.us/zechariah/13.htm| title=|American King James Version| target=|_top|&gt;AKJ&lt;/a&gt;</v>
      </c>
      <c r="AM924" t="str">
        <f t="shared" ref="AM924:AN924" si="3695">CONCATENATE("&lt;/li&gt;&lt;li&gt;&lt;a href=|http://",AM1191,"/zechariah/13.htm","| ","title=|",AM1190,"| target=|_top|&gt;",AM1192,"&lt;/a&gt;")</f>
        <v>&lt;/li&gt;&lt;li&gt;&lt;a href=|http://basicenglishbible.com/zechariah/13.htm| title=|Bible in Basic English| target=|_top|&gt;BBE&lt;/a&gt;</v>
      </c>
      <c r="AN924" t="str">
        <f t="shared" si="3695"/>
        <v>&lt;/li&gt;&lt;li&gt;&lt;a href=|http://darbybible.com/zechariah/13.htm| title=|Darby Bible Translation| target=|_top|&gt;DBY&lt;/a&gt;</v>
      </c>
      <c r="AO924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24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24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24" t="str">
        <f>CONCATENATE("&lt;/li&gt;&lt;li&gt;&lt;a href=|http://",AR1191,"/zechariah/13.htm","| ","title=|",AR1190,"| target=|_top|&gt;",AR1192,"&lt;/a&gt;")</f>
        <v>&lt;/li&gt;&lt;li&gt;&lt;a href=|http://websterbible.com/zechariah/13.htm| title=|Webster's Bible Translation| target=|_top|&gt;WBS&lt;/a&gt;</v>
      </c>
      <c r="AS924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24" t="str">
        <f>CONCATENATE("&lt;/li&gt;&lt;li&gt;&lt;a href=|http://",AT1191,"/zechariah/13-1.htm","| ","title=|",AT1190,"| target=|_top|&gt;",AT1192,"&lt;/a&gt;")</f>
        <v>&lt;/li&gt;&lt;li&gt;&lt;a href=|http://biblebrowser.com/zechariah/13-1.htm| title=|Split View| target=|_top|&gt;Split&lt;/a&gt;</v>
      </c>
      <c r="AU924" s="2" t="s">
        <v>1276</v>
      </c>
      <c r="AV924" t="s">
        <v>64</v>
      </c>
    </row>
    <row r="925" spans="1:48">
      <c r="A925" t="s">
        <v>622</v>
      </c>
      <c r="B925" t="s">
        <v>966</v>
      </c>
      <c r="C925" t="s">
        <v>624</v>
      </c>
      <c r="D925" t="s">
        <v>1268</v>
      </c>
      <c r="E925" t="s">
        <v>1277</v>
      </c>
      <c r="F925" t="s">
        <v>1304</v>
      </c>
      <c r="G925" t="s">
        <v>1266</v>
      </c>
      <c r="H925" t="s">
        <v>1305</v>
      </c>
      <c r="I925" t="s">
        <v>1303</v>
      </c>
      <c r="J925" t="s">
        <v>1267</v>
      </c>
      <c r="K925" t="s">
        <v>1275</v>
      </c>
      <c r="L925" s="2" t="s">
        <v>1274</v>
      </c>
      <c r="M925" t="str">
        <f t="shared" ref="M925:AB925" si="3696">CONCATENATE("&lt;/li&gt;&lt;li&gt;&lt;a href=|http://",M1191,"/zechariah/14.htm","| ","title=|",M1190,"| target=|_top|&gt;",M1192,"&lt;/a&gt;")</f>
        <v>&lt;/li&gt;&lt;li&gt;&lt;a href=|http://niv.scripturetext.com/zechariah/14.htm| title=|New International Version| target=|_top|&gt;NIV&lt;/a&gt;</v>
      </c>
      <c r="N925" t="str">
        <f t="shared" si="3696"/>
        <v>&lt;/li&gt;&lt;li&gt;&lt;a href=|http://nlt.scripturetext.com/zechariah/14.htm| title=|New Living Translation| target=|_top|&gt;NLT&lt;/a&gt;</v>
      </c>
      <c r="O925" t="str">
        <f t="shared" si="3696"/>
        <v>&lt;/li&gt;&lt;li&gt;&lt;a href=|http://nasb.scripturetext.com/zechariah/14.htm| title=|New American Standard Bible| target=|_top|&gt;NAS&lt;/a&gt;</v>
      </c>
      <c r="P925" t="str">
        <f t="shared" si="3696"/>
        <v>&lt;/li&gt;&lt;li&gt;&lt;a href=|http://gwt.scripturetext.com/zechariah/14.htm| title=|God's Word Translation| target=|_top|&gt;GWT&lt;/a&gt;</v>
      </c>
      <c r="Q925" t="str">
        <f t="shared" si="3696"/>
        <v>&lt;/li&gt;&lt;li&gt;&lt;a href=|http://kingjbible.com/zechariah/14.htm| title=|King James Bible| target=|_top|&gt;KJV&lt;/a&gt;</v>
      </c>
      <c r="R925" t="str">
        <f t="shared" si="3696"/>
        <v>&lt;/li&gt;&lt;li&gt;&lt;a href=|http://asvbible.com/zechariah/14.htm| title=|American Standard Version| target=|_top|&gt;ASV&lt;/a&gt;</v>
      </c>
      <c r="S925" t="str">
        <f t="shared" si="3696"/>
        <v>&lt;/li&gt;&lt;li&gt;&lt;a href=|http://drb.scripturetext.com/zechariah/14.htm| title=|Douay-Rheims Bible| target=|_top|&gt;DRB&lt;/a&gt;</v>
      </c>
      <c r="T925" t="str">
        <f t="shared" si="3696"/>
        <v>&lt;/li&gt;&lt;li&gt;&lt;a href=|http://erv.scripturetext.com/zechariah/14.htm| title=|English Revised Version| target=|_top|&gt;ERV&lt;/a&gt;</v>
      </c>
      <c r="V925" t="str">
        <f>CONCATENATE("&lt;/li&gt;&lt;li&gt;&lt;a href=|http://",V1191,"/zechariah/14.htm","| ","title=|",V1190,"| target=|_top|&gt;",V1192,"&lt;/a&gt;")</f>
        <v>&lt;/li&gt;&lt;li&gt;&lt;a href=|http://study.interlinearbible.org/zechariah/14.htm| title=|Hebrew Study Bible| target=|_top|&gt;Heb Study&lt;/a&gt;</v>
      </c>
      <c r="W925" t="str">
        <f t="shared" si="3696"/>
        <v>&lt;/li&gt;&lt;li&gt;&lt;a href=|http://apostolic.interlinearbible.org/zechariah/14.htm| title=|Apostolic Bible Polyglot Interlinear| target=|_top|&gt;Polyglot&lt;/a&gt;</v>
      </c>
      <c r="X925" t="str">
        <f t="shared" si="3696"/>
        <v>&lt;/li&gt;&lt;li&gt;&lt;a href=|http://interlinearbible.org/zechariah/14.htm| title=|Interlinear Bible| target=|_top|&gt;Interlin&lt;/a&gt;</v>
      </c>
      <c r="Y925" t="str">
        <f t="shared" ref="Y925" si="3697">CONCATENATE("&lt;/li&gt;&lt;li&gt;&lt;a href=|http://",Y1191,"/zechariah/14.htm","| ","title=|",Y1190,"| target=|_top|&gt;",Y1192,"&lt;/a&gt;")</f>
        <v>&lt;/li&gt;&lt;li&gt;&lt;a href=|http://bibleoutline.org/zechariah/14.htm| title=|Outline with People and Places List| target=|_top|&gt;Outline&lt;/a&gt;</v>
      </c>
      <c r="Z925" t="str">
        <f t="shared" si="3696"/>
        <v>&lt;/li&gt;&lt;li&gt;&lt;a href=|http://kjvs.scripturetext.com/zechariah/14.htm| title=|King James Bible with Strong's Numbers| target=|_top|&gt;Strong's&lt;/a&gt;</v>
      </c>
      <c r="AA925" t="str">
        <f t="shared" si="3696"/>
        <v>&lt;/li&gt;&lt;li&gt;&lt;a href=|http://childrensbibleonline.com/zechariah/14.htm| title=|The Children's Bible| target=|_top|&gt;Children's&lt;/a&gt;</v>
      </c>
      <c r="AB925" s="2" t="str">
        <f t="shared" si="3696"/>
        <v>&lt;/li&gt;&lt;li&gt;&lt;a href=|http://tsk.scripturetext.com/zechariah/14.htm| title=|Treasury of Scripture Knowledge| target=|_top|&gt;TSK&lt;/a&gt;</v>
      </c>
      <c r="AC925" t="str">
        <f>CONCATENATE("&lt;a href=|http://",AC1191,"/zechariah/14.htm","| ","title=|",AC1190,"| target=|_top|&gt;",AC1192,"&lt;/a&gt;")</f>
        <v>&lt;a href=|http://parallelbible.com/zechariah/14.htm| title=|Parallel Chapters| target=|_top|&gt;PAR&lt;/a&gt;</v>
      </c>
      <c r="AD925" s="2" t="str">
        <f t="shared" ref="AD925:AK925" si="3698">CONCATENATE("&lt;/li&gt;&lt;li&gt;&lt;a href=|http://",AD1191,"/zechariah/14.htm","| ","title=|",AD1190,"| target=|_top|&gt;",AD1192,"&lt;/a&gt;")</f>
        <v>&lt;/li&gt;&lt;li&gt;&lt;a href=|http://gsb.biblecommenter.com/zechariah/14.htm| title=|Geneva Study Bible| target=|_top|&gt;GSB&lt;/a&gt;</v>
      </c>
      <c r="AE925" s="2" t="str">
        <f t="shared" si="3698"/>
        <v>&lt;/li&gt;&lt;li&gt;&lt;a href=|http://jfb.biblecommenter.com/zechariah/14.htm| title=|Jamieson-Fausset-Brown Bible Commentary| target=|_top|&gt;JFB&lt;/a&gt;</v>
      </c>
      <c r="AF925" s="2" t="str">
        <f t="shared" si="3698"/>
        <v>&lt;/li&gt;&lt;li&gt;&lt;a href=|http://kjt.biblecommenter.com/zechariah/14.htm| title=|King James Translators' Notes| target=|_top|&gt;KJT&lt;/a&gt;</v>
      </c>
      <c r="AG925" s="2" t="str">
        <f t="shared" si="3698"/>
        <v>&lt;/li&gt;&lt;li&gt;&lt;a href=|http://mhc.biblecommenter.com/zechariah/14.htm| title=|Matthew Henry's Concise Commentary| target=|_top|&gt;MHC&lt;/a&gt;</v>
      </c>
      <c r="AH925" s="2" t="str">
        <f t="shared" si="3698"/>
        <v>&lt;/li&gt;&lt;li&gt;&lt;a href=|http://sco.biblecommenter.com/zechariah/14.htm| title=|Scofield Reference Notes| target=|_top|&gt;SCO&lt;/a&gt;</v>
      </c>
      <c r="AI925" s="2" t="str">
        <f t="shared" si="3698"/>
        <v>&lt;/li&gt;&lt;li&gt;&lt;a href=|http://wes.biblecommenter.com/zechariah/14.htm| title=|Wesley's Notes on the Bible| target=|_top|&gt;WES&lt;/a&gt;</v>
      </c>
      <c r="AJ925" t="str">
        <f t="shared" si="3698"/>
        <v>&lt;/li&gt;&lt;li&gt;&lt;a href=|http://worldebible.com/zechariah/14.htm| title=|World English Bible| target=|_top|&gt;WEB&lt;/a&gt;</v>
      </c>
      <c r="AK925" t="str">
        <f t="shared" si="3698"/>
        <v>&lt;/li&gt;&lt;li&gt;&lt;a href=|http://yltbible.com/zechariah/14.htm| title=|Young's Literal Translation| target=|_top|&gt;YLT&lt;/a&gt;</v>
      </c>
      <c r="AL925" t="str">
        <f>CONCATENATE("&lt;a href=|http://",AL1191,"/zechariah/14.htm","| ","title=|",AL1190,"| target=|_top|&gt;",AL1192,"&lt;/a&gt;")</f>
        <v>&lt;a href=|http://kjv.us/zechariah/14.htm| title=|American King James Version| target=|_top|&gt;AKJ&lt;/a&gt;</v>
      </c>
      <c r="AM925" t="str">
        <f t="shared" ref="AM925:AN925" si="3699">CONCATENATE("&lt;/li&gt;&lt;li&gt;&lt;a href=|http://",AM1191,"/zechariah/14.htm","| ","title=|",AM1190,"| target=|_top|&gt;",AM1192,"&lt;/a&gt;")</f>
        <v>&lt;/li&gt;&lt;li&gt;&lt;a href=|http://basicenglishbible.com/zechariah/14.htm| title=|Bible in Basic English| target=|_top|&gt;BBE&lt;/a&gt;</v>
      </c>
      <c r="AN925" t="str">
        <f t="shared" si="3699"/>
        <v>&lt;/li&gt;&lt;li&gt;&lt;a href=|http://darbybible.com/zechariah/14.htm| title=|Darby Bible Translation| target=|_top|&gt;DBY&lt;/a&gt;</v>
      </c>
      <c r="AO925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25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25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25" t="str">
        <f>CONCATENATE("&lt;/li&gt;&lt;li&gt;&lt;a href=|http://",AR1191,"/zechariah/14.htm","| ","title=|",AR1190,"| target=|_top|&gt;",AR1192,"&lt;/a&gt;")</f>
        <v>&lt;/li&gt;&lt;li&gt;&lt;a href=|http://websterbible.com/zechariah/14.htm| title=|Webster's Bible Translation| target=|_top|&gt;WBS&lt;/a&gt;</v>
      </c>
      <c r="AS925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25" t="str">
        <f>CONCATENATE("&lt;/li&gt;&lt;li&gt;&lt;a href=|http://",AT1191,"/zechariah/14-1.htm","| ","title=|",AT1190,"| target=|_top|&gt;",AT1192,"&lt;/a&gt;")</f>
        <v>&lt;/li&gt;&lt;li&gt;&lt;a href=|http://biblebrowser.com/zechariah/14-1.htm| title=|Split View| target=|_top|&gt;Split&lt;/a&gt;</v>
      </c>
      <c r="AU925" s="2" t="s">
        <v>1276</v>
      </c>
      <c r="AV925" t="s">
        <v>64</v>
      </c>
    </row>
    <row r="926" spans="1:48">
      <c r="A926" t="s">
        <v>622</v>
      </c>
      <c r="B926" t="s">
        <v>967</v>
      </c>
      <c r="C926" t="s">
        <v>624</v>
      </c>
      <c r="D926" t="s">
        <v>1268</v>
      </c>
      <c r="E926" t="s">
        <v>1277</v>
      </c>
      <c r="F926" t="s">
        <v>1304</v>
      </c>
      <c r="G926" t="s">
        <v>1266</v>
      </c>
      <c r="H926" t="s">
        <v>1305</v>
      </c>
      <c r="I926" t="s">
        <v>1303</v>
      </c>
      <c r="J926" t="s">
        <v>1267</v>
      </c>
      <c r="K926" t="s">
        <v>1275</v>
      </c>
      <c r="L926" s="2" t="s">
        <v>1274</v>
      </c>
      <c r="M926" t="str">
        <f t="shared" ref="M926:AB926" si="3700">CONCATENATE("&lt;/li&gt;&lt;li&gt;&lt;a href=|http://",M1191,"/malachi/1.htm","| ","title=|",M1190,"| target=|_top|&gt;",M1192,"&lt;/a&gt;")</f>
        <v>&lt;/li&gt;&lt;li&gt;&lt;a href=|http://niv.scripturetext.com/malachi/1.htm| title=|New International Version| target=|_top|&gt;NIV&lt;/a&gt;</v>
      </c>
      <c r="N926" t="str">
        <f t="shared" si="3700"/>
        <v>&lt;/li&gt;&lt;li&gt;&lt;a href=|http://nlt.scripturetext.com/malachi/1.htm| title=|New Living Translation| target=|_top|&gt;NLT&lt;/a&gt;</v>
      </c>
      <c r="O926" t="str">
        <f t="shared" si="3700"/>
        <v>&lt;/li&gt;&lt;li&gt;&lt;a href=|http://nasb.scripturetext.com/malachi/1.htm| title=|New American Standard Bible| target=|_top|&gt;NAS&lt;/a&gt;</v>
      </c>
      <c r="P926" t="str">
        <f t="shared" si="3700"/>
        <v>&lt;/li&gt;&lt;li&gt;&lt;a href=|http://gwt.scripturetext.com/malachi/1.htm| title=|God's Word Translation| target=|_top|&gt;GWT&lt;/a&gt;</v>
      </c>
      <c r="Q926" t="str">
        <f t="shared" si="3700"/>
        <v>&lt;/li&gt;&lt;li&gt;&lt;a href=|http://kingjbible.com/malachi/1.htm| title=|King James Bible| target=|_top|&gt;KJV&lt;/a&gt;</v>
      </c>
      <c r="R926" t="str">
        <f t="shared" si="3700"/>
        <v>&lt;/li&gt;&lt;li&gt;&lt;a href=|http://asvbible.com/malachi/1.htm| title=|American Standard Version| target=|_top|&gt;ASV&lt;/a&gt;</v>
      </c>
      <c r="S926" t="str">
        <f t="shared" si="3700"/>
        <v>&lt;/li&gt;&lt;li&gt;&lt;a href=|http://drb.scripturetext.com/malachi/1.htm| title=|Douay-Rheims Bible| target=|_top|&gt;DRB&lt;/a&gt;</v>
      </c>
      <c r="T926" t="str">
        <f t="shared" si="3700"/>
        <v>&lt;/li&gt;&lt;li&gt;&lt;a href=|http://erv.scripturetext.com/malachi/1.htm| title=|English Revised Version| target=|_top|&gt;ERV&lt;/a&gt;</v>
      </c>
      <c r="V926" t="str">
        <f>CONCATENATE("&lt;/li&gt;&lt;li&gt;&lt;a href=|http://",V1191,"/malachi/1.htm","| ","title=|",V1190,"| target=|_top|&gt;",V1192,"&lt;/a&gt;")</f>
        <v>&lt;/li&gt;&lt;li&gt;&lt;a href=|http://study.interlinearbible.org/malachi/1.htm| title=|Hebrew Study Bible| target=|_top|&gt;Heb Study&lt;/a&gt;</v>
      </c>
      <c r="W926" t="str">
        <f t="shared" si="3700"/>
        <v>&lt;/li&gt;&lt;li&gt;&lt;a href=|http://apostolic.interlinearbible.org/malachi/1.htm| title=|Apostolic Bible Polyglot Interlinear| target=|_top|&gt;Polyglot&lt;/a&gt;</v>
      </c>
      <c r="X926" t="str">
        <f t="shared" si="3700"/>
        <v>&lt;/li&gt;&lt;li&gt;&lt;a href=|http://interlinearbible.org/malachi/1.htm| title=|Interlinear Bible| target=|_top|&gt;Interlin&lt;/a&gt;</v>
      </c>
      <c r="Y926" t="str">
        <f t="shared" ref="Y926" si="3701">CONCATENATE("&lt;/li&gt;&lt;li&gt;&lt;a href=|http://",Y1191,"/malachi/1.htm","| ","title=|",Y1190,"| target=|_top|&gt;",Y1192,"&lt;/a&gt;")</f>
        <v>&lt;/li&gt;&lt;li&gt;&lt;a href=|http://bibleoutline.org/malachi/1.htm| title=|Outline with People and Places List| target=|_top|&gt;Outline&lt;/a&gt;</v>
      </c>
      <c r="Z926" t="str">
        <f t="shared" si="3700"/>
        <v>&lt;/li&gt;&lt;li&gt;&lt;a href=|http://kjvs.scripturetext.com/malachi/1.htm| title=|King James Bible with Strong's Numbers| target=|_top|&gt;Strong's&lt;/a&gt;</v>
      </c>
      <c r="AA926" t="str">
        <f t="shared" si="3700"/>
        <v>&lt;/li&gt;&lt;li&gt;&lt;a href=|http://childrensbibleonline.com/malachi/1.htm| title=|The Children's Bible| target=|_top|&gt;Children's&lt;/a&gt;</v>
      </c>
      <c r="AB926" s="2" t="str">
        <f t="shared" si="3700"/>
        <v>&lt;/li&gt;&lt;li&gt;&lt;a href=|http://tsk.scripturetext.com/malachi/1.htm| title=|Treasury of Scripture Knowledge| target=|_top|&gt;TSK&lt;/a&gt;</v>
      </c>
      <c r="AC926" t="str">
        <f>CONCATENATE("&lt;a href=|http://",AC1191,"/malachi/1.htm","| ","title=|",AC1190,"| target=|_top|&gt;",AC1192,"&lt;/a&gt;")</f>
        <v>&lt;a href=|http://parallelbible.com/malachi/1.htm| title=|Parallel Chapters| target=|_top|&gt;PAR&lt;/a&gt;</v>
      </c>
      <c r="AD926" s="2" t="str">
        <f t="shared" ref="AD926:AK926" si="3702">CONCATENATE("&lt;/li&gt;&lt;li&gt;&lt;a href=|http://",AD1191,"/malachi/1.htm","| ","title=|",AD1190,"| target=|_top|&gt;",AD1192,"&lt;/a&gt;")</f>
        <v>&lt;/li&gt;&lt;li&gt;&lt;a href=|http://gsb.biblecommenter.com/malachi/1.htm| title=|Geneva Study Bible| target=|_top|&gt;GSB&lt;/a&gt;</v>
      </c>
      <c r="AE926" s="2" t="str">
        <f t="shared" si="3702"/>
        <v>&lt;/li&gt;&lt;li&gt;&lt;a href=|http://jfb.biblecommenter.com/malachi/1.htm| title=|Jamieson-Fausset-Brown Bible Commentary| target=|_top|&gt;JFB&lt;/a&gt;</v>
      </c>
      <c r="AF926" s="2" t="str">
        <f t="shared" si="3702"/>
        <v>&lt;/li&gt;&lt;li&gt;&lt;a href=|http://kjt.biblecommenter.com/malachi/1.htm| title=|King James Translators' Notes| target=|_top|&gt;KJT&lt;/a&gt;</v>
      </c>
      <c r="AG926" s="2" t="str">
        <f t="shared" si="3702"/>
        <v>&lt;/li&gt;&lt;li&gt;&lt;a href=|http://mhc.biblecommenter.com/malachi/1.htm| title=|Matthew Henry's Concise Commentary| target=|_top|&gt;MHC&lt;/a&gt;</v>
      </c>
      <c r="AH926" s="2" t="str">
        <f t="shared" si="3702"/>
        <v>&lt;/li&gt;&lt;li&gt;&lt;a href=|http://sco.biblecommenter.com/malachi/1.htm| title=|Scofield Reference Notes| target=|_top|&gt;SCO&lt;/a&gt;</v>
      </c>
      <c r="AI926" s="2" t="str">
        <f t="shared" si="3702"/>
        <v>&lt;/li&gt;&lt;li&gt;&lt;a href=|http://wes.biblecommenter.com/malachi/1.htm| title=|Wesley's Notes on the Bible| target=|_top|&gt;WES&lt;/a&gt;</v>
      </c>
      <c r="AJ926" t="str">
        <f t="shared" si="3702"/>
        <v>&lt;/li&gt;&lt;li&gt;&lt;a href=|http://worldebible.com/malachi/1.htm| title=|World English Bible| target=|_top|&gt;WEB&lt;/a&gt;</v>
      </c>
      <c r="AK926" t="str">
        <f t="shared" si="3702"/>
        <v>&lt;/li&gt;&lt;li&gt;&lt;a href=|http://yltbible.com/malachi/1.htm| title=|Young's Literal Translation| target=|_top|&gt;YLT&lt;/a&gt;</v>
      </c>
      <c r="AL926" t="str">
        <f>CONCATENATE("&lt;a href=|http://",AL1191,"/malachi/1.htm","| ","title=|",AL1190,"| target=|_top|&gt;",AL1192,"&lt;/a&gt;")</f>
        <v>&lt;a href=|http://kjv.us/malachi/1.htm| title=|American King James Version| target=|_top|&gt;AKJ&lt;/a&gt;</v>
      </c>
      <c r="AM926" t="str">
        <f t="shared" ref="AM926:AN926" si="3703">CONCATENATE("&lt;/li&gt;&lt;li&gt;&lt;a href=|http://",AM1191,"/malachi/1.htm","| ","title=|",AM1190,"| target=|_top|&gt;",AM1192,"&lt;/a&gt;")</f>
        <v>&lt;/li&gt;&lt;li&gt;&lt;a href=|http://basicenglishbible.com/malachi/1.htm| title=|Bible in Basic English| target=|_top|&gt;BBE&lt;/a&gt;</v>
      </c>
      <c r="AN926" t="str">
        <f t="shared" si="3703"/>
        <v>&lt;/li&gt;&lt;li&gt;&lt;a href=|http://darbybible.com/malachi/1.htm| title=|Darby Bible Translation| target=|_top|&gt;DBY&lt;/a&gt;</v>
      </c>
      <c r="AO926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26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26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26" t="str">
        <f>CONCATENATE("&lt;/li&gt;&lt;li&gt;&lt;a href=|http://",AR1191,"/malachi/1.htm","| ","title=|",AR1190,"| target=|_top|&gt;",AR1192,"&lt;/a&gt;")</f>
        <v>&lt;/li&gt;&lt;li&gt;&lt;a href=|http://websterbible.com/malachi/1.htm| title=|Webster's Bible Translation| target=|_top|&gt;WBS&lt;/a&gt;</v>
      </c>
      <c r="AS926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26" t="str">
        <f>CONCATENATE("&lt;/li&gt;&lt;li&gt;&lt;a href=|http://",AT1191,"/malachi/1-1.htm","| ","title=|",AT1190,"| target=|_top|&gt;",AT1192,"&lt;/a&gt;")</f>
        <v>&lt;/li&gt;&lt;li&gt;&lt;a href=|http://biblebrowser.com/malachi/1-1.htm| title=|Split View| target=|_top|&gt;Split&lt;/a&gt;</v>
      </c>
      <c r="AU926" s="2" t="s">
        <v>1276</v>
      </c>
      <c r="AV926" t="s">
        <v>64</v>
      </c>
    </row>
    <row r="927" spans="1:48">
      <c r="A927" t="s">
        <v>622</v>
      </c>
      <c r="B927" t="s">
        <v>968</v>
      </c>
      <c r="C927" t="s">
        <v>624</v>
      </c>
      <c r="D927" t="s">
        <v>1268</v>
      </c>
      <c r="E927" t="s">
        <v>1277</v>
      </c>
      <c r="F927" t="s">
        <v>1304</v>
      </c>
      <c r="G927" t="s">
        <v>1266</v>
      </c>
      <c r="H927" t="s">
        <v>1305</v>
      </c>
      <c r="I927" t="s">
        <v>1303</v>
      </c>
      <c r="J927" t="s">
        <v>1267</v>
      </c>
      <c r="K927" t="s">
        <v>1275</v>
      </c>
      <c r="L927" s="2" t="s">
        <v>1274</v>
      </c>
      <c r="M927" t="str">
        <f t="shared" ref="M927:AB927" si="3704">CONCATENATE("&lt;/li&gt;&lt;li&gt;&lt;a href=|http://",M1191,"/malachi/2.htm","| ","title=|",M1190,"| target=|_top|&gt;",M1192,"&lt;/a&gt;")</f>
        <v>&lt;/li&gt;&lt;li&gt;&lt;a href=|http://niv.scripturetext.com/malachi/2.htm| title=|New International Version| target=|_top|&gt;NIV&lt;/a&gt;</v>
      </c>
      <c r="N927" t="str">
        <f t="shared" si="3704"/>
        <v>&lt;/li&gt;&lt;li&gt;&lt;a href=|http://nlt.scripturetext.com/malachi/2.htm| title=|New Living Translation| target=|_top|&gt;NLT&lt;/a&gt;</v>
      </c>
      <c r="O927" t="str">
        <f t="shared" si="3704"/>
        <v>&lt;/li&gt;&lt;li&gt;&lt;a href=|http://nasb.scripturetext.com/malachi/2.htm| title=|New American Standard Bible| target=|_top|&gt;NAS&lt;/a&gt;</v>
      </c>
      <c r="P927" t="str">
        <f t="shared" si="3704"/>
        <v>&lt;/li&gt;&lt;li&gt;&lt;a href=|http://gwt.scripturetext.com/malachi/2.htm| title=|God's Word Translation| target=|_top|&gt;GWT&lt;/a&gt;</v>
      </c>
      <c r="Q927" t="str">
        <f t="shared" si="3704"/>
        <v>&lt;/li&gt;&lt;li&gt;&lt;a href=|http://kingjbible.com/malachi/2.htm| title=|King James Bible| target=|_top|&gt;KJV&lt;/a&gt;</v>
      </c>
      <c r="R927" t="str">
        <f t="shared" si="3704"/>
        <v>&lt;/li&gt;&lt;li&gt;&lt;a href=|http://asvbible.com/malachi/2.htm| title=|American Standard Version| target=|_top|&gt;ASV&lt;/a&gt;</v>
      </c>
      <c r="S927" t="str">
        <f t="shared" si="3704"/>
        <v>&lt;/li&gt;&lt;li&gt;&lt;a href=|http://drb.scripturetext.com/malachi/2.htm| title=|Douay-Rheims Bible| target=|_top|&gt;DRB&lt;/a&gt;</v>
      </c>
      <c r="T927" t="str">
        <f t="shared" si="3704"/>
        <v>&lt;/li&gt;&lt;li&gt;&lt;a href=|http://erv.scripturetext.com/malachi/2.htm| title=|English Revised Version| target=|_top|&gt;ERV&lt;/a&gt;</v>
      </c>
      <c r="V927" t="str">
        <f>CONCATENATE("&lt;/li&gt;&lt;li&gt;&lt;a href=|http://",V1191,"/malachi/2.htm","| ","title=|",V1190,"| target=|_top|&gt;",V1192,"&lt;/a&gt;")</f>
        <v>&lt;/li&gt;&lt;li&gt;&lt;a href=|http://study.interlinearbible.org/malachi/2.htm| title=|Hebrew Study Bible| target=|_top|&gt;Heb Study&lt;/a&gt;</v>
      </c>
      <c r="W927" t="str">
        <f t="shared" si="3704"/>
        <v>&lt;/li&gt;&lt;li&gt;&lt;a href=|http://apostolic.interlinearbible.org/malachi/2.htm| title=|Apostolic Bible Polyglot Interlinear| target=|_top|&gt;Polyglot&lt;/a&gt;</v>
      </c>
      <c r="X927" t="str">
        <f t="shared" si="3704"/>
        <v>&lt;/li&gt;&lt;li&gt;&lt;a href=|http://interlinearbible.org/malachi/2.htm| title=|Interlinear Bible| target=|_top|&gt;Interlin&lt;/a&gt;</v>
      </c>
      <c r="Y927" t="str">
        <f t="shared" ref="Y927" si="3705">CONCATENATE("&lt;/li&gt;&lt;li&gt;&lt;a href=|http://",Y1191,"/malachi/2.htm","| ","title=|",Y1190,"| target=|_top|&gt;",Y1192,"&lt;/a&gt;")</f>
        <v>&lt;/li&gt;&lt;li&gt;&lt;a href=|http://bibleoutline.org/malachi/2.htm| title=|Outline with People and Places List| target=|_top|&gt;Outline&lt;/a&gt;</v>
      </c>
      <c r="Z927" t="str">
        <f t="shared" si="3704"/>
        <v>&lt;/li&gt;&lt;li&gt;&lt;a href=|http://kjvs.scripturetext.com/malachi/2.htm| title=|King James Bible with Strong's Numbers| target=|_top|&gt;Strong's&lt;/a&gt;</v>
      </c>
      <c r="AA927" t="str">
        <f t="shared" si="3704"/>
        <v>&lt;/li&gt;&lt;li&gt;&lt;a href=|http://childrensbibleonline.com/malachi/2.htm| title=|The Children's Bible| target=|_top|&gt;Children's&lt;/a&gt;</v>
      </c>
      <c r="AB927" s="2" t="str">
        <f t="shared" si="3704"/>
        <v>&lt;/li&gt;&lt;li&gt;&lt;a href=|http://tsk.scripturetext.com/malachi/2.htm| title=|Treasury of Scripture Knowledge| target=|_top|&gt;TSK&lt;/a&gt;</v>
      </c>
      <c r="AC927" t="str">
        <f>CONCATENATE("&lt;a href=|http://",AC1191,"/malachi/2.htm","| ","title=|",AC1190,"| target=|_top|&gt;",AC1192,"&lt;/a&gt;")</f>
        <v>&lt;a href=|http://parallelbible.com/malachi/2.htm| title=|Parallel Chapters| target=|_top|&gt;PAR&lt;/a&gt;</v>
      </c>
      <c r="AD927" s="2" t="str">
        <f t="shared" ref="AD927:AK927" si="3706">CONCATENATE("&lt;/li&gt;&lt;li&gt;&lt;a href=|http://",AD1191,"/malachi/2.htm","| ","title=|",AD1190,"| target=|_top|&gt;",AD1192,"&lt;/a&gt;")</f>
        <v>&lt;/li&gt;&lt;li&gt;&lt;a href=|http://gsb.biblecommenter.com/malachi/2.htm| title=|Geneva Study Bible| target=|_top|&gt;GSB&lt;/a&gt;</v>
      </c>
      <c r="AE927" s="2" t="str">
        <f t="shared" si="3706"/>
        <v>&lt;/li&gt;&lt;li&gt;&lt;a href=|http://jfb.biblecommenter.com/malachi/2.htm| title=|Jamieson-Fausset-Brown Bible Commentary| target=|_top|&gt;JFB&lt;/a&gt;</v>
      </c>
      <c r="AF927" s="2" t="str">
        <f t="shared" si="3706"/>
        <v>&lt;/li&gt;&lt;li&gt;&lt;a href=|http://kjt.biblecommenter.com/malachi/2.htm| title=|King James Translators' Notes| target=|_top|&gt;KJT&lt;/a&gt;</v>
      </c>
      <c r="AG927" s="2" t="str">
        <f t="shared" si="3706"/>
        <v>&lt;/li&gt;&lt;li&gt;&lt;a href=|http://mhc.biblecommenter.com/malachi/2.htm| title=|Matthew Henry's Concise Commentary| target=|_top|&gt;MHC&lt;/a&gt;</v>
      </c>
      <c r="AH927" s="2" t="str">
        <f t="shared" si="3706"/>
        <v>&lt;/li&gt;&lt;li&gt;&lt;a href=|http://sco.biblecommenter.com/malachi/2.htm| title=|Scofield Reference Notes| target=|_top|&gt;SCO&lt;/a&gt;</v>
      </c>
      <c r="AI927" s="2" t="str">
        <f t="shared" si="3706"/>
        <v>&lt;/li&gt;&lt;li&gt;&lt;a href=|http://wes.biblecommenter.com/malachi/2.htm| title=|Wesley's Notes on the Bible| target=|_top|&gt;WES&lt;/a&gt;</v>
      </c>
      <c r="AJ927" t="str">
        <f t="shared" si="3706"/>
        <v>&lt;/li&gt;&lt;li&gt;&lt;a href=|http://worldebible.com/malachi/2.htm| title=|World English Bible| target=|_top|&gt;WEB&lt;/a&gt;</v>
      </c>
      <c r="AK927" t="str">
        <f t="shared" si="3706"/>
        <v>&lt;/li&gt;&lt;li&gt;&lt;a href=|http://yltbible.com/malachi/2.htm| title=|Young's Literal Translation| target=|_top|&gt;YLT&lt;/a&gt;</v>
      </c>
      <c r="AL927" t="str">
        <f>CONCATENATE("&lt;a href=|http://",AL1191,"/malachi/2.htm","| ","title=|",AL1190,"| target=|_top|&gt;",AL1192,"&lt;/a&gt;")</f>
        <v>&lt;a href=|http://kjv.us/malachi/2.htm| title=|American King James Version| target=|_top|&gt;AKJ&lt;/a&gt;</v>
      </c>
      <c r="AM927" t="str">
        <f t="shared" ref="AM927:AN927" si="3707">CONCATENATE("&lt;/li&gt;&lt;li&gt;&lt;a href=|http://",AM1191,"/malachi/2.htm","| ","title=|",AM1190,"| target=|_top|&gt;",AM1192,"&lt;/a&gt;")</f>
        <v>&lt;/li&gt;&lt;li&gt;&lt;a href=|http://basicenglishbible.com/malachi/2.htm| title=|Bible in Basic English| target=|_top|&gt;BBE&lt;/a&gt;</v>
      </c>
      <c r="AN927" t="str">
        <f t="shared" si="3707"/>
        <v>&lt;/li&gt;&lt;li&gt;&lt;a href=|http://darbybible.com/malachi/2.htm| title=|Darby Bible Translation| target=|_top|&gt;DBY&lt;/a&gt;</v>
      </c>
      <c r="AO927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27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27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27" t="str">
        <f>CONCATENATE("&lt;/li&gt;&lt;li&gt;&lt;a href=|http://",AR1191,"/malachi/2.htm","| ","title=|",AR1190,"| target=|_top|&gt;",AR1192,"&lt;/a&gt;")</f>
        <v>&lt;/li&gt;&lt;li&gt;&lt;a href=|http://websterbible.com/malachi/2.htm| title=|Webster's Bible Translation| target=|_top|&gt;WBS&lt;/a&gt;</v>
      </c>
      <c r="AS927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27" t="str">
        <f>CONCATENATE("&lt;/li&gt;&lt;li&gt;&lt;a href=|http://",AT1191,"/malachi/2-1.htm","| ","title=|",AT1190,"| target=|_top|&gt;",AT1192,"&lt;/a&gt;")</f>
        <v>&lt;/li&gt;&lt;li&gt;&lt;a href=|http://biblebrowser.com/malachi/2-1.htm| title=|Split View| target=|_top|&gt;Split&lt;/a&gt;</v>
      </c>
      <c r="AU927" s="2" t="s">
        <v>1276</v>
      </c>
      <c r="AV927" t="s">
        <v>64</v>
      </c>
    </row>
    <row r="928" spans="1:48">
      <c r="A928" t="s">
        <v>622</v>
      </c>
      <c r="B928" t="s">
        <v>969</v>
      </c>
      <c r="C928" t="s">
        <v>624</v>
      </c>
      <c r="D928" t="s">
        <v>1268</v>
      </c>
      <c r="E928" t="s">
        <v>1277</v>
      </c>
      <c r="F928" t="s">
        <v>1304</v>
      </c>
      <c r="G928" t="s">
        <v>1266</v>
      </c>
      <c r="H928" t="s">
        <v>1305</v>
      </c>
      <c r="I928" t="s">
        <v>1303</v>
      </c>
      <c r="J928" t="s">
        <v>1267</v>
      </c>
      <c r="K928" t="s">
        <v>1275</v>
      </c>
      <c r="L928" s="2" t="s">
        <v>1274</v>
      </c>
      <c r="M928" t="str">
        <f t="shared" ref="M928:AB928" si="3708">CONCATENATE("&lt;/li&gt;&lt;li&gt;&lt;a href=|http://",M1191,"/malachi/3.htm","| ","title=|",M1190,"| target=|_top|&gt;",M1192,"&lt;/a&gt;")</f>
        <v>&lt;/li&gt;&lt;li&gt;&lt;a href=|http://niv.scripturetext.com/malachi/3.htm| title=|New International Version| target=|_top|&gt;NIV&lt;/a&gt;</v>
      </c>
      <c r="N928" t="str">
        <f t="shared" si="3708"/>
        <v>&lt;/li&gt;&lt;li&gt;&lt;a href=|http://nlt.scripturetext.com/malachi/3.htm| title=|New Living Translation| target=|_top|&gt;NLT&lt;/a&gt;</v>
      </c>
      <c r="O928" t="str">
        <f t="shared" si="3708"/>
        <v>&lt;/li&gt;&lt;li&gt;&lt;a href=|http://nasb.scripturetext.com/malachi/3.htm| title=|New American Standard Bible| target=|_top|&gt;NAS&lt;/a&gt;</v>
      </c>
      <c r="P928" t="str">
        <f t="shared" si="3708"/>
        <v>&lt;/li&gt;&lt;li&gt;&lt;a href=|http://gwt.scripturetext.com/malachi/3.htm| title=|God's Word Translation| target=|_top|&gt;GWT&lt;/a&gt;</v>
      </c>
      <c r="Q928" t="str">
        <f t="shared" si="3708"/>
        <v>&lt;/li&gt;&lt;li&gt;&lt;a href=|http://kingjbible.com/malachi/3.htm| title=|King James Bible| target=|_top|&gt;KJV&lt;/a&gt;</v>
      </c>
      <c r="R928" t="str">
        <f t="shared" si="3708"/>
        <v>&lt;/li&gt;&lt;li&gt;&lt;a href=|http://asvbible.com/malachi/3.htm| title=|American Standard Version| target=|_top|&gt;ASV&lt;/a&gt;</v>
      </c>
      <c r="S928" t="str">
        <f t="shared" si="3708"/>
        <v>&lt;/li&gt;&lt;li&gt;&lt;a href=|http://drb.scripturetext.com/malachi/3.htm| title=|Douay-Rheims Bible| target=|_top|&gt;DRB&lt;/a&gt;</v>
      </c>
      <c r="T928" t="str">
        <f t="shared" si="3708"/>
        <v>&lt;/li&gt;&lt;li&gt;&lt;a href=|http://erv.scripturetext.com/malachi/3.htm| title=|English Revised Version| target=|_top|&gt;ERV&lt;/a&gt;</v>
      </c>
      <c r="V928" t="str">
        <f>CONCATENATE("&lt;/li&gt;&lt;li&gt;&lt;a href=|http://",V1191,"/malachi/3.htm","| ","title=|",V1190,"| target=|_top|&gt;",V1192,"&lt;/a&gt;")</f>
        <v>&lt;/li&gt;&lt;li&gt;&lt;a href=|http://study.interlinearbible.org/malachi/3.htm| title=|Hebrew Study Bible| target=|_top|&gt;Heb Study&lt;/a&gt;</v>
      </c>
      <c r="W928" t="str">
        <f t="shared" si="3708"/>
        <v>&lt;/li&gt;&lt;li&gt;&lt;a href=|http://apostolic.interlinearbible.org/malachi/3.htm| title=|Apostolic Bible Polyglot Interlinear| target=|_top|&gt;Polyglot&lt;/a&gt;</v>
      </c>
      <c r="X928" t="str">
        <f t="shared" si="3708"/>
        <v>&lt;/li&gt;&lt;li&gt;&lt;a href=|http://interlinearbible.org/malachi/3.htm| title=|Interlinear Bible| target=|_top|&gt;Interlin&lt;/a&gt;</v>
      </c>
      <c r="Y928" t="str">
        <f t="shared" ref="Y928" si="3709">CONCATENATE("&lt;/li&gt;&lt;li&gt;&lt;a href=|http://",Y1191,"/malachi/3.htm","| ","title=|",Y1190,"| target=|_top|&gt;",Y1192,"&lt;/a&gt;")</f>
        <v>&lt;/li&gt;&lt;li&gt;&lt;a href=|http://bibleoutline.org/malachi/3.htm| title=|Outline with People and Places List| target=|_top|&gt;Outline&lt;/a&gt;</v>
      </c>
      <c r="Z928" t="str">
        <f t="shared" si="3708"/>
        <v>&lt;/li&gt;&lt;li&gt;&lt;a href=|http://kjvs.scripturetext.com/malachi/3.htm| title=|King James Bible with Strong's Numbers| target=|_top|&gt;Strong's&lt;/a&gt;</v>
      </c>
      <c r="AA928" t="str">
        <f t="shared" si="3708"/>
        <v>&lt;/li&gt;&lt;li&gt;&lt;a href=|http://childrensbibleonline.com/malachi/3.htm| title=|The Children's Bible| target=|_top|&gt;Children's&lt;/a&gt;</v>
      </c>
      <c r="AB928" s="2" t="str">
        <f t="shared" si="3708"/>
        <v>&lt;/li&gt;&lt;li&gt;&lt;a href=|http://tsk.scripturetext.com/malachi/3.htm| title=|Treasury of Scripture Knowledge| target=|_top|&gt;TSK&lt;/a&gt;</v>
      </c>
      <c r="AC928" t="str">
        <f>CONCATENATE("&lt;a href=|http://",AC1191,"/malachi/3.htm","| ","title=|",AC1190,"| target=|_top|&gt;",AC1192,"&lt;/a&gt;")</f>
        <v>&lt;a href=|http://parallelbible.com/malachi/3.htm| title=|Parallel Chapters| target=|_top|&gt;PAR&lt;/a&gt;</v>
      </c>
      <c r="AD928" s="2" t="str">
        <f t="shared" ref="AD928:AK928" si="3710">CONCATENATE("&lt;/li&gt;&lt;li&gt;&lt;a href=|http://",AD1191,"/malachi/3.htm","| ","title=|",AD1190,"| target=|_top|&gt;",AD1192,"&lt;/a&gt;")</f>
        <v>&lt;/li&gt;&lt;li&gt;&lt;a href=|http://gsb.biblecommenter.com/malachi/3.htm| title=|Geneva Study Bible| target=|_top|&gt;GSB&lt;/a&gt;</v>
      </c>
      <c r="AE928" s="2" t="str">
        <f t="shared" si="3710"/>
        <v>&lt;/li&gt;&lt;li&gt;&lt;a href=|http://jfb.biblecommenter.com/malachi/3.htm| title=|Jamieson-Fausset-Brown Bible Commentary| target=|_top|&gt;JFB&lt;/a&gt;</v>
      </c>
      <c r="AF928" s="2" t="str">
        <f t="shared" si="3710"/>
        <v>&lt;/li&gt;&lt;li&gt;&lt;a href=|http://kjt.biblecommenter.com/malachi/3.htm| title=|King James Translators' Notes| target=|_top|&gt;KJT&lt;/a&gt;</v>
      </c>
      <c r="AG928" s="2" t="str">
        <f t="shared" si="3710"/>
        <v>&lt;/li&gt;&lt;li&gt;&lt;a href=|http://mhc.biblecommenter.com/malachi/3.htm| title=|Matthew Henry's Concise Commentary| target=|_top|&gt;MHC&lt;/a&gt;</v>
      </c>
      <c r="AH928" s="2" t="str">
        <f t="shared" si="3710"/>
        <v>&lt;/li&gt;&lt;li&gt;&lt;a href=|http://sco.biblecommenter.com/malachi/3.htm| title=|Scofield Reference Notes| target=|_top|&gt;SCO&lt;/a&gt;</v>
      </c>
      <c r="AI928" s="2" t="str">
        <f t="shared" si="3710"/>
        <v>&lt;/li&gt;&lt;li&gt;&lt;a href=|http://wes.biblecommenter.com/malachi/3.htm| title=|Wesley's Notes on the Bible| target=|_top|&gt;WES&lt;/a&gt;</v>
      </c>
      <c r="AJ928" t="str">
        <f t="shared" si="3710"/>
        <v>&lt;/li&gt;&lt;li&gt;&lt;a href=|http://worldebible.com/malachi/3.htm| title=|World English Bible| target=|_top|&gt;WEB&lt;/a&gt;</v>
      </c>
      <c r="AK928" t="str">
        <f t="shared" si="3710"/>
        <v>&lt;/li&gt;&lt;li&gt;&lt;a href=|http://yltbible.com/malachi/3.htm| title=|Young's Literal Translation| target=|_top|&gt;YLT&lt;/a&gt;</v>
      </c>
      <c r="AL928" t="str">
        <f>CONCATENATE("&lt;a href=|http://",AL1191,"/malachi/3.htm","| ","title=|",AL1190,"| target=|_top|&gt;",AL1192,"&lt;/a&gt;")</f>
        <v>&lt;a href=|http://kjv.us/malachi/3.htm| title=|American King James Version| target=|_top|&gt;AKJ&lt;/a&gt;</v>
      </c>
      <c r="AM928" t="str">
        <f t="shared" ref="AM928:AN928" si="3711">CONCATENATE("&lt;/li&gt;&lt;li&gt;&lt;a href=|http://",AM1191,"/malachi/3.htm","| ","title=|",AM1190,"| target=|_top|&gt;",AM1192,"&lt;/a&gt;")</f>
        <v>&lt;/li&gt;&lt;li&gt;&lt;a href=|http://basicenglishbible.com/malachi/3.htm| title=|Bible in Basic English| target=|_top|&gt;BBE&lt;/a&gt;</v>
      </c>
      <c r="AN928" t="str">
        <f t="shared" si="3711"/>
        <v>&lt;/li&gt;&lt;li&gt;&lt;a href=|http://darbybible.com/malachi/3.htm| title=|Darby Bible Translation| target=|_top|&gt;DBY&lt;/a&gt;</v>
      </c>
      <c r="AO928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28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28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28" t="str">
        <f>CONCATENATE("&lt;/li&gt;&lt;li&gt;&lt;a href=|http://",AR1191,"/malachi/3.htm","| ","title=|",AR1190,"| target=|_top|&gt;",AR1192,"&lt;/a&gt;")</f>
        <v>&lt;/li&gt;&lt;li&gt;&lt;a href=|http://websterbible.com/malachi/3.htm| title=|Webster's Bible Translation| target=|_top|&gt;WBS&lt;/a&gt;</v>
      </c>
      <c r="AS928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28" t="str">
        <f>CONCATENATE("&lt;/li&gt;&lt;li&gt;&lt;a href=|http://",AT1191,"/malachi/3-1.htm","| ","title=|",AT1190,"| target=|_top|&gt;",AT1192,"&lt;/a&gt;")</f>
        <v>&lt;/li&gt;&lt;li&gt;&lt;a href=|http://biblebrowser.com/malachi/3-1.htm| title=|Split View| target=|_top|&gt;Split&lt;/a&gt;</v>
      </c>
      <c r="AU928" s="2" t="s">
        <v>1276</v>
      </c>
      <c r="AV928" t="s">
        <v>64</v>
      </c>
    </row>
    <row r="929" spans="1:48">
      <c r="A929" t="s">
        <v>622</v>
      </c>
      <c r="B929" t="s">
        <v>970</v>
      </c>
      <c r="C929" t="s">
        <v>624</v>
      </c>
      <c r="D929" t="s">
        <v>1268</v>
      </c>
      <c r="E929" t="s">
        <v>1277</v>
      </c>
      <c r="F929" t="s">
        <v>1304</v>
      </c>
      <c r="G929" t="s">
        <v>1266</v>
      </c>
      <c r="H929" t="s">
        <v>1305</v>
      </c>
      <c r="I929" t="s">
        <v>1303</v>
      </c>
      <c r="J929" t="s">
        <v>1267</v>
      </c>
      <c r="K929" t="s">
        <v>1275</v>
      </c>
      <c r="L929" s="2" t="s">
        <v>1274</v>
      </c>
      <c r="M929" t="str">
        <f t="shared" ref="M929:AB929" si="3712">CONCATENATE("&lt;/li&gt;&lt;li&gt;&lt;a href=|http://",M1191,"/malachi/4.htm","| ","title=|",M1190,"| target=|_top|&gt;",M1192,"&lt;/a&gt;")</f>
        <v>&lt;/li&gt;&lt;li&gt;&lt;a href=|http://niv.scripturetext.com/malachi/4.htm| title=|New International Version| target=|_top|&gt;NIV&lt;/a&gt;</v>
      </c>
      <c r="N929" t="str">
        <f t="shared" si="3712"/>
        <v>&lt;/li&gt;&lt;li&gt;&lt;a href=|http://nlt.scripturetext.com/malachi/4.htm| title=|New Living Translation| target=|_top|&gt;NLT&lt;/a&gt;</v>
      </c>
      <c r="O929" t="str">
        <f t="shared" si="3712"/>
        <v>&lt;/li&gt;&lt;li&gt;&lt;a href=|http://nasb.scripturetext.com/malachi/4.htm| title=|New American Standard Bible| target=|_top|&gt;NAS&lt;/a&gt;</v>
      </c>
      <c r="P929" t="str">
        <f t="shared" si="3712"/>
        <v>&lt;/li&gt;&lt;li&gt;&lt;a href=|http://gwt.scripturetext.com/malachi/4.htm| title=|God's Word Translation| target=|_top|&gt;GWT&lt;/a&gt;</v>
      </c>
      <c r="Q929" t="str">
        <f t="shared" si="3712"/>
        <v>&lt;/li&gt;&lt;li&gt;&lt;a href=|http://kingjbible.com/malachi/4.htm| title=|King James Bible| target=|_top|&gt;KJV&lt;/a&gt;</v>
      </c>
      <c r="R929" t="str">
        <f t="shared" si="3712"/>
        <v>&lt;/li&gt;&lt;li&gt;&lt;a href=|http://asvbible.com/malachi/4.htm| title=|American Standard Version| target=|_top|&gt;ASV&lt;/a&gt;</v>
      </c>
      <c r="S929" t="str">
        <f t="shared" si="3712"/>
        <v>&lt;/li&gt;&lt;li&gt;&lt;a href=|http://drb.scripturetext.com/malachi/4.htm| title=|Douay-Rheims Bible| target=|_top|&gt;DRB&lt;/a&gt;</v>
      </c>
      <c r="T929" t="str">
        <f t="shared" si="3712"/>
        <v>&lt;/li&gt;&lt;li&gt;&lt;a href=|http://erv.scripturetext.com/malachi/4.htm| title=|English Revised Version| target=|_top|&gt;ERV&lt;/a&gt;</v>
      </c>
      <c r="V929" t="str">
        <f>CONCATENATE("&lt;/li&gt;&lt;li&gt;&lt;a href=|http://",V1191,"/malachi/4.htm","| ","title=|",V1190,"| target=|_top|&gt;",V1192,"&lt;/a&gt;")</f>
        <v>&lt;/li&gt;&lt;li&gt;&lt;a href=|http://study.interlinearbible.org/malachi/4.htm| title=|Hebrew Study Bible| target=|_top|&gt;Heb Study&lt;/a&gt;</v>
      </c>
      <c r="W929" t="str">
        <f t="shared" si="3712"/>
        <v>&lt;/li&gt;&lt;li&gt;&lt;a href=|http://apostolic.interlinearbible.org/malachi/4.htm| title=|Apostolic Bible Polyglot Interlinear| target=|_top|&gt;Polyglot&lt;/a&gt;</v>
      </c>
      <c r="X929" t="str">
        <f t="shared" si="3712"/>
        <v>&lt;/li&gt;&lt;li&gt;&lt;a href=|http://interlinearbible.org/malachi/4.htm| title=|Interlinear Bible| target=|_top|&gt;Interlin&lt;/a&gt;</v>
      </c>
      <c r="Y929" t="str">
        <f t="shared" ref="Y929" si="3713">CONCATENATE("&lt;/li&gt;&lt;li&gt;&lt;a href=|http://",Y1191,"/malachi/4.htm","| ","title=|",Y1190,"| target=|_top|&gt;",Y1192,"&lt;/a&gt;")</f>
        <v>&lt;/li&gt;&lt;li&gt;&lt;a href=|http://bibleoutline.org/malachi/4.htm| title=|Outline with People and Places List| target=|_top|&gt;Outline&lt;/a&gt;</v>
      </c>
      <c r="Z929" t="str">
        <f t="shared" si="3712"/>
        <v>&lt;/li&gt;&lt;li&gt;&lt;a href=|http://kjvs.scripturetext.com/malachi/4.htm| title=|King James Bible with Strong's Numbers| target=|_top|&gt;Strong's&lt;/a&gt;</v>
      </c>
      <c r="AA929" t="str">
        <f t="shared" si="3712"/>
        <v>&lt;/li&gt;&lt;li&gt;&lt;a href=|http://childrensbibleonline.com/malachi/4.htm| title=|The Children's Bible| target=|_top|&gt;Children's&lt;/a&gt;</v>
      </c>
      <c r="AB929" s="2" t="str">
        <f t="shared" si="3712"/>
        <v>&lt;/li&gt;&lt;li&gt;&lt;a href=|http://tsk.scripturetext.com/malachi/4.htm| title=|Treasury of Scripture Knowledge| target=|_top|&gt;TSK&lt;/a&gt;</v>
      </c>
      <c r="AC929" t="str">
        <f>CONCATENATE("&lt;a href=|http://",AC1191,"/malachi/4.htm","| ","title=|",AC1190,"| target=|_top|&gt;",AC1192,"&lt;/a&gt;")</f>
        <v>&lt;a href=|http://parallelbible.com/malachi/4.htm| title=|Parallel Chapters| target=|_top|&gt;PAR&lt;/a&gt;</v>
      </c>
      <c r="AD929" s="2" t="str">
        <f t="shared" ref="AD929:AK929" si="3714">CONCATENATE("&lt;/li&gt;&lt;li&gt;&lt;a href=|http://",AD1191,"/malachi/4.htm","| ","title=|",AD1190,"| target=|_top|&gt;",AD1192,"&lt;/a&gt;")</f>
        <v>&lt;/li&gt;&lt;li&gt;&lt;a href=|http://gsb.biblecommenter.com/malachi/4.htm| title=|Geneva Study Bible| target=|_top|&gt;GSB&lt;/a&gt;</v>
      </c>
      <c r="AE929" s="2" t="str">
        <f t="shared" si="3714"/>
        <v>&lt;/li&gt;&lt;li&gt;&lt;a href=|http://jfb.biblecommenter.com/malachi/4.htm| title=|Jamieson-Fausset-Brown Bible Commentary| target=|_top|&gt;JFB&lt;/a&gt;</v>
      </c>
      <c r="AF929" s="2" t="str">
        <f t="shared" si="3714"/>
        <v>&lt;/li&gt;&lt;li&gt;&lt;a href=|http://kjt.biblecommenter.com/malachi/4.htm| title=|King James Translators' Notes| target=|_top|&gt;KJT&lt;/a&gt;</v>
      </c>
      <c r="AG929" s="2" t="str">
        <f t="shared" si="3714"/>
        <v>&lt;/li&gt;&lt;li&gt;&lt;a href=|http://mhc.biblecommenter.com/malachi/4.htm| title=|Matthew Henry's Concise Commentary| target=|_top|&gt;MHC&lt;/a&gt;</v>
      </c>
      <c r="AH929" s="2" t="str">
        <f t="shared" si="3714"/>
        <v>&lt;/li&gt;&lt;li&gt;&lt;a href=|http://sco.biblecommenter.com/malachi/4.htm| title=|Scofield Reference Notes| target=|_top|&gt;SCO&lt;/a&gt;</v>
      </c>
      <c r="AI929" s="2" t="str">
        <f t="shared" si="3714"/>
        <v>&lt;/li&gt;&lt;li&gt;&lt;a href=|http://wes.biblecommenter.com/malachi/4.htm| title=|Wesley's Notes on the Bible| target=|_top|&gt;WES&lt;/a&gt;</v>
      </c>
      <c r="AJ929" t="str">
        <f t="shared" si="3714"/>
        <v>&lt;/li&gt;&lt;li&gt;&lt;a href=|http://worldebible.com/malachi/4.htm| title=|World English Bible| target=|_top|&gt;WEB&lt;/a&gt;</v>
      </c>
      <c r="AK929" t="str">
        <f t="shared" si="3714"/>
        <v>&lt;/li&gt;&lt;li&gt;&lt;a href=|http://yltbible.com/malachi/4.htm| title=|Young's Literal Translation| target=|_top|&gt;YLT&lt;/a&gt;</v>
      </c>
      <c r="AL929" t="str">
        <f>CONCATENATE("&lt;a href=|http://",AL1191,"/malachi/4.htm","| ","title=|",AL1190,"| target=|_top|&gt;",AL1192,"&lt;/a&gt;")</f>
        <v>&lt;a href=|http://kjv.us/malachi/4.htm| title=|American King James Version| target=|_top|&gt;AKJ&lt;/a&gt;</v>
      </c>
      <c r="AM929" t="str">
        <f t="shared" ref="AM929:AN929" si="3715">CONCATENATE("&lt;/li&gt;&lt;li&gt;&lt;a href=|http://",AM1191,"/malachi/4.htm","| ","title=|",AM1190,"| target=|_top|&gt;",AM1192,"&lt;/a&gt;")</f>
        <v>&lt;/li&gt;&lt;li&gt;&lt;a href=|http://basicenglishbible.com/malachi/4.htm| title=|Bible in Basic English| target=|_top|&gt;BBE&lt;/a&gt;</v>
      </c>
      <c r="AN929" t="str">
        <f t="shared" si="3715"/>
        <v>&lt;/li&gt;&lt;li&gt;&lt;a href=|http://darbybible.com/malachi/4.htm| title=|Darby Bible Translation| target=|_top|&gt;DBY&lt;/a&gt;</v>
      </c>
      <c r="AO929" t="str">
        <f>CONCATENATE("&lt;/li&gt;&lt;li&gt;&lt;a href=|http://",AO1191,"/matthew/1.htm","| ","title=|",AO1190,"| target=|_top|&gt;",AO1192,"&lt;/a&gt;")</f>
        <v>&lt;/li&gt;&lt;li&gt;&lt;a href=|http://isv.scripturetext.com/matthew/1.htm| title=|International Standard Version| target=|_top|&gt;ISV&lt;/a&gt;</v>
      </c>
      <c r="AP929" t="str">
        <f>CONCATENATE("&lt;/li&gt;&lt;li&gt;&lt;a href=|http://",AP1191,"/matthew/1.htm","| ","title=|",AP1190,"| target=|_top|&gt;",AP1192,"&lt;/a&gt;")</f>
        <v>&lt;/li&gt;&lt;li&gt;&lt;a href=|http://tnt.scripturetext.com/matthew/1.htm| title=|Tyndale New Testament| target=|_top|&gt;TNT&lt;/a&gt;</v>
      </c>
      <c r="AQ929" s="2" t="str">
        <f>CONCATENATE("&lt;/li&gt;&lt;li&gt;&lt;a href=|http://",AQ1191,"/matthew/1.htm","| ","title=|",AQ1190,"| target=|_top|&gt;",AQ1192,"&lt;/a&gt;")</f>
        <v>&lt;/li&gt;&lt;li&gt;&lt;a href=|http://pnt.biblecommenter.com/matthew/1.htm| title=|People's New Testament| target=|_top|&gt;PNT&lt;/a&gt;</v>
      </c>
      <c r="AR929" t="str">
        <f>CONCATENATE("&lt;/li&gt;&lt;li&gt;&lt;a href=|http://",AR1191,"/malachi/4.htm","| ","title=|",AR1190,"| target=|_top|&gt;",AR1192,"&lt;/a&gt;")</f>
        <v>&lt;/li&gt;&lt;li&gt;&lt;a href=|http://websterbible.com/malachi/4.htm| title=|Webster's Bible Translation| target=|_top|&gt;WBS&lt;/a&gt;</v>
      </c>
      <c r="AS929" t="str">
        <f>CONCATENATE("&lt;/li&gt;&lt;li&gt;&lt;a href=|http://",AS1191,"/matthew/1.htm","| ","title=|",AS1190,"| target=|_top|&gt;",AS1192,"&lt;/a&gt;")</f>
        <v>&lt;/li&gt;&lt;li&gt;&lt;a href=|http://weymouthbible.com/matthew/1.htm| title=|Weymouth New Testament| target=|_top|&gt;WEY&lt;/a&gt;</v>
      </c>
      <c r="AT929" t="str">
        <f>CONCATENATE("&lt;/li&gt;&lt;li&gt;&lt;a href=|http://",AT1191,"/malachi/4-1.htm","| ","title=|",AT1190,"| target=|_top|&gt;",AT1192,"&lt;/a&gt;")</f>
        <v>&lt;/li&gt;&lt;li&gt;&lt;a href=|http://biblebrowser.com/malachi/4-1.htm| title=|Split View| target=|_top|&gt;Split&lt;/a&gt;</v>
      </c>
      <c r="AU929" s="2" t="s">
        <v>1276</v>
      </c>
      <c r="AV929" t="s">
        <v>64</v>
      </c>
    </row>
    <row r="930" spans="1:48">
      <c r="A930" t="s">
        <v>622</v>
      </c>
      <c r="B930" t="s">
        <v>971</v>
      </c>
      <c r="C930" t="s">
        <v>624</v>
      </c>
      <c r="D930" t="s">
        <v>1268</v>
      </c>
      <c r="E930" t="s">
        <v>1277</v>
      </c>
      <c r="F930" t="s">
        <v>1304</v>
      </c>
      <c r="G930" t="s">
        <v>1266</v>
      </c>
      <c r="H930" t="s">
        <v>1305</v>
      </c>
      <c r="I930" t="s">
        <v>1303</v>
      </c>
      <c r="J930" t="s">
        <v>1267</v>
      </c>
      <c r="K930" t="s">
        <v>1275</v>
      </c>
      <c r="L930" s="2" t="s">
        <v>1274</v>
      </c>
      <c r="M930" t="str">
        <f t="shared" ref="M930:AB930" si="3716">CONCATENATE("&lt;/li&gt;&lt;li&gt;&lt;a href=|http://",M1191,"/matthew/1.htm","| ","title=|",M1190,"| target=|_top|&gt;",M1192,"&lt;/a&gt;")</f>
        <v>&lt;/li&gt;&lt;li&gt;&lt;a href=|http://niv.scripturetext.com/matthew/1.htm| title=|New International Version| target=|_top|&gt;NIV&lt;/a&gt;</v>
      </c>
      <c r="N930" t="str">
        <f t="shared" si="3716"/>
        <v>&lt;/li&gt;&lt;li&gt;&lt;a href=|http://nlt.scripturetext.com/matthew/1.htm| title=|New Living Translation| target=|_top|&gt;NLT&lt;/a&gt;</v>
      </c>
      <c r="O930" t="str">
        <f t="shared" si="3716"/>
        <v>&lt;/li&gt;&lt;li&gt;&lt;a href=|http://nasb.scripturetext.com/matthew/1.htm| title=|New American Standard Bible| target=|_top|&gt;NAS&lt;/a&gt;</v>
      </c>
      <c r="P930" t="str">
        <f t="shared" si="3716"/>
        <v>&lt;/li&gt;&lt;li&gt;&lt;a href=|http://gwt.scripturetext.com/matthew/1.htm| title=|God's Word Translation| target=|_top|&gt;GWT&lt;/a&gt;</v>
      </c>
      <c r="Q930" t="str">
        <f t="shared" si="3716"/>
        <v>&lt;/li&gt;&lt;li&gt;&lt;a href=|http://kingjbible.com/matthew/1.htm| title=|King James Bible| target=|_top|&gt;KJV&lt;/a&gt;</v>
      </c>
      <c r="R930" t="str">
        <f t="shared" si="3716"/>
        <v>&lt;/li&gt;&lt;li&gt;&lt;a href=|http://asvbible.com/matthew/1.htm| title=|American Standard Version| target=|_top|&gt;ASV&lt;/a&gt;</v>
      </c>
      <c r="S930" t="str">
        <f t="shared" si="3716"/>
        <v>&lt;/li&gt;&lt;li&gt;&lt;a href=|http://drb.scripturetext.com/matthew/1.htm| title=|Douay-Rheims Bible| target=|_top|&gt;DRB&lt;/a&gt;</v>
      </c>
      <c r="T930" t="str">
        <f t="shared" si="3716"/>
        <v>&lt;/li&gt;&lt;li&gt;&lt;a href=|http://erv.scripturetext.com/matthew/1.htm| title=|English Revised Version| target=|_top|&gt;ERV&lt;/a&gt;</v>
      </c>
      <c r="U930" t="str">
        <f>CONCATENATE("&lt;/li&gt;&lt;li&gt;&lt;a href=|http://",U1191,"/matthew/1.htm","| ","title=|",U1190,"| target=|_top|&gt;",U1192,"&lt;/a&gt;")</f>
        <v>&lt;/li&gt;&lt;li&gt;&lt;a href=|http://study.interlinearbible.org/matthew/1.htm| title=|Greek Study Bible| target=|_top|&gt;Grk Study&lt;/a&gt;</v>
      </c>
      <c r="W930" t="str">
        <f t="shared" si="3716"/>
        <v>&lt;/li&gt;&lt;li&gt;&lt;a href=|http://apostolic.interlinearbible.org/matthew/1.htm| title=|Apostolic Bible Polyglot Interlinear| target=|_top|&gt;Polyglot&lt;/a&gt;</v>
      </c>
      <c r="X930" t="str">
        <f t="shared" si="3716"/>
        <v>&lt;/li&gt;&lt;li&gt;&lt;a href=|http://interlinearbible.org/matthew/1.htm| title=|Interlinear Bible| target=|_top|&gt;Interlin&lt;/a&gt;</v>
      </c>
      <c r="Y930" t="str">
        <f t="shared" ref="Y930" si="3717">CONCATENATE("&lt;/li&gt;&lt;li&gt;&lt;a href=|http://",Y1191,"/matthew/1.htm","| ","title=|",Y1190,"| target=|_top|&gt;",Y1192,"&lt;/a&gt;")</f>
        <v>&lt;/li&gt;&lt;li&gt;&lt;a href=|http://bibleoutline.org/matthew/1.htm| title=|Outline with People and Places List| target=|_top|&gt;Outline&lt;/a&gt;</v>
      </c>
      <c r="Z930" t="str">
        <f t="shared" si="3716"/>
        <v>&lt;/li&gt;&lt;li&gt;&lt;a href=|http://kjvs.scripturetext.com/matthew/1.htm| title=|King James Bible with Strong's Numbers| target=|_top|&gt;Strong's&lt;/a&gt;</v>
      </c>
      <c r="AA930" t="str">
        <f t="shared" si="3716"/>
        <v>&lt;/li&gt;&lt;li&gt;&lt;a href=|http://childrensbibleonline.com/matthew/1.htm| title=|The Children's Bible| target=|_top|&gt;Children's&lt;/a&gt;</v>
      </c>
      <c r="AB930" s="2" t="str">
        <f t="shared" si="3716"/>
        <v>&lt;/li&gt;&lt;li&gt;&lt;a href=|http://tsk.scripturetext.com/matthew/1.htm| title=|Treasury of Scripture Knowledge| target=|_top|&gt;TSK&lt;/a&gt;</v>
      </c>
      <c r="AC930" t="str">
        <f>CONCATENATE("&lt;a href=|http://",AC1191,"/matthew/1.htm","| ","title=|",AC1190,"| target=|_top|&gt;",AC1192,"&lt;/a&gt;")</f>
        <v>&lt;a href=|http://parallelbible.com/matthew/1.htm| title=|Parallel Chapters| target=|_top|&gt;PAR&lt;/a&gt;</v>
      </c>
      <c r="AD930" s="2" t="str">
        <f t="shared" ref="AD930:AI930" si="3718">CONCATENATE("&lt;/li&gt;&lt;li&gt;&lt;a href=|http://",AD1191,"/matthew/1.htm","| ","title=|",AD1190,"| target=|_top|&gt;",AD1192,"&lt;/a&gt;")</f>
        <v>&lt;/li&gt;&lt;li&gt;&lt;a href=|http://gsb.biblecommenter.com/matthew/1.htm| title=|Geneva Study Bible| target=|_top|&gt;GSB&lt;/a&gt;</v>
      </c>
      <c r="AE930" s="2" t="str">
        <f t="shared" si="3718"/>
        <v>&lt;/li&gt;&lt;li&gt;&lt;a href=|http://jfb.biblecommenter.com/matthew/1.htm| title=|Jamieson-Fausset-Brown Bible Commentary| target=|_top|&gt;JFB&lt;/a&gt;</v>
      </c>
      <c r="AF930" s="2" t="str">
        <f t="shared" si="3718"/>
        <v>&lt;/li&gt;&lt;li&gt;&lt;a href=|http://kjt.biblecommenter.com/matthew/1.htm| title=|King James Translators' Notes| target=|_top|&gt;KJT&lt;/a&gt;</v>
      </c>
      <c r="AG930" s="2" t="str">
        <f t="shared" si="3718"/>
        <v>&lt;/li&gt;&lt;li&gt;&lt;a href=|http://mhc.biblecommenter.com/matthew/1.htm| title=|Matthew Henry's Concise Commentary| target=|_top|&gt;MHC&lt;/a&gt;</v>
      </c>
      <c r="AH930" s="2" t="str">
        <f t="shared" si="3718"/>
        <v>&lt;/li&gt;&lt;li&gt;&lt;a href=|http://sco.biblecommenter.com/matthew/1.htm| title=|Scofield Reference Notes| target=|_top|&gt;SCO&lt;/a&gt;</v>
      </c>
      <c r="AI930" s="2" t="str">
        <f t="shared" si="3718"/>
        <v>&lt;/li&gt;&lt;li&gt;&lt;a href=|http://wes.biblecommenter.com/matthew/1.htm| title=|Wesley's Notes on the Bible| target=|_top|&gt;WES&lt;/a&gt;</v>
      </c>
      <c r="AJ930" t="str">
        <f>CONCATENATE("&lt;/li&gt;&lt;li&gt;&lt;a href=|http://",AJ1191,"/matthew/1.htm","| ","title=|",AJ1190,"| target=|_top|&gt;",AJ1192,"&lt;/a&gt;")</f>
        <v>&lt;/li&gt;&lt;li&gt;&lt;a href=|http://worldebible.com/matthew/1.htm| title=|World English Bible| target=|_top|&gt;WEB&lt;/a&gt;</v>
      </c>
      <c r="AK930" t="str">
        <f>CONCATENATE("&lt;/li&gt;&lt;li&gt;&lt;a href=|http://",AK1191,"/matthew/1.htm","| ","title=|",AK1190,"| target=|_top|&gt;",AK1192,"&lt;/a&gt;")</f>
        <v>&lt;/li&gt;&lt;li&gt;&lt;a href=|http://yltbible.com/matthew/1.htm| title=|Young's Literal Translation| target=|_top|&gt;YLT&lt;/a&gt;</v>
      </c>
      <c r="AL930" t="str">
        <f>CONCATENATE("&lt;a href=|http://",AL1191,"/matthew/1.htm","| ","title=|",AL1190,"| target=|_top|&gt;",AL1192,"&lt;/a&gt;")</f>
        <v>&lt;a href=|http://kjv.us/matthew/1.htm| title=|American King James Version| target=|_top|&gt;AKJ&lt;/a&gt;</v>
      </c>
      <c r="AM930" t="str">
        <f t="shared" ref="AM930:AS930" si="3719">CONCATENATE("&lt;/li&gt;&lt;li&gt;&lt;a href=|http://",AM1191,"/matthew/1.htm","| ","title=|",AM1190,"| target=|_top|&gt;",AM1192,"&lt;/a&gt;")</f>
        <v>&lt;/li&gt;&lt;li&gt;&lt;a href=|http://basicenglishbible.com/matthew/1.htm| title=|Bible in Basic English| target=|_top|&gt;BBE&lt;/a&gt;</v>
      </c>
      <c r="AN930" t="str">
        <f t="shared" si="3719"/>
        <v>&lt;/li&gt;&lt;li&gt;&lt;a href=|http://darbybible.com/matthew/1.htm| title=|Darby Bible Translation| target=|_top|&gt;DBY&lt;/a&gt;</v>
      </c>
      <c r="AO930" t="str">
        <f t="shared" si="3719"/>
        <v>&lt;/li&gt;&lt;li&gt;&lt;a href=|http://isv.scripturetext.com/matthew/1.htm| title=|International Standard Version| target=|_top|&gt;ISV&lt;/a&gt;</v>
      </c>
      <c r="AP930" t="str">
        <f t="shared" si="3719"/>
        <v>&lt;/li&gt;&lt;li&gt;&lt;a href=|http://tnt.scripturetext.com/matthew/1.htm| title=|Tyndale New Testament| target=|_top|&gt;TNT&lt;/a&gt;</v>
      </c>
      <c r="AQ930" s="2" t="str">
        <f t="shared" si="3719"/>
        <v>&lt;/li&gt;&lt;li&gt;&lt;a href=|http://pnt.biblecommenter.com/matthew/1.htm| title=|People's New Testament| target=|_top|&gt;PNT&lt;/a&gt;</v>
      </c>
      <c r="AR930" t="str">
        <f t="shared" si="3719"/>
        <v>&lt;/li&gt;&lt;li&gt;&lt;a href=|http://websterbible.com/matthew/1.htm| title=|Webster's Bible Translation| target=|_top|&gt;WBS&lt;/a&gt;</v>
      </c>
      <c r="AS930" t="str">
        <f t="shared" si="3719"/>
        <v>&lt;/li&gt;&lt;li&gt;&lt;a href=|http://weymouthbible.com/matthew/1.htm| title=|Weymouth New Testament| target=|_top|&gt;WEY&lt;/a&gt;</v>
      </c>
      <c r="AT930" t="str">
        <f>CONCATENATE("&lt;/li&gt;&lt;li&gt;&lt;a href=|http://",AT1191,"/matthew/1-1.htm","| ","title=|",AT1190,"| target=|_top|&gt;",AT1192,"&lt;/a&gt;")</f>
        <v>&lt;/li&gt;&lt;li&gt;&lt;a href=|http://biblebrowser.com/matthew/1-1.htm| title=|Split View| target=|_top|&gt;Split&lt;/a&gt;</v>
      </c>
      <c r="AU930" s="2" t="s">
        <v>1276</v>
      </c>
      <c r="AV930" t="s">
        <v>64</v>
      </c>
    </row>
    <row r="931" spans="1:48">
      <c r="A931" t="s">
        <v>622</v>
      </c>
      <c r="B931" t="s">
        <v>972</v>
      </c>
      <c r="C931" t="s">
        <v>624</v>
      </c>
      <c r="D931" t="s">
        <v>1268</v>
      </c>
      <c r="E931" t="s">
        <v>1277</v>
      </c>
      <c r="F931" t="s">
        <v>1304</v>
      </c>
      <c r="G931" t="s">
        <v>1266</v>
      </c>
      <c r="H931" t="s">
        <v>1305</v>
      </c>
      <c r="I931" t="s">
        <v>1303</v>
      </c>
      <c r="J931" t="s">
        <v>1267</v>
      </c>
      <c r="K931" t="s">
        <v>1275</v>
      </c>
      <c r="L931" s="2" t="s">
        <v>1274</v>
      </c>
      <c r="M931" t="str">
        <f t="shared" ref="M931:AB931" si="3720">CONCATENATE("&lt;/li&gt;&lt;li&gt;&lt;a href=|http://",M1191,"/matthew/2.htm","| ","title=|",M1190,"| target=|_top|&gt;",M1192,"&lt;/a&gt;")</f>
        <v>&lt;/li&gt;&lt;li&gt;&lt;a href=|http://niv.scripturetext.com/matthew/2.htm| title=|New International Version| target=|_top|&gt;NIV&lt;/a&gt;</v>
      </c>
      <c r="N931" t="str">
        <f t="shared" si="3720"/>
        <v>&lt;/li&gt;&lt;li&gt;&lt;a href=|http://nlt.scripturetext.com/matthew/2.htm| title=|New Living Translation| target=|_top|&gt;NLT&lt;/a&gt;</v>
      </c>
      <c r="O931" t="str">
        <f t="shared" si="3720"/>
        <v>&lt;/li&gt;&lt;li&gt;&lt;a href=|http://nasb.scripturetext.com/matthew/2.htm| title=|New American Standard Bible| target=|_top|&gt;NAS&lt;/a&gt;</v>
      </c>
      <c r="P931" t="str">
        <f t="shared" si="3720"/>
        <v>&lt;/li&gt;&lt;li&gt;&lt;a href=|http://gwt.scripturetext.com/matthew/2.htm| title=|God's Word Translation| target=|_top|&gt;GWT&lt;/a&gt;</v>
      </c>
      <c r="Q931" t="str">
        <f t="shared" si="3720"/>
        <v>&lt;/li&gt;&lt;li&gt;&lt;a href=|http://kingjbible.com/matthew/2.htm| title=|King James Bible| target=|_top|&gt;KJV&lt;/a&gt;</v>
      </c>
      <c r="R931" t="str">
        <f t="shared" si="3720"/>
        <v>&lt;/li&gt;&lt;li&gt;&lt;a href=|http://asvbible.com/matthew/2.htm| title=|American Standard Version| target=|_top|&gt;ASV&lt;/a&gt;</v>
      </c>
      <c r="S931" t="str">
        <f t="shared" si="3720"/>
        <v>&lt;/li&gt;&lt;li&gt;&lt;a href=|http://drb.scripturetext.com/matthew/2.htm| title=|Douay-Rheims Bible| target=|_top|&gt;DRB&lt;/a&gt;</v>
      </c>
      <c r="T931" t="str">
        <f t="shared" si="3720"/>
        <v>&lt;/li&gt;&lt;li&gt;&lt;a href=|http://erv.scripturetext.com/matthew/2.htm| title=|English Revised Version| target=|_top|&gt;ERV&lt;/a&gt;</v>
      </c>
      <c r="U931" t="str">
        <f>CONCATENATE("&lt;/li&gt;&lt;li&gt;&lt;a href=|http://",U1191,"/matthew/2.htm","| ","title=|",U1190,"| target=|_top|&gt;",U1192,"&lt;/a&gt;")</f>
        <v>&lt;/li&gt;&lt;li&gt;&lt;a href=|http://study.interlinearbible.org/matthew/2.htm| title=|Greek Study Bible| target=|_top|&gt;Grk Study&lt;/a&gt;</v>
      </c>
      <c r="W931" t="str">
        <f t="shared" si="3720"/>
        <v>&lt;/li&gt;&lt;li&gt;&lt;a href=|http://apostolic.interlinearbible.org/matthew/2.htm| title=|Apostolic Bible Polyglot Interlinear| target=|_top|&gt;Polyglot&lt;/a&gt;</v>
      </c>
      <c r="X931" t="str">
        <f t="shared" si="3720"/>
        <v>&lt;/li&gt;&lt;li&gt;&lt;a href=|http://interlinearbible.org/matthew/2.htm| title=|Interlinear Bible| target=|_top|&gt;Interlin&lt;/a&gt;</v>
      </c>
      <c r="Y931" t="str">
        <f t="shared" ref="Y931" si="3721">CONCATENATE("&lt;/li&gt;&lt;li&gt;&lt;a href=|http://",Y1191,"/matthew/2.htm","| ","title=|",Y1190,"| target=|_top|&gt;",Y1192,"&lt;/a&gt;")</f>
        <v>&lt;/li&gt;&lt;li&gt;&lt;a href=|http://bibleoutline.org/matthew/2.htm| title=|Outline with People and Places List| target=|_top|&gt;Outline&lt;/a&gt;</v>
      </c>
      <c r="Z931" t="str">
        <f t="shared" si="3720"/>
        <v>&lt;/li&gt;&lt;li&gt;&lt;a href=|http://kjvs.scripturetext.com/matthew/2.htm| title=|King James Bible with Strong's Numbers| target=|_top|&gt;Strong's&lt;/a&gt;</v>
      </c>
      <c r="AA931" t="str">
        <f t="shared" si="3720"/>
        <v>&lt;/li&gt;&lt;li&gt;&lt;a href=|http://childrensbibleonline.com/matthew/2.htm| title=|The Children's Bible| target=|_top|&gt;Children's&lt;/a&gt;</v>
      </c>
      <c r="AB931" s="2" t="str">
        <f t="shared" si="3720"/>
        <v>&lt;/li&gt;&lt;li&gt;&lt;a href=|http://tsk.scripturetext.com/matthew/2.htm| title=|Treasury of Scripture Knowledge| target=|_top|&gt;TSK&lt;/a&gt;</v>
      </c>
      <c r="AC931" t="str">
        <f>CONCATENATE("&lt;a href=|http://",AC1191,"/matthew/2.htm","| ","title=|",AC1190,"| target=|_top|&gt;",AC1192,"&lt;/a&gt;")</f>
        <v>&lt;a href=|http://parallelbible.com/matthew/2.htm| title=|Parallel Chapters| target=|_top|&gt;PAR&lt;/a&gt;</v>
      </c>
      <c r="AD931" s="2" t="str">
        <f t="shared" ref="AD931:AI931" si="3722">CONCATENATE("&lt;/li&gt;&lt;li&gt;&lt;a href=|http://",AD1191,"/matthew/2.htm","| ","title=|",AD1190,"| target=|_top|&gt;",AD1192,"&lt;/a&gt;")</f>
        <v>&lt;/li&gt;&lt;li&gt;&lt;a href=|http://gsb.biblecommenter.com/matthew/2.htm| title=|Geneva Study Bible| target=|_top|&gt;GSB&lt;/a&gt;</v>
      </c>
      <c r="AE931" s="2" t="str">
        <f t="shared" si="3722"/>
        <v>&lt;/li&gt;&lt;li&gt;&lt;a href=|http://jfb.biblecommenter.com/matthew/2.htm| title=|Jamieson-Fausset-Brown Bible Commentary| target=|_top|&gt;JFB&lt;/a&gt;</v>
      </c>
      <c r="AF931" s="2" t="str">
        <f t="shared" si="3722"/>
        <v>&lt;/li&gt;&lt;li&gt;&lt;a href=|http://kjt.biblecommenter.com/matthew/2.htm| title=|King James Translators' Notes| target=|_top|&gt;KJT&lt;/a&gt;</v>
      </c>
      <c r="AG931" s="2" t="str">
        <f t="shared" si="3722"/>
        <v>&lt;/li&gt;&lt;li&gt;&lt;a href=|http://mhc.biblecommenter.com/matthew/2.htm| title=|Matthew Henry's Concise Commentary| target=|_top|&gt;MHC&lt;/a&gt;</v>
      </c>
      <c r="AH931" s="2" t="str">
        <f t="shared" si="3722"/>
        <v>&lt;/li&gt;&lt;li&gt;&lt;a href=|http://sco.biblecommenter.com/matthew/2.htm| title=|Scofield Reference Notes| target=|_top|&gt;SCO&lt;/a&gt;</v>
      </c>
      <c r="AI931" s="2" t="str">
        <f t="shared" si="3722"/>
        <v>&lt;/li&gt;&lt;li&gt;&lt;a href=|http://wes.biblecommenter.com/matthew/2.htm| title=|Wesley's Notes on the Bible| target=|_top|&gt;WES&lt;/a&gt;</v>
      </c>
      <c r="AJ931" t="str">
        <f>CONCATENATE("&lt;/li&gt;&lt;li&gt;&lt;a href=|http://",AJ1191,"/matthew/2.htm","| ","title=|",AJ1190,"| target=|_top|&gt;",AJ1192,"&lt;/a&gt;")</f>
        <v>&lt;/li&gt;&lt;li&gt;&lt;a href=|http://worldebible.com/matthew/2.htm| title=|World English Bible| target=|_top|&gt;WEB&lt;/a&gt;</v>
      </c>
      <c r="AK931" t="str">
        <f>CONCATENATE("&lt;/li&gt;&lt;li&gt;&lt;a href=|http://",AK1191,"/matthew/2.htm","| ","title=|",AK1190,"| target=|_top|&gt;",AK1192,"&lt;/a&gt;")</f>
        <v>&lt;/li&gt;&lt;li&gt;&lt;a href=|http://yltbible.com/matthew/2.htm| title=|Young's Literal Translation| target=|_top|&gt;YLT&lt;/a&gt;</v>
      </c>
      <c r="AL931" t="str">
        <f>CONCATENATE("&lt;a href=|http://",AL1191,"/matthew/2.htm","| ","title=|",AL1190,"| target=|_top|&gt;",AL1192,"&lt;/a&gt;")</f>
        <v>&lt;a href=|http://kjv.us/matthew/2.htm| title=|American King James Version| target=|_top|&gt;AKJ&lt;/a&gt;</v>
      </c>
      <c r="AM931" t="str">
        <f t="shared" ref="AM931:AS931" si="3723">CONCATENATE("&lt;/li&gt;&lt;li&gt;&lt;a href=|http://",AM1191,"/matthew/2.htm","| ","title=|",AM1190,"| target=|_top|&gt;",AM1192,"&lt;/a&gt;")</f>
        <v>&lt;/li&gt;&lt;li&gt;&lt;a href=|http://basicenglishbible.com/matthew/2.htm| title=|Bible in Basic English| target=|_top|&gt;BBE&lt;/a&gt;</v>
      </c>
      <c r="AN931" t="str">
        <f t="shared" si="3723"/>
        <v>&lt;/li&gt;&lt;li&gt;&lt;a href=|http://darbybible.com/matthew/2.htm| title=|Darby Bible Translation| target=|_top|&gt;DBY&lt;/a&gt;</v>
      </c>
      <c r="AO931" t="str">
        <f t="shared" si="3723"/>
        <v>&lt;/li&gt;&lt;li&gt;&lt;a href=|http://isv.scripturetext.com/matthew/2.htm| title=|International Standard Version| target=|_top|&gt;ISV&lt;/a&gt;</v>
      </c>
      <c r="AP931" t="str">
        <f t="shared" si="3723"/>
        <v>&lt;/li&gt;&lt;li&gt;&lt;a href=|http://tnt.scripturetext.com/matthew/2.htm| title=|Tyndale New Testament| target=|_top|&gt;TNT&lt;/a&gt;</v>
      </c>
      <c r="AQ931" s="2" t="str">
        <f t="shared" si="3723"/>
        <v>&lt;/li&gt;&lt;li&gt;&lt;a href=|http://pnt.biblecommenter.com/matthew/2.htm| title=|People's New Testament| target=|_top|&gt;PNT&lt;/a&gt;</v>
      </c>
      <c r="AR931" t="str">
        <f t="shared" si="3723"/>
        <v>&lt;/li&gt;&lt;li&gt;&lt;a href=|http://websterbible.com/matthew/2.htm| title=|Webster's Bible Translation| target=|_top|&gt;WBS&lt;/a&gt;</v>
      </c>
      <c r="AS931" t="str">
        <f t="shared" si="3723"/>
        <v>&lt;/li&gt;&lt;li&gt;&lt;a href=|http://weymouthbible.com/matthew/2.htm| title=|Weymouth New Testament| target=|_top|&gt;WEY&lt;/a&gt;</v>
      </c>
      <c r="AT931" t="str">
        <f>CONCATENATE("&lt;/li&gt;&lt;li&gt;&lt;a href=|http://",AT1191,"/matthew/2-1.htm","| ","title=|",AT1190,"| target=|_top|&gt;",AT1192,"&lt;/a&gt;")</f>
        <v>&lt;/li&gt;&lt;li&gt;&lt;a href=|http://biblebrowser.com/matthew/2-1.htm| title=|Split View| target=|_top|&gt;Split&lt;/a&gt;</v>
      </c>
      <c r="AU931" s="2" t="s">
        <v>1276</v>
      </c>
      <c r="AV931" t="s">
        <v>64</v>
      </c>
    </row>
    <row r="932" spans="1:48">
      <c r="A932" t="s">
        <v>622</v>
      </c>
      <c r="B932" t="s">
        <v>973</v>
      </c>
      <c r="C932" t="s">
        <v>624</v>
      </c>
      <c r="D932" t="s">
        <v>1268</v>
      </c>
      <c r="E932" t="s">
        <v>1277</v>
      </c>
      <c r="F932" t="s">
        <v>1304</v>
      </c>
      <c r="G932" t="s">
        <v>1266</v>
      </c>
      <c r="H932" t="s">
        <v>1305</v>
      </c>
      <c r="I932" t="s">
        <v>1303</v>
      </c>
      <c r="J932" t="s">
        <v>1267</v>
      </c>
      <c r="K932" t="s">
        <v>1275</v>
      </c>
      <c r="L932" s="2" t="s">
        <v>1274</v>
      </c>
      <c r="M932" t="str">
        <f t="shared" ref="M932:AB932" si="3724">CONCATENATE("&lt;/li&gt;&lt;li&gt;&lt;a href=|http://",M1191,"/matthew/3.htm","| ","title=|",M1190,"| target=|_top|&gt;",M1192,"&lt;/a&gt;")</f>
        <v>&lt;/li&gt;&lt;li&gt;&lt;a href=|http://niv.scripturetext.com/matthew/3.htm| title=|New International Version| target=|_top|&gt;NIV&lt;/a&gt;</v>
      </c>
      <c r="N932" t="str">
        <f t="shared" si="3724"/>
        <v>&lt;/li&gt;&lt;li&gt;&lt;a href=|http://nlt.scripturetext.com/matthew/3.htm| title=|New Living Translation| target=|_top|&gt;NLT&lt;/a&gt;</v>
      </c>
      <c r="O932" t="str">
        <f t="shared" si="3724"/>
        <v>&lt;/li&gt;&lt;li&gt;&lt;a href=|http://nasb.scripturetext.com/matthew/3.htm| title=|New American Standard Bible| target=|_top|&gt;NAS&lt;/a&gt;</v>
      </c>
      <c r="P932" t="str">
        <f t="shared" si="3724"/>
        <v>&lt;/li&gt;&lt;li&gt;&lt;a href=|http://gwt.scripturetext.com/matthew/3.htm| title=|God's Word Translation| target=|_top|&gt;GWT&lt;/a&gt;</v>
      </c>
      <c r="Q932" t="str">
        <f t="shared" si="3724"/>
        <v>&lt;/li&gt;&lt;li&gt;&lt;a href=|http://kingjbible.com/matthew/3.htm| title=|King James Bible| target=|_top|&gt;KJV&lt;/a&gt;</v>
      </c>
      <c r="R932" t="str">
        <f t="shared" si="3724"/>
        <v>&lt;/li&gt;&lt;li&gt;&lt;a href=|http://asvbible.com/matthew/3.htm| title=|American Standard Version| target=|_top|&gt;ASV&lt;/a&gt;</v>
      </c>
      <c r="S932" t="str">
        <f t="shared" si="3724"/>
        <v>&lt;/li&gt;&lt;li&gt;&lt;a href=|http://drb.scripturetext.com/matthew/3.htm| title=|Douay-Rheims Bible| target=|_top|&gt;DRB&lt;/a&gt;</v>
      </c>
      <c r="T932" t="str">
        <f t="shared" si="3724"/>
        <v>&lt;/li&gt;&lt;li&gt;&lt;a href=|http://erv.scripturetext.com/matthew/3.htm| title=|English Revised Version| target=|_top|&gt;ERV&lt;/a&gt;</v>
      </c>
      <c r="U932" t="str">
        <f>CONCATENATE("&lt;/li&gt;&lt;li&gt;&lt;a href=|http://",U1191,"/matthew/3.htm","| ","title=|",U1190,"| target=|_top|&gt;",U1192,"&lt;/a&gt;")</f>
        <v>&lt;/li&gt;&lt;li&gt;&lt;a href=|http://study.interlinearbible.org/matthew/3.htm| title=|Greek Study Bible| target=|_top|&gt;Grk Study&lt;/a&gt;</v>
      </c>
      <c r="W932" t="str">
        <f t="shared" si="3724"/>
        <v>&lt;/li&gt;&lt;li&gt;&lt;a href=|http://apostolic.interlinearbible.org/matthew/3.htm| title=|Apostolic Bible Polyglot Interlinear| target=|_top|&gt;Polyglot&lt;/a&gt;</v>
      </c>
      <c r="X932" t="str">
        <f t="shared" si="3724"/>
        <v>&lt;/li&gt;&lt;li&gt;&lt;a href=|http://interlinearbible.org/matthew/3.htm| title=|Interlinear Bible| target=|_top|&gt;Interlin&lt;/a&gt;</v>
      </c>
      <c r="Y932" t="str">
        <f t="shared" ref="Y932" si="3725">CONCATENATE("&lt;/li&gt;&lt;li&gt;&lt;a href=|http://",Y1191,"/matthew/3.htm","| ","title=|",Y1190,"| target=|_top|&gt;",Y1192,"&lt;/a&gt;")</f>
        <v>&lt;/li&gt;&lt;li&gt;&lt;a href=|http://bibleoutline.org/matthew/3.htm| title=|Outline with People and Places List| target=|_top|&gt;Outline&lt;/a&gt;</v>
      </c>
      <c r="Z932" t="str">
        <f t="shared" si="3724"/>
        <v>&lt;/li&gt;&lt;li&gt;&lt;a href=|http://kjvs.scripturetext.com/matthew/3.htm| title=|King James Bible with Strong's Numbers| target=|_top|&gt;Strong's&lt;/a&gt;</v>
      </c>
      <c r="AA932" t="str">
        <f t="shared" si="3724"/>
        <v>&lt;/li&gt;&lt;li&gt;&lt;a href=|http://childrensbibleonline.com/matthew/3.htm| title=|The Children's Bible| target=|_top|&gt;Children's&lt;/a&gt;</v>
      </c>
      <c r="AB932" s="2" t="str">
        <f t="shared" si="3724"/>
        <v>&lt;/li&gt;&lt;li&gt;&lt;a href=|http://tsk.scripturetext.com/matthew/3.htm| title=|Treasury of Scripture Knowledge| target=|_top|&gt;TSK&lt;/a&gt;</v>
      </c>
      <c r="AC932" t="str">
        <f>CONCATENATE("&lt;a href=|http://",AC1191,"/matthew/3.htm","| ","title=|",AC1190,"| target=|_top|&gt;",AC1192,"&lt;/a&gt;")</f>
        <v>&lt;a href=|http://parallelbible.com/matthew/3.htm| title=|Parallel Chapters| target=|_top|&gt;PAR&lt;/a&gt;</v>
      </c>
      <c r="AD932" s="2" t="str">
        <f t="shared" ref="AD932:AI932" si="3726">CONCATENATE("&lt;/li&gt;&lt;li&gt;&lt;a href=|http://",AD1191,"/matthew/3.htm","| ","title=|",AD1190,"| target=|_top|&gt;",AD1192,"&lt;/a&gt;")</f>
        <v>&lt;/li&gt;&lt;li&gt;&lt;a href=|http://gsb.biblecommenter.com/matthew/3.htm| title=|Geneva Study Bible| target=|_top|&gt;GSB&lt;/a&gt;</v>
      </c>
      <c r="AE932" s="2" t="str">
        <f t="shared" si="3726"/>
        <v>&lt;/li&gt;&lt;li&gt;&lt;a href=|http://jfb.biblecommenter.com/matthew/3.htm| title=|Jamieson-Fausset-Brown Bible Commentary| target=|_top|&gt;JFB&lt;/a&gt;</v>
      </c>
      <c r="AF932" s="2" t="str">
        <f t="shared" si="3726"/>
        <v>&lt;/li&gt;&lt;li&gt;&lt;a href=|http://kjt.biblecommenter.com/matthew/3.htm| title=|King James Translators' Notes| target=|_top|&gt;KJT&lt;/a&gt;</v>
      </c>
      <c r="AG932" s="2" t="str">
        <f t="shared" si="3726"/>
        <v>&lt;/li&gt;&lt;li&gt;&lt;a href=|http://mhc.biblecommenter.com/matthew/3.htm| title=|Matthew Henry's Concise Commentary| target=|_top|&gt;MHC&lt;/a&gt;</v>
      </c>
      <c r="AH932" s="2" t="str">
        <f t="shared" si="3726"/>
        <v>&lt;/li&gt;&lt;li&gt;&lt;a href=|http://sco.biblecommenter.com/matthew/3.htm| title=|Scofield Reference Notes| target=|_top|&gt;SCO&lt;/a&gt;</v>
      </c>
      <c r="AI932" s="2" t="str">
        <f t="shared" si="3726"/>
        <v>&lt;/li&gt;&lt;li&gt;&lt;a href=|http://wes.biblecommenter.com/matthew/3.htm| title=|Wesley's Notes on the Bible| target=|_top|&gt;WES&lt;/a&gt;</v>
      </c>
      <c r="AJ932" t="str">
        <f>CONCATENATE("&lt;/li&gt;&lt;li&gt;&lt;a href=|http://",AJ1191,"/matthew/3.htm","| ","title=|",AJ1190,"| target=|_top|&gt;",AJ1192,"&lt;/a&gt;")</f>
        <v>&lt;/li&gt;&lt;li&gt;&lt;a href=|http://worldebible.com/matthew/3.htm| title=|World English Bible| target=|_top|&gt;WEB&lt;/a&gt;</v>
      </c>
      <c r="AK932" t="str">
        <f>CONCATENATE("&lt;/li&gt;&lt;li&gt;&lt;a href=|http://",AK1191,"/matthew/3.htm","| ","title=|",AK1190,"| target=|_top|&gt;",AK1192,"&lt;/a&gt;")</f>
        <v>&lt;/li&gt;&lt;li&gt;&lt;a href=|http://yltbible.com/matthew/3.htm| title=|Young's Literal Translation| target=|_top|&gt;YLT&lt;/a&gt;</v>
      </c>
      <c r="AL932" t="str">
        <f>CONCATENATE("&lt;a href=|http://",AL1191,"/matthew/3.htm","| ","title=|",AL1190,"| target=|_top|&gt;",AL1192,"&lt;/a&gt;")</f>
        <v>&lt;a href=|http://kjv.us/matthew/3.htm| title=|American King James Version| target=|_top|&gt;AKJ&lt;/a&gt;</v>
      </c>
      <c r="AM932" t="str">
        <f t="shared" ref="AM932:AS932" si="3727">CONCATENATE("&lt;/li&gt;&lt;li&gt;&lt;a href=|http://",AM1191,"/matthew/3.htm","| ","title=|",AM1190,"| target=|_top|&gt;",AM1192,"&lt;/a&gt;")</f>
        <v>&lt;/li&gt;&lt;li&gt;&lt;a href=|http://basicenglishbible.com/matthew/3.htm| title=|Bible in Basic English| target=|_top|&gt;BBE&lt;/a&gt;</v>
      </c>
      <c r="AN932" t="str">
        <f t="shared" si="3727"/>
        <v>&lt;/li&gt;&lt;li&gt;&lt;a href=|http://darbybible.com/matthew/3.htm| title=|Darby Bible Translation| target=|_top|&gt;DBY&lt;/a&gt;</v>
      </c>
      <c r="AO932" t="str">
        <f t="shared" si="3727"/>
        <v>&lt;/li&gt;&lt;li&gt;&lt;a href=|http://isv.scripturetext.com/matthew/3.htm| title=|International Standard Version| target=|_top|&gt;ISV&lt;/a&gt;</v>
      </c>
      <c r="AP932" t="str">
        <f t="shared" si="3727"/>
        <v>&lt;/li&gt;&lt;li&gt;&lt;a href=|http://tnt.scripturetext.com/matthew/3.htm| title=|Tyndale New Testament| target=|_top|&gt;TNT&lt;/a&gt;</v>
      </c>
      <c r="AQ932" s="2" t="str">
        <f t="shared" si="3727"/>
        <v>&lt;/li&gt;&lt;li&gt;&lt;a href=|http://pnt.biblecommenter.com/matthew/3.htm| title=|People's New Testament| target=|_top|&gt;PNT&lt;/a&gt;</v>
      </c>
      <c r="AR932" t="str">
        <f t="shared" si="3727"/>
        <v>&lt;/li&gt;&lt;li&gt;&lt;a href=|http://websterbible.com/matthew/3.htm| title=|Webster's Bible Translation| target=|_top|&gt;WBS&lt;/a&gt;</v>
      </c>
      <c r="AS932" t="str">
        <f t="shared" si="3727"/>
        <v>&lt;/li&gt;&lt;li&gt;&lt;a href=|http://weymouthbible.com/matthew/3.htm| title=|Weymouth New Testament| target=|_top|&gt;WEY&lt;/a&gt;</v>
      </c>
      <c r="AT932" t="str">
        <f>CONCATENATE("&lt;/li&gt;&lt;li&gt;&lt;a href=|http://",AT1191,"/matthew/3-1.htm","| ","title=|",AT1190,"| target=|_top|&gt;",AT1192,"&lt;/a&gt;")</f>
        <v>&lt;/li&gt;&lt;li&gt;&lt;a href=|http://biblebrowser.com/matthew/3-1.htm| title=|Split View| target=|_top|&gt;Split&lt;/a&gt;</v>
      </c>
      <c r="AU932" s="2" t="s">
        <v>1276</v>
      </c>
      <c r="AV932" t="s">
        <v>64</v>
      </c>
    </row>
    <row r="933" spans="1:48">
      <c r="A933" t="s">
        <v>622</v>
      </c>
      <c r="B933" t="s">
        <v>974</v>
      </c>
      <c r="C933" t="s">
        <v>624</v>
      </c>
      <c r="D933" t="s">
        <v>1268</v>
      </c>
      <c r="E933" t="s">
        <v>1277</v>
      </c>
      <c r="F933" t="s">
        <v>1304</v>
      </c>
      <c r="G933" t="s">
        <v>1266</v>
      </c>
      <c r="H933" t="s">
        <v>1305</v>
      </c>
      <c r="I933" t="s">
        <v>1303</v>
      </c>
      <c r="J933" t="s">
        <v>1267</v>
      </c>
      <c r="K933" t="s">
        <v>1275</v>
      </c>
      <c r="L933" s="2" t="s">
        <v>1274</v>
      </c>
      <c r="M933" t="str">
        <f t="shared" ref="M933:AB933" si="3728">CONCATENATE("&lt;/li&gt;&lt;li&gt;&lt;a href=|http://",M1191,"/matthew/4.htm","| ","title=|",M1190,"| target=|_top|&gt;",M1192,"&lt;/a&gt;")</f>
        <v>&lt;/li&gt;&lt;li&gt;&lt;a href=|http://niv.scripturetext.com/matthew/4.htm| title=|New International Version| target=|_top|&gt;NIV&lt;/a&gt;</v>
      </c>
      <c r="N933" t="str">
        <f t="shared" si="3728"/>
        <v>&lt;/li&gt;&lt;li&gt;&lt;a href=|http://nlt.scripturetext.com/matthew/4.htm| title=|New Living Translation| target=|_top|&gt;NLT&lt;/a&gt;</v>
      </c>
      <c r="O933" t="str">
        <f t="shared" si="3728"/>
        <v>&lt;/li&gt;&lt;li&gt;&lt;a href=|http://nasb.scripturetext.com/matthew/4.htm| title=|New American Standard Bible| target=|_top|&gt;NAS&lt;/a&gt;</v>
      </c>
      <c r="P933" t="str">
        <f t="shared" si="3728"/>
        <v>&lt;/li&gt;&lt;li&gt;&lt;a href=|http://gwt.scripturetext.com/matthew/4.htm| title=|God's Word Translation| target=|_top|&gt;GWT&lt;/a&gt;</v>
      </c>
      <c r="Q933" t="str">
        <f t="shared" si="3728"/>
        <v>&lt;/li&gt;&lt;li&gt;&lt;a href=|http://kingjbible.com/matthew/4.htm| title=|King James Bible| target=|_top|&gt;KJV&lt;/a&gt;</v>
      </c>
      <c r="R933" t="str">
        <f t="shared" si="3728"/>
        <v>&lt;/li&gt;&lt;li&gt;&lt;a href=|http://asvbible.com/matthew/4.htm| title=|American Standard Version| target=|_top|&gt;ASV&lt;/a&gt;</v>
      </c>
      <c r="S933" t="str">
        <f t="shared" si="3728"/>
        <v>&lt;/li&gt;&lt;li&gt;&lt;a href=|http://drb.scripturetext.com/matthew/4.htm| title=|Douay-Rheims Bible| target=|_top|&gt;DRB&lt;/a&gt;</v>
      </c>
      <c r="T933" t="str">
        <f t="shared" si="3728"/>
        <v>&lt;/li&gt;&lt;li&gt;&lt;a href=|http://erv.scripturetext.com/matthew/4.htm| title=|English Revised Version| target=|_top|&gt;ERV&lt;/a&gt;</v>
      </c>
      <c r="U933" t="str">
        <f>CONCATENATE("&lt;/li&gt;&lt;li&gt;&lt;a href=|http://",U1191,"/matthew/4.htm","| ","title=|",U1190,"| target=|_top|&gt;",U1192,"&lt;/a&gt;")</f>
        <v>&lt;/li&gt;&lt;li&gt;&lt;a href=|http://study.interlinearbible.org/matthew/4.htm| title=|Greek Study Bible| target=|_top|&gt;Grk Study&lt;/a&gt;</v>
      </c>
      <c r="W933" t="str">
        <f t="shared" si="3728"/>
        <v>&lt;/li&gt;&lt;li&gt;&lt;a href=|http://apostolic.interlinearbible.org/matthew/4.htm| title=|Apostolic Bible Polyglot Interlinear| target=|_top|&gt;Polyglot&lt;/a&gt;</v>
      </c>
      <c r="X933" t="str">
        <f t="shared" si="3728"/>
        <v>&lt;/li&gt;&lt;li&gt;&lt;a href=|http://interlinearbible.org/matthew/4.htm| title=|Interlinear Bible| target=|_top|&gt;Interlin&lt;/a&gt;</v>
      </c>
      <c r="Y933" t="str">
        <f t="shared" ref="Y933" si="3729">CONCATENATE("&lt;/li&gt;&lt;li&gt;&lt;a href=|http://",Y1191,"/matthew/4.htm","| ","title=|",Y1190,"| target=|_top|&gt;",Y1192,"&lt;/a&gt;")</f>
        <v>&lt;/li&gt;&lt;li&gt;&lt;a href=|http://bibleoutline.org/matthew/4.htm| title=|Outline with People and Places List| target=|_top|&gt;Outline&lt;/a&gt;</v>
      </c>
      <c r="Z933" t="str">
        <f t="shared" si="3728"/>
        <v>&lt;/li&gt;&lt;li&gt;&lt;a href=|http://kjvs.scripturetext.com/matthew/4.htm| title=|King James Bible with Strong's Numbers| target=|_top|&gt;Strong's&lt;/a&gt;</v>
      </c>
      <c r="AA933" t="str">
        <f t="shared" si="3728"/>
        <v>&lt;/li&gt;&lt;li&gt;&lt;a href=|http://childrensbibleonline.com/matthew/4.htm| title=|The Children's Bible| target=|_top|&gt;Children's&lt;/a&gt;</v>
      </c>
      <c r="AB933" s="2" t="str">
        <f t="shared" si="3728"/>
        <v>&lt;/li&gt;&lt;li&gt;&lt;a href=|http://tsk.scripturetext.com/matthew/4.htm| title=|Treasury of Scripture Knowledge| target=|_top|&gt;TSK&lt;/a&gt;</v>
      </c>
      <c r="AC933" t="str">
        <f>CONCATENATE("&lt;a href=|http://",AC1191,"/matthew/4.htm","| ","title=|",AC1190,"| target=|_top|&gt;",AC1192,"&lt;/a&gt;")</f>
        <v>&lt;a href=|http://parallelbible.com/matthew/4.htm| title=|Parallel Chapters| target=|_top|&gt;PAR&lt;/a&gt;</v>
      </c>
      <c r="AD933" s="2" t="str">
        <f t="shared" ref="AD933:AI933" si="3730">CONCATENATE("&lt;/li&gt;&lt;li&gt;&lt;a href=|http://",AD1191,"/matthew/4.htm","| ","title=|",AD1190,"| target=|_top|&gt;",AD1192,"&lt;/a&gt;")</f>
        <v>&lt;/li&gt;&lt;li&gt;&lt;a href=|http://gsb.biblecommenter.com/matthew/4.htm| title=|Geneva Study Bible| target=|_top|&gt;GSB&lt;/a&gt;</v>
      </c>
      <c r="AE933" s="2" t="str">
        <f t="shared" si="3730"/>
        <v>&lt;/li&gt;&lt;li&gt;&lt;a href=|http://jfb.biblecommenter.com/matthew/4.htm| title=|Jamieson-Fausset-Brown Bible Commentary| target=|_top|&gt;JFB&lt;/a&gt;</v>
      </c>
      <c r="AF933" s="2" t="str">
        <f t="shared" si="3730"/>
        <v>&lt;/li&gt;&lt;li&gt;&lt;a href=|http://kjt.biblecommenter.com/matthew/4.htm| title=|King James Translators' Notes| target=|_top|&gt;KJT&lt;/a&gt;</v>
      </c>
      <c r="AG933" s="2" t="str">
        <f t="shared" si="3730"/>
        <v>&lt;/li&gt;&lt;li&gt;&lt;a href=|http://mhc.biblecommenter.com/matthew/4.htm| title=|Matthew Henry's Concise Commentary| target=|_top|&gt;MHC&lt;/a&gt;</v>
      </c>
      <c r="AH933" s="2" t="str">
        <f t="shared" si="3730"/>
        <v>&lt;/li&gt;&lt;li&gt;&lt;a href=|http://sco.biblecommenter.com/matthew/4.htm| title=|Scofield Reference Notes| target=|_top|&gt;SCO&lt;/a&gt;</v>
      </c>
      <c r="AI933" s="2" t="str">
        <f t="shared" si="3730"/>
        <v>&lt;/li&gt;&lt;li&gt;&lt;a href=|http://wes.biblecommenter.com/matthew/4.htm| title=|Wesley's Notes on the Bible| target=|_top|&gt;WES&lt;/a&gt;</v>
      </c>
      <c r="AJ933" t="str">
        <f>CONCATENATE("&lt;/li&gt;&lt;li&gt;&lt;a href=|http://",AJ1191,"/matthew/4.htm","| ","title=|",AJ1190,"| target=|_top|&gt;",AJ1192,"&lt;/a&gt;")</f>
        <v>&lt;/li&gt;&lt;li&gt;&lt;a href=|http://worldebible.com/matthew/4.htm| title=|World English Bible| target=|_top|&gt;WEB&lt;/a&gt;</v>
      </c>
      <c r="AK933" t="str">
        <f>CONCATENATE("&lt;/li&gt;&lt;li&gt;&lt;a href=|http://",AK1191,"/matthew/4.htm","| ","title=|",AK1190,"| target=|_top|&gt;",AK1192,"&lt;/a&gt;")</f>
        <v>&lt;/li&gt;&lt;li&gt;&lt;a href=|http://yltbible.com/matthew/4.htm| title=|Young's Literal Translation| target=|_top|&gt;YLT&lt;/a&gt;</v>
      </c>
      <c r="AL933" t="str">
        <f>CONCATENATE("&lt;a href=|http://",AL1191,"/matthew/4.htm","| ","title=|",AL1190,"| target=|_top|&gt;",AL1192,"&lt;/a&gt;")</f>
        <v>&lt;a href=|http://kjv.us/matthew/4.htm| title=|American King James Version| target=|_top|&gt;AKJ&lt;/a&gt;</v>
      </c>
      <c r="AM933" t="str">
        <f t="shared" ref="AM933:AS933" si="3731">CONCATENATE("&lt;/li&gt;&lt;li&gt;&lt;a href=|http://",AM1191,"/matthew/4.htm","| ","title=|",AM1190,"| target=|_top|&gt;",AM1192,"&lt;/a&gt;")</f>
        <v>&lt;/li&gt;&lt;li&gt;&lt;a href=|http://basicenglishbible.com/matthew/4.htm| title=|Bible in Basic English| target=|_top|&gt;BBE&lt;/a&gt;</v>
      </c>
      <c r="AN933" t="str">
        <f t="shared" si="3731"/>
        <v>&lt;/li&gt;&lt;li&gt;&lt;a href=|http://darbybible.com/matthew/4.htm| title=|Darby Bible Translation| target=|_top|&gt;DBY&lt;/a&gt;</v>
      </c>
      <c r="AO933" t="str">
        <f t="shared" si="3731"/>
        <v>&lt;/li&gt;&lt;li&gt;&lt;a href=|http://isv.scripturetext.com/matthew/4.htm| title=|International Standard Version| target=|_top|&gt;ISV&lt;/a&gt;</v>
      </c>
      <c r="AP933" t="str">
        <f t="shared" si="3731"/>
        <v>&lt;/li&gt;&lt;li&gt;&lt;a href=|http://tnt.scripturetext.com/matthew/4.htm| title=|Tyndale New Testament| target=|_top|&gt;TNT&lt;/a&gt;</v>
      </c>
      <c r="AQ933" s="2" t="str">
        <f t="shared" si="3731"/>
        <v>&lt;/li&gt;&lt;li&gt;&lt;a href=|http://pnt.biblecommenter.com/matthew/4.htm| title=|People's New Testament| target=|_top|&gt;PNT&lt;/a&gt;</v>
      </c>
      <c r="AR933" t="str">
        <f t="shared" si="3731"/>
        <v>&lt;/li&gt;&lt;li&gt;&lt;a href=|http://websterbible.com/matthew/4.htm| title=|Webster's Bible Translation| target=|_top|&gt;WBS&lt;/a&gt;</v>
      </c>
      <c r="AS933" t="str">
        <f t="shared" si="3731"/>
        <v>&lt;/li&gt;&lt;li&gt;&lt;a href=|http://weymouthbible.com/matthew/4.htm| title=|Weymouth New Testament| target=|_top|&gt;WEY&lt;/a&gt;</v>
      </c>
      <c r="AT933" t="str">
        <f>CONCATENATE("&lt;/li&gt;&lt;li&gt;&lt;a href=|http://",AT1191,"/matthew/4-1.htm","| ","title=|",AT1190,"| target=|_top|&gt;",AT1192,"&lt;/a&gt;")</f>
        <v>&lt;/li&gt;&lt;li&gt;&lt;a href=|http://biblebrowser.com/matthew/4-1.htm| title=|Split View| target=|_top|&gt;Split&lt;/a&gt;</v>
      </c>
      <c r="AU933" s="2" t="s">
        <v>1276</v>
      </c>
      <c r="AV933" t="s">
        <v>64</v>
      </c>
    </row>
    <row r="934" spans="1:48">
      <c r="A934" t="s">
        <v>622</v>
      </c>
      <c r="B934" t="s">
        <v>975</v>
      </c>
      <c r="C934" t="s">
        <v>624</v>
      </c>
      <c r="D934" t="s">
        <v>1268</v>
      </c>
      <c r="E934" t="s">
        <v>1277</v>
      </c>
      <c r="F934" t="s">
        <v>1304</v>
      </c>
      <c r="G934" t="s">
        <v>1266</v>
      </c>
      <c r="H934" t="s">
        <v>1305</v>
      </c>
      <c r="I934" t="s">
        <v>1303</v>
      </c>
      <c r="J934" t="s">
        <v>1267</v>
      </c>
      <c r="K934" t="s">
        <v>1275</v>
      </c>
      <c r="L934" s="2" t="s">
        <v>1274</v>
      </c>
      <c r="M934" t="str">
        <f t="shared" ref="M934:AB934" si="3732">CONCATENATE("&lt;/li&gt;&lt;li&gt;&lt;a href=|http://",M1191,"/matthew/5.htm","| ","title=|",M1190,"| target=|_top|&gt;",M1192,"&lt;/a&gt;")</f>
        <v>&lt;/li&gt;&lt;li&gt;&lt;a href=|http://niv.scripturetext.com/matthew/5.htm| title=|New International Version| target=|_top|&gt;NIV&lt;/a&gt;</v>
      </c>
      <c r="N934" t="str">
        <f t="shared" si="3732"/>
        <v>&lt;/li&gt;&lt;li&gt;&lt;a href=|http://nlt.scripturetext.com/matthew/5.htm| title=|New Living Translation| target=|_top|&gt;NLT&lt;/a&gt;</v>
      </c>
      <c r="O934" t="str">
        <f t="shared" si="3732"/>
        <v>&lt;/li&gt;&lt;li&gt;&lt;a href=|http://nasb.scripturetext.com/matthew/5.htm| title=|New American Standard Bible| target=|_top|&gt;NAS&lt;/a&gt;</v>
      </c>
      <c r="P934" t="str">
        <f t="shared" si="3732"/>
        <v>&lt;/li&gt;&lt;li&gt;&lt;a href=|http://gwt.scripturetext.com/matthew/5.htm| title=|God's Word Translation| target=|_top|&gt;GWT&lt;/a&gt;</v>
      </c>
      <c r="Q934" t="str">
        <f t="shared" si="3732"/>
        <v>&lt;/li&gt;&lt;li&gt;&lt;a href=|http://kingjbible.com/matthew/5.htm| title=|King James Bible| target=|_top|&gt;KJV&lt;/a&gt;</v>
      </c>
      <c r="R934" t="str">
        <f t="shared" si="3732"/>
        <v>&lt;/li&gt;&lt;li&gt;&lt;a href=|http://asvbible.com/matthew/5.htm| title=|American Standard Version| target=|_top|&gt;ASV&lt;/a&gt;</v>
      </c>
      <c r="S934" t="str">
        <f t="shared" si="3732"/>
        <v>&lt;/li&gt;&lt;li&gt;&lt;a href=|http://drb.scripturetext.com/matthew/5.htm| title=|Douay-Rheims Bible| target=|_top|&gt;DRB&lt;/a&gt;</v>
      </c>
      <c r="T934" t="str">
        <f t="shared" si="3732"/>
        <v>&lt;/li&gt;&lt;li&gt;&lt;a href=|http://erv.scripturetext.com/matthew/5.htm| title=|English Revised Version| target=|_top|&gt;ERV&lt;/a&gt;</v>
      </c>
      <c r="U934" t="str">
        <f>CONCATENATE("&lt;/li&gt;&lt;li&gt;&lt;a href=|http://",U1191,"/matthew/5.htm","| ","title=|",U1190,"| target=|_top|&gt;",U1192,"&lt;/a&gt;")</f>
        <v>&lt;/li&gt;&lt;li&gt;&lt;a href=|http://study.interlinearbible.org/matthew/5.htm| title=|Greek Study Bible| target=|_top|&gt;Grk Study&lt;/a&gt;</v>
      </c>
      <c r="W934" t="str">
        <f t="shared" si="3732"/>
        <v>&lt;/li&gt;&lt;li&gt;&lt;a href=|http://apostolic.interlinearbible.org/matthew/5.htm| title=|Apostolic Bible Polyglot Interlinear| target=|_top|&gt;Polyglot&lt;/a&gt;</v>
      </c>
      <c r="X934" t="str">
        <f t="shared" si="3732"/>
        <v>&lt;/li&gt;&lt;li&gt;&lt;a href=|http://interlinearbible.org/matthew/5.htm| title=|Interlinear Bible| target=|_top|&gt;Interlin&lt;/a&gt;</v>
      </c>
      <c r="Y934" t="str">
        <f t="shared" ref="Y934" si="3733">CONCATENATE("&lt;/li&gt;&lt;li&gt;&lt;a href=|http://",Y1191,"/matthew/5.htm","| ","title=|",Y1190,"| target=|_top|&gt;",Y1192,"&lt;/a&gt;")</f>
        <v>&lt;/li&gt;&lt;li&gt;&lt;a href=|http://bibleoutline.org/matthew/5.htm| title=|Outline with People and Places List| target=|_top|&gt;Outline&lt;/a&gt;</v>
      </c>
      <c r="Z934" t="str">
        <f t="shared" si="3732"/>
        <v>&lt;/li&gt;&lt;li&gt;&lt;a href=|http://kjvs.scripturetext.com/matthew/5.htm| title=|King James Bible with Strong's Numbers| target=|_top|&gt;Strong's&lt;/a&gt;</v>
      </c>
      <c r="AA934" t="str">
        <f t="shared" si="3732"/>
        <v>&lt;/li&gt;&lt;li&gt;&lt;a href=|http://childrensbibleonline.com/matthew/5.htm| title=|The Children's Bible| target=|_top|&gt;Children's&lt;/a&gt;</v>
      </c>
      <c r="AB934" s="2" t="str">
        <f t="shared" si="3732"/>
        <v>&lt;/li&gt;&lt;li&gt;&lt;a href=|http://tsk.scripturetext.com/matthew/5.htm| title=|Treasury of Scripture Knowledge| target=|_top|&gt;TSK&lt;/a&gt;</v>
      </c>
      <c r="AC934" t="str">
        <f>CONCATENATE("&lt;a href=|http://",AC1191,"/matthew/5.htm","| ","title=|",AC1190,"| target=|_top|&gt;",AC1192,"&lt;/a&gt;")</f>
        <v>&lt;a href=|http://parallelbible.com/matthew/5.htm| title=|Parallel Chapters| target=|_top|&gt;PAR&lt;/a&gt;</v>
      </c>
      <c r="AD934" s="2" t="str">
        <f t="shared" ref="AD934:AI934" si="3734">CONCATENATE("&lt;/li&gt;&lt;li&gt;&lt;a href=|http://",AD1191,"/matthew/5.htm","| ","title=|",AD1190,"| target=|_top|&gt;",AD1192,"&lt;/a&gt;")</f>
        <v>&lt;/li&gt;&lt;li&gt;&lt;a href=|http://gsb.biblecommenter.com/matthew/5.htm| title=|Geneva Study Bible| target=|_top|&gt;GSB&lt;/a&gt;</v>
      </c>
      <c r="AE934" s="2" t="str">
        <f t="shared" si="3734"/>
        <v>&lt;/li&gt;&lt;li&gt;&lt;a href=|http://jfb.biblecommenter.com/matthew/5.htm| title=|Jamieson-Fausset-Brown Bible Commentary| target=|_top|&gt;JFB&lt;/a&gt;</v>
      </c>
      <c r="AF934" s="2" t="str">
        <f t="shared" si="3734"/>
        <v>&lt;/li&gt;&lt;li&gt;&lt;a href=|http://kjt.biblecommenter.com/matthew/5.htm| title=|King James Translators' Notes| target=|_top|&gt;KJT&lt;/a&gt;</v>
      </c>
      <c r="AG934" s="2" t="str">
        <f t="shared" si="3734"/>
        <v>&lt;/li&gt;&lt;li&gt;&lt;a href=|http://mhc.biblecommenter.com/matthew/5.htm| title=|Matthew Henry's Concise Commentary| target=|_top|&gt;MHC&lt;/a&gt;</v>
      </c>
      <c r="AH934" s="2" t="str">
        <f t="shared" si="3734"/>
        <v>&lt;/li&gt;&lt;li&gt;&lt;a href=|http://sco.biblecommenter.com/matthew/5.htm| title=|Scofield Reference Notes| target=|_top|&gt;SCO&lt;/a&gt;</v>
      </c>
      <c r="AI934" s="2" t="str">
        <f t="shared" si="3734"/>
        <v>&lt;/li&gt;&lt;li&gt;&lt;a href=|http://wes.biblecommenter.com/matthew/5.htm| title=|Wesley's Notes on the Bible| target=|_top|&gt;WES&lt;/a&gt;</v>
      </c>
      <c r="AJ934" t="str">
        <f>CONCATENATE("&lt;/li&gt;&lt;li&gt;&lt;a href=|http://",AJ1191,"/matthew/5.htm","| ","title=|",AJ1190,"| target=|_top|&gt;",AJ1192,"&lt;/a&gt;")</f>
        <v>&lt;/li&gt;&lt;li&gt;&lt;a href=|http://worldebible.com/matthew/5.htm| title=|World English Bible| target=|_top|&gt;WEB&lt;/a&gt;</v>
      </c>
      <c r="AK934" t="str">
        <f>CONCATENATE("&lt;/li&gt;&lt;li&gt;&lt;a href=|http://",AK1191,"/matthew/5.htm","| ","title=|",AK1190,"| target=|_top|&gt;",AK1192,"&lt;/a&gt;")</f>
        <v>&lt;/li&gt;&lt;li&gt;&lt;a href=|http://yltbible.com/matthew/5.htm| title=|Young's Literal Translation| target=|_top|&gt;YLT&lt;/a&gt;</v>
      </c>
      <c r="AL934" t="str">
        <f>CONCATENATE("&lt;a href=|http://",AL1191,"/matthew/5.htm","| ","title=|",AL1190,"| target=|_top|&gt;",AL1192,"&lt;/a&gt;")</f>
        <v>&lt;a href=|http://kjv.us/matthew/5.htm| title=|American King James Version| target=|_top|&gt;AKJ&lt;/a&gt;</v>
      </c>
      <c r="AM934" t="str">
        <f t="shared" ref="AM934:AS934" si="3735">CONCATENATE("&lt;/li&gt;&lt;li&gt;&lt;a href=|http://",AM1191,"/matthew/5.htm","| ","title=|",AM1190,"| target=|_top|&gt;",AM1192,"&lt;/a&gt;")</f>
        <v>&lt;/li&gt;&lt;li&gt;&lt;a href=|http://basicenglishbible.com/matthew/5.htm| title=|Bible in Basic English| target=|_top|&gt;BBE&lt;/a&gt;</v>
      </c>
      <c r="AN934" t="str">
        <f t="shared" si="3735"/>
        <v>&lt;/li&gt;&lt;li&gt;&lt;a href=|http://darbybible.com/matthew/5.htm| title=|Darby Bible Translation| target=|_top|&gt;DBY&lt;/a&gt;</v>
      </c>
      <c r="AO934" t="str">
        <f t="shared" si="3735"/>
        <v>&lt;/li&gt;&lt;li&gt;&lt;a href=|http://isv.scripturetext.com/matthew/5.htm| title=|International Standard Version| target=|_top|&gt;ISV&lt;/a&gt;</v>
      </c>
      <c r="AP934" t="str">
        <f t="shared" si="3735"/>
        <v>&lt;/li&gt;&lt;li&gt;&lt;a href=|http://tnt.scripturetext.com/matthew/5.htm| title=|Tyndale New Testament| target=|_top|&gt;TNT&lt;/a&gt;</v>
      </c>
      <c r="AQ934" s="2" t="str">
        <f t="shared" si="3735"/>
        <v>&lt;/li&gt;&lt;li&gt;&lt;a href=|http://pnt.biblecommenter.com/matthew/5.htm| title=|People's New Testament| target=|_top|&gt;PNT&lt;/a&gt;</v>
      </c>
      <c r="AR934" t="str">
        <f t="shared" si="3735"/>
        <v>&lt;/li&gt;&lt;li&gt;&lt;a href=|http://websterbible.com/matthew/5.htm| title=|Webster's Bible Translation| target=|_top|&gt;WBS&lt;/a&gt;</v>
      </c>
      <c r="AS934" t="str">
        <f t="shared" si="3735"/>
        <v>&lt;/li&gt;&lt;li&gt;&lt;a href=|http://weymouthbible.com/matthew/5.htm| title=|Weymouth New Testament| target=|_top|&gt;WEY&lt;/a&gt;</v>
      </c>
      <c r="AT934" t="str">
        <f>CONCATENATE("&lt;/li&gt;&lt;li&gt;&lt;a href=|http://",AT1191,"/matthew/5-1.htm","| ","title=|",AT1190,"| target=|_top|&gt;",AT1192,"&lt;/a&gt;")</f>
        <v>&lt;/li&gt;&lt;li&gt;&lt;a href=|http://biblebrowser.com/matthew/5-1.htm| title=|Split View| target=|_top|&gt;Split&lt;/a&gt;</v>
      </c>
      <c r="AU934" s="2" t="s">
        <v>1276</v>
      </c>
      <c r="AV934" t="s">
        <v>64</v>
      </c>
    </row>
    <row r="935" spans="1:48">
      <c r="A935" t="s">
        <v>622</v>
      </c>
      <c r="B935" t="s">
        <v>976</v>
      </c>
      <c r="C935" t="s">
        <v>624</v>
      </c>
      <c r="D935" t="s">
        <v>1268</v>
      </c>
      <c r="E935" t="s">
        <v>1277</v>
      </c>
      <c r="F935" t="s">
        <v>1304</v>
      </c>
      <c r="G935" t="s">
        <v>1266</v>
      </c>
      <c r="H935" t="s">
        <v>1305</v>
      </c>
      <c r="I935" t="s">
        <v>1303</v>
      </c>
      <c r="J935" t="s">
        <v>1267</v>
      </c>
      <c r="K935" t="s">
        <v>1275</v>
      </c>
      <c r="L935" s="2" t="s">
        <v>1274</v>
      </c>
      <c r="M935" t="str">
        <f t="shared" ref="M935:AB935" si="3736">CONCATENATE("&lt;/li&gt;&lt;li&gt;&lt;a href=|http://",M1191,"/matthew/6.htm","| ","title=|",M1190,"| target=|_top|&gt;",M1192,"&lt;/a&gt;")</f>
        <v>&lt;/li&gt;&lt;li&gt;&lt;a href=|http://niv.scripturetext.com/matthew/6.htm| title=|New International Version| target=|_top|&gt;NIV&lt;/a&gt;</v>
      </c>
      <c r="N935" t="str">
        <f t="shared" si="3736"/>
        <v>&lt;/li&gt;&lt;li&gt;&lt;a href=|http://nlt.scripturetext.com/matthew/6.htm| title=|New Living Translation| target=|_top|&gt;NLT&lt;/a&gt;</v>
      </c>
      <c r="O935" t="str">
        <f t="shared" si="3736"/>
        <v>&lt;/li&gt;&lt;li&gt;&lt;a href=|http://nasb.scripturetext.com/matthew/6.htm| title=|New American Standard Bible| target=|_top|&gt;NAS&lt;/a&gt;</v>
      </c>
      <c r="P935" t="str">
        <f t="shared" si="3736"/>
        <v>&lt;/li&gt;&lt;li&gt;&lt;a href=|http://gwt.scripturetext.com/matthew/6.htm| title=|God's Word Translation| target=|_top|&gt;GWT&lt;/a&gt;</v>
      </c>
      <c r="Q935" t="str">
        <f t="shared" si="3736"/>
        <v>&lt;/li&gt;&lt;li&gt;&lt;a href=|http://kingjbible.com/matthew/6.htm| title=|King James Bible| target=|_top|&gt;KJV&lt;/a&gt;</v>
      </c>
      <c r="R935" t="str">
        <f t="shared" si="3736"/>
        <v>&lt;/li&gt;&lt;li&gt;&lt;a href=|http://asvbible.com/matthew/6.htm| title=|American Standard Version| target=|_top|&gt;ASV&lt;/a&gt;</v>
      </c>
      <c r="S935" t="str">
        <f t="shared" si="3736"/>
        <v>&lt;/li&gt;&lt;li&gt;&lt;a href=|http://drb.scripturetext.com/matthew/6.htm| title=|Douay-Rheims Bible| target=|_top|&gt;DRB&lt;/a&gt;</v>
      </c>
      <c r="T935" t="str">
        <f t="shared" si="3736"/>
        <v>&lt;/li&gt;&lt;li&gt;&lt;a href=|http://erv.scripturetext.com/matthew/6.htm| title=|English Revised Version| target=|_top|&gt;ERV&lt;/a&gt;</v>
      </c>
      <c r="U935" t="str">
        <f>CONCATENATE("&lt;/li&gt;&lt;li&gt;&lt;a href=|http://",U1191,"/matthew/6.htm","| ","title=|",U1190,"| target=|_top|&gt;",U1192,"&lt;/a&gt;")</f>
        <v>&lt;/li&gt;&lt;li&gt;&lt;a href=|http://study.interlinearbible.org/matthew/6.htm| title=|Greek Study Bible| target=|_top|&gt;Grk Study&lt;/a&gt;</v>
      </c>
      <c r="W935" t="str">
        <f t="shared" si="3736"/>
        <v>&lt;/li&gt;&lt;li&gt;&lt;a href=|http://apostolic.interlinearbible.org/matthew/6.htm| title=|Apostolic Bible Polyglot Interlinear| target=|_top|&gt;Polyglot&lt;/a&gt;</v>
      </c>
      <c r="X935" t="str">
        <f t="shared" si="3736"/>
        <v>&lt;/li&gt;&lt;li&gt;&lt;a href=|http://interlinearbible.org/matthew/6.htm| title=|Interlinear Bible| target=|_top|&gt;Interlin&lt;/a&gt;</v>
      </c>
      <c r="Y935" t="str">
        <f t="shared" ref="Y935" si="3737">CONCATENATE("&lt;/li&gt;&lt;li&gt;&lt;a href=|http://",Y1191,"/matthew/6.htm","| ","title=|",Y1190,"| target=|_top|&gt;",Y1192,"&lt;/a&gt;")</f>
        <v>&lt;/li&gt;&lt;li&gt;&lt;a href=|http://bibleoutline.org/matthew/6.htm| title=|Outline with People and Places List| target=|_top|&gt;Outline&lt;/a&gt;</v>
      </c>
      <c r="Z935" t="str">
        <f t="shared" si="3736"/>
        <v>&lt;/li&gt;&lt;li&gt;&lt;a href=|http://kjvs.scripturetext.com/matthew/6.htm| title=|King James Bible with Strong's Numbers| target=|_top|&gt;Strong's&lt;/a&gt;</v>
      </c>
      <c r="AA935" t="str">
        <f t="shared" si="3736"/>
        <v>&lt;/li&gt;&lt;li&gt;&lt;a href=|http://childrensbibleonline.com/matthew/6.htm| title=|The Children's Bible| target=|_top|&gt;Children's&lt;/a&gt;</v>
      </c>
      <c r="AB935" s="2" t="str">
        <f t="shared" si="3736"/>
        <v>&lt;/li&gt;&lt;li&gt;&lt;a href=|http://tsk.scripturetext.com/matthew/6.htm| title=|Treasury of Scripture Knowledge| target=|_top|&gt;TSK&lt;/a&gt;</v>
      </c>
      <c r="AC935" t="str">
        <f>CONCATENATE("&lt;a href=|http://",AC1191,"/matthew/6.htm","| ","title=|",AC1190,"| target=|_top|&gt;",AC1192,"&lt;/a&gt;")</f>
        <v>&lt;a href=|http://parallelbible.com/matthew/6.htm| title=|Parallel Chapters| target=|_top|&gt;PAR&lt;/a&gt;</v>
      </c>
      <c r="AD935" s="2" t="str">
        <f t="shared" ref="AD935:AI935" si="3738">CONCATENATE("&lt;/li&gt;&lt;li&gt;&lt;a href=|http://",AD1191,"/matthew/6.htm","| ","title=|",AD1190,"| target=|_top|&gt;",AD1192,"&lt;/a&gt;")</f>
        <v>&lt;/li&gt;&lt;li&gt;&lt;a href=|http://gsb.biblecommenter.com/matthew/6.htm| title=|Geneva Study Bible| target=|_top|&gt;GSB&lt;/a&gt;</v>
      </c>
      <c r="AE935" s="2" t="str">
        <f t="shared" si="3738"/>
        <v>&lt;/li&gt;&lt;li&gt;&lt;a href=|http://jfb.biblecommenter.com/matthew/6.htm| title=|Jamieson-Fausset-Brown Bible Commentary| target=|_top|&gt;JFB&lt;/a&gt;</v>
      </c>
      <c r="AF935" s="2" t="str">
        <f t="shared" si="3738"/>
        <v>&lt;/li&gt;&lt;li&gt;&lt;a href=|http://kjt.biblecommenter.com/matthew/6.htm| title=|King James Translators' Notes| target=|_top|&gt;KJT&lt;/a&gt;</v>
      </c>
      <c r="AG935" s="2" t="str">
        <f t="shared" si="3738"/>
        <v>&lt;/li&gt;&lt;li&gt;&lt;a href=|http://mhc.biblecommenter.com/matthew/6.htm| title=|Matthew Henry's Concise Commentary| target=|_top|&gt;MHC&lt;/a&gt;</v>
      </c>
      <c r="AH935" s="2" t="str">
        <f t="shared" si="3738"/>
        <v>&lt;/li&gt;&lt;li&gt;&lt;a href=|http://sco.biblecommenter.com/matthew/6.htm| title=|Scofield Reference Notes| target=|_top|&gt;SCO&lt;/a&gt;</v>
      </c>
      <c r="AI935" s="2" t="str">
        <f t="shared" si="3738"/>
        <v>&lt;/li&gt;&lt;li&gt;&lt;a href=|http://wes.biblecommenter.com/matthew/6.htm| title=|Wesley's Notes on the Bible| target=|_top|&gt;WES&lt;/a&gt;</v>
      </c>
      <c r="AJ935" t="str">
        <f>CONCATENATE("&lt;/li&gt;&lt;li&gt;&lt;a href=|http://",AJ1191,"/matthew/6.htm","| ","title=|",AJ1190,"| target=|_top|&gt;",AJ1192,"&lt;/a&gt;")</f>
        <v>&lt;/li&gt;&lt;li&gt;&lt;a href=|http://worldebible.com/matthew/6.htm| title=|World English Bible| target=|_top|&gt;WEB&lt;/a&gt;</v>
      </c>
      <c r="AK935" t="str">
        <f>CONCATENATE("&lt;/li&gt;&lt;li&gt;&lt;a href=|http://",AK1191,"/matthew/6.htm","| ","title=|",AK1190,"| target=|_top|&gt;",AK1192,"&lt;/a&gt;")</f>
        <v>&lt;/li&gt;&lt;li&gt;&lt;a href=|http://yltbible.com/matthew/6.htm| title=|Young's Literal Translation| target=|_top|&gt;YLT&lt;/a&gt;</v>
      </c>
      <c r="AL935" t="str">
        <f>CONCATENATE("&lt;a href=|http://",AL1191,"/matthew/6.htm","| ","title=|",AL1190,"| target=|_top|&gt;",AL1192,"&lt;/a&gt;")</f>
        <v>&lt;a href=|http://kjv.us/matthew/6.htm| title=|American King James Version| target=|_top|&gt;AKJ&lt;/a&gt;</v>
      </c>
      <c r="AM935" t="str">
        <f t="shared" ref="AM935:AS935" si="3739">CONCATENATE("&lt;/li&gt;&lt;li&gt;&lt;a href=|http://",AM1191,"/matthew/6.htm","| ","title=|",AM1190,"| target=|_top|&gt;",AM1192,"&lt;/a&gt;")</f>
        <v>&lt;/li&gt;&lt;li&gt;&lt;a href=|http://basicenglishbible.com/matthew/6.htm| title=|Bible in Basic English| target=|_top|&gt;BBE&lt;/a&gt;</v>
      </c>
      <c r="AN935" t="str">
        <f t="shared" si="3739"/>
        <v>&lt;/li&gt;&lt;li&gt;&lt;a href=|http://darbybible.com/matthew/6.htm| title=|Darby Bible Translation| target=|_top|&gt;DBY&lt;/a&gt;</v>
      </c>
      <c r="AO935" t="str">
        <f t="shared" si="3739"/>
        <v>&lt;/li&gt;&lt;li&gt;&lt;a href=|http://isv.scripturetext.com/matthew/6.htm| title=|International Standard Version| target=|_top|&gt;ISV&lt;/a&gt;</v>
      </c>
      <c r="AP935" t="str">
        <f t="shared" si="3739"/>
        <v>&lt;/li&gt;&lt;li&gt;&lt;a href=|http://tnt.scripturetext.com/matthew/6.htm| title=|Tyndale New Testament| target=|_top|&gt;TNT&lt;/a&gt;</v>
      </c>
      <c r="AQ935" s="2" t="str">
        <f t="shared" si="3739"/>
        <v>&lt;/li&gt;&lt;li&gt;&lt;a href=|http://pnt.biblecommenter.com/matthew/6.htm| title=|People's New Testament| target=|_top|&gt;PNT&lt;/a&gt;</v>
      </c>
      <c r="AR935" t="str">
        <f t="shared" si="3739"/>
        <v>&lt;/li&gt;&lt;li&gt;&lt;a href=|http://websterbible.com/matthew/6.htm| title=|Webster's Bible Translation| target=|_top|&gt;WBS&lt;/a&gt;</v>
      </c>
      <c r="AS935" t="str">
        <f t="shared" si="3739"/>
        <v>&lt;/li&gt;&lt;li&gt;&lt;a href=|http://weymouthbible.com/matthew/6.htm| title=|Weymouth New Testament| target=|_top|&gt;WEY&lt;/a&gt;</v>
      </c>
      <c r="AT935" t="str">
        <f>CONCATENATE("&lt;/li&gt;&lt;li&gt;&lt;a href=|http://",AT1191,"/matthew/6-1.htm","| ","title=|",AT1190,"| target=|_top|&gt;",AT1192,"&lt;/a&gt;")</f>
        <v>&lt;/li&gt;&lt;li&gt;&lt;a href=|http://biblebrowser.com/matthew/6-1.htm| title=|Split View| target=|_top|&gt;Split&lt;/a&gt;</v>
      </c>
      <c r="AU935" s="2" t="s">
        <v>1276</v>
      </c>
      <c r="AV935" t="s">
        <v>64</v>
      </c>
    </row>
    <row r="936" spans="1:48">
      <c r="A936" t="s">
        <v>622</v>
      </c>
      <c r="B936" t="s">
        <v>977</v>
      </c>
      <c r="C936" t="s">
        <v>624</v>
      </c>
      <c r="D936" t="s">
        <v>1268</v>
      </c>
      <c r="E936" t="s">
        <v>1277</v>
      </c>
      <c r="F936" t="s">
        <v>1304</v>
      </c>
      <c r="G936" t="s">
        <v>1266</v>
      </c>
      <c r="H936" t="s">
        <v>1305</v>
      </c>
      <c r="I936" t="s">
        <v>1303</v>
      </c>
      <c r="J936" t="s">
        <v>1267</v>
      </c>
      <c r="K936" t="s">
        <v>1275</v>
      </c>
      <c r="L936" s="2" t="s">
        <v>1274</v>
      </c>
      <c r="M936" t="str">
        <f t="shared" ref="M936:AB936" si="3740">CONCATENATE("&lt;/li&gt;&lt;li&gt;&lt;a href=|http://",M1191,"/matthew/7.htm","| ","title=|",M1190,"| target=|_top|&gt;",M1192,"&lt;/a&gt;")</f>
        <v>&lt;/li&gt;&lt;li&gt;&lt;a href=|http://niv.scripturetext.com/matthew/7.htm| title=|New International Version| target=|_top|&gt;NIV&lt;/a&gt;</v>
      </c>
      <c r="N936" t="str">
        <f t="shared" si="3740"/>
        <v>&lt;/li&gt;&lt;li&gt;&lt;a href=|http://nlt.scripturetext.com/matthew/7.htm| title=|New Living Translation| target=|_top|&gt;NLT&lt;/a&gt;</v>
      </c>
      <c r="O936" t="str">
        <f t="shared" si="3740"/>
        <v>&lt;/li&gt;&lt;li&gt;&lt;a href=|http://nasb.scripturetext.com/matthew/7.htm| title=|New American Standard Bible| target=|_top|&gt;NAS&lt;/a&gt;</v>
      </c>
      <c r="P936" t="str">
        <f t="shared" si="3740"/>
        <v>&lt;/li&gt;&lt;li&gt;&lt;a href=|http://gwt.scripturetext.com/matthew/7.htm| title=|God's Word Translation| target=|_top|&gt;GWT&lt;/a&gt;</v>
      </c>
      <c r="Q936" t="str">
        <f t="shared" si="3740"/>
        <v>&lt;/li&gt;&lt;li&gt;&lt;a href=|http://kingjbible.com/matthew/7.htm| title=|King James Bible| target=|_top|&gt;KJV&lt;/a&gt;</v>
      </c>
      <c r="R936" t="str">
        <f t="shared" si="3740"/>
        <v>&lt;/li&gt;&lt;li&gt;&lt;a href=|http://asvbible.com/matthew/7.htm| title=|American Standard Version| target=|_top|&gt;ASV&lt;/a&gt;</v>
      </c>
      <c r="S936" t="str">
        <f t="shared" si="3740"/>
        <v>&lt;/li&gt;&lt;li&gt;&lt;a href=|http://drb.scripturetext.com/matthew/7.htm| title=|Douay-Rheims Bible| target=|_top|&gt;DRB&lt;/a&gt;</v>
      </c>
      <c r="T936" t="str">
        <f t="shared" si="3740"/>
        <v>&lt;/li&gt;&lt;li&gt;&lt;a href=|http://erv.scripturetext.com/matthew/7.htm| title=|English Revised Version| target=|_top|&gt;ERV&lt;/a&gt;</v>
      </c>
      <c r="U936" t="str">
        <f>CONCATENATE("&lt;/li&gt;&lt;li&gt;&lt;a href=|http://",U1191,"/matthew/7.htm","| ","title=|",U1190,"| target=|_top|&gt;",U1192,"&lt;/a&gt;")</f>
        <v>&lt;/li&gt;&lt;li&gt;&lt;a href=|http://study.interlinearbible.org/matthew/7.htm| title=|Greek Study Bible| target=|_top|&gt;Grk Study&lt;/a&gt;</v>
      </c>
      <c r="W936" t="str">
        <f t="shared" si="3740"/>
        <v>&lt;/li&gt;&lt;li&gt;&lt;a href=|http://apostolic.interlinearbible.org/matthew/7.htm| title=|Apostolic Bible Polyglot Interlinear| target=|_top|&gt;Polyglot&lt;/a&gt;</v>
      </c>
      <c r="X936" t="str">
        <f t="shared" si="3740"/>
        <v>&lt;/li&gt;&lt;li&gt;&lt;a href=|http://interlinearbible.org/matthew/7.htm| title=|Interlinear Bible| target=|_top|&gt;Interlin&lt;/a&gt;</v>
      </c>
      <c r="Y936" t="str">
        <f t="shared" ref="Y936" si="3741">CONCATENATE("&lt;/li&gt;&lt;li&gt;&lt;a href=|http://",Y1191,"/matthew/7.htm","| ","title=|",Y1190,"| target=|_top|&gt;",Y1192,"&lt;/a&gt;")</f>
        <v>&lt;/li&gt;&lt;li&gt;&lt;a href=|http://bibleoutline.org/matthew/7.htm| title=|Outline with People and Places List| target=|_top|&gt;Outline&lt;/a&gt;</v>
      </c>
      <c r="Z936" t="str">
        <f t="shared" si="3740"/>
        <v>&lt;/li&gt;&lt;li&gt;&lt;a href=|http://kjvs.scripturetext.com/matthew/7.htm| title=|King James Bible with Strong's Numbers| target=|_top|&gt;Strong's&lt;/a&gt;</v>
      </c>
      <c r="AA936" t="str">
        <f t="shared" si="3740"/>
        <v>&lt;/li&gt;&lt;li&gt;&lt;a href=|http://childrensbibleonline.com/matthew/7.htm| title=|The Children's Bible| target=|_top|&gt;Children's&lt;/a&gt;</v>
      </c>
      <c r="AB936" s="2" t="str">
        <f t="shared" si="3740"/>
        <v>&lt;/li&gt;&lt;li&gt;&lt;a href=|http://tsk.scripturetext.com/matthew/7.htm| title=|Treasury of Scripture Knowledge| target=|_top|&gt;TSK&lt;/a&gt;</v>
      </c>
      <c r="AC936" t="str">
        <f>CONCATENATE("&lt;a href=|http://",AC1191,"/matthew/7.htm","| ","title=|",AC1190,"| target=|_top|&gt;",AC1192,"&lt;/a&gt;")</f>
        <v>&lt;a href=|http://parallelbible.com/matthew/7.htm| title=|Parallel Chapters| target=|_top|&gt;PAR&lt;/a&gt;</v>
      </c>
      <c r="AD936" s="2" t="str">
        <f t="shared" ref="AD936:AI936" si="3742">CONCATENATE("&lt;/li&gt;&lt;li&gt;&lt;a href=|http://",AD1191,"/matthew/7.htm","| ","title=|",AD1190,"| target=|_top|&gt;",AD1192,"&lt;/a&gt;")</f>
        <v>&lt;/li&gt;&lt;li&gt;&lt;a href=|http://gsb.biblecommenter.com/matthew/7.htm| title=|Geneva Study Bible| target=|_top|&gt;GSB&lt;/a&gt;</v>
      </c>
      <c r="AE936" s="2" t="str">
        <f t="shared" si="3742"/>
        <v>&lt;/li&gt;&lt;li&gt;&lt;a href=|http://jfb.biblecommenter.com/matthew/7.htm| title=|Jamieson-Fausset-Brown Bible Commentary| target=|_top|&gt;JFB&lt;/a&gt;</v>
      </c>
      <c r="AF936" s="2" t="str">
        <f t="shared" si="3742"/>
        <v>&lt;/li&gt;&lt;li&gt;&lt;a href=|http://kjt.biblecommenter.com/matthew/7.htm| title=|King James Translators' Notes| target=|_top|&gt;KJT&lt;/a&gt;</v>
      </c>
      <c r="AG936" s="2" t="str">
        <f t="shared" si="3742"/>
        <v>&lt;/li&gt;&lt;li&gt;&lt;a href=|http://mhc.biblecommenter.com/matthew/7.htm| title=|Matthew Henry's Concise Commentary| target=|_top|&gt;MHC&lt;/a&gt;</v>
      </c>
      <c r="AH936" s="2" t="str">
        <f t="shared" si="3742"/>
        <v>&lt;/li&gt;&lt;li&gt;&lt;a href=|http://sco.biblecommenter.com/matthew/7.htm| title=|Scofield Reference Notes| target=|_top|&gt;SCO&lt;/a&gt;</v>
      </c>
      <c r="AI936" s="2" t="str">
        <f t="shared" si="3742"/>
        <v>&lt;/li&gt;&lt;li&gt;&lt;a href=|http://wes.biblecommenter.com/matthew/7.htm| title=|Wesley's Notes on the Bible| target=|_top|&gt;WES&lt;/a&gt;</v>
      </c>
      <c r="AJ936" t="str">
        <f>CONCATENATE("&lt;/li&gt;&lt;li&gt;&lt;a href=|http://",AJ1191,"/matthew/7.htm","| ","title=|",AJ1190,"| target=|_top|&gt;",AJ1192,"&lt;/a&gt;")</f>
        <v>&lt;/li&gt;&lt;li&gt;&lt;a href=|http://worldebible.com/matthew/7.htm| title=|World English Bible| target=|_top|&gt;WEB&lt;/a&gt;</v>
      </c>
      <c r="AK936" t="str">
        <f>CONCATENATE("&lt;/li&gt;&lt;li&gt;&lt;a href=|http://",AK1191,"/matthew/7.htm","| ","title=|",AK1190,"| target=|_top|&gt;",AK1192,"&lt;/a&gt;")</f>
        <v>&lt;/li&gt;&lt;li&gt;&lt;a href=|http://yltbible.com/matthew/7.htm| title=|Young's Literal Translation| target=|_top|&gt;YLT&lt;/a&gt;</v>
      </c>
      <c r="AL936" t="str">
        <f>CONCATENATE("&lt;a href=|http://",AL1191,"/matthew/7.htm","| ","title=|",AL1190,"| target=|_top|&gt;",AL1192,"&lt;/a&gt;")</f>
        <v>&lt;a href=|http://kjv.us/matthew/7.htm| title=|American King James Version| target=|_top|&gt;AKJ&lt;/a&gt;</v>
      </c>
      <c r="AM936" t="str">
        <f t="shared" ref="AM936:AS936" si="3743">CONCATENATE("&lt;/li&gt;&lt;li&gt;&lt;a href=|http://",AM1191,"/matthew/7.htm","| ","title=|",AM1190,"| target=|_top|&gt;",AM1192,"&lt;/a&gt;")</f>
        <v>&lt;/li&gt;&lt;li&gt;&lt;a href=|http://basicenglishbible.com/matthew/7.htm| title=|Bible in Basic English| target=|_top|&gt;BBE&lt;/a&gt;</v>
      </c>
      <c r="AN936" t="str">
        <f t="shared" si="3743"/>
        <v>&lt;/li&gt;&lt;li&gt;&lt;a href=|http://darbybible.com/matthew/7.htm| title=|Darby Bible Translation| target=|_top|&gt;DBY&lt;/a&gt;</v>
      </c>
      <c r="AO936" t="str">
        <f t="shared" si="3743"/>
        <v>&lt;/li&gt;&lt;li&gt;&lt;a href=|http://isv.scripturetext.com/matthew/7.htm| title=|International Standard Version| target=|_top|&gt;ISV&lt;/a&gt;</v>
      </c>
      <c r="AP936" t="str">
        <f t="shared" si="3743"/>
        <v>&lt;/li&gt;&lt;li&gt;&lt;a href=|http://tnt.scripturetext.com/matthew/7.htm| title=|Tyndale New Testament| target=|_top|&gt;TNT&lt;/a&gt;</v>
      </c>
      <c r="AQ936" s="2" t="str">
        <f t="shared" si="3743"/>
        <v>&lt;/li&gt;&lt;li&gt;&lt;a href=|http://pnt.biblecommenter.com/matthew/7.htm| title=|People's New Testament| target=|_top|&gt;PNT&lt;/a&gt;</v>
      </c>
      <c r="AR936" t="str">
        <f t="shared" si="3743"/>
        <v>&lt;/li&gt;&lt;li&gt;&lt;a href=|http://websterbible.com/matthew/7.htm| title=|Webster's Bible Translation| target=|_top|&gt;WBS&lt;/a&gt;</v>
      </c>
      <c r="AS936" t="str">
        <f t="shared" si="3743"/>
        <v>&lt;/li&gt;&lt;li&gt;&lt;a href=|http://weymouthbible.com/matthew/7.htm| title=|Weymouth New Testament| target=|_top|&gt;WEY&lt;/a&gt;</v>
      </c>
      <c r="AT936" t="str">
        <f>CONCATENATE("&lt;/li&gt;&lt;li&gt;&lt;a href=|http://",AT1191,"/matthew/7-1.htm","| ","title=|",AT1190,"| target=|_top|&gt;",AT1192,"&lt;/a&gt;")</f>
        <v>&lt;/li&gt;&lt;li&gt;&lt;a href=|http://biblebrowser.com/matthew/7-1.htm| title=|Split View| target=|_top|&gt;Split&lt;/a&gt;</v>
      </c>
      <c r="AU936" s="2" t="s">
        <v>1276</v>
      </c>
      <c r="AV936" t="s">
        <v>64</v>
      </c>
    </row>
    <row r="937" spans="1:48">
      <c r="A937" t="s">
        <v>622</v>
      </c>
      <c r="B937" t="s">
        <v>978</v>
      </c>
      <c r="C937" t="s">
        <v>624</v>
      </c>
      <c r="D937" t="s">
        <v>1268</v>
      </c>
      <c r="E937" t="s">
        <v>1277</v>
      </c>
      <c r="F937" t="s">
        <v>1304</v>
      </c>
      <c r="G937" t="s">
        <v>1266</v>
      </c>
      <c r="H937" t="s">
        <v>1305</v>
      </c>
      <c r="I937" t="s">
        <v>1303</v>
      </c>
      <c r="J937" t="s">
        <v>1267</v>
      </c>
      <c r="K937" t="s">
        <v>1275</v>
      </c>
      <c r="L937" s="2" t="s">
        <v>1274</v>
      </c>
      <c r="M937" t="str">
        <f t="shared" ref="M937:AB937" si="3744">CONCATENATE("&lt;/li&gt;&lt;li&gt;&lt;a href=|http://",M1191,"/matthew/8.htm","| ","title=|",M1190,"| target=|_top|&gt;",M1192,"&lt;/a&gt;")</f>
        <v>&lt;/li&gt;&lt;li&gt;&lt;a href=|http://niv.scripturetext.com/matthew/8.htm| title=|New International Version| target=|_top|&gt;NIV&lt;/a&gt;</v>
      </c>
      <c r="N937" t="str">
        <f t="shared" si="3744"/>
        <v>&lt;/li&gt;&lt;li&gt;&lt;a href=|http://nlt.scripturetext.com/matthew/8.htm| title=|New Living Translation| target=|_top|&gt;NLT&lt;/a&gt;</v>
      </c>
      <c r="O937" t="str">
        <f t="shared" si="3744"/>
        <v>&lt;/li&gt;&lt;li&gt;&lt;a href=|http://nasb.scripturetext.com/matthew/8.htm| title=|New American Standard Bible| target=|_top|&gt;NAS&lt;/a&gt;</v>
      </c>
      <c r="P937" t="str">
        <f t="shared" si="3744"/>
        <v>&lt;/li&gt;&lt;li&gt;&lt;a href=|http://gwt.scripturetext.com/matthew/8.htm| title=|God's Word Translation| target=|_top|&gt;GWT&lt;/a&gt;</v>
      </c>
      <c r="Q937" t="str">
        <f t="shared" si="3744"/>
        <v>&lt;/li&gt;&lt;li&gt;&lt;a href=|http://kingjbible.com/matthew/8.htm| title=|King James Bible| target=|_top|&gt;KJV&lt;/a&gt;</v>
      </c>
      <c r="R937" t="str">
        <f t="shared" si="3744"/>
        <v>&lt;/li&gt;&lt;li&gt;&lt;a href=|http://asvbible.com/matthew/8.htm| title=|American Standard Version| target=|_top|&gt;ASV&lt;/a&gt;</v>
      </c>
      <c r="S937" t="str">
        <f t="shared" si="3744"/>
        <v>&lt;/li&gt;&lt;li&gt;&lt;a href=|http://drb.scripturetext.com/matthew/8.htm| title=|Douay-Rheims Bible| target=|_top|&gt;DRB&lt;/a&gt;</v>
      </c>
      <c r="T937" t="str">
        <f t="shared" si="3744"/>
        <v>&lt;/li&gt;&lt;li&gt;&lt;a href=|http://erv.scripturetext.com/matthew/8.htm| title=|English Revised Version| target=|_top|&gt;ERV&lt;/a&gt;</v>
      </c>
      <c r="U937" t="str">
        <f>CONCATENATE("&lt;/li&gt;&lt;li&gt;&lt;a href=|http://",U1191,"/matthew/8.htm","| ","title=|",U1190,"| target=|_top|&gt;",U1192,"&lt;/a&gt;")</f>
        <v>&lt;/li&gt;&lt;li&gt;&lt;a href=|http://study.interlinearbible.org/matthew/8.htm| title=|Greek Study Bible| target=|_top|&gt;Grk Study&lt;/a&gt;</v>
      </c>
      <c r="W937" t="str">
        <f t="shared" si="3744"/>
        <v>&lt;/li&gt;&lt;li&gt;&lt;a href=|http://apostolic.interlinearbible.org/matthew/8.htm| title=|Apostolic Bible Polyglot Interlinear| target=|_top|&gt;Polyglot&lt;/a&gt;</v>
      </c>
      <c r="X937" t="str">
        <f t="shared" si="3744"/>
        <v>&lt;/li&gt;&lt;li&gt;&lt;a href=|http://interlinearbible.org/matthew/8.htm| title=|Interlinear Bible| target=|_top|&gt;Interlin&lt;/a&gt;</v>
      </c>
      <c r="Y937" t="str">
        <f t="shared" ref="Y937" si="3745">CONCATENATE("&lt;/li&gt;&lt;li&gt;&lt;a href=|http://",Y1191,"/matthew/8.htm","| ","title=|",Y1190,"| target=|_top|&gt;",Y1192,"&lt;/a&gt;")</f>
        <v>&lt;/li&gt;&lt;li&gt;&lt;a href=|http://bibleoutline.org/matthew/8.htm| title=|Outline with People and Places List| target=|_top|&gt;Outline&lt;/a&gt;</v>
      </c>
      <c r="Z937" t="str">
        <f t="shared" si="3744"/>
        <v>&lt;/li&gt;&lt;li&gt;&lt;a href=|http://kjvs.scripturetext.com/matthew/8.htm| title=|King James Bible with Strong's Numbers| target=|_top|&gt;Strong's&lt;/a&gt;</v>
      </c>
      <c r="AA937" t="str">
        <f t="shared" si="3744"/>
        <v>&lt;/li&gt;&lt;li&gt;&lt;a href=|http://childrensbibleonline.com/matthew/8.htm| title=|The Children's Bible| target=|_top|&gt;Children's&lt;/a&gt;</v>
      </c>
      <c r="AB937" s="2" t="str">
        <f t="shared" si="3744"/>
        <v>&lt;/li&gt;&lt;li&gt;&lt;a href=|http://tsk.scripturetext.com/matthew/8.htm| title=|Treasury of Scripture Knowledge| target=|_top|&gt;TSK&lt;/a&gt;</v>
      </c>
      <c r="AC937" t="str">
        <f>CONCATENATE("&lt;a href=|http://",AC1191,"/matthew/8.htm","| ","title=|",AC1190,"| target=|_top|&gt;",AC1192,"&lt;/a&gt;")</f>
        <v>&lt;a href=|http://parallelbible.com/matthew/8.htm| title=|Parallel Chapters| target=|_top|&gt;PAR&lt;/a&gt;</v>
      </c>
      <c r="AD937" s="2" t="str">
        <f t="shared" ref="AD937:AI937" si="3746">CONCATENATE("&lt;/li&gt;&lt;li&gt;&lt;a href=|http://",AD1191,"/matthew/8.htm","| ","title=|",AD1190,"| target=|_top|&gt;",AD1192,"&lt;/a&gt;")</f>
        <v>&lt;/li&gt;&lt;li&gt;&lt;a href=|http://gsb.biblecommenter.com/matthew/8.htm| title=|Geneva Study Bible| target=|_top|&gt;GSB&lt;/a&gt;</v>
      </c>
      <c r="AE937" s="2" t="str">
        <f t="shared" si="3746"/>
        <v>&lt;/li&gt;&lt;li&gt;&lt;a href=|http://jfb.biblecommenter.com/matthew/8.htm| title=|Jamieson-Fausset-Brown Bible Commentary| target=|_top|&gt;JFB&lt;/a&gt;</v>
      </c>
      <c r="AF937" s="2" t="str">
        <f t="shared" si="3746"/>
        <v>&lt;/li&gt;&lt;li&gt;&lt;a href=|http://kjt.biblecommenter.com/matthew/8.htm| title=|King James Translators' Notes| target=|_top|&gt;KJT&lt;/a&gt;</v>
      </c>
      <c r="AG937" s="2" t="str">
        <f t="shared" si="3746"/>
        <v>&lt;/li&gt;&lt;li&gt;&lt;a href=|http://mhc.biblecommenter.com/matthew/8.htm| title=|Matthew Henry's Concise Commentary| target=|_top|&gt;MHC&lt;/a&gt;</v>
      </c>
      <c r="AH937" s="2" t="str">
        <f t="shared" si="3746"/>
        <v>&lt;/li&gt;&lt;li&gt;&lt;a href=|http://sco.biblecommenter.com/matthew/8.htm| title=|Scofield Reference Notes| target=|_top|&gt;SCO&lt;/a&gt;</v>
      </c>
      <c r="AI937" s="2" t="str">
        <f t="shared" si="3746"/>
        <v>&lt;/li&gt;&lt;li&gt;&lt;a href=|http://wes.biblecommenter.com/matthew/8.htm| title=|Wesley's Notes on the Bible| target=|_top|&gt;WES&lt;/a&gt;</v>
      </c>
      <c r="AJ937" t="str">
        <f>CONCATENATE("&lt;/li&gt;&lt;li&gt;&lt;a href=|http://",AJ1191,"/matthew/8.htm","| ","title=|",AJ1190,"| target=|_top|&gt;",AJ1192,"&lt;/a&gt;")</f>
        <v>&lt;/li&gt;&lt;li&gt;&lt;a href=|http://worldebible.com/matthew/8.htm| title=|World English Bible| target=|_top|&gt;WEB&lt;/a&gt;</v>
      </c>
      <c r="AK937" t="str">
        <f>CONCATENATE("&lt;/li&gt;&lt;li&gt;&lt;a href=|http://",AK1191,"/matthew/8.htm","| ","title=|",AK1190,"| target=|_top|&gt;",AK1192,"&lt;/a&gt;")</f>
        <v>&lt;/li&gt;&lt;li&gt;&lt;a href=|http://yltbible.com/matthew/8.htm| title=|Young's Literal Translation| target=|_top|&gt;YLT&lt;/a&gt;</v>
      </c>
      <c r="AL937" t="str">
        <f>CONCATENATE("&lt;a href=|http://",AL1191,"/matthew/8.htm","| ","title=|",AL1190,"| target=|_top|&gt;",AL1192,"&lt;/a&gt;")</f>
        <v>&lt;a href=|http://kjv.us/matthew/8.htm| title=|American King James Version| target=|_top|&gt;AKJ&lt;/a&gt;</v>
      </c>
      <c r="AM937" t="str">
        <f t="shared" ref="AM937:AS937" si="3747">CONCATENATE("&lt;/li&gt;&lt;li&gt;&lt;a href=|http://",AM1191,"/matthew/8.htm","| ","title=|",AM1190,"| target=|_top|&gt;",AM1192,"&lt;/a&gt;")</f>
        <v>&lt;/li&gt;&lt;li&gt;&lt;a href=|http://basicenglishbible.com/matthew/8.htm| title=|Bible in Basic English| target=|_top|&gt;BBE&lt;/a&gt;</v>
      </c>
      <c r="AN937" t="str">
        <f t="shared" si="3747"/>
        <v>&lt;/li&gt;&lt;li&gt;&lt;a href=|http://darbybible.com/matthew/8.htm| title=|Darby Bible Translation| target=|_top|&gt;DBY&lt;/a&gt;</v>
      </c>
      <c r="AO937" t="str">
        <f t="shared" si="3747"/>
        <v>&lt;/li&gt;&lt;li&gt;&lt;a href=|http://isv.scripturetext.com/matthew/8.htm| title=|International Standard Version| target=|_top|&gt;ISV&lt;/a&gt;</v>
      </c>
      <c r="AP937" t="str">
        <f t="shared" si="3747"/>
        <v>&lt;/li&gt;&lt;li&gt;&lt;a href=|http://tnt.scripturetext.com/matthew/8.htm| title=|Tyndale New Testament| target=|_top|&gt;TNT&lt;/a&gt;</v>
      </c>
      <c r="AQ937" s="2" t="str">
        <f t="shared" si="3747"/>
        <v>&lt;/li&gt;&lt;li&gt;&lt;a href=|http://pnt.biblecommenter.com/matthew/8.htm| title=|People's New Testament| target=|_top|&gt;PNT&lt;/a&gt;</v>
      </c>
      <c r="AR937" t="str">
        <f t="shared" si="3747"/>
        <v>&lt;/li&gt;&lt;li&gt;&lt;a href=|http://websterbible.com/matthew/8.htm| title=|Webster's Bible Translation| target=|_top|&gt;WBS&lt;/a&gt;</v>
      </c>
      <c r="AS937" t="str">
        <f t="shared" si="3747"/>
        <v>&lt;/li&gt;&lt;li&gt;&lt;a href=|http://weymouthbible.com/matthew/8.htm| title=|Weymouth New Testament| target=|_top|&gt;WEY&lt;/a&gt;</v>
      </c>
      <c r="AT937" t="str">
        <f>CONCATENATE("&lt;/li&gt;&lt;li&gt;&lt;a href=|http://",AT1191,"/matthew/8-1.htm","| ","title=|",AT1190,"| target=|_top|&gt;",AT1192,"&lt;/a&gt;")</f>
        <v>&lt;/li&gt;&lt;li&gt;&lt;a href=|http://biblebrowser.com/matthew/8-1.htm| title=|Split View| target=|_top|&gt;Split&lt;/a&gt;</v>
      </c>
      <c r="AU937" s="2" t="s">
        <v>1276</v>
      </c>
      <c r="AV937" t="s">
        <v>64</v>
      </c>
    </row>
    <row r="938" spans="1:48">
      <c r="A938" t="s">
        <v>622</v>
      </c>
      <c r="B938" t="s">
        <v>979</v>
      </c>
      <c r="C938" t="s">
        <v>624</v>
      </c>
      <c r="D938" t="s">
        <v>1268</v>
      </c>
      <c r="E938" t="s">
        <v>1277</v>
      </c>
      <c r="F938" t="s">
        <v>1304</v>
      </c>
      <c r="G938" t="s">
        <v>1266</v>
      </c>
      <c r="H938" t="s">
        <v>1305</v>
      </c>
      <c r="I938" t="s">
        <v>1303</v>
      </c>
      <c r="J938" t="s">
        <v>1267</v>
      </c>
      <c r="K938" t="s">
        <v>1275</v>
      </c>
      <c r="L938" s="2" t="s">
        <v>1274</v>
      </c>
      <c r="M938" t="str">
        <f t="shared" ref="M938:AB938" si="3748">CONCATENATE("&lt;/li&gt;&lt;li&gt;&lt;a href=|http://",M1191,"/matthew/9.htm","| ","title=|",M1190,"| target=|_top|&gt;",M1192,"&lt;/a&gt;")</f>
        <v>&lt;/li&gt;&lt;li&gt;&lt;a href=|http://niv.scripturetext.com/matthew/9.htm| title=|New International Version| target=|_top|&gt;NIV&lt;/a&gt;</v>
      </c>
      <c r="N938" t="str">
        <f t="shared" si="3748"/>
        <v>&lt;/li&gt;&lt;li&gt;&lt;a href=|http://nlt.scripturetext.com/matthew/9.htm| title=|New Living Translation| target=|_top|&gt;NLT&lt;/a&gt;</v>
      </c>
      <c r="O938" t="str">
        <f t="shared" si="3748"/>
        <v>&lt;/li&gt;&lt;li&gt;&lt;a href=|http://nasb.scripturetext.com/matthew/9.htm| title=|New American Standard Bible| target=|_top|&gt;NAS&lt;/a&gt;</v>
      </c>
      <c r="P938" t="str">
        <f t="shared" si="3748"/>
        <v>&lt;/li&gt;&lt;li&gt;&lt;a href=|http://gwt.scripturetext.com/matthew/9.htm| title=|God's Word Translation| target=|_top|&gt;GWT&lt;/a&gt;</v>
      </c>
      <c r="Q938" t="str">
        <f t="shared" si="3748"/>
        <v>&lt;/li&gt;&lt;li&gt;&lt;a href=|http://kingjbible.com/matthew/9.htm| title=|King James Bible| target=|_top|&gt;KJV&lt;/a&gt;</v>
      </c>
      <c r="R938" t="str">
        <f t="shared" si="3748"/>
        <v>&lt;/li&gt;&lt;li&gt;&lt;a href=|http://asvbible.com/matthew/9.htm| title=|American Standard Version| target=|_top|&gt;ASV&lt;/a&gt;</v>
      </c>
      <c r="S938" t="str">
        <f t="shared" si="3748"/>
        <v>&lt;/li&gt;&lt;li&gt;&lt;a href=|http://drb.scripturetext.com/matthew/9.htm| title=|Douay-Rheims Bible| target=|_top|&gt;DRB&lt;/a&gt;</v>
      </c>
      <c r="T938" t="str">
        <f t="shared" si="3748"/>
        <v>&lt;/li&gt;&lt;li&gt;&lt;a href=|http://erv.scripturetext.com/matthew/9.htm| title=|English Revised Version| target=|_top|&gt;ERV&lt;/a&gt;</v>
      </c>
      <c r="U938" t="str">
        <f>CONCATENATE("&lt;/li&gt;&lt;li&gt;&lt;a href=|http://",U1191,"/matthew/9.htm","| ","title=|",U1190,"| target=|_top|&gt;",U1192,"&lt;/a&gt;")</f>
        <v>&lt;/li&gt;&lt;li&gt;&lt;a href=|http://study.interlinearbible.org/matthew/9.htm| title=|Greek Study Bible| target=|_top|&gt;Grk Study&lt;/a&gt;</v>
      </c>
      <c r="W938" t="str">
        <f t="shared" si="3748"/>
        <v>&lt;/li&gt;&lt;li&gt;&lt;a href=|http://apostolic.interlinearbible.org/matthew/9.htm| title=|Apostolic Bible Polyglot Interlinear| target=|_top|&gt;Polyglot&lt;/a&gt;</v>
      </c>
      <c r="X938" t="str">
        <f t="shared" si="3748"/>
        <v>&lt;/li&gt;&lt;li&gt;&lt;a href=|http://interlinearbible.org/matthew/9.htm| title=|Interlinear Bible| target=|_top|&gt;Interlin&lt;/a&gt;</v>
      </c>
      <c r="Y938" t="str">
        <f t="shared" ref="Y938" si="3749">CONCATENATE("&lt;/li&gt;&lt;li&gt;&lt;a href=|http://",Y1191,"/matthew/9.htm","| ","title=|",Y1190,"| target=|_top|&gt;",Y1192,"&lt;/a&gt;")</f>
        <v>&lt;/li&gt;&lt;li&gt;&lt;a href=|http://bibleoutline.org/matthew/9.htm| title=|Outline with People and Places List| target=|_top|&gt;Outline&lt;/a&gt;</v>
      </c>
      <c r="Z938" t="str">
        <f t="shared" si="3748"/>
        <v>&lt;/li&gt;&lt;li&gt;&lt;a href=|http://kjvs.scripturetext.com/matthew/9.htm| title=|King James Bible with Strong's Numbers| target=|_top|&gt;Strong's&lt;/a&gt;</v>
      </c>
      <c r="AA938" t="str">
        <f t="shared" si="3748"/>
        <v>&lt;/li&gt;&lt;li&gt;&lt;a href=|http://childrensbibleonline.com/matthew/9.htm| title=|The Children's Bible| target=|_top|&gt;Children's&lt;/a&gt;</v>
      </c>
      <c r="AB938" s="2" t="str">
        <f t="shared" si="3748"/>
        <v>&lt;/li&gt;&lt;li&gt;&lt;a href=|http://tsk.scripturetext.com/matthew/9.htm| title=|Treasury of Scripture Knowledge| target=|_top|&gt;TSK&lt;/a&gt;</v>
      </c>
      <c r="AC938" t="str">
        <f>CONCATENATE("&lt;a href=|http://",AC1191,"/matthew/9.htm","| ","title=|",AC1190,"| target=|_top|&gt;",AC1192,"&lt;/a&gt;")</f>
        <v>&lt;a href=|http://parallelbible.com/matthew/9.htm| title=|Parallel Chapters| target=|_top|&gt;PAR&lt;/a&gt;</v>
      </c>
      <c r="AD938" s="2" t="str">
        <f t="shared" ref="AD938:AI938" si="3750">CONCATENATE("&lt;/li&gt;&lt;li&gt;&lt;a href=|http://",AD1191,"/matthew/9.htm","| ","title=|",AD1190,"| target=|_top|&gt;",AD1192,"&lt;/a&gt;")</f>
        <v>&lt;/li&gt;&lt;li&gt;&lt;a href=|http://gsb.biblecommenter.com/matthew/9.htm| title=|Geneva Study Bible| target=|_top|&gt;GSB&lt;/a&gt;</v>
      </c>
      <c r="AE938" s="2" t="str">
        <f t="shared" si="3750"/>
        <v>&lt;/li&gt;&lt;li&gt;&lt;a href=|http://jfb.biblecommenter.com/matthew/9.htm| title=|Jamieson-Fausset-Brown Bible Commentary| target=|_top|&gt;JFB&lt;/a&gt;</v>
      </c>
      <c r="AF938" s="2" t="str">
        <f t="shared" si="3750"/>
        <v>&lt;/li&gt;&lt;li&gt;&lt;a href=|http://kjt.biblecommenter.com/matthew/9.htm| title=|King James Translators' Notes| target=|_top|&gt;KJT&lt;/a&gt;</v>
      </c>
      <c r="AG938" s="2" t="str">
        <f t="shared" si="3750"/>
        <v>&lt;/li&gt;&lt;li&gt;&lt;a href=|http://mhc.biblecommenter.com/matthew/9.htm| title=|Matthew Henry's Concise Commentary| target=|_top|&gt;MHC&lt;/a&gt;</v>
      </c>
      <c r="AH938" s="2" t="str">
        <f t="shared" si="3750"/>
        <v>&lt;/li&gt;&lt;li&gt;&lt;a href=|http://sco.biblecommenter.com/matthew/9.htm| title=|Scofield Reference Notes| target=|_top|&gt;SCO&lt;/a&gt;</v>
      </c>
      <c r="AI938" s="2" t="str">
        <f t="shared" si="3750"/>
        <v>&lt;/li&gt;&lt;li&gt;&lt;a href=|http://wes.biblecommenter.com/matthew/9.htm| title=|Wesley's Notes on the Bible| target=|_top|&gt;WES&lt;/a&gt;</v>
      </c>
      <c r="AJ938" t="str">
        <f>CONCATENATE("&lt;/li&gt;&lt;li&gt;&lt;a href=|http://",AJ1191,"/matthew/9.htm","| ","title=|",AJ1190,"| target=|_top|&gt;",AJ1192,"&lt;/a&gt;")</f>
        <v>&lt;/li&gt;&lt;li&gt;&lt;a href=|http://worldebible.com/matthew/9.htm| title=|World English Bible| target=|_top|&gt;WEB&lt;/a&gt;</v>
      </c>
      <c r="AK938" t="str">
        <f>CONCATENATE("&lt;/li&gt;&lt;li&gt;&lt;a href=|http://",AK1191,"/matthew/9.htm","| ","title=|",AK1190,"| target=|_top|&gt;",AK1192,"&lt;/a&gt;")</f>
        <v>&lt;/li&gt;&lt;li&gt;&lt;a href=|http://yltbible.com/matthew/9.htm| title=|Young's Literal Translation| target=|_top|&gt;YLT&lt;/a&gt;</v>
      </c>
      <c r="AL938" t="str">
        <f>CONCATENATE("&lt;a href=|http://",AL1191,"/matthew/9.htm","| ","title=|",AL1190,"| target=|_top|&gt;",AL1192,"&lt;/a&gt;")</f>
        <v>&lt;a href=|http://kjv.us/matthew/9.htm| title=|American King James Version| target=|_top|&gt;AKJ&lt;/a&gt;</v>
      </c>
      <c r="AM938" t="str">
        <f t="shared" ref="AM938:AS938" si="3751">CONCATENATE("&lt;/li&gt;&lt;li&gt;&lt;a href=|http://",AM1191,"/matthew/9.htm","| ","title=|",AM1190,"| target=|_top|&gt;",AM1192,"&lt;/a&gt;")</f>
        <v>&lt;/li&gt;&lt;li&gt;&lt;a href=|http://basicenglishbible.com/matthew/9.htm| title=|Bible in Basic English| target=|_top|&gt;BBE&lt;/a&gt;</v>
      </c>
      <c r="AN938" t="str">
        <f t="shared" si="3751"/>
        <v>&lt;/li&gt;&lt;li&gt;&lt;a href=|http://darbybible.com/matthew/9.htm| title=|Darby Bible Translation| target=|_top|&gt;DBY&lt;/a&gt;</v>
      </c>
      <c r="AO938" t="str">
        <f t="shared" si="3751"/>
        <v>&lt;/li&gt;&lt;li&gt;&lt;a href=|http://isv.scripturetext.com/matthew/9.htm| title=|International Standard Version| target=|_top|&gt;ISV&lt;/a&gt;</v>
      </c>
      <c r="AP938" t="str">
        <f t="shared" si="3751"/>
        <v>&lt;/li&gt;&lt;li&gt;&lt;a href=|http://tnt.scripturetext.com/matthew/9.htm| title=|Tyndale New Testament| target=|_top|&gt;TNT&lt;/a&gt;</v>
      </c>
      <c r="AQ938" s="2" t="str">
        <f t="shared" si="3751"/>
        <v>&lt;/li&gt;&lt;li&gt;&lt;a href=|http://pnt.biblecommenter.com/matthew/9.htm| title=|People's New Testament| target=|_top|&gt;PNT&lt;/a&gt;</v>
      </c>
      <c r="AR938" t="str">
        <f t="shared" si="3751"/>
        <v>&lt;/li&gt;&lt;li&gt;&lt;a href=|http://websterbible.com/matthew/9.htm| title=|Webster's Bible Translation| target=|_top|&gt;WBS&lt;/a&gt;</v>
      </c>
      <c r="AS938" t="str">
        <f t="shared" si="3751"/>
        <v>&lt;/li&gt;&lt;li&gt;&lt;a href=|http://weymouthbible.com/matthew/9.htm| title=|Weymouth New Testament| target=|_top|&gt;WEY&lt;/a&gt;</v>
      </c>
      <c r="AT938" t="str">
        <f>CONCATENATE("&lt;/li&gt;&lt;li&gt;&lt;a href=|http://",AT1191,"/matthew/9-1.htm","| ","title=|",AT1190,"| target=|_top|&gt;",AT1192,"&lt;/a&gt;")</f>
        <v>&lt;/li&gt;&lt;li&gt;&lt;a href=|http://biblebrowser.com/matthew/9-1.htm| title=|Split View| target=|_top|&gt;Split&lt;/a&gt;</v>
      </c>
      <c r="AU938" s="2" t="s">
        <v>1276</v>
      </c>
      <c r="AV938" t="s">
        <v>64</v>
      </c>
    </row>
    <row r="939" spans="1:48">
      <c r="A939" t="s">
        <v>622</v>
      </c>
      <c r="B939" t="s">
        <v>980</v>
      </c>
      <c r="C939" t="s">
        <v>624</v>
      </c>
      <c r="D939" t="s">
        <v>1268</v>
      </c>
      <c r="E939" t="s">
        <v>1277</v>
      </c>
      <c r="F939" t="s">
        <v>1304</v>
      </c>
      <c r="G939" t="s">
        <v>1266</v>
      </c>
      <c r="H939" t="s">
        <v>1305</v>
      </c>
      <c r="I939" t="s">
        <v>1303</v>
      </c>
      <c r="J939" t="s">
        <v>1267</v>
      </c>
      <c r="K939" t="s">
        <v>1275</v>
      </c>
      <c r="L939" s="2" t="s">
        <v>1274</v>
      </c>
      <c r="M939" t="str">
        <f t="shared" ref="M939:AB939" si="3752">CONCATENATE("&lt;/li&gt;&lt;li&gt;&lt;a href=|http://",M1191,"/matthew/10.htm","| ","title=|",M1190,"| target=|_top|&gt;",M1192,"&lt;/a&gt;")</f>
        <v>&lt;/li&gt;&lt;li&gt;&lt;a href=|http://niv.scripturetext.com/matthew/10.htm| title=|New International Version| target=|_top|&gt;NIV&lt;/a&gt;</v>
      </c>
      <c r="N939" t="str">
        <f t="shared" si="3752"/>
        <v>&lt;/li&gt;&lt;li&gt;&lt;a href=|http://nlt.scripturetext.com/matthew/10.htm| title=|New Living Translation| target=|_top|&gt;NLT&lt;/a&gt;</v>
      </c>
      <c r="O939" t="str">
        <f t="shared" si="3752"/>
        <v>&lt;/li&gt;&lt;li&gt;&lt;a href=|http://nasb.scripturetext.com/matthew/10.htm| title=|New American Standard Bible| target=|_top|&gt;NAS&lt;/a&gt;</v>
      </c>
      <c r="P939" t="str">
        <f t="shared" si="3752"/>
        <v>&lt;/li&gt;&lt;li&gt;&lt;a href=|http://gwt.scripturetext.com/matthew/10.htm| title=|God's Word Translation| target=|_top|&gt;GWT&lt;/a&gt;</v>
      </c>
      <c r="Q939" t="str">
        <f t="shared" si="3752"/>
        <v>&lt;/li&gt;&lt;li&gt;&lt;a href=|http://kingjbible.com/matthew/10.htm| title=|King James Bible| target=|_top|&gt;KJV&lt;/a&gt;</v>
      </c>
      <c r="R939" t="str">
        <f t="shared" si="3752"/>
        <v>&lt;/li&gt;&lt;li&gt;&lt;a href=|http://asvbible.com/matthew/10.htm| title=|American Standard Version| target=|_top|&gt;ASV&lt;/a&gt;</v>
      </c>
      <c r="S939" t="str">
        <f t="shared" si="3752"/>
        <v>&lt;/li&gt;&lt;li&gt;&lt;a href=|http://drb.scripturetext.com/matthew/10.htm| title=|Douay-Rheims Bible| target=|_top|&gt;DRB&lt;/a&gt;</v>
      </c>
      <c r="T939" t="str">
        <f t="shared" si="3752"/>
        <v>&lt;/li&gt;&lt;li&gt;&lt;a href=|http://erv.scripturetext.com/matthew/10.htm| title=|English Revised Version| target=|_top|&gt;ERV&lt;/a&gt;</v>
      </c>
      <c r="U939" t="str">
        <f>CONCATENATE("&lt;/li&gt;&lt;li&gt;&lt;a href=|http://",U1191,"/matthew/10.htm","| ","title=|",U1190,"| target=|_top|&gt;",U1192,"&lt;/a&gt;")</f>
        <v>&lt;/li&gt;&lt;li&gt;&lt;a href=|http://study.interlinearbible.org/matthew/10.htm| title=|Greek Study Bible| target=|_top|&gt;Grk Study&lt;/a&gt;</v>
      </c>
      <c r="W939" t="str">
        <f t="shared" si="3752"/>
        <v>&lt;/li&gt;&lt;li&gt;&lt;a href=|http://apostolic.interlinearbible.org/matthew/10.htm| title=|Apostolic Bible Polyglot Interlinear| target=|_top|&gt;Polyglot&lt;/a&gt;</v>
      </c>
      <c r="X939" t="str">
        <f t="shared" si="3752"/>
        <v>&lt;/li&gt;&lt;li&gt;&lt;a href=|http://interlinearbible.org/matthew/10.htm| title=|Interlinear Bible| target=|_top|&gt;Interlin&lt;/a&gt;</v>
      </c>
      <c r="Y939" t="str">
        <f t="shared" ref="Y939" si="3753">CONCATENATE("&lt;/li&gt;&lt;li&gt;&lt;a href=|http://",Y1191,"/matthew/10.htm","| ","title=|",Y1190,"| target=|_top|&gt;",Y1192,"&lt;/a&gt;")</f>
        <v>&lt;/li&gt;&lt;li&gt;&lt;a href=|http://bibleoutline.org/matthew/10.htm| title=|Outline with People and Places List| target=|_top|&gt;Outline&lt;/a&gt;</v>
      </c>
      <c r="Z939" t="str">
        <f t="shared" si="3752"/>
        <v>&lt;/li&gt;&lt;li&gt;&lt;a href=|http://kjvs.scripturetext.com/matthew/10.htm| title=|King James Bible with Strong's Numbers| target=|_top|&gt;Strong's&lt;/a&gt;</v>
      </c>
      <c r="AA939" t="str">
        <f t="shared" si="3752"/>
        <v>&lt;/li&gt;&lt;li&gt;&lt;a href=|http://childrensbibleonline.com/matthew/10.htm| title=|The Children's Bible| target=|_top|&gt;Children's&lt;/a&gt;</v>
      </c>
      <c r="AB939" s="2" t="str">
        <f t="shared" si="3752"/>
        <v>&lt;/li&gt;&lt;li&gt;&lt;a href=|http://tsk.scripturetext.com/matthew/10.htm| title=|Treasury of Scripture Knowledge| target=|_top|&gt;TSK&lt;/a&gt;</v>
      </c>
      <c r="AC939" t="str">
        <f>CONCATENATE("&lt;a href=|http://",AC1191,"/matthew/10.htm","| ","title=|",AC1190,"| target=|_top|&gt;",AC1192,"&lt;/a&gt;")</f>
        <v>&lt;a href=|http://parallelbible.com/matthew/10.htm| title=|Parallel Chapters| target=|_top|&gt;PAR&lt;/a&gt;</v>
      </c>
      <c r="AD939" s="2" t="str">
        <f t="shared" ref="AD939:AI939" si="3754">CONCATENATE("&lt;/li&gt;&lt;li&gt;&lt;a href=|http://",AD1191,"/matthew/10.htm","| ","title=|",AD1190,"| target=|_top|&gt;",AD1192,"&lt;/a&gt;")</f>
        <v>&lt;/li&gt;&lt;li&gt;&lt;a href=|http://gsb.biblecommenter.com/matthew/10.htm| title=|Geneva Study Bible| target=|_top|&gt;GSB&lt;/a&gt;</v>
      </c>
      <c r="AE939" s="2" t="str">
        <f t="shared" si="3754"/>
        <v>&lt;/li&gt;&lt;li&gt;&lt;a href=|http://jfb.biblecommenter.com/matthew/10.htm| title=|Jamieson-Fausset-Brown Bible Commentary| target=|_top|&gt;JFB&lt;/a&gt;</v>
      </c>
      <c r="AF939" s="2" t="str">
        <f t="shared" si="3754"/>
        <v>&lt;/li&gt;&lt;li&gt;&lt;a href=|http://kjt.biblecommenter.com/matthew/10.htm| title=|King James Translators' Notes| target=|_top|&gt;KJT&lt;/a&gt;</v>
      </c>
      <c r="AG939" s="2" t="str">
        <f t="shared" si="3754"/>
        <v>&lt;/li&gt;&lt;li&gt;&lt;a href=|http://mhc.biblecommenter.com/matthew/10.htm| title=|Matthew Henry's Concise Commentary| target=|_top|&gt;MHC&lt;/a&gt;</v>
      </c>
      <c r="AH939" s="2" t="str">
        <f t="shared" si="3754"/>
        <v>&lt;/li&gt;&lt;li&gt;&lt;a href=|http://sco.biblecommenter.com/matthew/10.htm| title=|Scofield Reference Notes| target=|_top|&gt;SCO&lt;/a&gt;</v>
      </c>
      <c r="AI939" s="2" t="str">
        <f t="shared" si="3754"/>
        <v>&lt;/li&gt;&lt;li&gt;&lt;a href=|http://wes.biblecommenter.com/matthew/10.htm| title=|Wesley's Notes on the Bible| target=|_top|&gt;WES&lt;/a&gt;</v>
      </c>
      <c r="AJ939" t="str">
        <f>CONCATENATE("&lt;/li&gt;&lt;li&gt;&lt;a href=|http://",AJ1191,"/matthew/10.htm","| ","title=|",AJ1190,"| target=|_top|&gt;",AJ1192,"&lt;/a&gt;")</f>
        <v>&lt;/li&gt;&lt;li&gt;&lt;a href=|http://worldebible.com/matthew/10.htm| title=|World English Bible| target=|_top|&gt;WEB&lt;/a&gt;</v>
      </c>
      <c r="AK939" t="str">
        <f>CONCATENATE("&lt;/li&gt;&lt;li&gt;&lt;a href=|http://",AK1191,"/matthew/10.htm","| ","title=|",AK1190,"| target=|_top|&gt;",AK1192,"&lt;/a&gt;")</f>
        <v>&lt;/li&gt;&lt;li&gt;&lt;a href=|http://yltbible.com/matthew/10.htm| title=|Young's Literal Translation| target=|_top|&gt;YLT&lt;/a&gt;</v>
      </c>
      <c r="AL939" t="str">
        <f>CONCATENATE("&lt;a href=|http://",AL1191,"/matthew/10.htm","| ","title=|",AL1190,"| target=|_top|&gt;",AL1192,"&lt;/a&gt;")</f>
        <v>&lt;a href=|http://kjv.us/matthew/10.htm| title=|American King James Version| target=|_top|&gt;AKJ&lt;/a&gt;</v>
      </c>
      <c r="AM939" t="str">
        <f t="shared" ref="AM939:AS939" si="3755">CONCATENATE("&lt;/li&gt;&lt;li&gt;&lt;a href=|http://",AM1191,"/matthew/10.htm","| ","title=|",AM1190,"| target=|_top|&gt;",AM1192,"&lt;/a&gt;")</f>
        <v>&lt;/li&gt;&lt;li&gt;&lt;a href=|http://basicenglishbible.com/matthew/10.htm| title=|Bible in Basic English| target=|_top|&gt;BBE&lt;/a&gt;</v>
      </c>
      <c r="AN939" t="str">
        <f t="shared" si="3755"/>
        <v>&lt;/li&gt;&lt;li&gt;&lt;a href=|http://darbybible.com/matthew/10.htm| title=|Darby Bible Translation| target=|_top|&gt;DBY&lt;/a&gt;</v>
      </c>
      <c r="AO939" t="str">
        <f t="shared" si="3755"/>
        <v>&lt;/li&gt;&lt;li&gt;&lt;a href=|http://isv.scripturetext.com/matthew/10.htm| title=|International Standard Version| target=|_top|&gt;ISV&lt;/a&gt;</v>
      </c>
      <c r="AP939" t="str">
        <f t="shared" si="3755"/>
        <v>&lt;/li&gt;&lt;li&gt;&lt;a href=|http://tnt.scripturetext.com/matthew/10.htm| title=|Tyndale New Testament| target=|_top|&gt;TNT&lt;/a&gt;</v>
      </c>
      <c r="AQ939" s="2" t="str">
        <f t="shared" si="3755"/>
        <v>&lt;/li&gt;&lt;li&gt;&lt;a href=|http://pnt.biblecommenter.com/matthew/10.htm| title=|People's New Testament| target=|_top|&gt;PNT&lt;/a&gt;</v>
      </c>
      <c r="AR939" t="str">
        <f t="shared" si="3755"/>
        <v>&lt;/li&gt;&lt;li&gt;&lt;a href=|http://websterbible.com/matthew/10.htm| title=|Webster's Bible Translation| target=|_top|&gt;WBS&lt;/a&gt;</v>
      </c>
      <c r="AS939" t="str">
        <f t="shared" si="3755"/>
        <v>&lt;/li&gt;&lt;li&gt;&lt;a href=|http://weymouthbible.com/matthew/10.htm| title=|Weymouth New Testament| target=|_top|&gt;WEY&lt;/a&gt;</v>
      </c>
      <c r="AT939" t="str">
        <f>CONCATENATE("&lt;/li&gt;&lt;li&gt;&lt;a href=|http://",AT1191,"/matthew/10-1.htm","| ","title=|",AT1190,"| target=|_top|&gt;",AT1192,"&lt;/a&gt;")</f>
        <v>&lt;/li&gt;&lt;li&gt;&lt;a href=|http://biblebrowser.com/matthew/10-1.htm| title=|Split View| target=|_top|&gt;Split&lt;/a&gt;</v>
      </c>
      <c r="AU939" s="2" t="s">
        <v>1276</v>
      </c>
      <c r="AV939" t="s">
        <v>64</v>
      </c>
    </row>
    <row r="940" spans="1:48">
      <c r="A940" t="s">
        <v>622</v>
      </c>
      <c r="B940" t="s">
        <v>981</v>
      </c>
      <c r="C940" t="s">
        <v>624</v>
      </c>
      <c r="D940" t="s">
        <v>1268</v>
      </c>
      <c r="E940" t="s">
        <v>1277</v>
      </c>
      <c r="F940" t="s">
        <v>1304</v>
      </c>
      <c r="G940" t="s">
        <v>1266</v>
      </c>
      <c r="H940" t="s">
        <v>1305</v>
      </c>
      <c r="I940" t="s">
        <v>1303</v>
      </c>
      <c r="J940" t="s">
        <v>1267</v>
      </c>
      <c r="K940" t="s">
        <v>1275</v>
      </c>
      <c r="L940" s="2" t="s">
        <v>1274</v>
      </c>
      <c r="M940" t="str">
        <f t="shared" ref="M940:AB940" si="3756">CONCATENATE("&lt;/li&gt;&lt;li&gt;&lt;a href=|http://",M1191,"/matthew/11.htm","| ","title=|",M1190,"| target=|_top|&gt;",M1192,"&lt;/a&gt;")</f>
        <v>&lt;/li&gt;&lt;li&gt;&lt;a href=|http://niv.scripturetext.com/matthew/11.htm| title=|New International Version| target=|_top|&gt;NIV&lt;/a&gt;</v>
      </c>
      <c r="N940" t="str">
        <f t="shared" si="3756"/>
        <v>&lt;/li&gt;&lt;li&gt;&lt;a href=|http://nlt.scripturetext.com/matthew/11.htm| title=|New Living Translation| target=|_top|&gt;NLT&lt;/a&gt;</v>
      </c>
      <c r="O940" t="str">
        <f t="shared" si="3756"/>
        <v>&lt;/li&gt;&lt;li&gt;&lt;a href=|http://nasb.scripturetext.com/matthew/11.htm| title=|New American Standard Bible| target=|_top|&gt;NAS&lt;/a&gt;</v>
      </c>
      <c r="P940" t="str">
        <f t="shared" si="3756"/>
        <v>&lt;/li&gt;&lt;li&gt;&lt;a href=|http://gwt.scripturetext.com/matthew/11.htm| title=|God's Word Translation| target=|_top|&gt;GWT&lt;/a&gt;</v>
      </c>
      <c r="Q940" t="str">
        <f t="shared" si="3756"/>
        <v>&lt;/li&gt;&lt;li&gt;&lt;a href=|http://kingjbible.com/matthew/11.htm| title=|King James Bible| target=|_top|&gt;KJV&lt;/a&gt;</v>
      </c>
      <c r="R940" t="str">
        <f t="shared" si="3756"/>
        <v>&lt;/li&gt;&lt;li&gt;&lt;a href=|http://asvbible.com/matthew/11.htm| title=|American Standard Version| target=|_top|&gt;ASV&lt;/a&gt;</v>
      </c>
      <c r="S940" t="str">
        <f t="shared" si="3756"/>
        <v>&lt;/li&gt;&lt;li&gt;&lt;a href=|http://drb.scripturetext.com/matthew/11.htm| title=|Douay-Rheims Bible| target=|_top|&gt;DRB&lt;/a&gt;</v>
      </c>
      <c r="T940" t="str">
        <f t="shared" si="3756"/>
        <v>&lt;/li&gt;&lt;li&gt;&lt;a href=|http://erv.scripturetext.com/matthew/11.htm| title=|English Revised Version| target=|_top|&gt;ERV&lt;/a&gt;</v>
      </c>
      <c r="U940" t="str">
        <f>CONCATENATE("&lt;/li&gt;&lt;li&gt;&lt;a href=|http://",U1191,"/matthew/11.htm","| ","title=|",U1190,"| target=|_top|&gt;",U1192,"&lt;/a&gt;")</f>
        <v>&lt;/li&gt;&lt;li&gt;&lt;a href=|http://study.interlinearbible.org/matthew/11.htm| title=|Greek Study Bible| target=|_top|&gt;Grk Study&lt;/a&gt;</v>
      </c>
      <c r="W940" t="str">
        <f t="shared" si="3756"/>
        <v>&lt;/li&gt;&lt;li&gt;&lt;a href=|http://apostolic.interlinearbible.org/matthew/11.htm| title=|Apostolic Bible Polyglot Interlinear| target=|_top|&gt;Polyglot&lt;/a&gt;</v>
      </c>
      <c r="X940" t="str">
        <f t="shared" si="3756"/>
        <v>&lt;/li&gt;&lt;li&gt;&lt;a href=|http://interlinearbible.org/matthew/11.htm| title=|Interlinear Bible| target=|_top|&gt;Interlin&lt;/a&gt;</v>
      </c>
      <c r="Y940" t="str">
        <f t="shared" ref="Y940" si="3757">CONCATENATE("&lt;/li&gt;&lt;li&gt;&lt;a href=|http://",Y1191,"/matthew/11.htm","| ","title=|",Y1190,"| target=|_top|&gt;",Y1192,"&lt;/a&gt;")</f>
        <v>&lt;/li&gt;&lt;li&gt;&lt;a href=|http://bibleoutline.org/matthew/11.htm| title=|Outline with People and Places List| target=|_top|&gt;Outline&lt;/a&gt;</v>
      </c>
      <c r="Z940" t="str">
        <f t="shared" si="3756"/>
        <v>&lt;/li&gt;&lt;li&gt;&lt;a href=|http://kjvs.scripturetext.com/matthew/11.htm| title=|King James Bible with Strong's Numbers| target=|_top|&gt;Strong's&lt;/a&gt;</v>
      </c>
      <c r="AA940" t="str">
        <f t="shared" si="3756"/>
        <v>&lt;/li&gt;&lt;li&gt;&lt;a href=|http://childrensbibleonline.com/matthew/11.htm| title=|The Children's Bible| target=|_top|&gt;Children's&lt;/a&gt;</v>
      </c>
      <c r="AB940" s="2" t="str">
        <f t="shared" si="3756"/>
        <v>&lt;/li&gt;&lt;li&gt;&lt;a href=|http://tsk.scripturetext.com/matthew/11.htm| title=|Treasury of Scripture Knowledge| target=|_top|&gt;TSK&lt;/a&gt;</v>
      </c>
      <c r="AC940" t="str">
        <f>CONCATENATE("&lt;a href=|http://",AC1191,"/matthew/11.htm","| ","title=|",AC1190,"| target=|_top|&gt;",AC1192,"&lt;/a&gt;")</f>
        <v>&lt;a href=|http://parallelbible.com/matthew/11.htm| title=|Parallel Chapters| target=|_top|&gt;PAR&lt;/a&gt;</v>
      </c>
      <c r="AD940" s="2" t="str">
        <f t="shared" ref="AD940:AI940" si="3758">CONCATENATE("&lt;/li&gt;&lt;li&gt;&lt;a href=|http://",AD1191,"/matthew/11.htm","| ","title=|",AD1190,"| target=|_top|&gt;",AD1192,"&lt;/a&gt;")</f>
        <v>&lt;/li&gt;&lt;li&gt;&lt;a href=|http://gsb.biblecommenter.com/matthew/11.htm| title=|Geneva Study Bible| target=|_top|&gt;GSB&lt;/a&gt;</v>
      </c>
      <c r="AE940" s="2" t="str">
        <f t="shared" si="3758"/>
        <v>&lt;/li&gt;&lt;li&gt;&lt;a href=|http://jfb.biblecommenter.com/matthew/11.htm| title=|Jamieson-Fausset-Brown Bible Commentary| target=|_top|&gt;JFB&lt;/a&gt;</v>
      </c>
      <c r="AF940" s="2" t="str">
        <f t="shared" si="3758"/>
        <v>&lt;/li&gt;&lt;li&gt;&lt;a href=|http://kjt.biblecommenter.com/matthew/11.htm| title=|King James Translators' Notes| target=|_top|&gt;KJT&lt;/a&gt;</v>
      </c>
      <c r="AG940" s="2" t="str">
        <f t="shared" si="3758"/>
        <v>&lt;/li&gt;&lt;li&gt;&lt;a href=|http://mhc.biblecommenter.com/matthew/11.htm| title=|Matthew Henry's Concise Commentary| target=|_top|&gt;MHC&lt;/a&gt;</v>
      </c>
      <c r="AH940" s="2" t="str">
        <f t="shared" si="3758"/>
        <v>&lt;/li&gt;&lt;li&gt;&lt;a href=|http://sco.biblecommenter.com/matthew/11.htm| title=|Scofield Reference Notes| target=|_top|&gt;SCO&lt;/a&gt;</v>
      </c>
      <c r="AI940" s="2" t="str">
        <f t="shared" si="3758"/>
        <v>&lt;/li&gt;&lt;li&gt;&lt;a href=|http://wes.biblecommenter.com/matthew/11.htm| title=|Wesley's Notes on the Bible| target=|_top|&gt;WES&lt;/a&gt;</v>
      </c>
      <c r="AJ940" t="str">
        <f>CONCATENATE("&lt;/li&gt;&lt;li&gt;&lt;a href=|http://",AJ1191,"/matthew/11.htm","| ","title=|",AJ1190,"| target=|_top|&gt;",AJ1192,"&lt;/a&gt;")</f>
        <v>&lt;/li&gt;&lt;li&gt;&lt;a href=|http://worldebible.com/matthew/11.htm| title=|World English Bible| target=|_top|&gt;WEB&lt;/a&gt;</v>
      </c>
      <c r="AK940" t="str">
        <f>CONCATENATE("&lt;/li&gt;&lt;li&gt;&lt;a href=|http://",AK1191,"/matthew/11.htm","| ","title=|",AK1190,"| target=|_top|&gt;",AK1192,"&lt;/a&gt;")</f>
        <v>&lt;/li&gt;&lt;li&gt;&lt;a href=|http://yltbible.com/matthew/11.htm| title=|Young's Literal Translation| target=|_top|&gt;YLT&lt;/a&gt;</v>
      </c>
      <c r="AL940" t="str">
        <f>CONCATENATE("&lt;a href=|http://",AL1191,"/matthew/11.htm","| ","title=|",AL1190,"| target=|_top|&gt;",AL1192,"&lt;/a&gt;")</f>
        <v>&lt;a href=|http://kjv.us/matthew/11.htm| title=|American King James Version| target=|_top|&gt;AKJ&lt;/a&gt;</v>
      </c>
      <c r="AM940" t="str">
        <f t="shared" ref="AM940:AS940" si="3759">CONCATENATE("&lt;/li&gt;&lt;li&gt;&lt;a href=|http://",AM1191,"/matthew/11.htm","| ","title=|",AM1190,"| target=|_top|&gt;",AM1192,"&lt;/a&gt;")</f>
        <v>&lt;/li&gt;&lt;li&gt;&lt;a href=|http://basicenglishbible.com/matthew/11.htm| title=|Bible in Basic English| target=|_top|&gt;BBE&lt;/a&gt;</v>
      </c>
      <c r="AN940" t="str">
        <f t="shared" si="3759"/>
        <v>&lt;/li&gt;&lt;li&gt;&lt;a href=|http://darbybible.com/matthew/11.htm| title=|Darby Bible Translation| target=|_top|&gt;DBY&lt;/a&gt;</v>
      </c>
      <c r="AO940" t="str">
        <f t="shared" si="3759"/>
        <v>&lt;/li&gt;&lt;li&gt;&lt;a href=|http://isv.scripturetext.com/matthew/11.htm| title=|International Standard Version| target=|_top|&gt;ISV&lt;/a&gt;</v>
      </c>
      <c r="AP940" t="str">
        <f t="shared" si="3759"/>
        <v>&lt;/li&gt;&lt;li&gt;&lt;a href=|http://tnt.scripturetext.com/matthew/11.htm| title=|Tyndale New Testament| target=|_top|&gt;TNT&lt;/a&gt;</v>
      </c>
      <c r="AQ940" s="2" t="str">
        <f t="shared" si="3759"/>
        <v>&lt;/li&gt;&lt;li&gt;&lt;a href=|http://pnt.biblecommenter.com/matthew/11.htm| title=|People's New Testament| target=|_top|&gt;PNT&lt;/a&gt;</v>
      </c>
      <c r="AR940" t="str">
        <f t="shared" si="3759"/>
        <v>&lt;/li&gt;&lt;li&gt;&lt;a href=|http://websterbible.com/matthew/11.htm| title=|Webster's Bible Translation| target=|_top|&gt;WBS&lt;/a&gt;</v>
      </c>
      <c r="AS940" t="str">
        <f t="shared" si="3759"/>
        <v>&lt;/li&gt;&lt;li&gt;&lt;a href=|http://weymouthbible.com/matthew/11.htm| title=|Weymouth New Testament| target=|_top|&gt;WEY&lt;/a&gt;</v>
      </c>
      <c r="AT940" t="str">
        <f>CONCATENATE("&lt;/li&gt;&lt;li&gt;&lt;a href=|http://",AT1191,"/matthew/11-1.htm","| ","title=|",AT1190,"| target=|_top|&gt;",AT1192,"&lt;/a&gt;")</f>
        <v>&lt;/li&gt;&lt;li&gt;&lt;a href=|http://biblebrowser.com/matthew/11-1.htm| title=|Split View| target=|_top|&gt;Split&lt;/a&gt;</v>
      </c>
      <c r="AU940" s="2" t="s">
        <v>1276</v>
      </c>
      <c r="AV940" t="s">
        <v>64</v>
      </c>
    </row>
    <row r="941" spans="1:48">
      <c r="A941" t="s">
        <v>622</v>
      </c>
      <c r="B941" t="s">
        <v>982</v>
      </c>
      <c r="C941" t="s">
        <v>624</v>
      </c>
      <c r="D941" t="s">
        <v>1268</v>
      </c>
      <c r="E941" t="s">
        <v>1277</v>
      </c>
      <c r="F941" t="s">
        <v>1304</v>
      </c>
      <c r="G941" t="s">
        <v>1266</v>
      </c>
      <c r="H941" t="s">
        <v>1305</v>
      </c>
      <c r="I941" t="s">
        <v>1303</v>
      </c>
      <c r="J941" t="s">
        <v>1267</v>
      </c>
      <c r="K941" t="s">
        <v>1275</v>
      </c>
      <c r="L941" s="2" t="s">
        <v>1274</v>
      </c>
      <c r="M941" t="str">
        <f t="shared" ref="M941:AB941" si="3760">CONCATENATE("&lt;/li&gt;&lt;li&gt;&lt;a href=|http://",M1191,"/matthew/12.htm","| ","title=|",M1190,"| target=|_top|&gt;",M1192,"&lt;/a&gt;")</f>
        <v>&lt;/li&gt;&lt;li&gt;&lt;a href=|http://niv.scripturetext.com/matthew/12.htm| title=|New International Version| target=|_top|&gt;NIV&lt;/a&gt;</v>
      </c>
      <c r="N941" t="str">
        <f t="shared" si="3760"/>
        <v>&lt;/li&gt;&lt;li&gt;&lt;a href=|http://nlt.scripturetext.com/matthew/12.htm| title=|New Living Translation| target=|_top|&gt;NLT&lt;/a&gt;</v>
      </c>
      <c r="O941" t="str">
        <f t="shared" si="3760"/>
        <v>&lt;/li&gt;&lt;li&gt;&lt;a href=|http://nasb.scripturetext.com/matthew/12.htm| title=|New American Standard Bible| target=|_top|&gt;NAS&lt;/a&gt;</v>
      </c>
      <c r="P941" t="str">
        <f t="shared" si="3760"/>
        <v>&lt;/li&gt;&lt;li&gt;&lt;a href=|http://gwt.scripturetext.com/matthew/12.htm| title=|God's Word Translation| target=|_top|&gt;GWT&lt;/a&gt;</v>
      </c>
      <c r="Q941" t="str">
        <f t="shared" si="3760"/>
        <v>&lt;/li&gt;&lt;li&gt;&lt;a href=|http://kingjbible.com/matthew/12.htm| title=|King James Bible| target=|_top|&gt;KJV&lt;/a&gt;</v>
      </c>
      <c r="R941" t="str">
        <f t="shared" si="3760"/>
        <v>&lt;/li&gt;&lt;li&gt;&lt;a href=|http://asvbible.com/matthew/12.htm| title=|American Standard Version| target=|_top|&gt;ASV&lt;/a&gt;</v>
      </c>
      <c r="S941" t="str">
        <f t="shared" si="3760"/>
        <v>&lt;/li&gt;&lt;li&gt;&lt;a href=|http://drb.scripturetext.com/matthew/12.htm| title=|Douay-Rheims Bible| target=|_top|&gt;DRB&lt;/a&gt;</v>
      </c>
      <c r="T941" t="str">
        <f t="shared" si="3760"/>
        <v>&lt;/li&gt;&lt;li&gt;&lt;a href=|http://erv.scripturetext.com/matthew/12.htm| title=|English Revised Version| target=|_top|&gt;ERV&lt;/a&gt;</v>
      </c>
      <c r="U941" t="str">
        <f>CONCATENATE("&lt;/li&gt;&lt;li&gt;&lt;a href=|http://",U1191,"/matthew/12.htm","| ","title=|",U1190,"| target=|_top|&gt;",U1192,"&lt;/a&gt;")</f>
        <v>&lt;/li&gt;&lt;li&gt;&lt;a href=|http://study.interlinearbible.org/matthew/12.htm| title=|Greek Study Bible| target=|_top|&gt;Grk Study&lt;/a&gt;</v>
      </c>
      <c r="W941" t="str">
        <f t="shared" si="3760"/>
        <v>&lt;/li&gt;&lt;li&gt;&lt;a href=|http://apostolic.interlinearbible.org/matthew/12.htm| title=|Apostolic Bible Polyglot Interlinear| target=|_top|&gt;Polyglot&lt;/a&gt;</v>
      </c>
      <c r="X941" t="str">
        <f t="shared" si="3760"/>
        <v>&lt;/li&gt;&lt;li&gt;&lt;a href=|http://interlinearbible.org/matthew/12.htm| title=|Interlinear Bible| target=|_top|&gt;Interlin&lt;/a&gt;</v>
      </c>
      <c r="Y941" t="str">
        <f t="shared" ref="Y941" si="3761">CONCATENATE("&lt;/li&gt;&lt;li&gt;&lt;a href=|http://",Y1191,"/matthew/12.htm","| ","title=|",Y1190,"| target=|_top|&gt;",Y1192,"&lt;/a&gt;")</f>
        <v>&lt;/li&gt;&lt;li&gt;&lt;a href=|http://bibleoutline.org/matthew/12.htm| title=|Outline with People and Places List| target=|_top|&gt;Outline&lt;/a&gt;</v>
      </c>
      <c r="Z941" t="str">
        <f t="shared" si="3760"/>
        <v>&lt;/li&gt;&lt;li&gt;&lt;a href=|http://kjvs.scripturetext.com/matthew/12.htm| title=|King James Bible with Strong's Numbers| target=|_top|&gt;Strong's&lt;/a&gt;</v>
      </c>
      <c r="AA941" t="str">
        <f t="shared" si="3760"/>
        <v>&lt;/li&gt;&lt;li&gt;&lt;a href=|http://childrensbibleonline.com/matthew/12.htm| title=|The Children's Bible| target=|_top|&gt;Children's&lt;/a&gt;</v>
      </c>
      <c r="AB941" s="2" t="str">
        <f t="shared" si="3760"/>
        <v>&lt;/li&gt;&lt;li&gt;&lt;a href=|http://tsk.scripturetext.com/matthew/12.htm| title=|Treasury of Scripture Knowledge| target=|_top|&gt;TSK&lt;/a&gt;</v>
      </c>
      <c r="AC941" t="str">
        <f>CONCATENATE("&lt;a href=|http://",AC1191,"/matthew/12.htm","| ","title=|",AC1190,"| target=|_top|&gt;",AC1192,"&lt;/a&gt;")</f>
        <v>&lt;a href=|http://parallelbible.com/matthew/12.htm| title=|Parallel Chapters| target=|_top|&gt;PAR&lt;/a&gt;</v>
      </c>
      <c r="AD941" s="2" t="str">
        <f t="shared" ref="AD941:AI941" si="3762">CONCATENATE("&lt;/li&gt;&lt;li&gt;&lt;a href=|http://",AD1191,"/matthew/12.htm","| ","title=|",AD1190,"| target=|_top|&gt;",AD1192,"&lt;/a&gt;")</f>
        <v>&lt;/li&gt;&lt;li&gt;&lt;a href=|http://gsb.biblecommenter.com/matthew/12.htm| title=|Geneva Study Bible| target=|_top|&gt;GSB&lt;/a&gt;</v>
      </c>
      <c r="AE941" s="2" t="str">
        <f t="shared" si="3762"/>
        <v>&lt;/li&gt;&lt;li&gt;&lt;a href=|http://jfb.biblecommenter.com/matthew/12.htm| title=|Jamieson-Fausset-Brown Bible Commentary| target=|_top|&gt;JFB&lt;/a&gt;</v>
      </c>
      <c r="AF941" s="2" t="str">
        <f t="shared" si="3762"/>
        <v>&lt;/li&gt;&lt;li&gt;&lt;a href=|http://kjt.biblecommenter.com/matthew/12.htm| title=|King James Translators' Notes| target=|_top|&gt;KJT&lt;/a&gt;</v>
      </c>
      <c r="AG941" s="2" t="str">
        <f t="shared" si="3762"/>
        <v>&lt;/li&gt;&lt;li&gt;&lt;a href=|http://mhc.biblecommenter.com/matthew/12.htm| title=|Matthew Henry's Concise Commentary| target=|_top|&gt;MHC&lt;/a&gt;</v>
      </c>
      <c r="AH941" s="2" t="str">
        <f t="shared" si="3762"/>
        <v>&lt;/li&gt;&lt;li&gt;&lt;a href=|http://sco.biblecommenter.com/matthew/12.htm| title=|Scofield Reference Notes| target=|_top|&gt;SCO&lt;/a&gt;</v>
      </c>
      <c r="AI941" s="2" t="str">
        <f t="shared" si="3762"/>
        <v>&lt;/li&gt;&lt;li&gt;&lt;a href=|http://wes.biblecommenter.com/matthew/12.htm| title=|Wesley's Notes on the Bible| target=|_top|&gt;WES&lt;/a&gt;</v>
      </c>
      <c r="AJ941" t="str">
        <f>CONCATENATE("&lt;/li&gt;&lt;li&gt;&lt;a href=|http://",AJ1191,"/matthew/12.htm","| ","title=|",AJ1190,"| target=|_top|&gt;",AJ1192,"&lt;/a&gt;")</f>
        <v>&lt;/li&gt;&lt;li&gt;&lt;a href=|http://worldebible.com/matthew/12.htm| title=|World English Bible| target=|_top|&gt;WEB&lt;/a&gt;</v>
      </c>
      <c r="AK941" t="str">
        <f>CONCATENATE("&lt;/li&gt;&lt;li&gt;&lt;a href=|http://",AK1191,"/matthew/12.htm","| ","title=|",AK1190,"| target=|_top|&gt;",AK1192,"&lt;/a&gt;")</f>
        <v>&lt;/li&gt;&lt;li&gt;&lt;a href=|http://yltbible.com/matthew/12.htm| title=|Young's Literal Translation| target=|_top|&gt;YLT&lt;/a&gt;</v>
      </c>
      <c r="AL941" t="str">
        <f>CONCATENATE("&lt;a href=|http://",AL1191,"/matthew/12.htm","| ","title=|",AL1190,"| target=|_top|&gt;",AL1192,"&lt;/a&gt;")</f>
        <v>&lt;a href=|http://kjv.us/matthew/12.htm| title=|American King James Version| target=|_top|&gt;AKJ&lt;/a&gt;</v>
      </c>
      <c r="AM941" t="str">
        <f t="shared" ref="AM941:AS941" si="3763">CONCATENATE("&lt;/li&gt;&lt;li&gt;&lt;a href=|http://",AM1191,"/matthew/12.htm","| ","title=|",AM1190,"| target=|_top|&gt;",AM1192,"&lt;/a&gt;")</f>
        <v>&lt;/li&gt;&lt;li&gt;&lt;a href=|http://basicenglishbible.com/matthew/12.htm| title=|Bible in Basic English| target=|_top|&gt;BBE&lt;/a&gt;</v>
      </c>
      <c r="AN941" t="str">
        <f t="shared" si="3763"/>
        <v>&lt;/li&gt;&lt;li&gt;&lt;a href=|http://darbybible.com/matthew/12.htm| title=|Darby Bible Translation| target=|_top|&gt;DBY&lt;/a&gt;</v>
      </c>
      <c r="AO941" t="str">
        <f t="shared" si="3763"/>
        <v>&lt;/li&gt;&lt;li&gt;&lt;a href=|http://isv.scripturetext.com/matthew/12.htm| title=|International Standard Version| target=|_top|&gt;ISV&lt;/a&gt;</v>
      </c>
      <c r="AP941" t="str">
        <f t="shared" si="3763"/>
        <v>&lt;/li&gt;&lt;li&gt;&lt;a href=|http://tnt.scripturetext.com/matthew/12.htm| title=|Tyndale New Testament| target=|_top|&gt;TNT&lt;/a&gt;</v>
      </c>
      <c r="AQ941" s="2" t="str">
        <f t="shared" si="3763"/>
        <v>&lt;/li&gt;&lt;li&gt;&lt;a href=|http://pnt.biblecommenter.com/matthew/12.htm| title=|People's New Testament| target=|_top|&gt;PNT&lt;/a&gt;</v>
      </c>
      <c r="AR941" t="str">
        <f t="shared" si="3763"/>
        <v>&lt;/li&gt;&lt;li&gt;&lt;a href=|http://websterbible.com/matthew/12.htm| title=|Webster's Bible Translation| target=|_top|&gt;WBS&lt;/a&gt;</v>
      </c>
      <c r="AS941" t="str">
        <f t="shared" si="3763"/>
        <v>&lt;/li&gt;&lt;li&gt;&lt;a href=|http://weymouthbible.com/matthew/12.htm| title=|Weymouth New Testament| target=|_top|&gt;WEY&lt;/a&gt;</v>
      </c>
      <c r="AT941" t="str">
        <f>CONCATENATE("&lt;/li&gt;&lt;li&gt;&lt;a href=|http://",AT1191,"/matthew/12-1.htm","| ","title=|",AT1190,"| target=|_top|&gt;",AT1192,"&lt;/a&gt;")</f>
        <v>&lt;/li&gt;&lt;li&gt;&lt;a href=|http://biblebrowser.com/matthew/12-1.htm| title=|Split View| target=|_top|&gt;Split&lt;/a&gt;</v>
      </c>
      <c r="AU941" s="2" t="s">
        <v>1276</v>
      </c>
      <c r="AV941" t="s">
        <v>64</v>
      </c>
    </row>
    <row r="942" spans="1:48">
      <c r="A942" t="s">
        <v>622</v>
      </c>
      <c r="B942" t="s">
        <v>983</v>
      </c>
      <c r="C942" t="s">
        <v>624</v>
      </c>
      <c r="D942" t="s">
        <v>1268</v>
      </c>
      <c r="E942" t="s">
        <v>1277</v>
      </c>
      <c r="F942" t="s">
        <v>1304</v>
      </c>
      <c r="G942" t="s">
        <v>1266</v>
      </c>
      <c r="H942" t="s">
        <v>1305</v>
      </c>
      <c r="I942" t="s">
        <v>1303</v>
      </c>
      <c r="J942" t="s">
        <v>1267</v>
      </c>
      <c r="K942" t="s">
        <v>1275</v>
      </c>
      <c r="L942" s="2" t="s">
        <v>1274</v>
      </c>
      <c r="M942" t="str">
        <f t="shared" ref="M942:AB942" si="3764">CONCATENATE("&lt;/li&gt;&lt;li&gt;&lt;a href=|http://",M1191,"/matthew/13.htm","| ","title=|",M1190,"| target=|_top|&gt;",M1192,"&lt;/a&gt;")</f>
        <v>&lt;/li&gt;&lt;li&gt;&lt;a href=|http://niv.scripturetext.com/matthew/13.htm| title=|New International Version| target=|_top|&gt;NIV&lt;/a&gt;</v>
      </c>
      <c r="N942" t="str">
        <f t="shared" si="3764"/>
        <v>&lt;/li&gt;&lt;li&gt;&lt;a href=|http://nlt.scripturetext.com/matthew/13.htm| title=|New Living Translation| target=|_top|&gt;NLT&lt;/a&gt;</v>
      </c>
      <c r="O942" t="str">
        <f t="shared" si="3764"/>
        <v>&lt;/li&gt;&lt;li&gt;&lt;a href=|http://nasb.scripturetext.com/matthew/13.htm| title=|New American Standard Bible| target=|_top|&gt;NAS&lt;/a&gt;</v>
      </c>
      <c r="P942" t="str">
        <f t="shared" si="3764"/>
        <v>&lt;/li&gt;&lt;li&gt;&lt;a href=|http://gwt.scripturetext.com/matthew/13.htm| title=|God's Word Translation| target=|_top|&gt;GWT&lt;/a&gt;</v>
      </c>
      <c r="Q942" t="str">
        <f t="shared" si="3764"/>
        <v>&lt;/li&gt;&lt;li&gt;&lt;a href=|http://kingjbible.com/matthew/13.htm| title=|King James Bible| target=|_top|&gt;KJV&lt;/a&gt;</v>
      </c>
      <c r="R942" t="str">
        <f t="shared" si="3764"/>
        <v>&lt;/li&gt;&lt;li&gt;&lt;a href=|http://asvbible.com/matthew/13.htm| title=|American Standard Version| target=|_top|&gt;ASV&lt;/a&gt;</v>
      </c>
      <c r="S942" t="str">
        <f t="shared" si="3764"/>
        <v>&lt;/li&gt;&lt;li&gt;&lt;a href=|http://drb.scripturetext.com/matthew/13.htm| title=|Douay-Rheims Bible| target=|_top|&gt;DRB&lt;/a&gt;</v>
      </c>
      <c r="T942" t="str">
        <f t="shared" si="3764"/>
        <v>&lt;/li&gt;&lt;li&gt;&lt;a href=|http://erv.scripturetext.com/matthew/13.htm| title=|English Revised Version| target=|_top|&gt;ERV&lt;/a&gt;</v>
      </c>
      <c r="U942" t="str">
        <f>CONCATENATE("&lt;/li&gt;&lt;li&gt;&lt;a href=|http://",U1191,"/matthew/13.htm","| ","title=|",U1190,"| target=|_top|&gt;",U1192,"&lt;/a&gt;")</f>
        <v>&lt;/li&gt;&lt;li&gt;&lt;a href=|http://study.interlinearbible.org/matthew/13.htm| title=|Greek Study Bible| target=|_top|&gt;Grk Study&lt;/a&gt;</v>
      </c>
      <c r="W942" t="str">
        <f t="shared" si="3764"/>
        <v>&lt;/li&gt;&lt;li&gt;&lt;a href=|http://apostolic.interlinearbible.org/matthew/13.htm| title=|Apostolic Bible Polyglot Interlinear| target=|_top|&gt;Polyglot&lt;/a&gt;</v>
      </c>
      <c r="X942" t="str">
        <f t="shared" si="3764"/>
        <v>&lt;/li&gt;&lt;li&gt;&lt;a href=|http://interlinearbible.org/matthew/13.htm| title=|Interlinear Bible| target=|_top|&gt;Interlin&lt;/a&gt;</v>
      </c>
      <c r="Y942" t="str">
        <f t="shared" ref="Y942" si="3765">CONCATENATE("&lt;/li&gt;&lt;li&gt;&lt;a href=|http://",Y1191,"/matthew/13.htm","| ","title=|",Y1190,"| target=|_top|&gt;",Y1192,"&lt;/a&gt;")</f>
        <v>&lt;/li&gt;&lt;li&gt;&lt;a href=|http://bibleoutline.org/matthew/13.htm| title=|Outline with People and Places List| target=|_top|&gt;Outline&lt;/a&gt;</v>
      </c>
      <c r="Z942" t="str">
        <f t="shared" si="3764"/>
        <v>&lt;/li&gt;&lt;li&gt;&lt;a href=|http://kjvs.scripturetext.com/matthew/13.htm| title=|King James Bible with Strong's Numbers| target=|_top|&gt;Strong's&lt;/a&gt;</v>
      </c>
      <c r="AA942" t="str">
        <f t="shared" si="3764"/>
        <v>&lt;/li&gt;&lt;li&gt;&lt;a href=|http://childrensbibleonline.com/matthew/13.htm| title=|The Children's Bible| target=|_top|&gt;Children's&lt;/a&gt;</v>
      </c>
      <c r="AB942" s="2" t="str">
        <f t="shared" si="3764"/>
        <v>&lt;/li&gt;&lt;li&gt;&lt;a href=|http://tsk.scripturetext.com/matthew/13.htm| title=|Treasury of Scripture Knowledge| target=|_top|&gt;TSK&lt;/a&gt;</v>
      </c>
      <c r="AC942" t="str">
        <f>CONCATENATE("&lt;a href=|http://",AC1191,"/matthew/13.htm","| ","title=|",AC1190,"| target=|_top|&gt;",AC1192,"&lt;/a&gt;")</f>
        <v>&lt;a href=|http://parallelbible.com/matthew/13.htm| title=|Parallel Chapters| target=|_top|&gt;PAR&lt;/a&gt;</v>
      </c>
      <c r="AD942" s="2" t="str">
        <f t="shared" ref="AD942:AI942" si="3766">CONCATENATE("&lt;/li&gt;&lt;li&gt;&lt;a href=|http://",AD1191,"/matthew/13.htm","| ","title=|",AD1190,"| target=|_top|&gt;",AD1192,"&lt;/a&gt;")</f>
        <v>&lt;/li&gt;&lt;li&gt;&lt;a href=|http://gsb.biblecommenter.com/matthew/13.htm| title=|Geneva Study Bible| target=|_top|&gt;GSB&lt;/a&gt;</v>
      </c>
      <c r="AE942" s="2" t="str">
        <f t="shared" si="3766"/>
        <v>&lt;/li&gt;&lt;li&gt;&lt;a href=|http://jfb.biblecommenter.com/matthew/13.htm| title=|Jamieson-Fausset-Brown Bible Commentary| target=|_top|&gt;JFB&lt;/a&gt;</v>
      </c>
      <c r="AF942" s="2" t="str">
        <f t="shared" si="3766"/>
        <v>&lt;/li&gt;&lt;li&gt;&lt;a href=|http://kjt.biblecommenter.com/matthew/13.htm| title=|King James Translators' Notes| target=|_top|&gt;KJT&lt;/a&gt;</v>
      </c>
      <c r="AG942" s="2" t="str">
        <f t="shared" si="3766"/>
        <v>&lt;/li&gt;&lt;li&gt;&lt;a href=|http://mhc.biblecommenter.com/matthew/13.htm| title=|Matthew Henry's Concise Commentary| target=|_top|&gt;MHC&lt;/a&gt;</v>
      </c>
      <c r="AH942" s="2" t="str">
        <f t="shared" si="3766"/>
        <v>&lt;/li&gt;&lt;li&gt;&lt;a href=|http://sco.biblecommenter.com/matthew/13.htm| title=|Scofield Reference Notes| target=|_top|&gt;SCO&lt;/a&gt;</v>
      </c>
      <c r="AI942" s="2" t="str">
        <f t="shared" si="3766"/>
        <v>&lt;/li&gt;&lt;li&gt;&lt;a href=|http://wes.biblecommenter.com/matthew/13.htm| title=|Wesley's Notes on the Bible| target=|_top|&gt;WES&lt;/a&gt;</v>
      </c>
      <c r="AJ942" t="str">
        <f>CONCATENATE("&lt;/li&gt;&lt;li&gt;&lt;a href=|http://",AJ1191,"/matthew/13.htm","| ","title=|",AJ1190,"| target=|_top|&gt;",AJ1192,"&lt;/a&gt;")</f>
        <v>&lt;/li&gt;&lt;li&gt;&lt;a href=|http://worldebible.com/matthew/13.htm| title=|World English Bible| target=|_top|&gt;WEB&lt;/a&gt;</v>
      </c>
      <c r="AK942" t="str">
        <f>CONCATENATE("&lt;/li&gt;&lt;li&gt;&lt;a href=|http://",AK1191,"/matthew/13.htm","| ","title=|",AK1190,"| target=|_top|&gt;",AK1192,"&lt;/a&gt;")</f>
        <v>&lt;/li&gt;&lt;li&gt;&lt;a href=|http://yltbible.com/matthew/13.htm| title=|Young's Literal Translation| target=|_top|&gt;YLT&lt;/a&gt;</v>
      </c>
      <c r="AL942" t="str">
        <f>CONCATENATE("&lt;a href=|http://",AL1191,"/matthew/13.htm","| ","title=|",AL1190,"| target=|_top|&gt;",AL1192,"&lt;/a&gt;")</f>
        <v>&lt;a href=|http://kjv.us/matthew/13.htm| title=|American King James Version| target=|_top|&gt;AKJ&lt;/a&gt;</v>
      </c>
      <c r="AM942" t="str">
        <f t="shared" ref="AM942:AS942" si="3767">CONCATENATE("&lt;/li&gt;&lt;li&gt;&lt;a href=|http://",AM1191,"/matthew/13.htm","| ","title=|",AM1190,"| target=|_top|&gt;",AM1192,"&lt;/a&gt;")</f>
        <v>&lt;/li&gt;&lt;li&gt;&lt;a href=|http://basicenglishbible.com/matthew/13.htm| title=|Bible in Basic English| target=|_top|&gt;BBE&lt;/a&gt;</v>
      </c>
      <c r="AN942" t="str">
        <f t="shared" si="3767"/>
        <v>&lt;/li&gt;&lt;li&gt;&lt;a href=|http://darbybible.com/matthew/13.htm| title=|Darby Bible Translation| target=|_top|&gt;DBY&lt;/a&gt;</v>
      </c>
      <c r="AO942" t="str">
        <f t="shared" si="3767"/>
        <v>&lt;/li&gt;&lt;li&gt;&lt;a href=|http://isv.scripturetext.com/matthew/13.htm| title=|International Standard Version| target=|_top|&gt;ISV&lt;/a&gt;</v>
      </c>
      <c r="AP942" t="str">
        <f t="shared" si="3767"/>
        <v>&lt;/li&gt;&lt;li&gt;&lt;a href=|http://tnt.scripturetext.com/matthew/13.htm| title=|Tyndale New Testament| target=|_top|&gt;TNT&lt;/a&gt;</v>
      </c>
      <c r="AQ942" s="2" t="str">
        <f t="shared" si="3767"/>
        <v>&lt;/li&gt;&lt;li&gt;&lt;a href=|http://pnt.biblecommenter.com/matthew/13.htm| title=|People's New Testament| target=|_top|&gt;PNT&lt;/a&gt;</v>
      </c>
      <c r="AR942" t="str">
        <f t="shared" si="3767"/>
        <v>&lt;/li&gt;&lt;li&gt;&lt;a href=|http://websterbible.com/matthew/13.htm| title=|Webster's Bible Translation| target=|_top|&gt;WBS&lt;/a&gt;</v>
      </c>
      <c r="AS942" t="str">
        <f t="shared" si="3767"/>
        <v>&lt;/li&gt;&lt;li&gt;&lt;a href=|http://weymouthbible.com/matthew/13.htm| title=|Weymouth New Testament| target=|_top|&gt;WEY&lt;/a&gt;</v>
      </c>
      <c r="AT942" t="str">
        <f>CONCATENATE("&lt;/li&gt;&lt;li&gt;&lt;a href=|http://",AT1191,"/matthew/13-1.htm","| ","title=|",AT1190,"| target=|_top|&gt;",AT1192,"&lt;/a&gt;")</f>
        <v>&lt;/li&gt;&lt;li&gt;&lt;a href=|http://biblebrowser.com/matthew/13-1.htm| title=|Split View| target=|_top|&gt;Split&lt;/a&gt;</v>
      </c>
      <c r="AU942" s="2" t="s">
        <v>1276</v>
      </c>
      <c r="AV942" t="s">
        <v>64</v>
      </c>
    </row>
    <row r="943" spans="1:48">
      <c r="A943" t="s">
        <v>622</v>
      </c>
      <c r="B943" t="s">
        <v>984</v>
      </c>
      <c r="C943" t="s">
        <v>624</v>
      </c>
      <c r="D943" t="s">
        <v>1268</v>
      </c>
      <c r="E943" t="s">
        <v>1277</v>
      </c>
      <c r="F943" t="s">
        <v>1304</v>
      </c>
      <c r="G943" t="s">
        <v>1266</v>
      </c>
      <c r="H943" t="s">
        <v>1305</v>
      </c>
      <c r="I943" t="s">
        <v>1303</v>
      </c>
      <c r="J943" t="s">
        <v>1267</v>
      </c>
      <c r="K943" t="s">
        <v>1275</v>
      </c>
      <c r="L943" s="2" t="s">
        <v>1274</v>
      </c>
      <c r="M943" t="str">
        <f t="shared" ref="M943:AB943" si="3768">CONCATENATE("&lt;/li&gt;&lt;li&gt;&lt;a href=|http://",M1191,"/matthew/14.htm","| ","title=|",M1190,"| target=|_top|&gt;",M1192,"&lt;/a&gt;")</f>
        <v>&lt;/li&gt;&lt;li&gt;&lt;a href=|http://niv.scripturetext.com/matthew/14.htm| title=|New International Version| target=|_top|&gt;NIV&lt;/a&gt;</v>
      </c>
      <c r="N943" t="str">
        <f t="shared" si="3768"/>
        <v>&lt;/li&gt;&lt;li&gt;&lt;a href=|http://nlt.scripturetext.com/matthew/14.htm| title=|New Living Translation| target=|_top|&gt;NLT&lt;/a&gt;</v>
      </c>
      <c r="O943" t="str">
        <f t="shared" si="3768"/>
        <v>&lt;/li&gt;&lt;li&gt;&lt;a href=|http://nasb.scripturetext.com/matthew/14.htm| title=|New American Standard Bible| target=|_top|&gt;NAS&lt;/a&gt;</v>
      </c>
      <c r="P943" t="str">
        <f t="shared" si="3768"/>
        <v>&lt;/li&gt;&lt;li&gt;&lt;a href=|http://gwt.scripturetext.com/matthew/14.htm| title=|God's Word Translation| target=|_top|&gt;GWT&lt;/a&gt;</v>
      </c>
      <c r="Q943" t="str">
        <f t="shared" si="3768"/>
        <v>&lt;/li&gt;&lt;li&gt;&lt;a href=|http://kingjbible.com/matthew/14.htm| title=|King James Bible| target=|_top|&gt;KJV&lt;/a&gt;</v>
      </c>
      <c r="R943" t="str">
        <f t="shared" si="3768"/>
        <v>&lt;/li&gt;&lt;li&gt;&lt;a href=|http://asvbible.com/matthew/14.htm| title=|American Standard Version| target=|_top|&gt;ASV&lt;/a&gt;</v>
      </c>
      <c r="S943" t="str">
        <f t="shared" si="3768"/>
        <v>&lt;/li&gt;&lt;li&gt;&lt;a href=|http://drb.scripturetext.com/matthew/14.htm| title=|Douay-Rheims Bible| target=|_top|&gt;DRB&lt;/a&gt;</v>
      </c>
      <c r="T943" t="str">
        <f t="shared" si="3768"/>
        <v>&lt;/li&gt;&lt;li&gt;&lt;a href=|http://erv.scripturetext.com/matthew/14.htm| title=|English Revised Version| target=|_top|&gt;ERV&lt;/a&gt;</v>
      </c>
      <c r="U943" t="str">
        <f>CONCATENATE("&lt;/li&gt;&lt;li&gt;&lt;a href=|http://",U1191,"/matthew/14.htm","| ","title=|",U1190,"| target=|_top|&gt;",U1192,"&lt;/a&gt;")</f>
        <v>&lt;/li&gt;&lt;li&gt;&lt;a href=|http://study.interlinearbible.org/matthew/14.htm| title=|Greek Study Bible| target=|_top|&gt;Grk Study&lt;/a&gt;</v>
      </c>
      <c r="W943" t="str">
        <f t="shared" si="3768"/>
        <v>&lt;/li&gt;&lt;li&gt;&lt;a href=|http://apostolic.interlinearbible.org/matthew/14.htm| title=|Apostolic Bible Polyglot Interlinear| target=|_top|&gt;Polyglot&lt;/a&gt;</v>
      </c>
      <c r="X943" t="str">
        <f t="shared" si="3768"/>
        <v>&lt;/li&gt;&lt;li&gt;&lt;a href=|http://interlinearbible.org/matthew/14.htm| title=|Interlinear Bible| target=|_top|&gt;Interlin&lt;/a&gt;</v>
      </c>
      <c r="Y943" t="str">
        <f t="shared" ref="Y943" si="3769">CONCATENATE("&lt;/li&gt;&lt;li&gt;&lt;a href=|http://",Y1191,"/matthew/14.htm","| ","title=|",Y1190,"| target=|_top|&gt;",Y1192,"&lt;/a&gt;")</f>
        <v>&lt;/li&gt;&lt;li&gt;&lt;a href=|http://bibleoutline.org/matthew/14.htm| title=|Outline with People and Places List| target=|_top|&gt;Outline&lt;/a&gt;</v>
      </c>
      <c r="Z943" t="str">
        <f t="shared" si="3768"/>
        <v>&lt;/li&gt;&lt;li&gt;&lt;a href=|http://kjvs.scripturetext.com/matthew/14.htm| title=|King James Bible with Strong's Numbers| target=|_top|&gt;Strong's&lt;/a&gt;</v>
      </c>
      <c r="AA943" t="str">
        <f t="shared" si="3768"/>
        <v>&lt;/li&gt;&lt;li&gt;&lt;a href=|http://childrensbibleonline.com/matthew/14.htm| title=|The Children's Bible| target=|_top|&gt;Children's&lt;/a&gt;</v>
      </c>
      <c r="AB943" s="2" t="str">
        <f t="shared" si="3768"/>
        <v>&lt;/li&gt;&lt;li&gt;&lt;a href=|http://tsk.scripturetext.com/matthew/14.htm| title=|Treasury of Scripture Knowledge| target=|_top|&gt;TSK&lt;/a&gt;</v>
      </c>
      <c r="AC943" t="str">
        <f>CONCATENATE("&lt;a href=|http://",AC1191,"/matthew/14.htm","| ","title=|",AC1190,"| target=|_top|&gt;",AC1192,"&lt;/a&gt;")</f>
        <v>&lt;a href=|http://parallelbible.com/matthew/14.htm| title=|Parallel Chapters| target=|_top|&gt;PAR&lt;/a&gt;</v>
      </c>
      <c r="AD943" s="2" t="str">
        <f t="shared" ref="AD943:AI943" si="3770">CONCATENATE("&lt;/li&gt;&lt;li&gt;&lt;a href=|http://",AD1191,"/matthew/14.htm","| ","title=|",AD1190,"| target=|_top|&gt;",AD1192,"&lt;/a&gt;")</f>
        <v>&lt;/li&gt;&lt;li&gt;&lt;a href=|http://gsb.biblecommenter.com/matthew/14.htm| title=|Geneva Study Bible| target=|_top|&gt;GSB&lt;/a&gt;</v>
      </c>
      <c r="AE943" s="2" t="str">
        <f t="shared" si="3770"/>
        <v>&lt;/li&gt;&lt;li&gt;&lt;a href=|http://jfb.biblecommenter.com/matthew/14.htm| title=|Jamieson-Fausset-Brown Bible Commentary| target=|_top|&gt;JFB&lt;/a&gt;</v>
      </c>
      <c r="AF943" s="2" t="str">
        <f t="shared" si="3770"/>
        <v>&lt;/li&gt;&lt;li&gt;&lt;a href=|http://kjt.biblecommenter.com/matthew/14.htm| title=|King James Translators' Notes| target=|_top|&gt;KJT&lt;/a&gt;</v>
      </c>
      <c r="AG943" s="2" t="str">
        <f t="shared" si="3770"/>
        <v>&lt;/li&gt;&lt;li&gt;&lt;a href=|http://mhc.biblecommenter.com/matthew/14.htm| title=|Matthew Henry's Concise Commentary| target=|_top|&gt;MHC&lt;/a&gt;</v>
      </c>
      <c r="AH943" s="2" t="str">
        <f t="shared" si="3770"/>
        <v>&lt;/li&gt;&lt;li&gt;&lt;a href=|http://sco.biblecommenter.com/matthew/14.htm| title=|Scofield Reference Notes| target=|_top|&gt;SCO&lt;/a&gt;</v>
      </c>
      <c r="AI943" s="2" t="str">
        <f t="shared" si="3770"/>
        <v>&lt;/li&gt;&lt;li&gt;&lt;a href=|http://wes.biblecommenter.com/matthew/14.htm| title=|Wesley's Notes on the Bible| target=|_top|&gt;WES&lt;/a&gt;</v>
      </c>
      <c r="AJ943" t="str">
        <f>CONCATENATE("&lt;/li&gt;&lt;li&gt;&lt;a href=|http://",AJ1191,"/matthew/14.htm","| ","title=|",AJ1190,"| target=|_top|&gt;",AJ1192,"&lt;/a&gt;")</f>
        <v>&lt;/li&gt;&lt;li&gt;&lt;a href=|http://worldebible.com/matthew/14.htm| title=|World English Bible| target=|_top|&gt;WEB&lt;/a&gt;</v>
      </c>
      <c r="AK943" t="str">
        <f>CONCATENATE("&lt;/li&gt;&lt;li&gt;&lt;a href=|http://",AK1191,"/matthew/14.htm","| ","title=|",AK1190,"| target=|_top|&gt;",AK1192,"&lt;/a&gt;")</f>
        <v>&lt;/li&gt;&lt;li&gt;&lt;a href=|http://yltbible.com/matthew/14.htm| title=|Young's Literal Translation| target=|_top|&gt;YLT&lt;/a&gt;</v>
      </c>
      <c r="AL943" t="str">
        <f>CONCATENATE("&lt;a href=|http://",AL1191,"/matthew/14.htm","| ","title=|",AL1190,"| target=|_top|&gt;",AL1192,"&lt;/a&gt;")</f>
        <v>&lt;a href=|http://kjv.us/matthew/14.htm| title=|American King James Version| target=|_top|&gt;AKJ&lt;/a&gt;</v>
      </c>
      <c r="AM943" t="str">
        <f t="shared" ref="AM943:AS943" si="3771">CONCATENATE("&lt;/li&gt;&lt;li&gt;&lt;a href=|http://",AM1191,"/matthew/14.htm","| ","title=|",AM1190,"| target=|_top|&gt;",AM1192,"&lt;/a&gt;")</f>
        <v>&lt;/li&gt;&lt;li&gt;&lt;a href=|http://basicenglishbible.com/matthew/14.htm| title=|Bible in Basic English| target=|_top|&gt;BBE&lt;/a&gt;</v>
      </c>
      <c r="AN943" t="str">
        <f t="shared" si="3771"/>
        <v>&lt;/li&gt;&lt;li&gt;&lt;a href=|http://darbybible.com/matthew/14.htm| title=|Darby Bible Translation| target=|_top|&gt;DBY&lt;/a&gt;</v>
      </c>
      <c r="AO943" t="str">
        <f t="shared" si="3771"/>
        <v>&lt;/li&gt;&lt;li&gt;&lt;a href=|http://isv.scripturetext.com/matthew/14.htm| title=|International Standard Version| target=|_top|&gt;ISV&lt;/a&gt;</v>
      </c>
      <c r="AP943" t="str">
        <f t="shared" si="3771"/>
        <v>&lt;/li&gt;&lt;li&gt;&lt;a href=|http://tnt.scripturetext.com/matthew/14.htm| title=|Tyndale New Testament| target=|_top|&gt;TNT&lt;/a&gt;</v>
      </c>
      <c r="AQ943" s="2" t="str">
        <f t="shared" si="3771"/>
        <v>&lt;/li&gt;&lt;li&gt;&lt;a href=|http://pnt.biblecommenter.com/matthew/14.htm| title=|People's New Testament| target=|_top|&gt;PNT&lt;/a&gt;</v>
      </c>
      <c r="AR943" t="str">
        <f t="shared" si="3771"/>
        <v>&lt;/li&gt;&lt;li&gt;&lt;a href=|http://websterbible.com/matthew/14.htm| title=|Webster's Bible Translation| target=|_top|&gt;WBS&lt;/a&gt;</v>
      </c>
      <c r="AS943" t="str">
        <f t="shared" si="3771"/>
        <v>&lt;/li&gt;&lt;li&gt;&lt;a href=|http://weymouthbible.com/matthew/14.htm| title=|Weymouth New Testament| target=|_top|&gt;WEY&lt;/a&gt;</v>
      </c>
      <c r="AT943" t="str">
        <f>CONCATENATE("&lt;/li&gt;&lt;li&gt;&lt;a href=|http://",AT1191,"/matthew/14-1.htm","| ","title=|",AT1190,"| target=|_top|&gt;",AT1192,"&lt;/a&gt;")</f>
        <v>&lt;/li&gt;&lt;li&gt;&lt;a href=|http://biblebrowser.com/matthew/14-1.htm| title=|Split View| target=|_top|&gt;Split&lt;/a&gt;</v>
      </c>
      <c r="AU943" s="2" t="s">
        <v>1276</v>
      </c>
      <c r="AV943" t="s">
        <v>64</v>
      </c>
    </row>
    <row r="944" spans="1:48">
      <c r="A944" t="s">
        <v>622</v>
      </c>
      <c r="B944" t="s">
        <v>985</v>
      </c>
      <c r="C944" t="s">
        <v>624</v>
      </c>
      <c r="D944" t="s">
        <v>1268</v>
      </c>
      <c r="E944" t="s">
        <v>1277</v>
      </c>
      <c r="F944" t="s">
        <v>1304</v>
      </c>
      <c r="G944" t="s">
        <v>1266</v>
      </c>
      <c r="H944" t="s">
        <v>1305</v>
      </c>
      <c r="I944" t="s">
        <v>1303</v>
      </c>
      <c r="J944" t="s">
        <v>1267</v>
      </c>
      <c r="K944" t="s">
        <v>1275</v>
      </c>
      <c r="L944" s="2" t="s">
        <v>1274</v>
      </c>
      <c r="M944" t="str">
        <f t="shared" ref="M944:AB944" si="3772">CONCATENATE("&lt;/li&gt;&lt;li&gt;&lt;a href=|http://",M1191,"/matthew/15.htm","| ","title=|",M1190,"| target=|_top|&gt;",M1192,"&lt;/a&gt;")</f>
        <v>&lt;/li&gt;&lt;li&gt;&lt;a href=|http://niv.scripturetext.com/matthew/15.htm| title=|New International Version| target=|_top|&gt;NIV&lt;/a&gt;</v>
      </c>
      <c r="N944" t="str">
        <f t="shared" si="3772"/>
        <v>&lt;/li&gt;&lt;li&gt;&lt;a href=|http://nlt.scripturetext.com/matthew/15.htm| title=|New Living Translation| target=|_top|&gt;NLT&lt;/a&gt;</v>
      </c>
      <c r="O944" t="str">
        <f t="shared" si="3772"/>
        <v>&lt;/li&gt;&lt;li&gt;&lt;a href=|http://nasb.scripturetext.com/matthew/15.htm| title=|New American Standard Bible| target=|_top|&gt;NAS&lt;/a&gt;</v>
      </c>
      <c r="P944" t="str">
        <f t="shared" si="3772"/>
        <v>&lt;/li&gt;&lt;li&gt;&lt;a href=|http://gwt.scripturetext.com/matthew/15.htm| title=|God's Word Translation| target=|_top|&gt;GWT&lt;/a&gt;</v>
      </c>
      <c r="Q944" t="str">
        <f t="shared" si="3772"/>
        <v>&lt;/li&gt;&lt;li&gt;&lt;a href=|http://kingjbible.com/matthew/15.htm| title=|King James Bible| target=|_top|&gt;KJV&lt;/a&gt;</v>
      </c>
      <c r="R944" t="str">
        <f t="shared" si="3772"/>
        <v>&lt;/li&gt;&lt;li&gt;&lt;a href=|http://asvbible.com/matthew/15.htm| title=|American Standard Version| target=|_top|&gt;ASV&lt;/a&gt;</v>
      </c>
      <c r="S944" t="str">
        <f t="shared" si="3772"/>
        <v>&lt;/li&gt;&lt;li&gt;&lt;a href=|http://drb.scripturetext.com/matthew/15.htm| title=|Douay-Rheims Bible| target=|_top|&gt;DRB&lt;/a&gt;</v>
      </c>
      <c r="T944" t="str">
        <f t="shared" si="3772"/>
        <v>&lt;/li&gt;&lt;li&gt;&lt;a href=|http://erv.scripturetext.com/matthew/15.htm| title=|English Revised Version| target=|_top|&gt;ERV&lt;/a&gt;</v>
      </c>
      <c r="U944" t="str">
        <f>CONCATENATE("&lt;/li&gt;&lt;li&gt;&lt;a href=|http://",U1191,"/matthew/15.htm","| ","title=|",U1190,"| target=|_top|&gt;",U1192,"&lt;/a&gt;")</f>
        <v>&lt;/li&gt;&lt;li&gt;&lt;a href=|http://study.interlinearbible.org/matthew/15.htm| title=|Greek Study Bible| target=|_top|&gt;Grk Study&lt;/a&gt;</v>
      </c>
      <c r="W944" t="str">
        <f t="shared" si="3772"/>
        <v>&lt;/li&gt;&lt;li&gt;&lt;a href=|http://apostolic.interlinearbible.org/matthew/15.htm| title=|Apostolic Bible Polyglot Interlinear| target=|_top|&gt;Polyglot&lt;/a&gt;</v>
      </c>
      <c r="X944" t="str">
        <f t="shared" si="3772"/>
        <v>&lt;/li&gt;&lt;li&gt;&lt;a href=|http://interlinearbible.org/matthew/15.htm| title=|Interlinear Bible| target=|_top|&gt;Interlin&lt;/a&gt;</v>
      </c>
      <c r="Y944" t="str">
        <f t="shared" ref="Y944" si="3773">CONCATENATE("&lt;/li&gt;&lt;li&gt;&lt;a href=|http://",Y1191,"/matthew/15.htm","| ","title=|",Y1190,"| target=|_top|&gt;",Y1192,"&lt;/a&gt;")</f>
        <v>&lt;/li&gt;&lt;li&gt;&lt;a href=|http://bibleoutline.org/matthew/15.htm| title=|Outline with People and Places List| target=|_top|&gt;Outline&lt;/a&gt;</v>
      </c>
      <c r="Z944" t="str">
        <f t="shared" si="3772"/>
        <v>&lt;/li&gt;&lt;li&gt;&lt;a href=|http://kjvs.scripturetext.com/matthew/15.htm| title=|King James Bible with Strong's Numbers| target=|_top|&gt;Strong's&lt;/a&gt;</v>
      </c>
      <c r="AA944" t="str">
        <f t="shared" si="3772"/>
        <v>&lt;/li&gt;&lt;li&gt;&lt;a href=|http://childrensbibleonline.com/matthew/15.htm| title=|The Children's Bible| target=|_top|&gt;Children's&lt;/a&gt;</v>
      </c>
      <c r="AB944" s="2" t="str">
        <f t="shared" si="3772"/>
        <v>&lt;/li&gt;&lt;li&gt;&lt;a href=|http://tsk.scripturetext.com/matthew/15.htm| title=|Treasury of Scripture Knowledge| target=|_top|&gt;TSK&lt;/a&gt;</v>
      </c>
      <c r="AC944" t="str">
        <f>CONCATENATE("&lt;a href=|http://",AC1191,"/matthew/15.htm","| ","title=|",AC1190,"| target=|_top|&gt;",AC1192,"&lt;/a&gt;")</f>
        <v>&lt;a href=|http://parallelbible.com/matthew/15.htm| title=|Parallel Chapters| target=|_top|&gt;PAR&lt;/a&gt;</v>
      </c>
      <c r="AD944" s="2" t="str">
        <f t="shared" ref="AD944:AI944" si="3774">CONCATENATE("&lt;/li&gt;&lt;li&gt;&lt;a href=|http://",AD1191,"/matthew/15.htm","| ","title=|",AD1190,"| target=|_top|&gt;",AD1192,"&lt;/a&gt;")</f>
        <v>&lt;/li&gt;&lt;li&gt;&lt;a href=|http://gsb.biblecommenter.com/matthew/15.htm| title=|Geneva Study Bible| target=|_top|&gt;GSB&lt;/a&gt;</v>
      </c>
      <c r="AE944" s="2" t="str">
        <f t="shared" si="3774"/>
        <v>&lt;/li&gt;&lt;li&gt;&lt;a href=|http://jfb.biblecommenter.com/matthew/15.htm| title=|Jamieson-Fausset-Brown Bible Commentary| target=|_top|&gt;JFB&lt;/a&gt;</v>
      </c>
      <c r="AF944" s="2" t="str">
        <f t="shared" si="3774"/>
        <v>&lt;/li&gt;&lt;li&gt;&lt;a href=|http://kjt.biblecommenter.com/matthew/15.htm| title=|King James Translators' Notes| target=|_top|&gt;KJT&lt;/a&gt;</v>
      </c>
      <c r="AG944" s="2" t="str">
        <f t="shared" si="3774"/>
        <v>&lt;/li&gt;&lt;li&gt;&lt;a href=|http://mhc.biblecommenter.com/matthew/15.htm| title=|Matthew Henry's Concise Commentary| target=|_top|&gt;MHC&lt;/a&gt;</v>
      </c>
      <c r="AH944" s="2" t="str">
        <f t="shared" si="3774"/>
        <v>&lt;/li&gt;&lt;li&gt;&lt;a href=|http://sco.biblecommenter.com/matthew/15.htm| title=|Scofield Reference Notes| target=|_top|&gt;SCO&lt;/a&gt;</v>
      </c>
      <c r="AI944" s="2" t="str">
        <f t="shared" si="3774"/>
        <v>&lt;/li&gt;&lt;li&gt;&lt;a href=|http://wes.biblecommenter.com/matthew/15.htm| title=|Wesley's Notes on the Bible| target=|_top|&gt;WES&lt;/a&gt;</v>
      </c>
      <c r="AJ944" t="str">
        <f>CONCATENATE("&lt;/li&gt;&lt;li&gt;&lt;a href=|http://",AJ1191,"/matthew/15.htm","| ","title=|",AJ1190,"| target=|_top|&gt;",AJ1192,"&lt;/a&gt;")</f>
        <v>&lt;/li&gt;&lt;li&gt;&lt;a href=|http://worldebible.com/matthew/15.htm| title=|World English Bible| target=|_top|&gt;WEB&lt;/a&gt;</v>
      </c>
      <c r="AK944" t="str">
        <f>CONCATENATE("&lt;/li&gt;&lt;li&gt;&lt;a href=|http://",AK1191,"/matthew/15.htm","| ","title=|",AK1190,"| target=|_top|&gt;",AK1192,"&lt;/a&gt;")</f>
        <v>&lt;/li&gt;&lt;li&gt;&lt;a href=|http://yltbible.com/matthew/15.htm| title=|Young's Literal Translation| target=|_top|&gt;YLT&lt;/a&gt;</v>
      </c>
      <c r="AL944" t="str">
        <f>CONCATENATE("&lt;a href=|http://",AL1191,"/matthew/15.htm","| ","title=|",AL1190,"| target=|_top|&gt;",AL1192,"&lt;/a&gt;")</f>
        <v>&lt;a href=|http://kjv.us/matthew/15.htm| title=|American King James Version| target=|_top|&gt;AKJ&lt;/a&gt;</v>
      </c>
      <c r="AM944" t="str">
        <f t="shared" ref="AM944:AS944" si="3775">CONCATENATE("&lt;/li&gt;&lt;li&gt;&lt;a href=|http://",AM1191,"/matthew/15.htm","| ","title=|",AM1190,"| target=|_top|&gt;",AM1192,"&lt;/a&gt;")</f>
        <v>&lt;/li&gt;&lt;li&gt;&lt;a href=|http://basicenglishbible.com/matthew/15.htm| title=|Bible in Basic English| target=|_top|&gt;BBE&lt;/a&gt;</v>
      </c>
      <c r="AN944" t="str">
        <f t="shared" si="3775"/>
        <v>&lt;/li&gt;&lt;li&gt;&lt;a href=|http://darbybible.com/matthew/15.htm| title=|Darby Bible Translation| target=|_top|&gt;DBY&lt;/a&gt;</v>
      </c>
      <c r="AO944" t="str">
        <f t="shared" si="3775"/>
        <v>&lt;/li&gt;&lt;li&gt;&lt;a href=|http://isv.scripturetext.com/matthew/15.htm| title=|International Standard Version| target=|_top|&gt;ISV&lt;/a&gt;</v>
      </c>
      <c r="AP944" t="str">
        <f t="shared" si="3775"/>
        <v>&lt;/li&gt;&lt;li&gt;&lt;a href=|http://tnt.scripturetext.com/matthew/15.htm| title=|Tyndale New Testament| target=|_top|&gt;TNT&lt;/a&gt;</v>
      </c>
      <c r="AQ944" s="2" t="str">
        <f t="shared" si="3775"/>
        <v>&lt;/li&gt;&lt;li&gt;&lt;a href=|http://pnt.biblecommenter.com/matthew/15.htm| title=|People's New Testament| target=|_top|&gt;PNT&lt;/a&gt;</v>
      </c>
      <c r="AR944" t="str">
        <f t="shared" si="3775"/>
        <v>&lt;/li&gt;&lt;li&gt;&lt;a href=|http://websterbible.com/matthew/15.htm| title=|Webster's Bible Translation| target=|_top|&gt;WBS&lt;/a&gt;</v>
      </c>
      <c r="AS944" t="str">
        <f t="shared" si="3775"/>
        <v>&lt;/li&gt;&lt;li&gt;&lt;a href=|http://weymouthbible.com/matthew/15.htm| title=|Weymouth New Testament| target=|_top|&gt;WEY&lt;/a&gt;</v>
      </c>
      <c r="AT944" t="str">
        <f>CONCATENATE("&lt;/li&gt;&lt;li&gt;&lt;a href=|http://",AT1191,"/matthew/15-1.htm","| ","title=|",AT1190,"| target=|_top|&gt;",AT1192,"&lt;/a&gt;")</f>
        <v>&lt;/li&gt;&lt;li&gt;&lt;a href=|http://biblebrowser.com/matthew/15-1.htm| title=|Split View| target=|_top|&gt;Split&lt;/a&gt;</v>
      </c>
      <c r="AU944" s="2" t="s">
        <v>1276</v>
      </c>
      <c r="AV944" t="s">
        <v>64</v>
      </c>
    </row>
    <row r="945" spans="1:48">
      <c r="A945" t="s">
        <v>622</v>
      </c>
      <c r="B945" t="s">
        <v>986</v>
      </c>
      <c r="C945" t="s">
        <v>624</v>
      </c>
      <c r="D945" t="s">
        <v>1268</v>
      </c>
      <c r="E945" t="s">
        <v>1277</v>
      </c>
      <c r="F945" t="s">
        <v>1304</v>
      </c>
      <c r="G945" t="s">
        <v>1266</v>
      </c>
      <c r="H945" t="s">
        <v>1305</v>
      </c>
      <c r="I945" t="s">
        <v>1303</v>
      </c>
      <c r="J945" t="s">
        <v>1267</v>
      </c>
      <c r="K945" t="s">
        <v>1275</v>
      </c>
      <c r="L945" s="2" t="s">
        <v>1274</v>
      </c>
      <c r="M945" t="str">
        <f t="shared" ref="M945:AB945" si="3776">CONCATENATE("&lt;/li&gt;&lt;li&gt;&lt;a href=|http://",M1191,"/matthew/16.htm","| ","title=|",M1190,"| target=|_top|&gt;",M1192,"&lt;/a&gt;")</f>
        <v>&lt;/li&gt;&lt;li&gt;&lt;a href=|http://niv.scripturetext.com/matthew/16.htm| title=|New International Version| target=|_top|&gt;NIV&lt;/a&gt;</v>
      </c>
      <c r="N945" t="str">
        <f t="shared" si="3776"/>
        <v>&lt;/li&gt;&lt;li&gt;&lt;a href=|http://nlt.scripturetext.com/matthew/16.htm| title=|New Living Translation| target=|_top|&gt;NLT&lt;/a&gt;</v>
      </c>
      <c r="O945" t="str">
        <f t="shared" si="3776"/>
        <v>&lt;/li&gt;&lt;li&gt;&lt;a href=|http://nasb.scripturetext.com/matthew/16.htm| title=|New American Standard Bible| target=|_top|&gt;NAS&lt;/a&gt;</v>
      </c>
      <c r="P945" t="str">
        <f t="shared" si="3776"/>
        <v>&lt;/li&gt;&lt;li&gt;&lt;a href=|http://gwt.scripturetext.com/matthew/16.htm| title=|God's Word Translation| target=|_top|&gt;GWT&lt;/a&gt;</v>
      </c>
      <c r="Q945" t="str">
        <f t="shared" si="3776"/>
        <v>&lt;/li&gt;&lt;li&gt;&lt;a href=|http://kingjbible.com/matthew/16.htm| title=|King James Bible| target=|_top|&gt;KJV&lt;/a&gt;</v>
      </c>
      <c r="R945" t="str">
        <f t="shared" si="3776"/>
        <v>&lt;/li&gt;&lt;li&gt;&lt;a href=|http://asvbible.com/matthew/16.htm| title=|American Standard Version| target=|_top|&gt;ASV&lt;/a&gt;</v>
      </c>
      <c r="S945" t="str">
        <f t="shared" si="3776"/>
        <v>&lt;/li&gt;&lt;li&gt;&lt;a href=|http://drb.scripturetext.com/matthew/16.htm| title=|Douay-Rheims Bible| target=|_top|&gt;DRB&lt;/a&gt;</v>
      </c>
      <c r="T945" t="str">
        <f t="shared" si="3776"/>
        <v>&lt;/li&gt;&lt;li&gt;&lt;a href=|http://erv.scripturetext.com/matthew/16.htm| title=|English Revised Version| target=|_top|&gt;ERV&lt;/a&gt;</v>
      </c>
      <c r="U945" t="str">
        <f>CONCATENATE("&lt;/li&gt;&lt;li&gt;&lt;a href=|http://",U1191,"/matthew/16.htm","| ","title=|",U1190,"| target=|_top|&gt;",U1192,"&lt;/a&gt;")</f>
        <v>&lt;/li&gt;&lt;li&gt;&lt;a href=|http://study.interlinearbible.org/matthew/16.htm| title=|Greek Study Bible| target=|_top|&gt;Grk Study&lt;/a&gt;</v>
      </c>
      <c r="W945" t="str">
        <f t="shared" si="3776"/>
        <v>&lt;/li&gt;&lt;li&gt;&lt;a href=|http://apostolic.interlinearbible.org/matthew/16.htm| title=|Apostolic Bible Polyglot Interlinear| target=|_top|&gt;Polyglot&lt;/a&gt;</v>
      </c>
      <c r="X945" t="str">
        <f t="shared" si="3776"/>
        <v>&lt;/li&gt;&lt;li&gt;&lt;a href=|http://interlinearbible.org/matthew/16.htm| title=|Interlinear Bible| target=|_top|&gt;Interlin&lt;/a&gt;</v>
      </c>
      <c r="Y945" t="str">
        <f t="shared" ref="Y945" si="3777">CONCATENATE("&lt;/li&gt;&lt;li&gt;&lt;a href=|http://",Y1191,"/matthew/16.htm","| ","title=|",Y1190,"| target=|_top|&gt;",Y1192,"&lt;/a&gt;")</f>
        <v>&lt;/li&gt;&lt;li&gt;&lt;a href=|http://bibleoutline.org/matthew/16.htm| title=|Outline with People and Places List| target=|_top|&gt;Outline&lt;/a&gt;</v>
      </c>
      <c r="Z945" t="str">
        <f t="shared" si="3776"/>
        <v>&lt;/li&gt;&lt;li&gt;&lt;a href=|http://kjvs.scripturetext.com/matthew/16.htm| title=|King James Bible with Strong's Numbers| target=|_top|&gt;Strong's&lt;/a&gt;</v>
      </c>
      <c r="AA945" t="str">
        <f t="shared" si="3776"/>
        <v>&lt;/li&gt;&lt;li&gt;&lt;a href=|http://childrensbibleonline.com/matthew/16.htm| title=|The Children's Bible| target=|_top|&gt;Children's&lt;/a&gt;</v>
      </c>
      <c r="AB945" s="2" t="str">
        <f t="shared" si="3776"/>
        <v>&lt;/li&gt;&lt;li&gt;&lt;a href=|http://tsk.scripturetext.com/matthew/16.htm| title=|Treasury of Scripture Knowledge| target=|_top|&gt;TSK&lt;/a&gt;</v>
      </c>
      <c r="AC945" t="str">
        <f>CONCATENATE("&lt;a href=|http://",AC1191,"/matthew/16.htm","| ","title=|",AC1190,"| target=|_top|&gt;",AC1192,"&lt;/a&gt;")</f>
        <v>&lt;a href=|http://parallelbible.com/matthew/16.htm| title=|Parallel Chapters| target=|_top|&gt;PAR&lt;/a&gt;</v>
      </c>
      <c r="AD945" s="2" t="str">
        <f t="shared" ref="AD945:AI945" si="3778">CONCATENATE("&lt;/li&gt;&lt;li&gt;&lt;a href=|http://",AD1191,"/matthew/16.htm","| ","title=|",AD1190,"| target=|_top|&gt;",AD1192,"&lt;/a&gt;")</f>
        <v>&lt;/li&gt;&lt;li&gt;&lt;a href=|http://gsb.biblecommenter.com/matthew/16.htm| title=|Geneva Study Bible| target=|_top|&gt;GSB&lt;/a&gt;</v>
      </c>
      <c r="AE945" s="2" t="str">
        <f t="shared" si="3778"/>
        <v>&lt;/li&gt;&lt;li&gt;&lt;a href=|http://jfb.biblecommenter.com/matthew/16.htm| title=|Jamieson-Fausset-Brown Bible Commentary| target=|_top|&gt;JFB&lt;/a&gt;</v>
      </c>
      <c r="AF945" s="2" t="str">
        <f t="shared" si="3778"/>
        <v>&lt;/li&gt;&lt;li&gt;&lt;a href=|http://kjt.biblecommenter.com/matthew/16.htm| title=|King James Translators' Notes| target=|_top|&gt;KJT&lt;/a&gt;</v>
      </c>
      <c r="AG945" s="2" t="str">
        <f t="shared" si="3778"/>
        <v>&lt;/li&gt;&lt;li&gt;&lt;a href=|http://mhc.biblecommenter.com/matthew/16.htm| title=|Matthew Henry's Concise Commentary| target=|_top|&gt;MHC&lt;/a&gt;</v>
      </c>
      <c r="AH945" s="2" t="str">
        <f t="shared" si="3778"/>
        <v>&lt;/li&gt;&lt;li&gt;&lt;a href=|http://sco.biblecommenter.com/matthew/16.htm| title=|Scofield Reference Notes| target=|_top|&gt;SCO&lt;/a&gt;</v>
      </c>
      <c r="AI945" s="2" t="str">
        <f t="shared" si="3778"/>
        <v>&lt;/li&gt;&lt;li&gt;&lt;a href=|http://wes.biblecommenter.com/matthew/16.htm| title=|Wesley's Notes on the Bible| target=|_top|&gt;WES&lt;/a&gt;</v>
      </c>
      <c r="AJ945" t="str">
        <f>CONCATENATE("&lt;/li&gt;&lt;li&gt;&lt;a href=|http://",AJ1191,"/matthew/16.htm","| ","title=|",AJ1190,"| target=|_top|&gt;",AJ1192,"&lt;/a&gt;")</f>
        <v>&lt;/li&gt;&lt;li&gt;&lt;a href=|http://worldebible.com/matthew/16.htm| title=|World English Bible| target=|_top|&gt;WEB&lt;/a&gt;</v>
      </c>
      <c r="AK945" t="str">
        <f>CONCATENATE("&lt;/li&gt;&lt;li&gt;&lt;a href=|http://",AK1191,"/matthew/16.htm","| ","title=|",AK1190,"| target=|_top|&gt;",AK1192,"&lt;/a&gt;")</f>
        <v>&lt;/li&gt;&lt;li&gt;&lt;a href=|http://yltbible.com/matthew/16.htm| title=|Young's Literal Translation| target=|_top|&gt;YLT&lt;/a&gt;</v>
      </c>
      <c r="AL945" t="str">
        <f>CONCATENATE("&lt;a href=|http://",AL1191,"/matthew/16.htm","| ","title=|",AL1190,"| target=|_top|&gt;",AL1192,"&lt;/a&gt;")</f>
        <v>&lt;a href=|http://kjv.us/matthew/16.htm| title=|American King James Version| target=|_top|&gt;AKJ&lt;/a&gt;</v>
      </c>
      <c r="AM945" t="str">
        <f t="shared" ref="AM945:AS945" si="3779">CONCATENATE("&lt;/li&gt;&lt;li&gt;&lt;a href=|http://",AM1191,"/matthew/16.htm","| ","title=|",AM1190,"| target=|_top|&gt;",AM1192,"&lt;/a&gt;")</f>
        <v>&lt;/li&gt;&lt;li&gt;&lt;a href=|http://basicenglishbible.com/matthew/16.htm| title=|Bible in Basic English| target=|_top|&gt;BBE&lt;/a&gt;</v>
      </c>
      <c r="AN945" t="str">
        <f t="shared" si="3779"/>
        <v>&lt;/li&gt;&lt;li&gt;&lt;a href=|http://darbybible.com/matthew/16.htm| title=|Darby Bible Translation| target=|_top|&gt;DBY&lt;/a&gt;</v>
      </c>
      <c r="AO945" t="str">
        <f t="shared" si="3779"/>
        <v>&lt;/li&gt;&lt;li&gt;&lt;a href=|http://isv.scripturetext.com/matthew/16.htm| title=|International Standard Version| target=|_top|&gt;ISV&lt;/a&gt;</v>
      </c>
      <c r="AP945" t="str">
        <f t="shared" si="3779"/>
        <v>&lt;/li&gt;&lt;li&gt;&lt;a href=|http://tnt.scripturetext.com/matthew/16.htm| title=|Tyndale New Testament| target=|_top|&gt;TNT&lt;/a&gt;</v>
      </c>
      <c r="AQ945" s="2" t="str">
        <f t="shared" si="3779"/>
        <v>&lt;/li&gt;&lt;li&gt;&lt;a href=|http://pnt.biblecommenter.com/matthew/16.htm| title=|People's New Testament| target=|_top|&gt;PNT&lt;/a&gt;</v>
      </c>
      <c r="AR945" t="str">
        <f t="shared" si="3779"/>
        <v>&lt;/li&gt;&lt;li&gt;&lt;a href=|http://websterbible.com/matthew/16.htm| title=|Webster's Bible Translation| target=|_top|&gt;WBS&lt;/a&gt;</v>
      </c>
      <c r="AS945" t="str">
        <f t="shared" si="3779"/>
        <v>&lt;/li&gt;&lt;li&gt;&lt;a href=|http://weymouthbible.com/matthew/16.htm| title=|Weymouth New Testament| target=|_top|&gt;WEY&lt;/a&gt;</v>
      </c>
      <c r="AT945" t="str">
        <f>CONCATENATE("&lt;/li&gt;&lt;li&gt;&lt;a href=|http://",AT1191,"/matthew/16-1.htm","| ","title=|",AT1190,"| target=|_top|&gt;",AT1192,"&lt;/a&gt;")</f>
        <v>&lt;/li&gt;&lt;li&gt;&lt;a href=|http://biblebrowser.com/matthew/16-1.htm| title=|Split View| target=|_top|&gt;Split&lt;/a&gt;</v>
      </c>
      <c r="AU945" s="2" t="s">
        <v>1276</v>
      </c>
      <c r="AV945" t="s">
        <v>64</v>
      </c>
    </row>
    <row r="946" spans="1:48">
      <c r="A946" t="s">
        <v>622</v>
      </c>
      <c r="B946" t="s">
        <v>987</v>
      </c>
      <c r="C946" t="s">
        <v>624</v>
      </c>
      <c r="D946" t="s">
        <v>1268</v>
      </c>
      <c r="E946" t="s">
        <v>1277</v>
      </c>
      <c r="F946" t="s">
        <v>1304</v>
      </c>
      <c r="G946" t="s">
        <v>1266</v>
      </c>
      <c r="H946" t="s">
        <v>1305</v>
      </c>
      <c r="I946" t="s">
        <v>1303</v>
      </c>
      <c r="J946" t="s">
        <v>1267</v>
      </c>
      <c r="K946" t="s">
        <v>1275</v>
      </c>
      <c r="L946" s="2" t="s">
        <v>1274</v>
      </c>
      <c r="M946" t="str">
        <f t="shared" ref="M946:AB946" si="3780">CONCATENATE("&lt;/li&gt;&lt;li&gt;&lt;a href=|http://",M1191,"/matthew/17.htm","| ","title=|",M1190,"| target=|_top|&gt;",M1192,"&lt;/a&gt;")</f>
        <v>&lt;/li&gt;&lt;li&gt;&lt;a href=|http://niv.scripturetext.com/matthew/17.htm| title=|New International Version| target=|_top|&gt;NIV&lt;/a&gt;</v>
      </c>
      <c r="N946" t="str">
        <f t="shared" si="3780"/>
        <v>&lt;/li&gt;&lt;li&gt;&lt;a href=|http://nlt.scripturetext.com/matthew/17.htm| title=|New Living Translation| target=|_top|&gt;NLT&lt;/a&gt;</v>
      </c>
      <c r="O946" t="str">
        <f t="shared" si="3780"/>
        <v>&lt;/li&gt;&lt;li&gt;&lt;a href=|http://nasb.scripturetext.com/matthew/17.htm| title=|New American Standard Bible| target=|_top|&gt;NAS&lt;/a&gt;</v>
      </c>
      <c r="P946" t="str">
        <f t="shared" si="3780"/>
        <v>&lt;/li&gt;&lt;li&gt;&lt;a href=|http://gwt.scripturetext.com/matthew/17.htm| title=|God's Word Translation| target=|_top|&gt;GWT&lt;/a&gt;</v>
      </c>
      <c r="Q946" t="str">
        <f t="shared" si="3780"/>
        <v>&lt;/li&gt;&lt;li&gt;&lt;a href=|http://kingjbible.com/matthew/17.htm| title=|King James Bible| target=|_top|&gt;KJV&lt;/a&gt;</v>
      </c>
      <c r="R946" t="str">
        <f t="shared" si="3780"/>
        <v>&lt;/li&gt;&lt;li&gt;&lt;a href=|http://asvbible.com/matthew/17.htm| title=|American Standard Version| target=|_top|&gt;ASV&lt;/a&gt;</v>
      </c>
      <c r="S946" t="str">
        <f t="shared" si="3780"/>
        <v>&lt;/li&gt;&lt;li&gt;&lt;a href=|http://drb.scripturetext.com/matthew/17.htm| title=|Douay-Rheims Bible| target=|_top|&gt;DRB&lt;/a&gt;</v>
      </c>
      <c r="T946" t="str">
        <f t="shared" si="3780"/>
        <v>&lt;/li&gt;&lt;li&gt;&lt;a href=|http://erv.scripturetext.com/matthew/17.htm| title=|English Revised Version| target=|_top|&gt;ERV&lt;/a&gt;</v>
      </c>
      <c r="U946" t="str">
        <f>CONCATENATE("&lt;/li&gt;&lt;li&gt;&lt;a href=|http://",U1191,"/matthew/17.htm","| ","title=|",U1190,"| target=|_top|&gt;",U1192,"&lt;/a&gt;")</f>
        <v>&lt;/li&gt;&lt;li&gt;&lt;a href=|http://study.interlinearbible.org/matthew/17.htm| title=|Greek Study Bible| target=|_top|&gt;Grk Study&lt;/a&gt;</v>
      </c>
      <c r="W946" t="str">
        <f t="shared" si="3780"/>
        <v>&lt;/li&gt;&lt;li&gt;&lt;a href=|http://apostolic.interlinearbible.org/matthew/17.htm| title=|Apostolic Bible Polyglot Interlinear| target=|_top|&gt;Polyglot&lt;/a&gt;</v>
      </c>
      <c r="X946" t="str">
        <f t="shared" si="3780"/>
        <v>&lt;/li&gt;&lt;li&gt;&lt;a href=|http://interlinearbible.org/matthew/17.htm| title=|Interlinear Bible| target=|_top|&gt;Interlin&lt;/a&gt;</v>
      </c>
      <c r="Y946" t="str">
        <f t="shared" ref="Y946" si="3781">CONCATENATE("&lt;/li&gt;&lt;li&gt;&lt;a href=|http://",Y1191,"/matthew/17.htm","| ","title=|",Y1190,"| target=|_top|&gt;",Y1192,"&lt;/a&gt;")</f>
        <v>&lt;/li&gt;&lt;li&gt;&lt;a href=|http://bibleoutline.org/matthew/17.htm| title=|Outline with People and Places List| target=|_top|&gt;Outline&lt;/a&gt;</v>
      </c>
      <c r="Z946" t="str">
        <f t="shared" si="3780"/>
        <v>&lt;/li&gt;&lt;li&gt;&lt;a href=|http://kjvs.scripturetext.com/matthew/17.htm| title=|King James Bible with Strong's Numbers| target=|_top|&gt;Strong's&lt;/a&gt;</v>
      </c>
      <c r="AA946" t="str">
        <f t="shared" si="3780"/>
        <v>&lt;/li&gt;&lt;li&gt;&lt;a href=|http://childrensbibleonline.com/matthew/17.htm| title=|The Children's Bible| target=|_top|&gt;Children's&lt;/a&gt;</v>
      </c>
      <c r="AB946" s="2" t="str">
        <f t="shared" si="3780"/>
        <v>&lt;/li&gt;&lt;li&gt;&lt;a href=|http://tsk.scripturetext.com/matthew/17.htm| title=|Treasury of Scripture Knowledge| target=|_top|&gt;TSK&lt;/a&gt;</v>
      </c>
      <c r="AC946" t="str">
        <f>CONCATENATE("&lt;a href=|http://",AC1191,"/matthew/17.htm","| ","title=|",AC1190,"| target=|_top|&gt;",AC1192,"&lt;/a&gt;")</f>
        <v>&lt;a href=|http://parallelbible.com/matthew/17.htm| title=|Parallel Chapters| target=|_top|&gt;PAR&lt;/a&gt;</v>
      </c>
      <c r="AD946" s="2" t="str">
        <f t="shared" ref="AD946:AI946" si="3782">CONCATENATE("&lt;/li&gt;&lt;li&gt;&lt;a href=|http://",AD1191,"/matthew/17.htm","| ","title=|",AD1190,"| target=|_top|&gt;",AD1192,"&lt;/a&gt;")</f>
        <v>&lt;/li&gt;&lt;li&gt;&lt;a href=|http://gsb.biblecommenter.com/matthew/17.htm| title=|Geneva Study Bible| target=|_top|&gt;GSB&lt;/a&gt;</v>
      </c>
      <c r="AE946" s="2" t="str">
        <f t="shared" si="3782"/>
        <v>&lt;/li&gt;&lt;li&gt;&lt;a href=|http://jfb.biblecommenter.com/matthew/17.htm| title=|Jamieson-Fausset-Brown Bible Commentary| target=|_top|&gt;JFB&lt;/a&gt;</v>
      </c>
      <c r="AF946" s="2" t="str">
        <f t="shared" si="3782"/>
        <v>&lt;/li&gt;&lt;li&gt;&lt;a href=|http://kjt.biblecommenter.com/matthew/17.htm| title=|King James Translators' Notes| target=|_top|&gt;KJT&lt;/a&gt;</v>
      </c>
      <c r="AG946" s="2" t="str">
        <f t="shared" si="3782"/>
        <v>&lt;/li&gt;&lt;li&gt;&lt;a href=|http://mhc.biblecommenter.com/matthew/17.htm| title=|Matthew Henry's Concise Commentary| target=|_top|&gt;MHC&lt;/a&gt;</v>
      </c>
      <c r="AH946" s="2" t="str">
        <f t="shared" si="3782"/>
        <v>&lt;/li&gt;&lt;li&gt;&lt;a href=|http://sco.biblecommenter.com/matthew/17.htm| title=|Scofield Reference Notes| target=|_top|&gt;SCO&lt;/a&gt;</v>
      </c>
      <c r="AI946" s="2" t="str">
        <f t="shared" si="3782"/>
        <v>&lt;/li&gt;&lt;li&gt;&lt;a href=|http://wes.biblecommenter.com/matthew/17.htm| title=|Wesley's Notes on the Bible| target=|_top|&gt;WES&lt;/a&gt;</v>
      </c>
      <c r="AJ946" t="str">
        <f>CONCATENATE("&lt;/li&gt;&lt;li&gt;&lt;a href=|http://",AJ1191,"/matthew/17.htm","| ","title=|",AJ1190,"| target=|_top|&gt;",AJ1192,"&lt;/a&gt;")</f>
        <v>&lt;/li&gt;&lt;li&gt;&lt;a href=|http://worldebible.com/matthew/17.htm| title=|World English Bible| target=|_top|&gt;WEB&lt;/a&gt;</v>
      </c>
      <c r="AK946" t="str">
        <f>CONCATENATE("&lt;/li&gt;&lt;li&gt;&lt;a href=|http://",AK1191,"/matthew/17.htm","| ","title=|",AK1190,"| target=|_top|&gt;",AK1192,"&lt;/a&gt;")</f>
        <v>&lt;/li&gt;&lt;li&gt;&lt;a href=|http://yltbible.com/matthew/17.htm| title=|Young's Literal Translation| target=|_top|&gt;YLT&lt;/a&gt;</v>
      </c>
      <c r="AL946" t="str">
        <f>CONCATENATE("&lt;a href=|http://",AL1191,"/matthew/17.htm","| ","title=|",AL1190,"| target=|_top|&gt;",AL1192,"&lt;/a&gt;")</f>
        <v>&lt;a href=|http://kjv.us/matthew/17.htm| title=|American King James Version| target=|_top|&gt;AKJ&lt;/a&gt;</v>
      </c>
      <c r="AM946" t="str">
        <f t="shared" ref="AM946:AS946" si="3783">CONCATENATE("&lt;/li&gt;&lt;li&gt;&lt;a href=|http://",AM1191,"/matthew/17.htm","| ","title=|",AM1190,"| target=|_top|&gt;",AM1192,"&lt;/a&gt;")</f>
        <v>&lt;/li&gt;&lt;li&gt;&lt;a href=|http://basicenglishbible.com/matthew/17.htm| title=|Bible in Basic English| target=|_top|&gt;BBE&lt;/a&gt;</v>
      </c>
      <c r="AN946" t="str">
        <f t="shared" si="3783"/>
        <v>&lt;/li&gt;&lt;li&gt;&lt;a href=|http://darbybible.com/matthew/17.htm| title=|Darby Bible Translation| target=|_top|&gt;DBY&lt;/a&gt;</v>
      </c>
      <c r="AO946" t="str">
        <f t="shared" si="3783"/>
        <v>&lt;/li&gt;&lt;li&gt;&lt;a href=|http://isv.scripturetext.com/matthew/17.htm| title=|International Standard Version| target=|_top|&gt;ISV&lt;/a&gt;</v>
      </c>
      <c r="AP946" t="str">
        <f t="shared" si="3783"/>
        <v>&lt;/li&gt;&lt;li&gt;&lt;a href=|http://tnt.scripturetext.com/matthew/17.htm| title=|Tyndale New Testament| target=|_top|&gt;TNT&lt;/a&gt;</v>
      </c>
      <c r="AQ946" s="2" t="str">
        <f t="shared" si="3783"/>
        <v>&lt;/li&gt;&lt;li&gt;&lt;a href=|http://pnt.biblecommenter.com/matthew/17.htm| title=|People's New Testament| target=|_top|&gt;PNT&lt;/a&gt;</v>
      </c>
      <c r="AR946" t="str">
        <f t="shared" si="3783"/>
        <v>&lt;/li&gt;&lt;li&gt;&lt;a href=|http://websterbible.com/matthew/17.htm| title=|Webster's Bible Translation| target=|_top|&gt;WBS&lt;/a&gt;</v>
      </c>
      <c r="AS946" t="str">
        <f t="shared" si="3783"/>
        <v>&lt;/li&gt;&lt;li&gt;&lt;a href=|http://weymouthbible.com/matthew/17.htm| title=|Weymouth New Testament| target=|_top|&gt;WEY&lt;/a&gt;</v>
      </c>
      <c r="AT946" t="str">
        <f>CONCATENATE("&lt;/li&gt;&lt;li&gt;&lt;a href=|http://",AT1191,"/matthew/17-1.htm","| ","title=|",AT1190,"| target=|_top|&gt;",AT1192,"&lt;/a&gt;")</f>
        <v>&lt;/li&gt;&lt;li&gt;&lt;a href=|http://biblebrowser.com/matthew/17-1.htm| title=|Split View| target=|_top|&gt;Split&lt;/a&gt;</v>
      </c>
      <c r="AU946" s="2" t="s">
        <v>1276</v>
      </c>
      <c r="AV946" t="s">
        <v>64</v>
      </c>
    </row>
    <row r="947" spans="1:48">
      <c r="A947" t="s">
        <v>622</v>
      </c>
      <c r="B947" t="s">
        <v>988</v>
      </c>
      <c r="C947" t="s">
        <v>624</v>
      </c>
      <c r="D947" t="s">
        <v>1268</v>
      </c>
      <c r="E947" t="s">
        <v>1277</v>
      </c>
      <c r="F947" t="s">
        <v>1304</v>
      </c>
      <c r="G947" t="s">
        <v>1266</v>
      </c>
      <c r="H947" t="s">
        <v>1305</v>
      </c>
      <c r="I947" t="s">
        <v>1303</v>
      </c>
      <c r="J947" t="s">
        <v>1267</v>
      </c>
      <c r="K947" t="s">
        <v>1275</v>
      </c>
      <c r="L947" s="2" t="s">
        <v>1274</v>
      </c>
      <c r="M947" t="str">
        <f t="shared" ref="M947:AB947" si="3784">CONCATENATE("&lt;/li&gt;&lt;li&gt;&lt;a href=|http://",M1191,"/matthew/18.htm","| ","title=|",M1190,"| target=|_top|&gt;",M1192,"&lt;/a&gt;")</f>
        <v>&lt;/li&gt;&lt;li&gt;&lt;a href=|http://niv.scripturetext.com/matthew/18.htm| title=|New International Version| target=|_top|&gt;NIV&lt;/a&gt;</v>
      </c>
      <c r="N947" t="str">
        <f t="shared" si="3784"/>
        <v>&lt;/li&gt;&lt;li&gt;&lt;a href=|http://nlt.scripturetext.com/matthew/18.htm| title=|New Living Translation| target=|_top|&gt;NLT&lt;/a&gt;</v>
      </c>
      <c r="O947" t="str">
        <f t="shared" si="3784"/>
        <v>&lt;/li&gt;&lt;li&gt;&lt;a href=|http://nasb.scripturetext.com/matthew/18.htm| title=|New American Standard Bible| target=|_top|&gt;NAS&lt;/a&gt;</v>
      </c>
      <c r="P947" t="str">
        <f t="shared" si="3784"/>
        <v>&lt;/li&gt;&lt;li&gt;&lt;a href=|http://gwt.scripturetext.com/matthew/18.htm| title=|God's Word Translation| target=|_top|&gt;GWT&lt;/a&gt;</v>
      </c>
      <c r="Q947" t="str">
        <f t="shared" si="3784"/>
        <v>&lt;/li&gt;&lt;li&gt;&lt;a href=|http://kingjbible.com/matthew/18.htm| title=|King James Bible| target=|_top|&gt;KJV&lt;/a&gt;</v>
      </c>
      <c r="R947" t="str">
        <f t="shared" si="3784"/>
        <v>&lt;/li&gt;&lt;li&gt;&lt;a href=|http://asvbible.com/matthew/18.htm| title=|American Standard Version| target=|_top|&gt;ASV&lt;/a&gt;</v>
      </c>
      <c r="S947" t="str">
        <f t="shared" si="3784"/>
        <v>&lt;/li&gt;&lt;li&gt;&lt;a href=|http://drb.scripturetext.com/matthew/18.htm| title=|Douay-Rheims Bible| target=|_top|&gt;DRB&lt;/a&gt;</v>
      </c>
      <c r="T947" t="str">
        <f t="shared" si="3784"/>
        <v>&lt;/li&gt;&lt;li&gt;&lt;a href=|http://erv.scripturetext.com/matthew/18.htm| title=|English Revised Version| target=|_top|&gt;ERV&lt;/a&gt;</v>
      </c>
      <c r="U947" t="str">
        <f>CONCATENATE("&lt;/li&gt;&lt;li&gt;&lt;a href=|http://",U1191,"/matthew/18.htm","| ","title=|",U1190,"| target=|_top|&gt;",U1192,"&lt;/a&gt;")</f>
        <v>&lt;/li&gt;&lt;li&gt;&lt;a href=|http://study.interlinearbible.org/matthew/18.htm| title=|Greek Study Bible| target=|_top|&gt;Grk Study&lt;/a&gt;</v>
      </c>
      <c r="W947" t="str">
        <f t="shared" si="3784"/>
        <v>&lt;/li&gt;&lt;li&gt;&lt;a href=|http://apostolic.interlinearbible.org/matthew/18.htm| title=|Apostolic Bible Polyglot Interlinear| target=|_top|&gt;Polyglot&lt;/a&gt;</v>
      </c>
      <c r="X947" t="str">
        <f t="shared" si="3784"/>
        <v>&lt;/li&gt;&lt;li&gt;&lt;a href=|http://interlinearbible.org/matthew/18.htm| title=|Interlinear Bible| target=|_top|&gt;Interlin&lt;/a&gt;</v>
      </c>
      <c r="Y947" t="str">
        <f t="shared" ref="Y947" si="3785">CONCATENATE("&lt;/li&gt;&lt;li&gt;&lt;a href=|http://",Y1191,"/matthew/18.htm","| ","title=|",Y1190,"| target=|_top|&gt;",Y1192,"&lt;/a&gt;")</f>
        <v>&lt;/li&gt;&lt;li&gt;&lt;a href=|http://bibleoutline.org/matthew/18.htm| title=|Outline with People and Places List| target=|_top|&gt;Outline&lt;/a&gt;</v>
      </c>
      <c r="Z947" t="str">
        <f t="shared" si="3784"/>
        <v>&lt;/li&gt;&lt;li&gt;&lt;a href=|http://kjvs.scripturetext.com/matthew/18.htm| title=|King James Bible with Strong's Numbers| target=|_top|&gt;Strong's&lt;/a&gt;</v>
      </c>
      <c r="AA947" t="str">
        <f t="shared" si="3784"/>
        <v>&lt;/li&gt;&lt;li&gt;&lt;a href=|http://childrensbibleonline.com/matthew/18.htm| title=|The Children's Bible| target=|_top|&gt;Children's&lt;/a&gt;</v>
      </c>
      <c r="AB947" s="2" t="str">
        <f t="shared" si="3784"/>
        <v>&lt;/li&gt;&lt;li&gt;&lt;a href=|http://tsk.scripturetext.com/matthew/18.htm| title=|Treasury of Scripture Knowledge| target=|_top|&gt;TSK&lt;/a&gt;</v>
      </c>
      <c r="AC947" t="str">
        <f>CONCATENATE("&lt;a href=|http://",AC1191,"/matthew/18.htm","| ","title=|",AC1190,"| target=|_top|&gt;",AC1192,"&lt;/a&gt;")</f>
        <v>&lt;a href=|http://parallelbible.com/matthew/18.htm| title=|Parallel Chapters| target=|_top|&gt;PAR&lt;/a&gt;</v>
      </c>
      <c r="AD947" s="2" t="str">
        <f t="shared" ref="AD947:AI947" si="3786">CONCATENATE("&lt;/li&gt;&lt;li&gt;&lt;a href=|http://",AD1191,"/matthew/18.htm","| ","title=|",AD1190,"| target=|_top|&gt;",AD1192,"&lt;/a&gt;")</f>
        <v>&lt;/li&gt;&lt;li&gt;&lt;a href=|http://gsb.biblecommenter.com/matthew/18.htm| title=|Geneva Study Bible| target=|_top|&gt;GSB&lt;/a&gt;</v>
      </c>
      <c r="AE947" s="2" t="str">
        <f t="shared" si="3786"/>
        <v>&lt;/li&gt;&lt;li&gt;&lt;a href=|http://jfb.biblecommenter.com/matthew/18.htm| title=|Jamieson-Fausset-Brown Bible Commentary| target=|_top|&gt;JFB&lt;/a&gt;</v>
      </c>
      <c r="AF947" s="2" t="str">
        <f t="shared" si="3786"/>
        <v>&lt;/li&gt;&lt;li&gt;&lt;a href=|http://kjt.biblecommenter.com/matthew/18.htm| title=|King James Translators' Notes| target=|_top|&gt;KJT&lt;/a&gt;</v>
      </c>
      <c r="AG947" s="2" t="str">
        <f t="shared" si="3786"/>
        <v>&lt;/li&gt;&lt;li&gt;&lt;a href=|http://mhc.biblecommenter.com/matthew/18.htm| title=|Matthew Henry's Concise Commentary| target=|_top|&gt;MHC&lt;/a&gt;</v>
      </c>
      <c r="AH947" s="2" t="str">
        <f t="shared" si="3786"/>
        <v>&lt;/li&gt;&lt;li&gt;&lt;a href=|http://sco.biblecommenter.com/matthew/18.htm| title=|Scofield Reference Notes| target=|_top|&gt;SCO&lt;/a&gt;</v>
      </c>
      <c r="AI947" s="2" t="str">
        <f t="shared" si="3786"/>
        <v>&lt;/li&gt;&lt;li&gt;&lt;a href=|http://wes.biblecommenter.com/matthew/18.htm| title=|Wesley's Notes on the Bible| target=|_top|&gt;WES&lt;/a&gt;</v>
      </c>
      <c r="AJ947" t="str">
        <f>CONCATENATE("&lt;/li&gt;&lt;li&gt;&lt;a href=|http://",AJ1191,"/matthew/18.htm","| ","title=|",AJ1190,"| target=|_top|&gt;",AJ1192,"&lt;/a&gt;")</f>
        <v>&lt;/li&gt;&lt;li&gt;&lt;a href=|http://worldebible.com/matthew/18.htm| title=|World English Bible| target=|_top|&gt;WEB&lt;/a&gt;</v>
      </c>
      <c r="AK947" t="str">
        <f>CONCATENATE("&lt;/li&gt;&lt;li&gt;&lt;a href=|http://",AK1191,"/matthew/18.htm","| ","title=|",AK1190,"| target=|_top|&gt;",AK1192,"&lt;/a&gt;")</f>
        <v>&lt;/li&gt;&lt;li&gt;&lt;a href=|http://yltbible.com/matthew/18.htm| title=|Young's Literal Translation| target=|_top|&gt;YLT&lt;/a&gt;</v>
      </c>
      <c r="AL947" t="str">
        <f>CONCATENATE("&lt;a href=|http://",AL1191,"/matthew/18.htm","| ","title=|",AL1190,"| target=|_top|&gt;",AL1192,"&lt;/a&gt;")</f>
        <v>&lt;a href=|http://kjv.us/matthew/18.htm| title=|American King James Version| target=|_top|&gt;AKJ&lt;/a&gt;</v>
      </c>
      <c r="AM947" t="str">
        <f t="shared" ref="AM947:AS947" si="3787">CONCATENATE("&lt;/li&gt;&lt;li&gt;&lt;a href=|http://",AM1191,"/matthew/18.htm","| ","title=|",AM1190,"| target=|_top|&gt;",AM1192,"&lt;/a&gt;")</f>
        <v>&lt;/li&gt;&lt;li&gt;&lt;a href=|http://basicenglishbible.com/matthew/18.htm| title=|Bible in Basic English| target=|_top|&gt;BBE&lt;/a&gt;</v>
      </c>
      <c r="AN947" t="str">
        <f t="shared" si="3787"/>
        <v>&lt;/li&gt;&lt;li&gt;&lt;a href=|http://darbybible.com/matthew/18.htm| title=|Darby Bible Translation| target=|_top|&gt;DBY&lt;/a&gt;</v>
      </c>
      <c r="AO947" t="str">
        <f t="shared" si="3787"/>
        <v>&lt;/li&gt;&lt;li&gt;&lt;a href=|http://isv.scripturetext.com/matthew/18.htm| title=|International Standard Version| target=|_top|&gt;ISV&lt;/a&gt;</v>
      </c>
      <c r="AP947" t="str">
        <f t="shared" si="3787"/>
        <v>&lt;/li&gt;&lt;li&gt;&lt;a href=|http://tnt.scripturetext.com/matthew/18.htm| title=|Tyndale New Testament| target=|_top|&gt;TNT&lt;/a&gt;</v>
      </c>
      <c r="AQ947" s="2" t="str">
        <f t="shared" si="3787"/>
        <v>&lt;/li&gt;&lt;li&gt;&lt;a href=|http://pnt.biblecommenter.com/matthew/18.htm| title=|People's New Testament| target=|_top|&gt;PNT&lt;/a&gt;</v>
      </c>
      <c r="AR947" t="str">
        <f t="shared" si="3787"/>
        <v>&lt;/li&gt;&lt;li&gt;&lt;a href=|http://websterbible.com/matthew/18.htm| title=|Webster's Bible Translation| target=|_top|&gt;WBS&lt;/a&gt;</v>
      </c>
      <c r="AS947" t="str">
        <f t="shared" si="3787"/>
        <v>&lt;/li&gt;&lt;li&gt;&lt;a href=|http://weymouthbible.com/matthew/18.htm| title=|Weymouth New Testament| target=|_top|&gt;WEY&lt;/a&gt;</v>
      </c>
      <c r="AT947" t="str">
        <f>CONCATENATE("&lt;/li&gt;&lt;li&gt;&lt;a href=|http://",AT1191,"/matthew/18-1.htm","| ","title=|",AT1190,"| target=|_top|&gt;",AT1192,"&lt;/a&gt;")</f>
        <v>&lt;/li&gt;&lt;li&gt;&lt;a href=|http://biblebrowser.com/matthew/18-1.htm| title=|Split View| target=|_top|&gt;Split&lt;/a&gt;</v>
      </c>
      <c r="AU947" s="2" t="s">
        <v>1276</v>
      </c>
      <c r="AV947" t="s">
        <v>64</v>
      </c>
    </row>
    <row r="948" spans="1:48">
      <c r="A948" t="s">
        <v>622</v>
      </c>
      <c r="B948" t="s">
        <v>989</v>
      </c>
      <c r="C948" t="s">
        <v>624</v>
      </c>
      <c r="D948" t="s">
        <v>1268</v>
      </c>
      <c r="E948" t="s">
        <v>1277</v>
      </c>
      <c r="F948" t="s">
        <v>1304</v>
      </c>
      <c r="G948" t="s">
        <v>1266</v>
      </c>
      <c r="H948" t="s">
        <v>1305</v>
      </c>
      <c r="I948" t="s">
        <v>1303</v>
      </c>
      <c r="J948" t="s">
        <v>1267</v>
      </c>
      <c r="K948" t="s">
        <v>1275</v>
      </c>
      <c r="L948" s="2" t="s">
        <v>1274</v>
      </c>
      <c r="M948" t="str">
        <f t="shared" ref="M948:AB948" si="3788">CONCATENATE("&lt;/li&gt;&lt;li&gt;&lt;a href=|http://",M1191,"/matthew/19.htm","| ","title=|",M1190,"| target=|_top|&gt;",M1192,"&lt;/a&gt;")</f>
        <v>&lt;/li&gt;&lt;li&gt;&lt;a href=|http://niv.scripturetext.com/matthew/19.htm| title=|New International Version| target=|_top|&gt;NIV&lt;/a&gt;</v>
      </c>
      <c r="N948" t="str">
        <f t="shared" si="3788"/>
        <v>&lt;/li&gt;&lt;li&gt;&lt;a href=|http://nlt.scripturetext.com/matthew/19.htm| title=|New Living Translation| target=|_top|&gt;NLT&lt;/a&gt;</v>
      </c>
      <c r="O948" t="str">
        <f t="shared" si="3788"/>
        <v>&lt;/li&gt;&lt;li&gt;&lt;a href=|http://nasb.scripturetext.com/matthew/19.htm| title=|New American Standard Bible| target=|_top|&gt;NAS&lt;/a&gt;</v>
      </c>
      <c r="P948" t="str">
        <f t="shared" si="3788"/>
        <v>&lt;/li&gt;&lt;li&gt;&lt;a href=|http://gwt.scripturetext.com/matthew/19.htm| title=|God's Word Translation| target=|_top|&gt;GWT&lt;/a&gt;</v>
      </c>
      <c r="Q948" t="str">
        <f t="shared" si="3788"/>
        <v>&lt;/li&gt;&lt;li&gt;&lt;a href=|http://kingjbible.com/matthew/19.htm| title=|King James Bible| target=|_top|&gt;KJV&lt;/a&gt;</v>
      </c>
      <c r="R948" t="str">
        <f t="shared" si="3788"/>
        <v>&lt;/li&gt;&lt;li&gt;&lt;a href=|http://asvbible.com/matthew/19.htm| title=|American Standard Version| target=|_top|&gt;ASV&lt;/a&gt;</v>
      </c>
      <c r="S948" t="str">
        <f t="shared" si="3788"/>
        <v>&lt;/li&gt;&lt;li&gt;&lt;a href=|http://drb.scripturetext.com/matthew/19.htm| title=|Douay-Rheims Bible| target=|_top|&gt;DRB&lt;/a&gt;</v>
      </c>
      <c r="T948" t="str">
        <f t="shared" si="3788"/>
        <v>&lt;/li&gt;&lt;li&gt;&lt;a href=|http://erv.scripturetext.com/matthew/19.htm| title=|English Revised Version| target=|_top|&gt;ERV&lt;/a&gt;</v>
      </c>
      <c r="U948" t="str">
        <f>CONCATENATE("&lt;/li&gt;&lt;li&gt;&lt;a href=|http://",U1191,"/matthew/19.htm","| ","title=|",U1190,"| target=|_top|&gt;",U1192,"&lt;/a&gt;")</f>
        <v>&lt;/li&gt;&lt;li&gt;&lt;a href=|http://study.interlinearbible.org/matthew/19.htm| title=|Greek Study Bible| target=|_top|&gt;Grk Study&lt;/a&gt;</v>
      </c>
      <c r="W948" t="str">
        <f t="shared" si="3788"/>
        <v>&lt;/li&gt;&lt;li&gt;&lt;a href=|http://apostolic.interlinearbible.org/matthew/19.htm| title=|Apostolic Bible Polyglot Interlinear| target=|_top|&gt;Polyglot&lt;/a&gt;</v>
      </c>
      <c r="X948" t="str">
        <f t="shared" si="3788"/>
        <v>&lt;/li&gt;&lt;li&gt;&lt;a href=|http://interlinearbible.org/matthew/19.htm| title=|Interlinear Bible| target=|_top|&gt;Interlin&lt;/a&gt;</v>
      </c>
      <c r="Y948" t="str">
        <f t="shared" ref="Y948" si="3789">CONCATENATE("&lt;/li&gt;&lt;li&gt;&lt;a href=|http://",Y1191,"/matthew/19.htm","| ","title=|",Y1190,"| target=|_top|&gt;",Y1192,"&lt;/a&gt;")</f>
        <v>&lt;/li&gt;&lt;li&gt;&lt;a href=|http://bibleoutline.org/matthew/19.htm| title=|Outline with People and Places List| target=|_top|&gt;Outline&lt;/a&gt;</v>
      </c>
      <c r="Z948" t="str">
        <f t="shared" si="3788"/>
        <v>&lt;/li&gt;&lt;li&gt;&lt;a href=|http://kjvs.scripturetext.com/matthew/19.htm| title=|King James Bible with Strong's Numbers| target=|_top|&gt;Strong's&lt;/a&gt;</v>
      </c>
      <c r="AA948" t="str">
        <f t="shared" si="3788"/>
        <v>&lt;/li&gt;&lt;li&gt;&lt;a href=|http://childrensbibleonline.com/matthew/19.htm| title=|The Children's Bible| target=|_top|&gt;Children's&lt;/a&gt;</v>
      </c>
      <c r="AB948" s="2" t="str">
        <f t="shared" si="3788"/>
        <v>&lt;/li&gt;&lt;li&gt;&lt;a href=|http://tsk.scripturetext.com/matthew/19.htm| title=|Treasury of Scripture Knowledge| target=|_top|&gt;TSK&lt;/a&gt;</v>
      </c>
      <c r="AC948" t="str">
        <f>CONCATENATE("&lt;a href=|http://",AC1191,"/matthew/19.htm","| ","title=|",AC1190,"| target=|_top|&gt;",AC1192,"&lt;/a&gt;")</f>
        <v>&lt;a href=|http://parallelbible.com/matthew/19.htm| title=|Parallel Chapters| target=|_top|&gt;PAR&lt;/a&gt;</v>
      </c>
      <c r="AD948" s="2" t="str">
        <f t="shared" ref="AD948:AI948" si="3790">CONCATENATE("&lt;/li&gt;&lt;li&gt;&lt;a href=|http://",AD1191,"/matthew/19.htm","| ","title=|",AD1190,"| target=|_top|&gt;",AD1192,"&lt;/a&gt;")</f>
        <v>&lt;/li&gt;&lt;li&gt;&lt;a href=|http://gsb.biblecommenter.com/matthew/19.htm| title=|Geneva Study Bible| target=|_top|&gt;GSB&lt;/a&gt;</v>
      </c>
      <c r="AE948" s="2" t="str">
        <f t="shared" si="3790"/>
        <v>&lt;/li&gt;&lt;li&gt;&lt;a href=|http://jfb.biblecommenter.com/matthew/19.htm| title=|Jamieson-Fausset-Brown Bible Commentary| target=|_top|&gt;JFB&lt;/a&gt;</v>
      </c>
      <c r="AF948" s="2" t="str">
        <f t="shared" si="3790"/>
        <v>&lt;/li&gt;&lt;li&gt;&lt;a href=|http://kjt.biblecommenter.com/matthew/19.htm| title=|King James Translators' Notes| target=|_top|&gt;KJT&lt;/a&gt;</v>
      </c>
      <c r="AG948" s="2" t="str">
        <f t="shared" si="3790"/>
        <v>&lt;/li&gt;&lt;li&gt;&lt;a href=|http://mhc.biblecommenter.com/matthew/19.htm| title=|Matthew Henry's Concise Commentary| target=|_top|&gt;MHC&lt;/a&gt;</v>
      </c>
      <c r="AH948" s="2" t="str">
        <f t="shared" si="3790"/>
        <v>&lt;/li&gt;&lt;li&gt;&lt;a href=|http://sco.biblecommenter.com/matthew/19.htm| title=|Scofield Reference Notes| target=|_top|&gt;SCO&lt;/a&gt;</v>
      </c>
      <c r="AI948" s="2" t="str">
        <f t="shared" si="3790"/>
        <v>&lt;/li&gt;&lt;li&gt;&lt;a href=|http://wes.biblecommenter.com/matthew/19.htm| title=|Wesley's Notes on the Bible| target=|_top|&gt;WES&lt;/a&gt;</v>
      </c>
      <c r="AJ948" t="str">
        <f>CONCATENATE("&lt;/li&gt;&lt;li&gt;&lt;a href=|http://",AJ1191,"/matthew/19.htm","| ","title=|",AJ1190,"| target=|_top|&gt;",AJ1192,"&lt;/a&gt;")</f>
        <v>&lt;/li&gt;&lt;li&gt;&lt;a href=|http://worldebible.com/matthew/19.htm| title=|World English Bible| target=|_top|&gt;WEB&lt;/a&gt;</v>
      </c>
      <c r="AK948" t="str">
        <f>CONCATENATE("&lt;/li&gt;&lt;li&gt;&lt;a href=|http://",AK1191,"/matthew/19.htm","| ","title=|",AK1190,"| target=|_top|&gt;",AK1192,"&lt;/a&gt;")</f>
        <v>&lt;/li&gt;&lt;li&gt;&lt;a href=|http://yltbible.com/matthew/19.htm| title=|Young's Literal Translation| target=|_top|&gt;YLT&lt;/a&gt;</v>
      </c>
      <c r="AL948" t="str">
        <f>CONCATENATE("&lt;a href=|http://",AL1191,"/matthew/19.htm","| ","title=|",AL1190,"| target=|_top|&gt;",AL1192,"&lt;/a&gt;")</f>
        <v>&lt;a href=|http://kjv.us/matthew/19.htm| title=|American King James Version| target=|_top|&gt;AKJ&lt;/a&gt;</v>
      </c>
      <c r="AM948" t="str">
        <f t="shared" ref="AM948:AS948" si="3791">CONCATENATE("&lt;/li&gt;&lt;li&gt;&lt;a href=|http://",AM1191,"/matthew/19.htm","| ","title=|",AM1190,"| target=|_top|&gt;",AM1192,"&lt;/a&gt;")</f>
        <v>&lt;/li&gt;&lt;li&gt;&lt;a href=|http://basicenglishbible.com/matthew/19.htm| title=|Bible in Basic English| target=|_top|&gt;BBE&lt;/a&gt;</v>
      </c>
      <c r="AN948" t="str">
        <f t="shared" si="3791"/>
        <v>&lt;/li&gt;&lt;li&gt;&lt;a href=|http://darbybible.com/matthew/19.htm| title=|Darby Bible Translation| target=|_top|&gt;DBY&lt;/a&gt;</v>
      </c>
      <c r="AO948" t="str">
        <f t="shared" si="3791"/>
        <v>&lt;/li&gt;&lt;li&gt;&lt;a href=|http://isv.scripturetext.com/matthew/19.htm| title=|International Standard Version| target=|_top|&gt;ISV&lt;/a&gt;</v>
      </c>
      <c r="AP948" t="str">
        <f t="shared" si="3791"/>
        <v>&lt;/li&gt;&lt;li&gt;&lt;a href=|http://tnt.scripturetext.com/matthew/19.htm| title=|Tyndale New Testament| target=|_top|&gt;TNT&lt;/a&gt;</v>
      </c>
      <c r="AQ948" s="2" t="str">
        <f t="shared" si="3791"/>
        <v>&lt;/li&gt;&lt;li&gt;&lt;a href=|http://pnt.biblecommenter.com/matthew/19.htm| title=|People's New Testament| target=|_top|&gt;PNT&lt;/a&gt;</v>
      </c>
      <c r="AR948" t="str">
        <f t="shared" si="3791"/>
        <v>&lt;/li&gt;&lt;li&gt;&lt;a href=|http://websterbible.com/matthew/19.htm| title=|Webster's Bible Translation| target=|_top|&gt;WBS&lt;/a&gt;</v>
      </c>
      <c r="AS948" t="str">
        <f t="shared" si="3791"/>
        <v>&lt;/li&gt;&lt;li&gt;&lt;a href=|http://weymouthbible.com/matthew/19.htm| title=|Weymouth New Testament| target=|_top|&gt;WEY&lt;/a&gt;</v>
      </c>
      <c r="AT948" t="str">
        <f>CONCATENATE("&lt;/li&gt;&lt;li&gt;&lt;a href=|http://",AT1191,"/matthew/19-1.htm","| ","title=|",AT1190,"| target=|_top|&gt;",AT1192,"&lt;/a&gt;")</f>
        <v>&lt;/li&gt;&lt;li&gt;&lt;a href=|http://biblebrowser.com/matthew/19-1.htm| title=|Split View| target=|_top|&gt;Split&lt;/a&gt;</v>
      </c>
      <c r="AU948" s="2" t="s">
        <v>1276</v>
      </c>
      <c r="AV948" t="s">
        <v>64</v>
      </c>
    </row>
    <row r="949" spans="1:48">
      <c r="A949" t="s">
        <v>622</v>
      </c>
      <c r="B949" t="s">
        <v>990</v>
      </c>
      <c r="C949" t="s">
        <v>624</v>
      </c>
      <c r="D949" t="s">
        <v>1268</v>
      </c>
      <c r="E949" t="s">
        <v>1277</v>
      </c>
      <c r="F949" t="s">
        <v>1304</v>
      </c>
      <c r="G949" t="s">
        <v>1266</v>
      </c>
      <c r="H949" t="s">
        <v>1305</v>
      </c>
      <c r="I949" t="s">
        <v>1303</v>
      </c>
      <c r="J949" t="s">
        <v>1267</v>
      </c>
      <c r="K949" t="s">
        <v>1275</v>
      </c>
      <c r="L949" s="2" t="s">
        <v>1274</v>
      </c>
      <c r="M949" t="str">
        <f t="shared" ref="M949:AB949" si="3792">CONCATENATE("&lt;/li&gt;&lt;li&gt;&lt;a href=|http://",M1191,"/matthew/20.htm","| ","title=|",M1190,"| target=|_top|&gt;",M1192,"&lt;/a&gt;")</f>
        <v>&lt;/li&gt;&lt;li&gt;&lt;a href=|http://niv.scripturetext.com/matthew/20.htm| title=|New International Version| target=|_top|&gt;NIV&lt;/a&gt;</v>
      </c>
      <c r="N949" t="str">
        <f t="shared" si="3792"/>
        <v>&lt;/li&gt;&lt;li&gt;&lt;a href=|http://nlt.scripturetext.com/matthew/20.htm| title=|New Living Translation| target=|_top|&gt;NLT&lt;/a&gt;</v>
      </c>
      <c r="O949" t="str">
        <f t="shared" si="3792"/>
        <v>&lt;/li&gt;&lt;li&gt;&lt;a href=|http://nasb.scripturetext.com/matthew/20.htm| title=|New American Standard Bible| target=|_top|&gt;NAS&lt;/a&gt;</v>
      </c>
      <c r="P949" t="str">
        <f t="shared" si="3792"/>
        <v>&lt;/li&gt;&lt;li&gt;&lt;a href=|http://gwt.scripturetext.com/matthew/20.htm| title=|God's Word Translation| target=|_top|&gt;GWT&lt;/a&gt;</v>
      </c>
      <c r="Q949" t="str">
        <f t="shared" si="3792"/>
        <v>&lt;/li&gt;&lt;li&gt;&lt;a href=|http://kingjbible.com/matthew/20.htm| title=|King James Bible| target=|_top|&gt;KJV&lt;/a&gt;</v>
      </c>
      <c r="R949" t="str">
        <f t="shared" si="3792"/>
        <v>&lt;/li&gt;&lt;li&gt;&lt;a href=|http://asvbible.com/matthew/20.htm| title=|American Standard Version| target=|_top|&gt;ASV&lt;/a&gt;</v>
      </c>
      <c r="S949" t="str">
        <f t="shared" si="3792"/>
        <v>&lt;/li&gt;&lt;li&gt;&lt;a href=|http://drb.scripturetext.com/matthew/20.htm| title=|Douay-Rheims Bible| target=|_top|&gt;DRB&lt;/a&gt;</v>
      </c>
      <c r="T949" t="str">
        <f t="shared" si="3792"/>
        <v>&lt;/li&gt;&lt;li&gt;&lt;a href=|http://erv.scripturetext.com/matthew/20.htm| title=|English Revised Version| target=|_top|&gt;ERV&lt;/a&gt;</v>
      </c>
      <c r="U949" t="str">
        <f>CONCATENATE("&lt;/li&gt;&lt;li&gt;&lt;a href=|http://",U1191,"/matthew/20.htm","| ","title=|",U1190,"| target=|_top|&gt;",U1192,"&lt;/a&gt;")</f>
        <v>&lt;/li&gt;&lt;li&gt;&lt;a href=|http://study.interlinearbible.org/matthew/20.htm| title=|Greek Study Bible| target=|_top|&gt;Grk Study&lt;/a&gt;</v>
      </c>
      <c r="W949" t="str">
        <f t="shared" si="3792"/>
        <v>&lt;/li&gt;&lt;li&gt;&lt;a href=|http://apostolic.interlinearbible.org/matthew/20.htm| title=|Apostolic Bible Polyglot Interlinear| target=|_top|&gt;Polyglot&lt;/a&gt;</v>
      </c>
      <c r="X949" t="str">
        <f t="shared" si="3792"/>
        <v>&lt;/li&gt;&lt;li&gt;&lt;a href=|http://interlinearbible.org/matthew/20.htm| title=|Interlinear Bible| target=|_top|&gt;Interlin&lt;/a&gt;</v>
      </c>
      <c r="Y949" t="str">
        <f t="shared" ref="Y949" si="3793">CONCATENATE("&lt;/li&gt;&lt;li&gt;&lt;a href=|http://",Y1191,"/matthew/20.htm","| ","title=|",Y1190,"| target=|_top|&gt;",Y1192,"&lt;/a&gt;")</f>
        <v>&lt;/li&gt;&lt;li&gt;&lt;a href=|http://bibleoutline.org/matthew/20.htm| title=|Outline with People and Places List| target=|_top|&gt;Outline&lt;/a&gt;</v>
      </c>
      <c r="Z949" t="str">
        <f t="shared" si="3792"/>
        <v>&lt;/li&gt;&lt;li&gt;&lt;a href=|http://kjvs.scripturetext.com/matthew/20.htm| title=|King James Bible with Strong's Numbers| target=|_top|&gt;Strong's&lt;/a&gt;</v>
      </c>
      <c r="AA949" t="str">
        <f t="shared" si="3792"/>
        <v>&lt;/li&gt;&lt;li&gt;&lt;a href=|http://childrensbibleonline.com/matthew/20.htm| title=|The Children's Bible| target=|_top|&gt;Children's&lt;/a&gt;</v>
      </c>
      <c r="AB949" s="2" t="str">
        <f t="shared" si="3792"/>
        <v>&lt;/li&gt;&lt;li&gt;&lt;a href=|http://tsk.scripturetext.com/matthew/20.htm| title=|Treasury of Scripture Knowledge| target=|_top|&gt;TSK&lt;/a&gt;</v>
      </c>
      <c r="AC949" t="str">
        <f>CONCATENATE("&lt;a href=|http://",AC1191,"/matthew/20.htm","| ","title=|",AC1190,"| target=|_top|&gt;",AC1192,"&lt;/a&gt;")</f>
        <v>&lt;a href=|http://parallelbible.com/matthew/20.htm| title=|Parallel Chapters| target=|_top|&gt;PAR&lt;/a&gt;</v>
      </c>
      <c r="AD949" s="2" t="str">
        <f t="shared" ref="AD949:AI949" si="3794">CONCATENATE("&lt;/li&gt;&lt;li&gt;&lt;a href=|http://",AD1191,"/matthew/20.htm","| ","title=|",AD1190,"| target=|_top|&gt;",AD1192,"&lt;/a&gt;")</f>
        <v>&lt;/li&gt;&lt;li&gt;&lt;a href=|http://gsb.biblecommenter.com/matthew/20.htm| title=|Geneva Study Bible| target=|_top|&gt;GSB&lt;/a&gt;</v>
      </c>
      <c r="AE949" s="2" t="str">
        <f t="shared" si="3794"/>
        <v>&lt;/li&gt;&lt;li&gt;&lt;a href=|http://jfb.biblecommenter.com/matthew/20.htm| title=|Jamieson-Fausset-Brown Bible Commentary| target=|_top|&gt;JFB&lt;/a&gt;</v>
      </c>
      <c r="AF949" s="2" t="str">
        <f t="shared" si="3794"/>
        <v>&lt;/li&gt;&lt;li&gt;&lt;a href=|http://kjt.biblecommenter.com/matthew/20.htm| title=|King James Translators' Notes| target=|_top|&gt;KJT&lt;/a&gt;</v>
      </c>
      <c r="AG949" s="2" t="str">
        <f t="shared" si="3794"/>
        <v>&lt;/li&gt;&lt;li&gt;&lt;a href=|http://mhc.biblecommenter.com/matthew/20.htm| title=|Matthew Henry's Concise Commentary| target=|_top|&gt;MHC&lt;/a&gt;</v>
      </c>
      <c r="AH949" s="2" t="str">
        <f t="shared" si="3794"/>
        <v>&lt;/li&gt;&lt;li&gt;&lt;a href=|http://sco.biblecommenter.com/matthew/20.htm| title=|Scofield Reference Notes| target=|_top|&gt;SCO&lt;/a&gt;</v>
      </c>
      <c r="AI949" s="2" t="str">
        <f t="shared" si="3794"/>
        <v>&lt;/li&gt;&lt;li&gt;&lt;a href=|http://wes.biblecommenter.com/matthew/20.htm| title=|Wesley's Notes on the Bible| target=|_top|&gt;WES&lt;/a&gt;</v>
      </c>
      <c r="AJ949" t="str">
        <f>CONCATENATE("&lt;/li&gt;&lt;li&gt;&lt;a href=|http://",AJ1191,"/matthew/20.htm","| ","title=|",AJ1190,"| target=|_top|&gt;",AJ1192,"&lt;/a&gt;")</f>
        <v>&lt;/li&gt;&lt;li&gt;&lt;a href=|http://worldebible.com/matthew/20.htm| title=|World English Bible| target=|_top|&gt;WEB&lt;/a&gt;</v>
      </c>
      <c r="AK949" t="str">
        <f>CONCATENATE("&lt;/li&gt;&lt;li&gt;&lt;a href=|http://",AK1191,"/matthew/20.htm","| ","title=|",AK1190,"| target=|_top|&gt;",AK1192,"&lt;/a&gt;")</f>
        <v>&lt;/li&gt;&lt;li&gt;&lt;a href=|http://yltbible.com/matthew/20.htm| title=|Young's Literal Translation| target=|_top|&gt;YLT&lt;/a&gt;</v>
      </c>
      <c r="AL949" t="str">
        <f>CONCATENATE("&lt;a href=|http://",AL1191,"/matthew/20.htm","| ","title=|",AL1190,"| target=|_top|&gt;",AL1192,"&lt;/a&gt;")</f>
        <v>&lt;a href=|http://kjv.us/matthew/20.htm| title=|American King James Version| target=|_top|&gt;AKJ&lt;/a&gt;</v>
      </c>
      <c r="AM949" t="str">
        <f t="shared" ref="AM949:AS949" si="3795">CONCATENATE("&lt;/li&gt;&lt;li&gt;&lt;a href=|http://",AM1191,"/matthew/20.htm","| ","title=|",AM1190,"| target=|_top|&gt;",AM1192,"&lt;/a&gt;")</f>
        <v>&lt;/li&gt;&lt;li&gt;&lt;a href=|http://basicenglishbible.com/matthew/20.htm| title=|Bible in Basic English| target=|_top|&gt;BBE&lt;/a&gt;</v>
      </c>
      <c r="AN949" t="str">
        <f t="shared" si="3795"/>
        <v>&lt;/li&gt;&lt;li&gt;&lt;a href=|http://darbybible.com/matthew/20.htm| title=|Darby Bible Translation| target=|_top|&gt;DBY&lt;/a&gt;</v>
      </c>
      <c r="AO949" t="str">
        <f t="shared" si="3795"/>
        <v>&lt;/li&gt;&lt;li&gt;&lt;a href=|http://isv.scripturetext.com/matthew/20.htm| title=|International Standard Version| target=|_top|&gt;ISV&lt;/a&gt;</v>
      </c>
      <c r="AP949" t="str">
        <f t="shared" si="3795"/>
        <v>&lt;/li&gt;&lt;li&gt;&lt;a href=|http://tnt.scripturetext.com/matthew/20.htm| title=|Tyndale New Testament| target=|_top|&gt;TNT&lt;/a&gt;</v>
      </c>
      <c r="AQ949" s="2" t="str">
        <f t="shared" si="3795"/>
        <v>&lt;/li&gt;&lt;li&gt;&lt;a href=|http://pnt.biblecommenter.com/matthew/20.htm| title=|People's New Testament| target=|_top|&gt;PNT&lt;/a&gt;</v>
      </c>
      <c r="AR949" t="str">
        <f t="shared" si="3795"/>
        <v>&lt;/li&gt;&lt;li&gt;&lt;a href=|http://websterbible.com/matthew/20.htm| title=|Webster's Bible Translation| target=|_top|&gt;WBS&lt;/a&gt;</v>
      </c>
      <c r="AS949" t="str">
        <f t="shared" si="3795"/>
        <v>&lt;/li&gt;&lt;li&gt;&lt;a href=|http://weymouthbible.com/matthew/20.htm| title=|Weymouth New Testament| target=|_top|&gt;WEY&lt;/a&gt;</v>
      </c>
      <c r="AT949" t="str">
        <f>CONCATENATE("&lt;/li&gt;&lt;li&gt;&lt;a href=|http://",AT1191,"/matthew/20-1.htm","| ","title=|",AT1190,"| target=|_top|&gt;",AT1192,"&lt;/a&gt;")</f>
        <v>&lt;/li&gt;&lt;li&gt;&lt;a href=|http://biblebrowser.com/matthew/20-1.htm| title=|Split View| target=|_top|&gt;Split&lt;/a&gt;</v>
      </c>
      <c r="AU949" s="2" t="s">
        <v>1276</v>
      </c>
      <c r="AV949" t="s">
        <v>64</v>
      </c>
    </row>
    <row r="950" spans="1:48">
      <c r="A950" t="s">
        <v>622</v>
      </c>
      <c r="B950" t="s">
        <v>991</v>
      </c>
      <c r="C950" t="s">
        <v>624</v>
      </c>
      <c r="D950" t="s">
        <v>1268</v>
      </c>
      <c r="E950" t="s">
        <v>1277</v>
      </c>
      <c r="F950" t="s">
        <v>1304</v>
      </c>
      <c r="G950" t="s">
        <v>1266</v>
      </c>
      <c r="H950" t="s">
        <v>1305</v>
      </c>
      <c r="I950" t="s">
        <v>1303</v>
      </c>
      <c r="J950" t="s">
        <v>1267</v>
      </c>
      <c r="K950" t="s">
        <v>1275</v>
      </c>
      <c r="L950" s="2" t="s">
        <v>1274</v>
      </c>
      <c r="M950" t="str">
        <f t="shared" ref="M950:AB950" si="3796">CONCATENATE("&lt;/li&gt;&lt;li&gt;&lt;a href=|http://",M1191,"/matthew/21.htm","| ","title=|",M1190,"| target=|_top|&gt;",M1192,"&lt;/a&gt;")</f>
        <v>&lt;/li&gt;&lt;li&gt;&lt;a href=|http://niv.scripturetext.com/matthew/21.htm| title=|New International Version| target=|_top|&gt;NIV&lt;/a&gt;</v>
      </c>
      <c r="N950" t="str">
        <f t="shared" si="3796"/>
        <v>&lt;/li&gt;&lt;li&gt;&lt;a href=|http://nlt.scripturetext.com/matthew/21.htm| title=|New Living Translation| target=|_top|&gt;NLT&lt;/a&gt;</v>
      </c>
      <c r="O950" t="str">
        <f t="shared" si="3796"/>
        <v>&lt;/li&gt;&lt;li&gt;&lt;a href=|http://nasb.scripturetext.com/matthew/21.htm| title=|New American Standard Bible| target=|_top|&gt;NAS&lt;/a&gt;</v>
      </c>
      <c r="P950" t="str">
        <f t="shared" si="3796"/>
        <v>&lt;/li&gt;&lt;li&gt;&lt;a href=|http://gwt.scripturetext.com/matthew/21.htm| title=|God's Word Translation| target=|_top|&gt;GWT&lt;/a&gt;</v>
      </c>
      <c r="Q950" t="str">
        <f t="shared" si="3796"/>
        <v>&lt;/li&gt;&lt;li&gt;&lt;a href=|http://kingjbible.com/matthew/21.htm| title=|King James Bible| target=|_top|&gt;KJV&lt;/a&gt;</v>
      </c>
      <c r="R950" t="str">
        <f t="shared" si="3796"/>
        <v>&lt;/li&gt;&lt;li&gt;&lt;a href=|http://asvbible.com/matthew/21.htm| title=|American Standard Version| target=|_top|&gt;ASV&lt;/a&gt;</v>
      </c>
      <c r="S950" t="str">
        <f t="shared" si="3796"/>
        <v>&lt;/li&gt;&lt;li&gt;&lt;a href=|http://drb.scripturetext.com/matthew/21.htm| title=|Douay-Rheims Bible| target=|_top|&gt;DRB&lt;/a&gt;</v>
      </c>
      <c r="T950" t="str">
        <f t="shared" si="3796"/>
        <v>&lt;/li&gt;&lt;li&gt;&lt;a href=|http://erv.scripturetext.com/matthew/21.htm| title=|English Revised Version| target=|_top|&gt;ERV&lt;/a&gt;</v>
      </c>
      <c r="U950" t="str">
        <f>CONCATENATE("&lt;/li&gt;&lt;li&gt;&lt;a href=|http://",U1191,"/matthew/21.htm","| ","title=|",U1190,"| target=|_top|&gt;",U1192,"&lt;/a&gt;")</f>
        <v>&lt;/li&gt;&lt;li&gt;&lt;a href=|http://study.interlinearbible.org/matthew/21.htm| title=|Greek Study Bible| target=|_top|&gt;Grk Study&lt;/a&gt;</v>
      </c>
      <c r="W950" t="str">
        <f t="shared" si="3796"/>
        <v>&lt;/li&gt;&lt;li&gt;&lt;a href=|http://apostolic.interlinearbible.org/matthew/21.htm| title=|Apostolic Bible Polyglot Interlinear| target=|_top|&gt;Polyglot&lt;/a&gt;</v>
      </c>
      <c r="X950" t="str">
        <f t="shared" si="3796"/>
        <v>&lt;/li&gt;&lt;li&gt;&lt;a href=|http://interlinearbible.org/matthew/21.htm| title=|Interlinear Bible| target=|_top|&gt;Interlin&lt;/a&gt;</v>
      </c>
      <c r="Y950" t="str">
        <f t="shared" ref="Y950" si="3797">CONCATENATE("&lt;/li&gt;&lt;li&gt;&lt;a href=|http://",Y1191,"/matthew/21.htm","| ","title=|",Y1190,"| target=|_top|&gt;",Y1192,"&lt;/a&gt;")</f>
        <v>&lt;/li&gt;&lt;li&gt;&lt;a href=|http://bibleoutline.org/matthew/21.htm| title=|Outline with People and Places List| target=|_top|&gt;Outline&lt;/a&gt;</v>
      </c>
      <c r="Z950" t="str">
        <f t="shared" si="3796"/>
        <v>&lt;/li&gt;&lt;li&gt;&lt;a href=|http://kjvs.scripturetext.com/matthew/21.htm| title=|King James Bible with Strong's Numbers| target=|_top|&gt;Strong's&lt;/a&gt;</v>
      </c>
      <c r="AA950" t="str">
        <f t="shared" si="3796"/>
        <v>&lt;/li&gt;&lt;li&gt;&lt;a href=|http://childrensbibleonline.com/matthew/21.htm| title=|The Children's Bible| target=|_top|&gt;Children's&lt;/a&gt;</v>
      </c>
      <c r="AB950" s="2" t="str">
        <f t="shared" si="3796"/>
        <v>&lt;/li&gt;&lt;li&gt;&lt;a href=|http://tsk.scripturetext.com/matthew/21.htm| title=|Treasury of Scripture Knowledge| target=|_top|&gt;TSK&lt;/a&gt;</v>
      </c>
      <c r="AC950" t="str">
        <f>CONCATENATE("&lt;a href=|http://",AC1191,"/matthew/21.htm","| ","title=|",AC1190,"| target=|_top|&gt;",AC1192,"&lt;/a&gt;")</f>
        <v>&lt;a href=|http://parallelbible.com/matthew/21.htm| title=|Parallel Chapters| target=|_top|&gt;PAR&lt;/a&gt;</v>
      </c>
      <c r="AD950" s="2" t="str">
        <f t="shared" ref="AD950:AI950" si="3798">CONCATENATE("&lt;/li&gt;&lt;li&gt;&lt;a href=|http://",AD1191,"/matthew/21.htm","| ","title=|",AD1190,"| target=|_top|&gt;",AD1192,"&lt;/a&gt;")</f>
        <v>&lt;/li&gt;&lt;li&gt;&lt;a href=|http://gsb.biblecommenter.com/matthew/21.htm| title=|Geneva Study Bible| target=|_top|&gt;GSB&lt;/a&gt;</v>
      </c>
      <c r="AE950" s="2" t="str">
        <f t="shared" si="3798"/>
        <v>&lt;/li&gt;&lt;li&gt;&lt;a href=|http://jfb.biblecommenter.com/matthew/21.htm| title=|Jamieson-Fausset-Brown Bible Commentary| target=|_top|&gt;JFB&lt;/a&gt;</v>
      </c>
      <c r="AF950" s="2" t="str">
        <f t="shared" si="3798"/>
        <v>&lt;/li&gt;&lt;li&gt;&lt;a href=|http://kjt.biblecommenter.com/matthew/21.htm| title=|King James Translators' Notes| target=|_top|&gt;KJT&lt;/a&gt;</v>
      </c>
      <c r="AG950" s="2" t="str">
        <f t="shared" si="3798"/>
        <v>&lt;/li&gt;&lt;li&gt;&lt;a href=|http://mhc.biblecommenter.com/matthew/21.htm| title=|Matthew Henry's Concise Commentary| target=|_top|&gt;MHC&lt;/a&gt;</v>
      </c>
      <c r="AH950" s="2" t="str">
        <f t="shared" si="3798"/>
        <v>&lt;/li&gt;&lt;li&gt;&lt;a href=|http://sco.biblecommenter.com/matthew/21.htm| title=|Scofield Reference Notes| target=|_top|&gt;SCO&lt;/a&gt;</v>
      </c>
      <c r="AI950" s="2" t="str">
        <f t="shared" si="3798"/>
        <v>&lt;/li&gt;&lt;li&gt;&lt;a href=|http://wes.biblecommenter.com/matthew/21.htm| title=|Wesley's Notes on the Bible| target=|_top|&gt;WES&lt;/a&gt;</v>
      </c>
      <c r="AJ950" t="str">
        <f>CONCATENATE("&lt;/li&gt;&lt;li&gt;&lt;a href=|http://",AJ1191,"/matthew/21.htm","| ","title=|",AJ1190,"| target=|_top|&gt;",AJ1192,"&lt;/a&gt;")</f>
        <v>&lt;/li&gt;&lt;li&gt;&lt;a href=|http://worldebible.com/matthew/21.htm| title=|World English Bible| target=|_top|&gt;WEB&lt;/a&gt;</v>
      </c>
      <c r="AK950" t="str">
        <f>CONCATENATE("&lt;/li&gt;&lt;li&gt;&lt;a href=|http://",AK1191,"/matthew/21.htm","| ","title=|",AK1190,"| target=|_top|&gt;",AK1192,"&lt;/a&gt;")</f>
        <v>&lt;/li&gt;&lt;li&gt;&lt;a href=|http://yltbible.com/matthew/21.htm| title=|Young's Literal Translation| target=|_top|&gt;YLT&lt;/a&gt;</v>
      </c>
      <c r="AL950" t="str">
        <f>CONCATENATE("&lt;a href=|http://",AL1191,"/matthew/21.htm","| ","title=|",AL1190,"| target=|_top|&gt;",AL1192,"&lt;/a&gt;")</f>
        <v>&lt;a href=|http://kjv.us/matthew/21.htm| title=|American King James Version| target=|_top|&gt;AKJ&lt;/a&gt;</v>
      </c>
      <c r="AM950" t="str">
        <f t="shared" ref="AM950:AS950" si="3799">CONCATENATE("&lt;/li&gt;&lt;li&gt;&lt;a href=|http://",AM1191,"/matthew/21.htm","| ","title=|",AM1190,"| target=|_top|&gt;",AM1192,"&lt;/a&gt;")</f>
        <v>&lt;/li&gt;&lt;li&gt;&lt;a href=|http://basicenglishbible.com/matthew/21.htm| title=|Bible in Basic English| target=|_top|&gt;BBE&lt;/a&gt;</v>
      </c>
      <c r="AN950" t="str">
        <f t="shared" si="3799"/>
        <v>&lt;/li&gt;&lt;li&gt;&lt;a href=|http://darbybible.com/matthew/21.htm| title=|Darby Bible Translation| target=|_top|&gt;DBY&lt;/a&gt;</v>
      </c>
      <c r="AO950" t="str">
        <f t="shared" si="3799"/>
        <v>&lt;/li&gt;&lt;li&gt;&lt;a href=|http://isv.scripturetext.com/matthew/21.htm| title=|International Standard Version| target=|_top|&gt;ISV&lt;/a&gt;</v>
      </c>
      <c r="AP950" t="str">
        <f t="shared" si="3799"/>
        <v>&lt;/li&gt;&lt;li&gt;&lt;a href=|http://tnt.scripturetext.com/matthew/21.htm| title=|Tyndale New Testament| target=|_top|&gt;TNT&lt;/a&gt;</v>
      </c>
      <c r="AQ950" s="2" t="str">
        <f t="shared" si="3799"/>
        <v>&lt;/li&gt;&lt;li&gt;&lt;a href=|http://pnt.biblecommenter.com/matthew/21.htm| title=|People's New Testament| target=|_top|&gt;PNT&lt;/a&gt;</v>
      </c>
      <c r="AR950" t="str">
        <f t="shared" si="3799"/>
        <v>&lt;/li&gt;&lt;li&gt;&lt;a href=|http://websterbible.com/matthew/21.htm| title=|Webster's Bible Translation| target=|_top|&gt;WBS&lt;/a&gt;</v>
      </c>
      <c r="AS950" t="str">
        <f t="shared" si="3799"/>
        <v>&lt;/li&gt;&lt;li&gt;&lt;a href=|http://weymouthbible.com/matthew/21.htm| title=|Weymouth New Testament| target=|_top|&gt;WEY&lt;/a&gt;</v>
      </c>
      <c r="AT950" t="str">
        <f>CONCATENATE("&lt;/li&gt;&lt;li&gt;&lt;a href=|http://",AT1191,"/matthew/21-1.htm","| ","title=|",AT1190,"| target=|_top|&gt;",AT1192,"&lt;/a&gt;")</f>
        <v>&lt;/li&gt;&lt;li&gt;&lt;a href=|http://biblebrowser.com/matthew/21-1.htm| title=|Split View| target=|_top|&gt;Split&lt;/a&gt;</v>
      </c>
      <c r="AU950" s="2" t="s">
        <v>1276</v>
      </c>
      <c r="AV950" t="s">
        <v>64</v>
      </c>
    </row>
    <row r="951" spans="1:48">
      <c r="A951" t="s">
        <v>622</v>
      </c>
      <c r="B951" t="s">
        <v>992</v>
      </c>
      <c r="C951" t="s">
        <v>624</v>
      </c>
      <c r="D951" t="s">
        <v>1268</v>
      </c>
      <c r="E951" t="s">
        <v>1277</v>
      </c>
      <c r="F951" t="s">
        <v>1304</v>
      </c>
      <c r="G951" t="s">
        <v>1266</v>
      </c>
      <c r="H951" t="s">
        <v>1305</v>
      </c>
      <c r="I951" t="s">
        <v>1303</v>
      </c>
      <c r="J951" t="s">
        <v>1267</v>
      </c>
      <c r="K951" t="s">
        <v>1275</v>
      </c>
      <c r="L951" s="2" t="s">
        <v>1274</v>
      </c>
      <c r="M951" t="str">
        <f t="shared" ref="M951:AB951" si="3800">CONCATENATE("&lt;/li&gt;&lt;li&gt;&lt;a href=|http://",M1191,"/matthew/22.htm","| ","title=|",M1190,"| target=|_top|&gt;",M1192,"&lt;/a&gt;")</f>
        <v>&lt;/li&gt;&lt;li&gt;&lt;a href=|http://niv.scripturetext.com/matthew/22.htm| title=|New International Version| target=|_top|&gt;NIV&lt;/a&gt;</v>
      </c>
      <c r="N951" t="str">
        <f t="shared" si="3800"/>
        <v>&lt;/li&gt;&lt;li&gt;&lt;a href=|http://nlt.scripturetext.com/matthew/22.htm| title=|New Living Translation| target=|_top|&gt;NLT&lt;/a&gt;</v>
      </c>
      <c r="O951" t="str">
        <f t="shared" si="3800"/>
        <v>&lt;/li&gt;&lt;li&gt;&lt;a href=|http://nasb.scripturetext.com/matthew/22.htm| title=|New American Standard Bible| target=|_top|&gt;NAS&lt;/a&gt;</v>
      </c>
      <c r="P951" t="str">
        <f t="shared" si="3800"/>
        <v>&lt;/li&gt;&lt;li&gt;&lt;a href=|http://gwt.scripturetext.com/matthew/22.htm| title=|God's Word Translation| target=|_top|&gt;GWT&lt;/a&gt;</v>
      </c>
      <c r="Q951" t="str">
        <f t="shared" si="3800"/>
        <v>&lt;/li&gt;&lt;li&gt;&lt;a href=|http://kingjbible.com/matthew/22.htm| title=|King James Bible| target=|_top|&gt;KJV&lt;/a&gt;</v>
      </c>
      <c r="R951" t="str">
        <f t="shared" si="3800"/>
        <v>&lt;/li&gt;&lt;li&gt;&lt;a href=|http://asvbible.com/matthew/22.htm| title=|American Standard Version| target=|_top|&gt;ASV&lt;/a&gt;</v>
      </c>
      <c r="S951" t="str">
        <f t="shared" si="3800"/>
        <v>&lt;/li&gt;&lt;li&gt;&lt;a href=|http://drb.scripturetext.com/matthew/22.htm| title=|Douay-Rheims Bible| target=|_top|&gt;DRB&lt;/a&gt;</v>
      </c>
      <c r="T951" t="str">
        <f t="shared" si="3800"/>
        <v>&lt;/li&gt;&lt;li&gt;&lt;a href=|http://erv.scripturetext.com/matthew/22.htm| title=|English Revised Version| target=|_top|&gt;ERV&lt;/a&gt;</v>
      </c>
      <c r="U951" t="str">
        <f>CONCATENATE("&lt;/li&gt;&lt;li&gt;&lt;a href=|http://",U1191,"/matthew/22.htm","| ","title=|",U1190,"| target=|_top|&gt;",U1192,"&lt;/a&gt;")</f>
        <v>&lt;/li&gt;&lt;li&gt;&lt;a href=|http://study.interlinearbible.org/matthew/22.htm| title=|Greek Study Bible| target=|_top|&gt;Grk Study&lt;/a&gt;</v>
      </c>
      <c r="W951" t="str">
        <f t="shared" si="3800"/>
        <v>&lt;/li&gt;&lt;li&gt;&lt;a href=|http://apostolic.interlinearbible.org/matthew/22.htm| title=|Apostolic Bible Polyglot Interlinear| target=|_top|&gt;Polyglot&lt;/a&gt;</v>
      </c>
      <c r="X951" t="str">
        <f t="shared" si="3800"/>
        <v>&lt;/li&gt;&lt;li&gt;&lt;a href=|http://interlinearbible.org/matthew/22.htm| title=|Interlinear Bible| target=|_top|&gt;Interlin&lt;/a&gt;</v>
      </c>
      <c r="Y951" t="str">
        <f t="shared" ref="Y951" si="3801">CONCATENATE("&lt;/li&gt;&lt;li&gt;&lt;a href=|http://",Y1191,"/matthew/22.htm","| ","title=|",Y1190,"| target=|_top|&gt;",Y1192,"&lt;/a&gt;")</f>
        <v>&lt;/li&gt;&lt;li&gt;&lt;a href=|http://bibleoutline.org/matthew/22.htm| title=|Outline with People and Places List| target=|_top|&gt;Outline&lt;/a&gt;</v>
      </c>
      <c r="Z951" t="str">
        <f t="shared" si="3800"/>
        <v>&lt;/li&gt;&lt;li&gt;&lt;a href=|http://kjvs.scripturetext.com/matthew/22.htm| title=|King James Bible with Strong's Numbers| target=|_top|&gt;Strong's&lt;/a&gt;</v>
      </c>
      <c r="AA951" t="str">
        <f t="shared" si="3800"/>
        <v>&lt;/li&gt;&lt;li&gt;&lt;a href=|http://childrensbibleonline.com/matthew/22.htm| title=|The Children's Bible| target=|_top|&gt;Children's&lt;/a&gt;</v>
      </c>
      <c r="AB951" s="2" t="str">
        <f t="shared" si="3800"/>
        <v>&lt;/li&gt;&lt;li&gt;&lt;a href=|http://tsk.scripturetext.com/matthew/22.htm| title=|Treasury of Scripture Knowledge| target=|_top|&gt;TSK&lt;/a&gt;</v>
      </c>
      <c r="AC951" t="str">
        <f>CONCATENATE("&lt;a href=|http://",AC1191,"/matthew/22.htm","| ","title=|",AC1190,"| target=|_top|&gt;",AC1192,"&lt;/a&gt;")</f>
        <v>&lt;a href=|http://parallelbible.com/matthew/22.htm| title=|Parallel Chapters| target=|_top|&gt;PAR&lt;/a&gt;</v>
      </c>
      <c r="AD951" s="2" t="str">
        <f t="shared" ref="AD951:AI951" si="3802">CONCATENATE("&lt;/li&gt;&lt;li&gt;&lt;a href=|http://",AD1191,"/matthew/22.htm","| ","title=|",AD1190,"| target=|_top|&gt;",AD1192,"&lt;/a&gt;")</f>
        <v>&lt;/li&gt;&lt;li&gt;&lt;a href=|http://gsb.biblecommenter.com/matthew/22.htm| title=|Geneva Study Bible| target=|_top|&gt;GSB&lt;/a&gt;</v>
      </c>
      <c r="AE951" s="2" t="str">
        <f t="shared" si="3802"/>
        <v>&lt;/li&gt;&lt;li&gt;&lt;a href=|http://jfb.biblecommenter.com/matthew/22.htm| title=|Jamieson-Fausset-Brown Bible Commentary| target=|_top|&gt;JFB&lt;/a&gt;</v>
      </c>
      <c r="AF951" s="2" t="str">
        <f t="shared" si="3802"/>
        <v>&lt;/li&gt;&lt;li&gt;&lt;a href=|http://kjt.biblecommenter.com/matthew/22.htm| title=|King James Translators' Notes| target=|_top|&gt;KJT&lt;/a&gt;</v>
      </c>
      <c r="AG951" s="2" t="str">
        <f t="shared" si="3802"/>
        <v>&lt;/li&gt;&lt;li&gt;&lt;a href=|http://mhc.biblecommenter.com/matthew/22.htm| title=|Matthew Henry's Concise Commentary| target=|_top|&gt;MHC&lt;/a&gt;</v>
      </c>
      <c r="AH951" s="2" t="str">
        <f t="shared" si="3802"/>
        <v>&lt;/li&gt;&lt;li&gt;&lt;a href=|http://sco.biblecommenter.com/matthew/22.htm| title=|Scofield Reference Notes| target=|_top|&gt;SCO&lt;/a&gt;</v>
      </c>
      <c r="AI951" s="2" t="str">
        <f t="shared" si="3802"/>
        <v>&lt;/li&gt;&lt;li&gt;&lt;a href=|http://wes.biblecommenter.com/matthew/22.htm| title=|Wesley's Notes on the Bible| target=|_top|&gt;WES&lt;/a&gt;</v>
      </c>
      <c r="AJ951" t="str">
        <f>CONCATENATE("&lt;/li&gt;&lt;li&gt;&lt;a href=|http://",AJ1191,"/matthew/22.htm","| ","title=|",AJ1190,"| target=|_top|&gt;",AJ1192,"&lt;/a&gt;")</f>
        <v>&lt;/li&gt;&lt;li&gt;&lt;a href=|http://worldebible.com/matthew/22.htm| title=|World English Bible| target=|_top|&gt;WEB&lt;/a&gt;</v>
      </c>
      <c r="AK951" t="str">
        <f>CONCATENATE("&lt;/li&gt;&lt;li&gt;&lt;a href=|http://",AK1191,"/matthew/22.htm","| ","title=|",AK1190,"| target=|_top|&gt;",AK1192,"&lt;/a&gt;")</f>
        <v>&lt;/li&gt;&lt;li&gt;&lt;a href=|http://yltbible.com/matthew/22.htm| title=|Young's Literal Translation| target=|_top|&gt;YLT&lt;/a&gt;</v>
      </c>
      <c r="AL951" t="str">
        <f>CONCATENATE("&lt;a href=|http://",AL1191,"/matthew/22.htm","| ","title=|",AL1190,"| target=|_top|&gt;",AL1192,"&lt;/a&gt;")</f>
        <v>&lt;a href=|http://kjv.us/matthew/22.htm| title=|American King James Version| target=|_top|&gt;AKJ&lt;/a&gt;</v>
      </c>
      <c r="AM951" t="str">
        <f t="shared" ref="AM951:AS951" si="3803">CONCATENATE("&lt;/li&gt;&lt;li&gt;&lt;a href=|http://",AM1191,"/matthew/22.htm","| ","title=|",AM1190,"| target=|_top|&gt;",AM1192,"&lt;/a&gt;")</f>
        <v>&lt;/li&gt;&lt;li&gt;&lt;a href=|http://basicenglishbible.com/matthew/22.htm| title=|Bible in Basic English| target=|_top|&gt;BBE&lt;/a&gt;</v>
      </c>
      <c r="AN951" t="str">
        <f t="shared" si="3803"/>
        <v>&lt;/li&gt;&lt;li&gt;&lt;a href=|http://darbybible.com/matthew/22.htm| title=|Darby Bible Translation| target=|_top|&gt;DBY&lt;/a&gt;</v>
      </c>
      <c r="AO951" t="str">
        <f t="shared" si="3803"/>
        <v>&lt;/li&gt;&lt;li&gt;&lt;a href=|http://isv.scripturetext.com/matthew/22.htm| title=|International Standard Version| target=|_top|&gt;ISV&lt;/a&gt;</v>
      </c>
      <c r="AP951" t="str">
        <f t="shared" si="3803"/>
        <v>&lt;/li&gt;&lt;li&gt;&lt;a href=|http://tnt.scripturetext.com/matthew/22.htm| title=|Tyndale New Testament| target=|_top|&gt;TNT&lt;/a&gt;</v>
      </c>
      <c r="AQ951" s="2" t="str">
        <f t="shared" si="3803"/>
        <v>&lt;/li&gt;&lt;li&gt;&lt;a href=|http://pnt.biblecommenter.com/matthew/22.htm| title=|People's New Testament| target=|_top|&gt;PNT&lt;/a&gt;</v>
      </c>
      <c r="AR951" t="str">
        <f t="shared" si="3803"/>
        <v>&lt;/li&gt;&lt;li&gt;&lt;a href=|http://websterbible.com/matthew/22.htm| title=|Webster's Bible Translation| target=|_top|&gt;WBS&lt;/a&gt;</v>
      </c>
      <c r="AS951" t="str">
        <f t="shared" si="3803"/>
        <v>&lt;/li&gt;&lt;li&gt;&lt;a href=|http://weymouthbible.com/matthew/22.htm| title=|Weymouth New Testament| target=|_top|&gt;WEY&lt;/a&gt;</v>
      </c>
      <c r="AT951" t="str">
        <f>CONCATENATE("&lt;/li&gt;&lt;li&gt;&lt;a href=|http://",AT1191,"/matthew/22-1.htm","| ","title=|",AT1190,"| target=|_top|&gt;",AT1192,"&lt;/a&gt;")</f>
        <v>&lt;/li&gt;&lt;li&gt;&lt;a href=|http://biblebrowser.com/matthew/22-1.htm| title=|Split View| target=|_top|&gt;Split&lt;/a&gt;</v>
      </c>
      <c r="AU951" s="2" t="s">
        <v>1276</v>
      </c>
      <c r="AV951" t="s">
        <v>64</v>
      </c>
    </row>
    <row r="952" spans="1:48">
      <c r="A952" t="s">
        <v>622</v>
      </c>
      <c r="B952" t="s">
        <v>993</v>
      </c>
      <c r="C952" t="s">
        <v>624</v>
      </c>
      <c r="D952" t="s">
        <v>1268</v>
      </c>
      <c r="E952" t="s">
        <v>1277</v>
      </c>
      <c r="F952" t="s">
        <v>1304</v>
      </c>
      <c r="G952" t="s">
        <v>1266</v>
      </c>
      <c r="H952" t="s">
        <v>1305</v>
      </c>
      <c r="I952" t="s">
        <v>1303</v>
      </c>
      <c r="J952" t="s">
        <v>1267</v>
      </c>
      <c r="K952" t="s">
        <v>1275</v>
      </c>
      <c r="L952" s="2" t="s">
        <v>1274</v>
      </c>
      <c r="M952" t="str">
        <f t="shared" ref="M952:AB952" si="3804">CONCATENATE("&lt;/li&gt;&lt;li&gt;&lt;a href=|http://",M1191,"/matthew/23.htm","| ","title=|",M1190,"| target=|_top|&gt;",M1192,"&lt;/a&gt;")</f>
        <v>&lt;/li&gt;&lt;li&gt;&lt;a href=|http://niv.scripturetext.com/matthew/23.htm| title=|New International Version| target=|_top|&gt;NIV&lt;/a&gt;</v>
      </c>
      <c r="N952" t="str">
        <f t="shared" si="3804"/>
        <v>&lt;/li&gt;&lt;li&gt;&lt;a href=|http://nlt.scripturetext.com/matthew/23.htm| title=|New Living Translation| target=|_top|&gt;NLT&lt;/a&gt;</v>
      </c>
      <c r="O952" t="str">
        <f t="shared" si="3804"/>
        <v>&lt;/li&gt;&lt;li&gt;&lt;a href=|http://nasb.scripturetext.com/matthew/23.htm| title=|New American Standard Bible| target=|_top|&gt;NAS&lt;/a&gt;</v>
      </c>
      <c r="P952" t="str">
        <f t="shared" si="3804"/>
        <v>&lt;/li&gt;&lt;li&gt;&lt;a href=|http://gwt.scripturetext.com/matthew/23.htm| title=|God's Word Translation| target=|_top|&gt;GWT&lt;/a&gt;</v>
      </c>
      <c r="Q952" t="str">
        <f t="shared" si="3804"/>
        <v>&lt;/li&gt;&lt;li&gt;&lt;a href=|http://kingjbible.com/matthew/23.htm| title=|King James Bible| target=|_top|&gt;KJV&lt;/a&gt;</v>
      </c>
      <c r="R952" t="str">
        <f t="shared" si="3804"/>
        <v>&lt;/li&gt;&lt;li&gt;&lt;a href=|http://asvbible.com/matthew/23.htm| title=|American Standard Version| target=|_top|&gt;ASV&lt;/a&gt;</v>
      </c>
      <c r="S952" t="str">
        <f t="shared" si="3804"/>
        <v>&lt;/li&gt;&lt;li&gt;&lt;a href=|http://drb.scripturetext.com/matthew/23.htm| title=|Douay-Rheims Bible| target=|_top|&gt;DRB&lt;/a&gt;</v>
      </c>
      <c r="T952" t="str">
        <f t="shared" si="3804"/>
        <v>&lt;/li&gt;&lt;li&gt;&lt;a href=|http://erv.scripturetext.com/matthew/23.htm| title=|English Revised Version| target=|_top|&gt;ERV&lt;/a&gt;</v>
      </c>
      <c r="U952" t="str">
        <f>CONCATENATE("&lt;/li&gt;&lt;li&gt;&lt;a href=|http://",U1191,"/matthew/23.htm","| ","title=|",U1190,"| target=|_top|&gt;",U1192,"&lt;/a&gt;")</f>
        <v>&lt;/li&gt;&lt;li&gt;&lt;a href=|http://study.interlinearbible.org/matthew/23.htm| title=|Greek Study Bible| target=|_top|&gt;Grk Study&lt;/a&gt;</v>
      </c>
      <c r="W952" t="str">
        <f t="shared" si="3804"/>
        <v>&lt;/li&gt;&lt;li&gt;&lt;a href=|http://apostolic.interlinearbible.org/matthew/23.htm| title=|Apostolic Bible Polyglot Interlinear| target=|_top|&gt;Polyglot&lt;/a&gt;</v>
      </c>
      <c r="X952" t="str">
        <f t="shared" si="3804"/>
        <v>&lt;/li&gt;&lt;li&gt;&lt;a href=|http://interlinearbible.org/matthew/23.htm| title=|Interlinear Bible| target=|_top|&gt;Interlin&lt;/a&gt;</v>
      </c>
      <c r="Y952" t="str">
        <f t="shared" ref="Y952" si="3805">CONCATENATE("&lt;/li&gt;&lt;li&gt;&lt;a href=|http://",Y1191,"/matthew/23.htm","| ","title=|",Y1190,"| target=|_top|&gt;",Y1192,"&lt;/a&gt;")</f>
        <v>&lt;/li&gt;&lt;li&gt;&lt;a href=|http://bibleoutline.org/matthew/23.htm| title=|Outline with People and Places List| target=|_top|&gt;Outline&lt;/a&gt;</v>
      </c>
      <c r="Z952" t="str">
        <f t="shared" si="3804"/>
        <v>&lt;/li&gt;&lt;li&gt;&lt;a href=|http://kjvs.scripturetext.com/matthew/23.htm| title=|King James Bible with Strong's Numbers| target=|_top|&gt;Strong's&lt;/a&gt;</v>
      </c>
      <c r="AA952" t="str">
        <f t="shared" si="3804"/>
        <v>&lt;/li&gt;&lt;li&gt;&lt;a href=|http://childrensbibleonline.com/matthew/23.htm| title=|The Children's Bible| target=|_top|&gt;Children's&lt;/a&gt;</v>
      </c>
      <c r="AB952" s="2" t="str">
        <f t="shared" si="3804"/>
        <v>&lt;/li&gt;&lt;li&gt;&lt;a href=|http://tsk.scripturetext.com/matthew/23.htm| title=|Treasury of Scripture Knowledge| target=|_top|&gt;TSK&lt;/a&gt;</v>
      </c>
      <c r="AC952" t="str">
        <f>CONCATENATE("&lt;a href=|http://",AC1191,"/matthew/23.htm","| ","title=|",AC1190,"| target=|_top|&gt;",AC1192,"&lt;/a&gt;")</f>
        <v>&lt;a href=|http://parallelbible.com/matthew/23.htm| title=|Parallel Chapters| target=|_top|&gt;PAR&lt;/a&gt;</v>
      </c>
      <c r="AD952" s="2" t="str">
        <f t="shared" ref="AD952:AI952" si="3806">CONCATENATE("&lt;/li&gt;&lt;li&gt;&lt;a href=|http://",AD1191,"/matthew/23.htm","| ","title=|",AD1190,"| target=|_top|&gt;",AD1192,"&lt;/a&gt;")</f>
        <v>&lt;/li&gt;&lt;li&gt;&lt;a href=|http://gsb.biblecommenter.com/matthew/23.htm| title=|Geneva Study Bible| target=|_top|&gt;GSB&lt;/a&gt;</v>
      </c>
      <c r="AE952" s="2" t="str">
        <f t="shared" si="3806"/>
        <v>&lt;/li&gt;&lt;li&gt;&lt;a href=|http://jfb.biblecommenter.com/matthew/23.htm| title=|Jamieson-Fausset-Brown Bible Commentary| target=|_top|&gt;JFB&lt;/a&gt;</v>
      </c>
      <c r="AF952" s="2" t="str">
        <f t="shared" si="3806"/>
        <v>&lt;/li&gt;&lt;li&gt;&lt;a href=|http://kjt.biblecommenter.com/matthew/23.htm| title=|King James Translators' Notes| target=|_top|&gt;KJT&lt;/a&gt;</v>
      </c>
      <c r="AG952" s="2" t="str">
        <f t="shared" si="3806"/>
        <v>&lt;/li&gt;&lt;li&gt;&lt;a href=|http://mhc.biblecommenter.com/matthew/23.htm| title=|Matthew Henry's Concise Commentary| target=|_top|&gt;MHC&lt;/a&gt;</v>
      </c>
      <c r="AH952" s="2" t="str">
        <f t="shared" si="3806"/>
        <v>&lt;/li&gt;&lt;li&gt;&lt;a href=|http://sco.biblecommenter.com/matthew/23.htm| title=|Scofield Reference Notes| target=|_top|&gt;SCO&lt;/a&gt;</v>
      </c>
      <c r="AI952" s="2" t="str">
        <f t="shared" si="3806"/>
        <v>&lt;/li&gt;&lt;li&gt;&lt;a href=|http://wes.biblecommenter.com/matthew/23.htm| title=|Wesley's Notes on the Bible| target=|_top|&gt;WES&lt;/a&gt;</v>
      </c>
      <c r="AJ952" t="str">
        <f>CONCATENATE("&lt;/li&gt;&lt;li&gt;&lt;a href=|http://",AJ1191,"/matthew/23.htm","| ","title=|",AJ1190,"| target=|_top|&gt;",AJ1192,"&lt;/a&gt;")</f>
        <v>&lt;/li&gt;&lt;li&gt;&lt;a href=|http://worldebible.com/matthew/23.htm| title=|World English Bible| target=|_top|&gt;WEB&lt;/a&gt;</v>
      </c>
      <c r="AK952" t="str">
        <f>CONCATENATE("&lt;/li&gt;&lt;li&gt;&lt;a href=|http://",AK1191,"/matthew/23.htm","| ","title=|",AK1190,"| target=|_top|&gt;",AK1192,"&lt;/a&gt;")</f>
        <v>&lt;/li&gt;&lt;li&gt;&lt;a href=|http://yltbible.com/matthew/23.htm| title=|Young's Literal Translation| target=|_top|&gt;YLT&lt;/a&gt;</v>
      </c>
      <c r="AL952" t="str">
        <f>CONCATENATE("&lt;a href=|http://",AL1191,"/matthew/23.htm","| ","title=|",AL1190,"| target=|_top|&gt;",AL1192,"&lt;/a&gt;")</f>
        <v>&lt;a href=|http://kjv.us/matthew/23.htm| title=|American King James Version| target=|_top|&gt;AKJ&lt;/a&gt;</v>
      </c>
      <c r="AM952" t="str">
        <f t="shared" ref="AM952:AS952" si="3807">CONCATENATE("&lt;/li&gt;&lt;li&gt;&lt;a href=|http://",AM1191,"/matthew/23.htm","| ","title=|",AM1190,"| target=|_top|&gt;",AM1192,"&lt;/a&gt;")</f>
        <v>&lt;/li&gt;&lt;li&gt;&lt;a href=|http://basicenglishbible.com/matthew/23.htm| title=|Bible in Basic English| target=|_top|&gt;BBE&lt;/a&gt;</v>
      </c>
      <c r="AN952" t="str">
        <f t="shared" si="3807"/>
        <v>&lt;/li&gt;&lt;li&gt;&lt;a href=|http://darbybible.com/matthew/23.htm| title=|Darby Bible Translation| target=|_top|&gt;DBY&lt;/a&gt;</v>
      </c>
      <c r="AO952" t="str">
        <f t="shared" si="3807"/>
        <v>&lt;/li&gt;&lt;li&gt;&lt;a href=|http://isv.scripturetext.com/matthew/23.htm| title=|International Standard Version| target=|_top|&gt;ISV&lt;/a&gt;</v>
      </c>
      <c r="AP952" t="str">
        <f t="shared" si="3807"/>
        <v>&lt;/li&gt;&lt;li&gt;&lt;a href=|http://tnt.scripturetext.com/matthew/23.htm| title=|Tyndale New Testament| target=|_top|&gt;TNT&lt;/a&gt;</v>
      </c>
      <c r="AQ952" s="2" t="str">
        <f t="shared" si="3807"/>
        <v>&lt;/li&gt;&lt;li&gt;&lt;a href=|http://pnt.biblecommenter.com/matthew/23.htm| title=|People's New Testament| target=|_top|&gt;PNT&lt;/a&gt;</v>
      </c>
      <c r="AR952" t="str">
        <f t="shared" si="3807"/>
        <v>&lt;/li&gt;&lt;li&gt;&lt;a href=|http://websterbible.com/matthew/23.htm| title=|Webster's Bible Translation| target=|_top|&gt;WBS&lt;/a&gt;</v>
      </c>
      <c r="AS952" t="str">
        <f t="shared" si="3807"/>
        <v>&lt;/li&gt;&lt;li&gt;&lt;a href=|http://weymouthbible.com/matthew/23.htm| title=|Weymouth New Testament| target=|_top|&gt;WEY&lt;/a&gt;</v>
      </c>
      <c r="AT952" t="str">
        <f>CONCATENATE("&lt;/li&gt;&lt;li&gt;&lt;a href=|http://",AT1191,"/matthew/23-1.htm","| ","title=|",AT1190,"| target=|_top|&gt;",AT1192,"&lt;/a&gt;")</f>
        <v>&lt;/li&gt;&lt;li&gt;&lt;a href=|http://biblebrowser.com/matthew/23-1.htm| title=|Split View| target=|_top|&gt;Split&lt;/a&gt;</v>
      </c>
      <c r="AU952" s="2" t="s">
        <v>1276</v>
      </c>
      <c r="AV952" t="s">
        <v>64</v>
      </c>
    </row>
    <row r="953" spans="1:48">
      <c r="A953" t="s">
        <v>622</v>
      </c>
      <c r="B953" t="s">
        <v>994</v>
      </c>
      <c r="C953" t="s">
        <v>624</v>
      </c>
      <c r="D953" t="s">
        <v>1268</v>
      </c>
      <c r="E953" t="s">
        <v>1277</v>
      </c>
      <c r="F953" t="s">
        <v>1304</v>
      </c>
      <c r="G953" t="s">
        <v>1266</v>
      </c>
      <c r="H953" t="s">
        <v>1305</v>
      </c>
      <c r="I953" t="s">
        <v>1303</v>
      </c>
      <c r="J953" t="s">
        <v>1267</v>
      </c>
      <c r="K953" t="s">
        <v>1275</v>
      </c>
      <c r="L953" s="2" t="s">
        <v>1274</v>
      </c>
      <c r="M953" t="str">
        <f t="shared" ref="M953:AB953" si="3808">CONCATENATE("&lt;/li&gt;&lt;li&gt;&lt;a href=|http://",M1191,"/matthew/24.htm","| ","title=|",M1190,"| target=|_top|&gt;",M1192,"&lt;/a&gt;")</f>
        <v>&lt;/li&gt;&lt;li&gt;&lt;a href=|http://niv.scripturetext.com/matthew/24.htm| title=|New International Version| target=|_top|&gt;NIV&lt;/a&gt;</v>
      </c>
      <c r="N953" t="str">
        <f t="shared" si="3808"/>
        <v>&lt;/li&gt;&lt;li&gt;&lt;a href=|http://nlt.scripturetext.com/matthew/24.htm| title=|New Living Translation| target=|_top|&gt;NLT&lt;/a&gt;</v>
      </c>
      <c r="O953" t="str">
        <f t="shared" si="3808"/>
        <v>&lt;/li&gt;&lt;li&gt;&lt;a href=|http://nasb.scripturetext.com/matthew/24.htm| title=|New American Standard Bible| target=|_top|&gt;NAS&lt;/a&gt;</v>
      </c>
      <c r="P953" t="str">
        <f t="shared" si="3808"/>
        <v>&lt;/li&gt;&lt;li&gt;&lt;a href=|http://gwt.scripturetext.com/matthew/24.htm| title=|God's Word Translation| target=|_top|&gt;GWT&lt;/a&gt;</v>
      </c>
      <c r="Q953" t="str">
        <f t="shared" si="3808"/>
        <v>&lt;/li&gt;&lt;li&gt;&lt;a href=|http://kingjbible.com/matthew/24.htm| title=|King James Bible| target=|_top|&gt;KJV&lt;/a&gt;</v>
      </c>
      <c r="R953" t="str">
        <f t="shared" si="3808"/>
        <v>&lt;/li&gt;&lt;li&gt;&lt;a href=|http://asvbible.com/matthew/24.htm| title=|American Standard Version| target=|_top|&gt;ASV&lt;/a&gt;</v>
      </c>
      <c r="S953" t="str">
        <f t="shared" si="3808"/>
        <v>&lt;/li&gt;&lt;li&gt;&lt;a href=|http://drb.scripturetext.com/matthew/24.htm| title=|Douay-Rheims Bible| target=|_top|&gt;DRB&lt;/a&gt;</v>
      </c>
      <c r="T953" t="str">
        <f t="shared" si="3808"/>
        <v>&lt;/li&gt;&lt;li&gt;&lt;a href=|http://erv.scripturetext.com/matthew/24.htm| title=|English Revised Version| target=|_top|&gt;ERV&lt;/a&gt;</v>
      </c>
      <c r="U953" t="str">
        <f>CONCATENATE("&lt;/li&gt;&lt;li&gt;&lt;a href=|http://",U1191,"/matthew/24.htm","| ","title=|",U1190,"| target=|_top|&gt;",U1192,"&lt;/a&gt;")</f>
        <v>&lt;/li&gt;&lt;li&gt;&lt;a href=|http://study.interlinearbible.org/matthew/24.htm| title=|Greek Study Bible| target=|_top|&gt;Grk Study&lt;/a&gt;</v>
      </c>
      <c r="W953" t="str">
        <f t="shared" si="3808"/>
        <v>&lt;/li&gt;&lt;li&gt;&lt;a href=|http://apostolic.interlinearbible.org/matthew/24.htm| title=|Apostolic Bible Polyglot Interlinear| target=|_top|&gt;Polyglot&lt;/a&gt;</v>
      </c>
      <c r="X953" t="str">
        <f t="shared" si="3808"/>
        <v>&lt;/li&gt;&lt;li&gt;&lt;a href=|http://interlinearbible.org/matthew/24.htm| title=|Interlinear Bible| target=|_top|&gt;Interlin&lt;/a&gt;</v>
      </c>
      <c r="Y953" t="str">
        <f t="shared" ref="Y953" si="3809">CONCATENATE("&lt;/li&gt;&lt;li&gt;&lt;a href=|http://",Y1191,"/matthew/24.htm","| ","title=|",Y1190,"| target=|_top|&gt;",Y1192,"&lt;/a&gt;")</f>
        <v>&lt;/li&gt;&lt;li&gt;&lt;a href=|http://bibleoutline.org/matthew/24.htm| title=|Outline with People and Places List| target=|_top|&gt;Outline&lt;/a&gt;</v>
      </c>
      <c r="Z953" t="str">
        <f t="shared" si="3808"/>
        <v>&lt;/li&gt;&lt;li&gt;&lt;a href=|http://kjvs.scripturetext.com/matthew/24.htm| title=|King James Bible with Strong's Numbers| target=|_top|&gt;Strong's&lt;/a&gt;</v>
      </c>
      <c r="AA953" t="str">
        <f t="shared" si="3808"/>
        <v>&lt;/li&gt;&lt;li&gt;&lt;a href=|http://childrensbibleonline.com/matthew/24.htm| title=|The Children's Bible| target=|_top|&gt;Children's&lt;/a&gt;</v>
      </c>
      <c r="AB953" s="2" t="str">
        <f t="shared" si="3808"/>
        <v>&lt;/li&gt;&lt;li&gt;&lt;a href=|http://tsk.scripturetext.com/matthew/24.htm| title=|Treasury of Scripture Knowledge| target=|_top|&gt;TSK&lt;/a&gt;</v>
      </c>
      <c r="AC953" t="str">
        <f>CONCATENATE("&lt;a href=|http://",AC1191,"/matthew/24.htm","| ","title=|",AC1190,"| target=|_top|&gt;",AC1192,"&lt;/a&gt;")</f>
        <v>&lt;a href=|http://parallelbible.com/matthew/24.htm| title=|Parallel Chapters| target=|_top|&gt;PAR&lt;/a&gt;</v>
      </c>
      <c r="AD953" s="2" t="str">
        <f t="shared" ref="AD953:AI953" si="3810">CONCATENATE("&lt;/li&gt;&lt;li&gt;&lt;a href=|http://",AD1191,"/matthew/24.htm","| ","title=|",AD1190,"| target=|_top|&gt;",AD1192,"&lt;/a&gt;")</f>
        <v>&lt;/li&gt;&lt;li&gt;&lt;a href=|http://gsb.biblecommenter.com/matthew/24.htm| title=|Geneva Study Bible| target=|_top|&gt;GSB&lt;/a&gt;</v>
      </c>
      <c r="AE953" s="2" t="str">
        <f t="shared" si="3810"/>
        <v>&lt;/li&gt;&lt;li&gt;&lt;a href=|http://jfb.biblecommenter.com/matthew/24.htm| title=|Jamieson-Fausset-Brown Bible Commentary| target=|_top|&gt;JFB&lt;/a&gt;</v>
      </c>
      <c r="AF953" s="2" t="str">
        <f t="shared" si="3810"/>
        <v>&lt;/li&gt;&lt;li&gt;&lt;a href=|http://kjt.biblecommenter.com/matthew/24.htm| title=|King James Translators' Notes| target=|_top|&gt;KJT&lt;/a&gt;</v>
      </c>
      <c r="AG953" s="2" t="str">
        <f t="shared" si="3810"/>
        <v>&lt;/li&gt;&lt;li&gt;&lt;a href=|http://mhc.biblecommenter.com/matthew/24.htm| title=|Matthew Henry's Concise Commentary| target=|_top|&gt;MHC&lt;/a&gt;</v>
      </c>
      <c r="AH953" s="2" t="str">
        <f t="shared" si="3810"/>
        <v>&lt;/li&gt;&lt;li&gt;&lt;a href=|http://sco.biblecommenter.com/matthew/24.htm| title=|Scofield Reference Notes| target=|_top|&gt;SCO&lt;/a&gt;</v>
      </c>
      <c r="AI953" s="2" t="str">
        <f t="shared" si="3810"/>
        <v>&lt;/li&gt;&lt;li&gt;&lt;a href=|http://wes.biblecommenter.com/matthew/24.htm| title=|Wesley's Notes on the Bible| target=|_top|&gt;WES&lt;/a&gt;</v>
      </c>
      <c r="AJ953" t="str">
        <f>CONCATENATE("&lt;/li&gt;&lt;li&gt;&lt;a href=|http://",AJ1191,"/matthew/24.htm","| ","title=|",AJ1190,"| target=|_top|&gt;",AJ1192,"&lt;/a&gt;")</f>
        <v>&lt;/li&gt;&lt;li&gt;&lt;a href=|http://worldebible.com/matthew/24.htm| title=|World English Bible| target=|_top|&gt;WEB&lt;/a&gt;</v>
      </c>
      <c r="AK953" t="str">
        <f>CONCATENATE("&lt;/li&gt;&lt;li&gt;&lt;a href=|http://",AK1191,"/matthew/24.htm","| ","title=|",AK1190,"| target=|_top|&gt;",AK1192,"&lt;/a&gt;")</f>
        <v>&lt;/li&gt;&lt;li&gt;&lt;a href=|http://yltbible.com/matthew/24.htm| title=|Young's Literal Translation| target=|_top|&gt;YLT&lt;/a&gt;</v>
      </c>
      <c r="AL953" t="str">
        <f>CONCATENATE("&lt;a href=|http://",AL1191,"/matthew/24.htm","| ","title=|",AL1190,"| target=|_top|&gt;",AL1192,"&lt;/a&gt;")</f>
        <v>&lt;a href=|http://kjv.us/matthew/24.htm| title=|American King James Version| target=|_top|&gt;AKJ&lt;/a&gt;</v>
      </c>
      <c r="AM953" t="str">
        <f t="shared" ref="AM953:AS953" si="3811">CONCATENATE("&lt;/li&gt;&lt;li&gt;&lt;a href=|http://",AM1191,"/matthew/24.htm","| ","title=|",AM1190,"| target=|_top|&gt;",AM1192,"&lt;/a&gt;")</f>
        <v>&lt;/li&gt;&lt;li&gt;&lt;a href=|http://basicenglishbible.com/matthew/24.htm| title=|Bible in Basic English| target=|_top|&gt;BBE&lt;/a&gt;</v>
      </c>
      <c r="AN953" t="str">
        <f t="shared" si="3811"/>
        <v>&lt;/li&gt;&lt;li&gt;&lt;a href=|http://darbybible.com/matthew/24.htm| title=|Darby Bible Translation| target=|_top|&gt;DBY&lt;/a&gt;</v>
      </c>
      <c r="AO953" t="str">
        <f t="shared" si="3811"/>
        <v>&lt;/li&gt;&lt;li&gt;&lt;a href=|http://isv.scripturetext.com/matthew/24.htm| title=|International Standard Version| target=|_top|&gt;ISV&lt;/a&gt;</v>
      </c>
      <c r="AP953" t="str">
        <f t="shared" si="3811"/>
        <v>&lt;/li&gt;&lt;li&gt;&lt;a href=|http://tnt.scripturetext.com/matthew/24.htm| title=|Tyndale New Testament| target=|_top|&gt;TNT&lt;/a&gt;</v>
      </c>
      <c r="AQ953" s="2" t="str">
        <f t="shared" si="3811"/>
        <v>&lt;/li&gt;&lt;li&gt;&lt;a href=|http://pnt.biblecommenter.com/matthew/24.htm| title=|People's New Testament| target=|_top|&gt;PNT&lt;/a&gt;</v>
      </c>
      <c r="AR953" t="str">
        <f t="shared" si="3811"/>
        <v>&lt;/li&gt;&lt;li&gt;&lt;a href=|http://websterbible.com/matthew/24.htm| title=|Webster's Bible Translation| target=|_top|&gt;WBS&lt;/a&gt;</v>
      </c>
      <c r="AS953" t="str">
        <f t="shared" si="3811"/>
        <v>&lt;/li&gt;&lt;li&gt;&lt;a href=|http://weymouthbible.com/matthew/24.htm| title=|Weymouth New Testament| target=|_top|&gt;WEY&lt;/a&gt;</v>
      </c>
      <c r="AT953" t="str">
        <f>CONCATENATE("&lt;/li&gt;&lt;li&gt;&lt;a href=|http://",AT1191,"/matthew/24-1.htm","| ","title=|",AT1190,"| target=|_top|&gt;",AT1192,"&lt;/a&gt;")</f>
        <v>&lt;/li&gt;&lt;li&gt;&lt;a href=|http://biblebrowser.com/matthew/24-1.htm| title=|Split View| target=|_top|&gt;Split&lt;/a&gt;</v>
      </c>
      <c r="AU953" s="2" t="s">
        <v>1276</v>
      </c>
      <c r="AV953" t="s">
        <v>64</v>
      </c>
    </row>
    <row r="954" spans="1:48">
      <c r="A954" t="s">
        <v>622</v>
      </c>
      <c r="B954" t="s">
        <v>995</v>
      </c>
      <c r="C954" t="s">
        <v>624</v>
      </c>
      <c r="D954" t="s">
        <v>1268</v>
      </c>
      <c r="E954" t="s">
        <v>1277</v>
      </c>
      <c r="F954" t="s">
        <v>1304</v>
      </c>
      <c r="G954" t="s">
        <v>1266</v>
      </c>
      <c r="H954" t="s">
        <v>1305</v>
      </c>
      <c r="I954" t="s">
        <v>1303</v>
      </c>
      <c r="J954" t="s">
        <v>1267</v>
      </c>
      <c r="K954" t="s">
        <v>1275</v>
      </c>
      <c r="L954" s="2" t="s">
        <v>1274</v>
      </c>
      <c r="M954" t="str">
        <f t="shared" ref="M954:AB954" si="3812">CONCATENATE("&lt;/li&gt;&lt;li&gt;&lt;a href=|http://",M1191,"/matthew/25.htm","| ","title=|",M1190,"| target=|_top|&gt;",M1192,"&lt;/a&gt;")</f>
        <v>&lt;/li&gt;&lt;li&gt;&lt;a href=|http://niv.scripturetext.com/matthew/25.htm| title=|New International Version| target=|_top|&gt;NIV&lt;/a&gt;</v>
      </c>
      <c r="N954" t="str">
        <f t="shared" si="3812"/>
        <v>&lt;/li&gt;&lt;li&gt;&lt;a href=|http://nlt.scripturetext.com/matthew/25.htm| title=|New Living Translation| target=|_top|&gt;NLT&lt;/a&gt;</v>
      </c>
      <c r="O954" t="str">
        <f t="shared" si="3812"/>
        <v>&lt;/li&gt;&lt;li&gt;&lt;a href=|http://nasb.scripturetext.com/matthew/25.htm| title=|New American Standard Bible| target=|_top|&gt;NAS&lt;/a&gt;</v>
      </c>
      <c r="P954" t="str">
        <f t="shared" si="3812"/>
        <v>&lt;/li&gt;&lt;li&gt;&lt;a href=|http://gwt.scripturetext.com/matthew/25.htm| title=|God's Word Translation| target=|_top|&gt;GWT&lt;/a&gt;</v>
      </c>
      <c r="Q954" t="str">
        <f t="shared" si="3812"/>
        <v>&lt;/li&gt;&lt;li&gt;&lt;a href=|http://kingjbible.com/matthew/25.htm| title=|King James Bible| target=|_top|&gt;KJV&lt;/a&gt;</v>
      </c>
      <c r="R954" t="str">
        <f t="shared" si="3812"/>
        <v>&lt;/li&gt;&lt;li&gt;&lt;a href=|http://asvbible.com/matthew/25.htm| title=|American Standard Version| target=|_top|&gt;ASV&lt;/a&gt;</v>
      </c>
      <c r="S954" t="str">
        <f t="shared" si="3812"/>
        <v>&lt;/li&gt;&lt;li&gt;&lt;a href=|http://drb.scripturetext.com/matthew/25.htm| title=|Douay-Rheims Bible| target=|_top|&gt;DRB&lt;/a&gt;</v>
      </c>
      <c r="T954" t="str">
        <f t="shared" si="3812"/>
        <v>&lt;/li&gt;&lt;li&gt;&lt;a href=|http://erv.scripturetext.com/matthew/25.htm| title=|English Revised Version| target=|_top|&gt;ERV&lt;/a&gt;</v>
      </c>
      <c r="U954" t="str">
        <f>CONCATENATE("&lt;/li&gt;&lt;li&gt;&lt;a href=|http://",U1191,"/matthew/25.htm","| ","title=|",U1190,"| target=|_top|&gt;",U1192,"&lt;/a&gt;")</f>
        <v>&lt;/li&gt;&lt;li&gt;&lt;a href=|http://study.interlinearbible.org/matthew/25.htm| title=|Greek Study Bible| target=|_top|&gt;Grk Study&lt;/a&gt;</v>
      </c>
      <c r="W954" t="str">
        <f t="shared" si="3812"/>
        <v>&lt;/li&gt;&lt;li&gt;&lt;a href=|http://apostolic.interlinearbible.org/matthew/25.htm| title=|Apostolic Bible Polyglot Interlinear| target=|_top|&gt;Polyglot&lt;/a&gt;</v>
      </c>
      <c r="X954" t="str">
        <f t="shared" si="3812"/>
        <v>&lt;/li&gt;&lt;li&gt;&lt;a href=|http://interlinearbible.org/matthew/25.htm| title=|Interlinear Bible| target=|_top|&gt;Interlin&lt;/a&gt;</v>
      </c>
      <c r="Y954" t="str">
        <f t="shared" ref="Y954" si="3813">CONCATENATE("&lt;/li&gt;&lt;li&gt;&lt;a href=|http://",Y1191,"/matthew/25.htm","| ","title=|",Y1190,"| target=|_top|&gt;",Y1192,"&lt;/a&gt;")</f>
        <v>&lt;/li&gt;&lt;li&gt;&lt;a href=|http://bibleoutline.org/matthew/25.htm| title=|Outline with People and Places List| target=|_top|&gt;Outline&lt;/a&gt;</v>
      </c>
      <c r="Z954" t="str">
        <f t="shared" si="3812"/>
        <v>&lt;/li&gt;&lt;li&gt;&lt;a href=|http://kjvs.scripturetext.com/matthew/25.htm| title=|King James Bible with Strong's Numbers| target=|_top|&gt;Strong's&lt;/a&gt;</v>
      </c>
      <c r="AA954" t="str">
        <f t="shared" si="3812"/>
        <v>&lt;/li&gt;&lt;li&gt;&lt;a href=|http://childrensbibleonline.com/matthew/25.htm| title=|The Children's Bible| target=|_top|&gt;Children's&lt;/a&gt;</v>
      </c>
      <c r="AB954" s="2" t="str">
        <f t="shared" si="3812"/>
        <v>&lt;/li&gt;&lt;li&gt;&lt;a href=|http://tsk.scripturetext.com/matthew/25.htm| title=|Treasury of Scripture Knowledge| target=|_top|&gt;TSK&lt;/a&gt;</v>
      </c>
      <c r="AC954" t="str">
        <f>CONCATENATE("&lt;a href=|http://",AC1191,"/matthew/25.htm","| ","title=|",AC1190,"| target=|_top|&gt;",AC1192,"&lt;/a&gt;")</f>
        <v>&lt;a href=|http://parallelbible.com/matthew/25.htm| title=|Parallel Chapters| target=|_top|&gt;PAR&lt;/a&gt;</v>
      </c>
      <c r="AD954" s="2" t="str">
        <f t="shared" ref="AD954:AI954" si="3814">CONCATENATE("&lt;/li&gt;&lt;li&gt;&lt;a href=|http://",AD1191,"/matthew/25.htm","| ","title=|",AD1190,"| target=|_top|&gt;",AD1192,"&lt;/a&gt;")</f>
        <v>&lt;/li&gt;&lt;li&gt;&lt;a href=|http://gsb.biblecommenter.com/matthew/25.htm| title=|Geneva Study Bible| target=|_top|&gt;GSB&lt;/a&gt;</v>
      </c>
      <c r="AE954" s="2" t="str">
        <f t="shared" si="3814"/>
        <v>&lt;/li&gt;&lt;li&gt;&lt;a href=|http://jfb.biblecommenter.com/matthew/25.htm| title=|Jamieson-Fausset-Brown Bible Commentary| target=|_top|&gt;JFB&lt;/a&gt;</v>
      </c>
      <c r="AF954" s="2" t="str">
        <f t="shared" si="3814"/>
        <v>&lt;/li&gt;&lt;li&gt;&lt;a href=|http://kjt.biblecommenter.com/matthew/25.htm| title=|King James Translators' Notes| target=|_top|&gt;KJT&lt;/a&gt;</v>
      </c>
      <c r="AG954" s="2" t="str">
        <f t="shared" si="3814"/>
        <v>&lt;/li&gt;&lt;li&gt;&lt;a href=|http://mhc.biblecommenter.com/matthew/25.htm| title=|Matthew Henry's Concise Commentary| target=|_top|&gt;MHC&lt;/a&gt;</v>
      </c>
      <c r="AH954" s="2" t="str">
        <f t="shared" si="3814"/>
        <v>&lt;/li&gt;&lt;li&gt;&lt;a href=|http://sco.biblecommenter.com/matthew/25.htm| title=|Scofield Reference Notes| target=|_top|&gt;SCO&lt;/a&gt;</v>
      </c>
      <c r="AI954" s="2" t="str">
        <f t="shared" si="3814"/>
        <v>&lt;/li&gt;&lt;li&gt;&lt;a href=|http://wes.biblecommenter.com/matthew/25.htm| title=|Wesley's Notes on the Bible| target=|_top|&gt;WES&lt;/a&gt;</v>
      </c>
      <c r="AJ954" t="str">
        <f>CONCATENATE("&lt;/li&gt;&lt;li&gt;&lt;a href=|http://",AJ1191,"/matthew/25.htm","| ","title=|",AJ1190,"| target=|_top|&gt;",AJ1192,"&lt;/a&gt;")</f>
        <v>&lt;/li&gt;&lt;li&gt;&lt;a href=|http://worldebible.com/matthew/25.htm| title=|World English Bible| target=|_top|&gt;WEB&lt;/a&gt;</v>
      </c>
      <c r="AK954" t="str">
        <f>CONCATENATE("&lt;/li&gt;&lt;li&gt;&lt;a href=|http://",AK1191,"/matthew/25.htm","| ","title=|",AK1190,"| target=|_top|&gt;",AK1192,"&lt;/a&gt;")</f>
        <v>&lt;/li&gt;&lt;li&gt;&lt;a href=|http://yltbible.com/matthew/25.htm| title=|Young's Literal Translation| target=|_top|&gt;YLT&lt;/a&gt;</v>
      </c>
      <c r="AL954" t="str">
        <f>CONCATENATE("&lt;a href=|http://",AL1191,"/matthew/25.htm","| ","title=|",AL1190,"| target=|_top|&gt;",AL1192,"&lt;/a&gt;")</f>
        <v>&lt;a href=|http://kjv.us/matthew/25.htm| title=|American King James Version| target=|_top|&gt;AKJ&lt;/a&gt;</v>
      </c>
      <c r="AM954" t="str">
        <f t="shared" ref="AM954:AS954" si="3815">CONCATENATE("&lt;/li&gt;&lt;li&gt;&lt;a href=|http://",AM1191,"/matthew/25.htm","| ","title=|",AM1190,"| target=|_top|&gt;",AM1192,"&lt;/a&gt;")</f>
        <v>&lt;/li&gt;&lt;li&gt;&lt;a href=|http://basicenglishbible.com/matthew/25.htm| title=|Bible in Basic English| target=|_top|&gt;BBE&lt;/a&gt;</v>
      </c>
      <c r="AN954" t="str">
        <f t="shared" si="3815"/>
        <v>&lt;/li&gt;&lt;li&gt;&lt;a href=|http://darbybible.com/matthew/25.htm| title=|Darby Bible Translation| target=|_top|&gt;DBY&lt;/a&gt;</v>
      </c>
      <c r="AO954" t="str">
        <f t="shared" si="3815"/>
        <v>&lt;/li&gt;&lt;li&gt;&lt;a href=|http://isv.scripturetext.com/matthew/25.htm| title=|International Standard Version| target=|_top|&gt;ISV&lt;/a&gt;</v>
      </c>
      <c r="AP954" t="str">
        <f t="shared" si="3815"/>
        <v>&lt;/li&gt;&lt;li&gt;&lt;a href=|http://tnt.scripturetext.com/matthew/25.htm| title=|Tyndale New Testament| target=|_top|&gt;TNT&lt;/a&gt;</v>
      </c>
      <c r="AQ954" s="2" t="str">
        <f t="shared" si="3815"/>
        <v>&lt;/li&gt;&lt;li&gt;&lt;a href=|http://pnt.biblecommenter.com/matthew/25.htm| title=|People's New Testament| target=|_top|&gt;PNT&lt;/a&gt;</v>
      </c>
      <c r="AR954" t="str">
        <f t="shared" si="3815"/>
        <v>&lt;/li&gt;&lt;li&gt;&lt;a href=|http://websterbible.com/matthew/25.htm| title=|Webster's Bible Translation| target=|_top|&gt;WBS&lt;/a&gt;</v>
      </c>
      <c r="AS954" t="str">
        <f t="shared" si="3815"/>
        <v>&lt;/li&gt;&lt;li&gt;&lt;a href=|http://weymouthbible.com/matthew/25.htm| title=|Weymouth New Testament| target=|_top|&gt;WEY&lt;/a&gt;</v>
      </c>
      <c r="AT954" t="str">
        <f>CONCATENATE("&lt;/li&gt;&lt;li&gt;&lt;a href=|http://",AT1191,"/matthew/25-1.htm","| ","title=|",AT1190,"| target=|_top|&gt;",AT1192,"&lt;/a&gt;")</f>
        <v>&lt;/li&gt;&lt;li&gt;&lt;a href=|http://biblebrowser.com/matthew/25-1.htm| title=|Split View| target=|_top|&gt;Split&lt;/a&gt;</v>
      </c>
      <c r="AU954" s="2" t="s">
        <v>1276</v>
      </c>
      <c r="AV954" t="s">
        <v>64</v>
      </c>
    </row>
    <row r="955" spans="1:48">
      <c r="A955" t="s">
        <v>622</v>
      </c>
      <c r="B955" t="s">
        <v>996</v>
      </c>
      <c r="C955" t="s">
        <v>624</v>
      </c>
      <c r="D955" t="s">
        <v>1268</v>
      </c>
      <c r="E955" t="s">
        <v>1277</v>
      </c>
      <c r="F955" t="s">
        <v>1304</v>
      </c>
      <c r="G955" t="s">
        <v>1266</v>
      </c>
      <c r="H955" t="s">
        <v>1305</v>
      </c>
      <c r="I955" t="s">
        <v>1303</v>
      </c>
      <c r="J955" t="s">
        <v>1267</v>
      </c>
      <c r="K955" t="s">
        <v>1275</v>
      </c>
      <c r="L955" s="2" t="s">
        <v>1274</v>
      </c>
      <c r="M955" t="str">
        <f t="shared" ref="M955:AB955" si="3816">CONCATENATE("&lt;/li&gt;&lt;li&gt;&lt;a href=|http://",M1191,"/matthew/26.htm","| ","title=|",M1190,"| target=|_top|&gt;",M1192,"&lt;/a&gt;")</f>
        <v>&lt;/li&gt;&lt;li&gt;&lt;a href=|http://niv.scripturetext.com/matthew/26.htm| title=|New International Version| target=|_top|&gt;NIV&lt;/a&gt;</v>
      </c>
      <c r="N955" t="str">
        <f t="shared" si="3816"/>
        <v>&lt;/li&gt;&lt;li&gt;&lt;a href=|http://nlt.scripturetext.com/matthew/26.htm| title=|New Living Translation| target=|_top|&gt;NLT&lt;/a&gt;</v>
      </c>
      <c r="O955" t="str">
        <f t="shared" si="3816"/>
        <v>&lt;/li&gt;&lt;li&gt;&lt;a href=|http://nasb.scripturetext.com/matthew/26.htm| title=|New American Standard Bible| target=|_top|&gt;NAS&lt;/a&gt;</v>
      </c>
      <c r="P955" t="str">
        <f t="shared" si="3816"/>
        <v>&lt;/li&gt;&lt;li&gt;&lt;a href=|http://gwt.scripturetext.com/matthew/26.htm| title=|God's Word Translation| target=|_top|&gt;GWT&lt;/a&gt;</v>
      </c>
      <c r="Q955" t="str">
        <f t="shared" si="3816"/>
        <v>&lt;/li&gt;&lt;li&gt;&lt;a href=|http://kingjbible.com/matthew/26.htm| title=|King James Bible| target=|_top|&gt;KJV&lt;/a&gt;</v>
      </c>
      <c r="R955" t="str">
        <f t="shared" si="3816"/>
        <v>&lt;/li&gt;&lt;li&gt;&lt;a href=|http://asvbible.com/matthew/26.htm| title=|American Standard Version| target=|_top|&gt;ASV&lt;/a&gt;</v>
      </c>
      <c r="S955" t="str">
        <f t="shared" si="3816"/>
        <v>&lt;/li&gt;&lt;li&gt;&lt;a href=|http://drb.scripturetext.com/matthew/26.htm| title=|Douay-Rheims Bible| target=|_top|&gt;DRB&lt;/a&gt;</v>
      </c>
      <c r="T955" t="str">
        <f t="shared" si="3816"/>
        <v>&lt;/li&gt;&lt;li&gt;&lt;a href=|http://erv.scripturetext.com/matthew/26.htm| title=|English Revised Version| target=|_top|&gt;ERV&lt;/a&gt;</v>
      </c>
      <c r="U955" t="str">
        <f>CONCATENATE("&lt;/li&gt;&lt;li&gt;&lt;a href=|http://",U1191,"/matthew/26.htm","| ","title=|",U1190,"| target=|_top|&gt;",U1192,"&lt;/a&gt;")</f>
        <v>&lt;/li&gt;&lt;li&gt;&lt;a href=|http://study.interlinearbible.org/matthew/26.htm| title=|Greek Study Bible| target=|_top|&gt;Grk Study&lt;/a&gt;</v>
      </c>
      <c r="W955" t="str">
        <f t="shared" si="3816"/>
        <v>&lt;/li&gt;&lt;li&gt;&lt;a href=|http://apostolic.interlinearbible.org/matthew/26.htm| title=|Apostolic Bible Polyglot Interlinear| target=|_top|&gt;Polyglot&lt;/a&gt;</v>
      </c>
      <c r="X955" t="str">
        <f t="shared" si="3816"/>
        <v>&lt;/li&gt;&lt;li&gt;&lt;a href=|http://interlinearbible.org/matthew/26.htm| title=|Interlinear Bible| target=|_top|&gt;Interlin&lt;/a&gt;</v>
      </c>
      <c r="Y955" t="str">
        <f t="shared" ref="Y955" si="3817">CONCATENATE("&lt;/li&gt;&lt;li&gt;&lt;a href=|http://",Y1191,"/matthew/26.htm","| ","title=|",Y1190,"| target=|_top|&gt;",Y1192,"&lt;/a&gt;")</f>
        <v>&lt;/li&gt;&lt;li&gt;&lt;a href=|http://bibleoutline.org/matthew/26.htm| title=|Outline with People and Places List| target=|_top|&gt;Outline&lt;/a&gt;</v>
      </c>
      <c r="Z955" t="str">
        <f t="shared" si="3816"/>
        <v>&lt;/li&gt;&lt;li&gt;&lt;a href=|http://kjvs.scripturetext.com/matthew/26.htm| title=|King James Bible with Strong's Numbers| target=|_top|&gt;Strong's&lt;/a&gt;</v>
      </c>
      <c r="AA955" t="str">
        <f t="shared" si="3816"/>
        <v>&lt;/li&gt;&lt;li&gt;&lt;a href=|http://childrensbibleonline.com/matthew/26.htm| title=|The Children's Bible| target=|_top|&gt;Children's&lt;/a&gt;</v>
      </c>
      <c r="AB955" s="2" t="str">
        <f t="shared" si="3816"/>
        <v>&lt;/li&gt;&lt;li&gt;&lt;a href=|http://tsk.scripturetext.com/matthew/26.htm| title=|Treasury of Scripture Knowledge| target=|_top|&gt;TSK&lt;/a&gt;</v>
      </c>
      <c r="AC955" t="str">
        <f>CONCATENATE("&lt;a href=|http://",AC1191,"/matthew/26.htm","| ","title=|",AC1190,"| target=|_top|&gt;",AC1192,"&lt;/a&gt;")</f>
        <v>&lt;a href=|http://parallelbible.com/matthew/26.htm| title=|Parallel Chapters| target=|_top|&gt;PAR&lt;/a&gt;</v>
      </c>
      <c r="AD955" s="2" t="str">
        <f t="shared" ref="AD955:AI955" si="3818">CONCATENATE("&lt;/li&gt;&lt;li&gt;&lt;a href=|http://",AD1191,"/matthew/26.htm","| ","title=|",AD1190,"| target=|_top|&gt;",AD1192,"&lt;/a&gt;")</f>
        <v>&lt;/li&gt;&lt;li&gt;&lt;a href=|http://gsb.biblecommenter.com/matthew/26.htm| title=|Geneva Study Bible| target=|_top|&gt;GSB&lt;/a&gt;</v>
      </c>
      <c r="AE955" s="2" t="str">
        <f t="shared" si="3818"/>
        <v>&lt;/li&gt;&lt;li&gt;&lt;a href=|http://jfb.biblecommenter.com/matthew/26.htm| title=|Jamieson-Fausset-Brown Bible Commentary| target=|_top|&gt;JFB&lt;/a&gt;</v>
      </c>
      <c r="AF955" s="2" t="str">
        <f t="shared" si="3818"/>
        <v>&lt;/li&gt;&lt;li&gt;&lt;a href=|http://kjt.biblecommenter.com/matthew/26.htm| title=|King James Translators' Notes| target=|_top|&gt;KJT&lt;/a&gt;</v>
      </c>
      <c r="AG955" s="2" t="str">
        <f t="shared" si="3818"/>
        <v>&lt;/li&gt;&lt;li&gt;&lt;a href=|http://mhc.biblecommenter.com/matthew/26.htm| title=|Matthew Henry's Concise Commentary| target=|_top|&gt;MHC&lt;/a&gt;</v>
      </c>
      <c r="AH955" s="2" t="str">
        <f t="shared" si="3818"/>
        <v>&lt;/li&gt;&lt;li&gt;&lt;a href=|http://sco.biblecommenter.com/matthew/26.htm| title=|Scofield Reference Notes| target=|_top|&gt;SCO&lt;/a&gt;</v>
      </c>
      <c r="AI955" s="2" t="str">
        <f t="shared" si="3818"/>
        <v>&lt;/li&gt;&lt;li&gt;&lt;a href=|http://wes.biblecommenter.com/matthew/26.htm| title=|Wesley's Notes on the Bible| target=|_top|&gt;WES&lt;/a&gt;</v>
      </c>
      <c r="AJ955" t="str">
        <f>CONCATENATE("&lt;/li&gt;&lt;li&gt;&lt;a href=|http://",AJ1191,"/matthew/26.htm","| ","title=|",AJ1190,"| target=|_top|&gt;",AJ1192,"&lt;/a&gt;")</f>
        <v>&lt;/li&gt;&lt;li&gt;&lt;a href=|http://worldebible.com/matthew/26.htm| title=|World English Bible| target=|_top|&gt;WEB&lt;/a&gt;</v>
      </c>
      <c r="AK955" t="str">
        <f>CONCATENATE("&lt;/li&gt;&lt;li&gt;&lt;a href=|http://",AK1191,"/matthew/26.htm","| ","title=|",AK1190,"| target=|_top|&gt;",AK1192,"&lt;/a&gt;")</f>
        <v>&lt;/li&gt;&lt;li&gt;&lt;a href=|http://yltbible.com/matthew/26.htm| title=|Young's Literal Translation| target=|_top|&gt;YLT&lt;/a&gt;</v>
      </c>
      <c r="AL955" t="str">
        <f>CONCATENATE("&lt;a href=|http://",AL1191,"/matthew/26.htm","| ","title=|",AL1190,"| target=|_top|&gt;",AL1192,"&lt;/a&gt;")</f>
        <v>&lt;a href=|http://kjv.us/matthew/26.htm| title=|American King James Version| target=|_top|&gt;AKJ&lt;/a&gt;</v>
      </c>
      <c r="AM955" t="str">
        <f t="shared" ref="AM955:AS955" si="3819">CONCATENATE("&lt;/li&gt;&lt;li&gt;&lt;a href=|http://",AM1191,"/matthew/26.htm","| ","title=|",AM1190,"| target=|_top|&gt;",AM1192,"&lt;/a&gt;")</f>
        <v>&lt;/li&gt;&lt;li&gt;&lt;a href=|http://basicenglishbible.com/matthew/26.htm| title=|Bible in Basic English| target=|_top|&gt;BBE&lt;/a&gt;</v>
      </c>
      <c r="AN955" t="str">
        <f t="shared" si="3819"/>
        <v>&lt;/li&gt;&lt;li&gt;&lt;a href=|http://darbybible.com/matthew/26.htm| title=|Darby Bible Translation| target=|_top|&gt;DBY&lt;/a&gt;</v>
      </c>
      <c r="AO955" t="str">
        <f t="shared" si="3819"/>
        <v>&lt;/li&gt;&lt;li&gt;&lt;a href=|http://isv.scripturetext.com/matthew/26.htm| title=|International Standard Version| target=|_top|&gt;ISV&lt;/a&gt;</v>
      </c>
      <c r="AP955" t="str">
        <f t="shared" si="3819"/>
        <v>&lt;/li&gt;&lt;li&gt;&lt;a href=|http://tnt.scripturetext.com/matthew/26.htm| title=|Tyndale New Testament| target=|_top|&gt;TNT&lt;/a&gt;</v>
      </c>
      <c r="AQ955" s="2" t="str">
        <f t="shared" si="3819"/>
        <v>&lt;/li&gt;&lt;li&gt;&lt;a href=|http://pnt.biblecommenter.com/matthew/26.htm| title=|People's New Testament| target=|_top|&gt;PNT&lt;/a&gt;</v>
      </c>
      <c r="AR955" t="str">
        <f t="shared" si="3819"/>
        <v>&lt;/li&gt;&lt;li&gt;&lt;a href=|http://websterbible.com/matthew/26.htm| title=|Webster's Bible Translation| target=|_top|&gt;WBS&lt;/a&gt;</v>
      </c>
      <c r="AS955" t="str">
        <f t="shared" si="3819"/>
        <v>&lt;/li&gt;&lt;li&gt;&lt;a href=|http://weymouthbible.com/matthew/26.htm| title=|Weymouth New Testament| target=|_top|&gt;WEY&lt;/a&gt;</v>
      </c>
      <c r="AT955" t="str">
        <f>CONCATENATE("&lt;/li&gt;&lt;li&gt;&lt;a href=|http://",AT1191,"/matthew/26-1.htm","| ","title=|",AT1190,"| target=|_top|&gt;",AT1192,"&lt;/a&gt;")</f>
        <v>&lt;/li&gt;&lt;li&gt;&lt;a href=|http://biblebrowser.com/matthew/26-1.htm| title=|Split View| target=|_top|&gt;Split&lt;/a&gt;</v>
      </c>
      <c r="AU955" s="2" t="s">
        <v>1276</v>
      </c>
      <c r="AV955" t="s">
        <v>64</v>
      </c>
    </row>
    <row r="956" spans="1:48">
      <c r="A956" t="s">
        <v>622</v>
      </c>
      <c r="B956" t="s">
        <v>997</v>
      </c>
      <c r="C956" t="s">
        <v>624</v>
      </c>
      <c r="D956" t="s">
        <v>1268</v>
      </c>
      <c r="E956" t="s">
        <v>1277</v>
      </c>
      <c r="F956" t="s">
        <v>1304</v>
      </c>
      <c r="G956" t="s">
        <v>1266</v>
      </c>
      <c r="H956" t="s">
        <v>1305</v>
      </c>
      <c r="I956" t="s">
        <v>1303</v>
      </c>
      <c r="J956" t="s">
        <v>1267</v>
      </c>
      <c r="K956" t="s">
        <v>1275</v>
      </c>
      <c r="L956" s="2" t="s">
        <v>1274</v>
      </c>
      <c r="M956" t="str">
        <f t="shared" ref="M956:AB956" si="3820">CONCATENATE("&lt;/li&gt;&lt;li&gt;&lt;a href=|http://",M1191,"/matthew/27.htm","| ","title=|",M1190,"| target=|_top|&gt;",M1192,"&lt;/a&gt;")</f>
        <v>&lt;/li&gt;&lt;li&gt;&lt;a href=|http://niv.scripturetext.com/matthew/27.htm| title=|New International Version| target=|_top|&gt;NIV&lt;/a&gt;</v>
      </c>
      <c r="N956" t="str">
        <f t="shared" si="3820"/>
        <v>&lt;/li&gt;&lt;li&gt;&lt;a href=|http://nlt.scripturetext.com/matthew/27.htm| title=|New Living Translation| target=|_top|&gt;NLT&lt;/a&gt;</v>
      </c>
      <c r="O956" t="str">
        <f t="shared" si="3820"/>
        <v>&lt;/li&gt;&lt;li&gt;&lt;a href=|http://nasb.scripturetext.com/matthew/27.htm| title=|New American Standard Bible| target=|_top|&gt;NAS&lt;/a&gt;</v>
      </c>
      <c r="P956" t="str">
        <f t="shared" si="3820"/>
        <v>&lt;/li&gt;&lt;li&gt;&lt;a href=|http://gwt.scripturetext.com/matthew/27.htm| title=|God's Word Translation| target=|_top|&gt;GWT&lt;/a&gt;</v>
      </c>
      <c r="Q956" t="str">
        <f t="shared" si="3820"/>
        <v>&lt;/li&gt;&lt;li&gt;&lt;a href=|http://kingjbible.com/matthew/27.htm| title=|King James Bible| target=|_top|&gt;KJV&lt;/a&gt;</v>
      </c>
      <c r="R956" t="str">
        <f t="shared" si="3820"/>
        <v>&lt;/li&gt;&lt;li&gt;&lt;a href=|http://asvbible.com/matthew/27.htm| title=|American Standard Version| target=|_top|&gt;ASV&lt;/a&gt;</v>
      </c>
      <c r="S956" t="str">
        <f t="shared" si="3820"/>
        <v>&lt;/li&gt;&lt;li&gt;&lt;a href=|http://drb.scripturetext.com/matthew/27.htm| title=|Douay-Rheims Bible| target=|_top|&gt;DRB&lt;/a&gt;</v>
      </c>
      <c r="T956" t="str">
        <f t="shared" si="3820"/>
        <v>&lt;/li&gt;&lt;li&gt;&lt;a href=|http://erv.scripturetext.com/matthew/27.htm| title=|English Revised Version| target=|_top|&gt;ERV&lt;/a&gt;</v>
      </c>
      <c r="U956" t="str">
        <f>CONCATENATE("&lt;/li&gt;&lt;li&gt;&lt;a href=|http://",U1191,"/matthew/27.htm","| ","title=|",U1190,"| target=|_top|&gt;",U1192,"&lt;/a&gt;")</f>
        <v>&lt;/li&gt;&lt;li&gt;&lt;a href=|http://study.interlinearbible.org/matthew/27.htm| title=|Greek Study Bible| target=|_top|&gt;Grk Study&lt;/a&gt;</v>
      </c>
      <c r="W956" t="str">
        <f t="shared" si="3820"/>
        <v>&lt;/li&gt;&lt;li&gt;&lt;a href=|http://apostolic.interlinearbible.org/matthew/27.htm| title=|Apostolic Bible Polyglot Interlinear| target=|_top|&gt;Polyglot&lt;/a&gt;</v>
      </c>
      <c r="X956" t="str">
        <f t="shared" si="3820"/>
        <v>&lt;/li&gt;&lt;li&gt;&lt;a href=|http://interlinearbible.org/matthew/27.htm| title=|Interlinear Bible| target=|_top|&gt;Interlin&lt;/a&gt;</v>
      </c>
      <c r="Y956" t="str">
        <f t="shared" ref="Y956" si="3821">CONCATENATE("&lt;/li&gt;&lt;li&gt;&lt;a href=|http://",Y1191,"/matthew/27.htm","| ","title=|",Y1190,"| target=|_top|&gt;",Y1192,"&lt;/a&gt;")</f>
        <v>&lt;/li&gt;&lt;li&gt;&lt;a href=|http://bibleoutline.org/matthew/27.htm| title=|Outline with People and Places List| target=|_top|&gt;Outline&lt;/a&gt;</v>
      </c>
      <c r="Z956" t="str">
        <f t="shared" si="3820"/>
        <v>&lt;/li&gt;&lt;li&gt;&lt;a href=|http://kjvs.scripturetext.com/matthew/27.htm| title=|King James Bible with Strong's Numbers| target=|_top|&gt;Strong's&lt;/a&gt;</v>
      </c>
      <c r="AA956" t="str">
        <f t="shared" si="3820"/>
        <v>&lt;/li&gt;&lt;li&gt;&lt;a href=|http://childrensbibleonline.com/matthew/27.htm| title=|The Children's Bible| target=|_top|&gt;Children's&lt;/a&gt;</v>
      </c>
      <c r="AB956" s="2" t="str">
        <f t="shared" si="3820"/>
        <v>&lt;/li&gt;&lt;li&gt;&lt;a href=|http://tsk.scripturetext.com/matthew/27.htm| title=|Treasury of Scripture Knowledge| target=|_top|&gt;TSK&lt;/a&gt;</v>
      </c>
      <c r="AC956" t="str">
        <f>CONCATENATE("&lt;a href=|http://",AC1191,"/matthew/27.htm","| ","title=|",AC1190,"| target=|_top|&gt;",AC1192,"&lt;/a&gt;")</f>
        <v>&lt;a href=|http://parallelbible.com/matthew/27.htm| title=|Parallel Chapters| target=|_top|&gt;PAR&lt;/a&gt;</v>
      </c>
      <c r="AD956" s="2" t="str">
        <f t="shared" ref="AD956:AI956" si="3822">CONCATENATE("&lt;/li&gt;&lt;li&gt;&lt;a href=|http://",AD1191,"/matthew/27.htm","| ","title=|",AD1190,"| target=|_top|&gt;",AD1192,"&lt;/a&gt;")</f>
        <v>&lt;/li&gt;&lt;li&gt;&lt;a href=|http://gsb.biblecommenter.com/matthew/27.htm| title=|Geneva Study Bible| target=|_top|&gt;GSB&lt;/a&gt;</v>
      </c>
      <c r="AE956" s="2" t="str">
        <f t="shared" si="3822"/>
        <v>&lt;/li&gt;&lt;li&gt;&lt;a href=|http://jfb.biblecommenter.com/matthew/27.htm| title=|Jamieson-Fausset-Brown Bible Commentary| target=|_top|&gt;JFB&lt;/a&gt;</v>
      </c>
      <c r="AF956" s="2" t="str">
        <f t="shared" si="3822"/>
        <v>&lt;/li&gt;&lt;li&gt;&lt;a href=|http://kjt.biblecommenter.com/matthew/27.htm| title=|King James Translators' Notes| target=|_top|&gt;KJT&lt;/a&gt;</v>
      </c>
      <c r="AG956" s="2" t="str">
        <f t="shared" si="3822"/>
        <v>&lt;/li&gt;&lt;li&gt;&lt;a href=|http://mhc.biblecommenter.com/matthew/27.htm| title=|Matthew Henry's Concise Commentary| target=|_top|&gt;MHC&lt;/a&gt;</v>
      </c>
      <c r="AH956" s="2" t="str">
        <f t="shared" si="3822"/>
        <v>&lt;/li&gt;&lt;li&gt;&lt;a href=|http://sco.biblecommenter.com/matthew/27.htm| title=|Scofield Reference Notes| target=|_top|&gt;SCO&lt;/a&gt;</v>
      </c>
      <c r="AI956" s="2" t="str">
        <f t="shared" si="3822"/>
        <v>&lt;/li&gt;&lt;li&gt;&lt;a href=|http://wes.biblecommenter.com/matthew/27.htm| title=|Wesley's Notes on the Bible| target=|_top|&gt;WES&lt;/a&gt;</v>
      </c>
      <c r="AJ956" t="str">
        <f>CONCATENATE("&lt;/li&gt;&lt;li&gt;&lt;a href=|http://",AJ1191,"/matthew/27.htm","| ","title=|",AJ1190,"| target=|_top|&gt;",AJ1192,"&lt;/a&gt;")</f>
        <v>&lt;/li&gt;&lt;li&gt;&lt;a href=|http://worldebible.com/matthew/27.htm| title=|World English Bible| target=|_top|&gt;WEB&lt;/a&gt;</v>
      </c>
      <c r="AK956" t="str">
        <f>CONCATENATE("&lt;/li&gt;&lt;li&gt;&lt;a href=|http://",AK1191,"/matthew/27.htm","| ","title=|",AK1190,"| target=|_top|&gt;",AK1192,"&lt;/a&gt;")</f>
        <v>&lt;/li&gt;&lt;li&gt;&lt;a href=|http://yltbible.com/matthew/27.htm| title=|Young's Literal Translation| target=|_top|&gt;YLT&lt;/a&gt;</v>
      </c>
      <c r="AL956" t="str">
        <f>CONCATENATE("&lt;a href=|http://",AL1191,"/matthew/27.htm","| ","title=|",AL1190,"| target=|_top|&gt;",AL1192,"&lt;/a&gt;")</f>
        <v>&lt;a href=|http://kjv.us/matthew/27.htm| title=|American King James Version| target=|_top|&gt;AKJ&lt;/a&gt;</v>
      </c>
      <c r="AM956" t="str">
        <f t="shared" ref="AM956:AS956" si="3823">CONCATENATE("&lt;/li&gt;&lt;li&gt;&lt;a href=|http://",AM1191,"/matthew/27.htm","| ","title=|",AM1190,"| target=|_top|&gt;",AM1192,"&lt;/a&gt;")</f>
        <v>&lt;/li&gt;&lt;li&gt;&lt;a href=|http://basicenglishbible.com/matthew/27.htm| title=|Bible in Basic English| target=|_top|&gt;BBE&lt;/a&gt;</v>
      </c>
      <c r="AN956" t="str">
        <f t="shared" si="3823"/>
        <v>&lt;/li&gt;&lt;li&gt;&lt;a href=|http://darbybible.com/matthew/27.htm| title=|Darby Bible Translation| target=|_top|&gt;DBY&lt;/a&gt;</v>
      </c>
      <c r="AO956" t="str">
        <f t="shared" si="3823"/>
        <v>&lt;/li&gt;&lt;li&gt;&lt;a href=|http://isv.scripturetext.com/matthew/27.htm| title=|International Standard Version| target=|_top|&gt;ISV&lt;/a&gt;</v>
      </c>
      <c r="AP956" t="str">
        <f t="shared" si="3823"/>
        <v>&lt;/li&gt;&lt;li&gt;&lt;a href=|http://tnt.scripturetext.com/matthew/27.htm| title=|Tyndale New Testament| target=|_top|&gt;TNT&lt;/a&gt;</v>
      </c>
      <c r="AQ956" s="2" t="str">
        <f t="shared" si="3823"/>
        <v>&lt;/li&gt;&lt;li&gt;&lt;a href=|http://pnt.biblecommenter.com/matthew/27.htm| title=|People's New Testament| target=|_top|&gt;PNT&lt;/a&gt;</v>
      </c>
      <c r="AR956" t="str">
        <f t="shared" si="3823"/>
        <v>&lt;/li&gt;&lt;li&gt;&lt;a href=|http://websterbible.com/matthew/27.htm| title=|Webster's Bible Translation| target=|_top|&gt;WBS&lt;/a&gt;</v>
      </c>
      <c r="AS956" t="str">
        <f t="shared" si="3823"/>
        <v>&lt;/li&gt;&lt;li&gt;&lt;a href=|http://weymouthbible.com/matthew/27.htm| title=|Weymouth New Testament| target=|_top|&gt;WEY&lt;/a&gt;</v>
      </c>
      <c r="AT956" t="str">
        <f>CONCATENATE("&lt;/li&gt;&lt;li&gt;&lt;a href=|http://",AT1191,"/matthew/27-1.htm","| ","title=|",AT1190,"| target=|_top|&gt;",AT1192,"&lt;/a&gt;")</f>
        <v>&lt;/li&gt;&lt;li&gt;&lt;a href=|http://biblebrowser.com/matthew/27-1.htm| title=|Split View| target=|_top|&gt;Split&lt;/a&gt;</v>
      </c>
      <c r="AU956" s="2" t="s">
        <v>1276</v>
      </c>
      <c r="AV956" t="s">
        <v>64</v>
      </c>
    </row>
    <row r="957" spans="1:48">
      <c r="A957" t="s">
        <v>622</v>
      </c>
      <c r="B957" t="s">
        <v>998</v>
      </c>
      <c r="C957" t="s">
        <v>624</v>
      </c>
      <c r="D957" t="s">
        <v>1268</v>
      </c>
      <c r="E957" t="s">
        <v>1277</v>
      </c>
      <c r="F957" t="s">
        <v>1304</v>
      </c>
      <c r="G957" t="s">
        <v>1266</v>
      </c>
      <c r="H957" t="s">
        <v>1305</v>
      </c>
      <c r="I957" t="s">
        <v>1303</v>
      </c>
      <c r="J957" t="s">
        <v>1267</v>
      </c>
      <c r="K957" t="s">
        <v>1275</v>
      </c>
      <c r="L957" s="2" t="s">
        <v>1274</v>
      </c>
      <c r="M957" t="str">
        <f t="shared" ref="M957:AB957" si="3824">CONCATENATE("&lt;/li&gt;&lt;li&gt;&lt;a href=|http://",M1191,"/matthew/28.htm","| ","title=|",M1190,"| target=|_top|&gt;",M1192,"&lt;/a&gt;")</f>
        <v>&lt;/li&gt;&lt;li&gt;&lt;a href=|http://niv.scripturetext.com/matthew/28.htm| title=|New International Version| target=|_top|&gt;NIV&lt;/a&gt;</v>
      </c>
      <c r="N957" t="str">
        <f t="shared" si="3824"/>
        <v>&lt;/li&gt;&lt;li&gt;&lt;a href=|http://nlt.scripturetext.com/matthew/28.htm| title=|New Living Translation| target=|_top|&gt;NLT&lt;/a&gt;</v>
      </c>
      <c r="O957" t="str">
        <f t="shared" si="3824"/>
        <v>&lt;/li&gt;&lt;li&gt;&lt;a href=|http://nasb.scripturetext.com/matthew/28.htm| title=|New American Standard Bible| target=|_top|&gt;NAS&lt;/a&gt;</v>
      </c>
      <c r="P957" t="str">
        <f t="shared" si="3824"/>
        <v>&lt;/li&gt;&lt;li&gt;&lt;a href=|http://gwt.scripturetext.com/matthew/28.htm| title=|God's Word Translation| target=|_top|&gt;GWT&lt;/a&gt;</v>
      </c>
      <c r="Q957" t="str">
        <f t="shared" si="3824"/>
        <v>&lt;/li&gt;&lt;li&gt;&lt;a href=|http://kingjbible.com/matthew/28.htm| title=|King James Bible| target=|_top|&gt;KJV&lt;/a&gt;</v>
      </c>
      <c r="R957" t="str">
        <f t="shared" si="3824"/>
        <v>&lt;/li&gt;&lt;li&gt;&lt;a href=|http://asvbible.com/matthew/28.htm| title=|American Standard Version| target=|_top|&gt;ASV&lt;/a&gt;</v>
      </c>
      <c r="S957" t="str">
        <f t="shared" si="3824"/>
        <v>&lt;/li&gt;&lt;li&gt;&lt;a href=|http://drb.scripturetext.com/matthew/28.htm| title=|Douay-Rheims Bible| target=|_top|&gt;DRB&lt;/a&gt;</v>
      </c>
      <c r="T957" t="str">
        <f t="shared" si="3824"/>
        <v>&lt;/li&gt;&lt;li&gt;&lt;a href=|http://erv.scripturetext.com/matthew/28.htm| title=|English Revised Version| target=|_top|&gt;ERV&lt;/a&gt;</v>
      </c>
      <c r="U957" t="str">
        <f>CONCATENATE("&lt;/li&gt;&lt;li&gt;&lt;a href=|http://",U1191,"/matthew/28.htm","| ","title=|",U1190,"| target=|_top|&gt;",U1192,"&lt;/a&gt;")</f>
        <v>&lt;/li&gt;&lt;li&gt;&lt;a href=|http://study.interlinearbible.org/matthew/28.htm| title=|Greek Study Bible| target=|_top|&gt;Grk Study&lt;/a&gt;</v>
      </c>
      <c r="W957" t="str">
        <f t="shared" si="3824"/>
        <v>&lt;/li&gt;&lt;li&gt;&lt;a href=|http://apostolic.interlinearbible.org/matthew/28.htm| title=|Apostolic Bible Polyglot Interlinear| target=|_top|&gt;Polyglot&lt;/a&gt;</v>
      </c>
      <c r="X957" t="str">
        <f t="shared" si="3824"/>
        <v>&lt;/li&gt;&lt;li&gt;&lt;a href=|http://interlinearbible.org/matthew/28.htm| title=|Interlinear Bible| target=|_top|&gt;Interlin&lt;/a&gt;</v>
      </c>
      <c r="Y957" t="str">
        <f t="shared" ref="Y957" si="3825">CONCATENATE("&lt;/li&gt;&lt;li&gt;&lt;a href=|http://",Y1191,"/matthew/28.htm","| ","title=|",Y1190,"| target=|_top|&gt;",Y1192,"&lt;/a&gt;")</f>
        <v>&lt;/li&gt;&lt;li&gt;&lt;a href=|http://bibleoutline.org/matthew/28.htm| title=|Outline with People and Places List| target=|_top|&gt;Outline&lt;/a&gt;</v>
      </c>
      <c r="Z957" t="str">
        <f t="shared" si="3824"/>
        <v>&lt;/li&gt;&lt;li&gt;&lt;a href=|http://kjvs.scripturetext.com/matthew/28.htm| title=|King James Bible with Strong's Numbers| target=|_top|&gt;Strong's&lt;/a&gt;</v>
      </c>
      <c r="AA957" t="str">
        <f t="shared" si="3824"/>
        <v>&lt;/li&gt;&lt;li&gt;&lt;a href=|http://childrensbibleonline.com/matthew/28.htm| title=|The Children's Bible| target=|_top|&gt;Children's&lt;/a&gt;</v>
      </c>
      <c r="AB957" s="2" t="str">
        <f t="shared" si="3824"/>
        <v>&lt;/li&gt;&lt;li&gt;&lt;a href=|http://tsk.scripturetext.com/matthew/28.htm| title=|Treasury of Scripture Knowledge| target=|_top|&gt;TSK&lt;/a&gt;</v>
      </c>
      <c r="AC957" t="str">
        <f>CONCATENATE("&lt;a href=|http://",AC1191,"/matthew/28.htm","| ","title=|",AC1190,"| target=|_top|&gt;",AC1192,"&lt;/a&gt;")</f>
        <v>&lt;a href=|http://parallelbible.com/matthew/28.htm| title=|Parallel Chapters| target=|_top|&gt;PAR&lt;/a&gt;</v>
      </c>
      <c r="AD957" s="2" t="str">
        <f t="shared" ref="AD957:AI957" si="3826">CONCATENATE("&lt;/li&gt;&lt;li&gt;&lt;a href=|http://",AD1191,"/matthew/28.htm","| ","title=|",AD1190,"| target=|_top|&gt;",AD1192,"&lt;/a&gt;")</f>
        <v>&lt;/li&gt;&lt;li&gt;&lt;a href=|http://gsb.biblecommenter.com/matthew/28.htm| title=|Geneva Study Bible| target=|_top|&gt;GSB&lt;/a&gt;</v>
      </c>
      <c r="AE957" s="2" t="str">
        <f t="shared" si="3826"/>
        <v>&lt;/li&gt;&lt;li&gt;&lt;a href=|http://jfb.biblecommenter.com/matthew/28.htm| title=|Jamieson-Fausset-Brown Bible Commentary| target=|_top|&gt;JFB&lt;/a&gt;</v>
      </c>
      <c r="AF957" s="2" t="str">
        <f t="shared" si="3826"/>
        <v>&lt;/li&gt;&lt;li&gt;&lt;a href=|http://kjt.biblecommenter.com/matthew/28.htm| title=|King James Translators' Notes| target=|_top|&gt;KJT&lt;/a&gt;</v>
      </c>
      <c r="AG957" s="2" t="str">
        <f t="shared" si="3826"/>
        <v>&lt;/li&gt;&lt;li&gt;&lt;a href=|http://mhc.biblecommenter.com/matthew/28.htm| title=|Matthew Henry's Concise Commentary| target=|_top|&gt;MHC&lt;/a&gt;</v>
      </c>
      <c r="AH957" s="2" t="str">
        <f t="shared" si="3826"/>
        <v>&lt;/li&gt;&lt;li&gt;&lt;a href=|http://sco.biblecommenter.com/matthew/28.htm| title=|Scofield Reference Notes| target=|_top|&gt;SCO&lt;/a&gt;</v>
      </c>
      <c r="AI957" s="2" t="str">
        <f t="shared" si="3826"/>
        <v>&lt;/li&gt;&lt;li&gt;&lt;a href=|http://wes.biblecommenter.com/matthew/28.htm| title=|Wesley's Notes on the Bible| target=|_top|&gt;WES&lt;/a&gt;</v>
      </c>
      <c r="AJ957" t="str">
        <f>CONCATENATE("&lt;/li&gt;&lt;li&gt;&lt;a href=|http://",AJ1191,"/matthew/28.htm","| ","title=|",AJ1190,"| target=|_top|&gt;",AJ1192,"&lt;/a&gt;")</f>
        <v>&lt;/li&gt;&lt;li&gt;&lt;a href=|http://worldebible.com/matthew/28.htm| title=|World English Bible| target=|_top|&gt;WEB&lt;/a&gt;</v>
      </c>
      <c r="AK957" t="str">
        <f>CONCATENATE("&lt;/li&gt;&lt;li&gt;&lt;a href=|http://",AK1191,"/matthew/28.htm","| ","title=|",AK1190,"| target=|_top|&gt;",AK1192,"&lt;/a&gt;")</f>
        <v>&lt;/li&gt;&lt;li&gt;&lt;a href=|http://yltbible.com/matthew/28.htm| title=|Young's Literal Translation| target=|_top|&gt;YLT&lt;/a&gt;</v>
      </c>
      <c r="AL957" t="str">
        <f>CONCATENATE("&lt;a href=|http://",AL1191,"/matthew/28.htm","| ","title=|",AL1190,"| target=|_top|&gt;",AL1192,"&lt;/a&gt;")</f>
        <v>&lt;a href=|http://kjv.us/matthew/28.htm| title=|American King James Version| target=|_top|&gt;AKJ&lt;/a&gt;</v>
      </c>
      <c r="AM957" t="str">
        <f t="shared" ref="AM957:AS957" si="3827">CONCATENATE("&lt;/li&gt;&lt;li&gt;&lt;a href=|http://",AM1191,"/matthew/28.htm","| ","title=|",AM1190,"| target=|_top|&gt;",AM1192,"&lt;/a&gt;")</f>
        <v>&lt;/li&gt;&lt;li&gt;&lt;a href=|http://basicenglishbible.com/matthew/28.htm| title=|Bible in Basic English| target=|_top|&gt;BBE&lt;/a&gt;</v>
      </c>
      <c r="AN957" t="str">
        <f t="shared" si="3827"/>
        <v>&lt;/li&gt;&lt;li&gt;&lt;a href=|http://darbybible.com/matthew/28.htm| title=|Darby Bible Translation| target=|_top|&gt;DBY&lt;/a&gt;</v>
      </c>
      <c r="AO957" t="str">
        <f t="shared" si="3827"/>
        <v>&lt;/li&gt;&lt;li&gt;&lt;a href=|http://isv.scripturetext.com/matthew/28.htm| title=|International Standard Version| target=|_top|&gt;ISV&lt;/a&gt;</v>
      </c>
      <c r="AP957" t="str">
        <f t="shared" si="3827"/>
        <v>&lt;/li&gt;&lt;li&gt;&lt;a href=|http://tnt.scripturetext.com/matthew/28.htm| title=|Tyndale New Testament| target=|_top|&gt;TNT&lt;/a&gt;</v>
      </c>
      <c r="AQ957" s="2" t="str">
        <f t="shared" si="3827"/>
        <v>&lt;/li&gt;&lt;li&gt;&lt;a href=|http://pnt.biblecommenter.com/matthew/28.htm| title=|People's New Testament| target=|_top|&gt;PNT&lt;/a&gt;</v>
      </c>
      <c r="AR957" t="str">
        <f t="shared" si="3827"/>
        <v>&lt;/li&gt;&lt;li&gt;&lt;a href=|http://websterbible.com/matthew/28.htm| title=|Webster's Bible Translation| target=|_top|&gt;WBS&lt;/a&gt;</v>
      </c>
      <c r="AS957" t="str">
        <f t="shared" si="3827"/>
        <v>&lt;/li&gt;&lt;li&gt;&lt;a href=|http://weymouthbible.com/matthew/28.htm| title=|Weymouth New Testament| target=|_top|&gt;WEY&lt;/a&gt;</v>
      </c>
      <c r="AT957" t="str">
        <f>CONCATENATE("&lt;/li&gt;&lt;li&gt;&lt;a href=|http://",AT1191,"/matthew/28-1.htm","| ","title=|",AT1190,"| target=|_top|&gt;",AT1192,"&lt;/a&gt;")</f>
        <v>&lt;/li&gt;&lt;li&gt;&lt;a href=|http://biblebrowser.com/matthew/28-1.htm| title=|Split View| target=|_top|&gt;Split&lt;/a&gt;</v>
      </c>
      <c r="AU957" s="2" t="s">
        <v>1276</v>
      </c>
      <c r="AV957" t="s">
        <v>64</v>
      </c>
    </row>
    <row r="958" spans="1:48">
      <c r="A958" t="s">
        <v>622</v>
      </c>
      <c r="B958" t="s">
        <v>999</v>
      </c>
      <c r="C958" t="s">
        <v>624</v>
      </c>
      <c r="D958" t="s">
        <v>1268</v>
      </c>
      <c r="E958" t="s">
        <v>1277</v>
      </c>
      <c r="F958" t="s">
        <v>1304</v>
      </c>
      <c r="G958" t="s">
        <v>1266</v>
      </c>
      <c r="H958" t="s">
        <v>1305</v>
      </c>
      <c r="I958" t="s">
        <v>1303</v>
      </c>
      <c r="J958" t="s">
        <v>1267</v>
      </c>
      <c r="K958" t="s">
        <v>1275</v>
      </c>
      <c r="L958" s="2" t="s">
        <v>1274</v>
      </c>
      <c r="M958" t="str">
        <f t="shared" ref="M958:AB958" si="3828">CONCATENATE("&lt;/li&gt;&lt;li&gt;&lt;a href=|http://",M1191,"/mark/1.htm","| ","title=|",M1190,"| target=|_top|&gt;",M1192,"&lt;/a&gt;")</f>
        <v>&lt;/li&gt;&lt;li&gt;&lt;a href=|http://niv.scripturetext.com/mark/1.htm| title=|New International Version| target=|_top|&gt;NIV&lt;/a&gt;</v>
      </c>
      <c r="N958" t="str">
        <f t="shared" si="3828"/>
        <v>&lt;/li&gt;&lt;li&gt;&lt;a href=|http://nlt.scripturetext.com/mark/1.htm| title=|New Living Translation| target=|_top|&gt;NLT&lt;/a&gt;</v>
      </c>
      <c r="O958" t="str">
        <f t="shared" si="3828"/>
        <v>&lt;/li&gt;&lt;li&gt;&lt;a href=|http://nasb.scripturetext.com/mark/1.htm| title=|New American Standard Bible| target=|_top|&gt;NAS&lt;/a&gt;</v>
      </c>
      <c r="P958" t="str">
        <f t="shared" si="3828"/>
        <v>&lt;/li&gt;&lt;li&gt;&lt;a href=|http://gwt.scripturetext.com/mark/1.htm| title=|God's Word Translation| target=|_top|&gt;GWT&lt;/a&gt;</v>
      </c>
      <c r="Q958" t="str">
        <f t="shared" si="3828"/>
        <v>&lt;/li&gt;&lt;li&gt;&lt;a href=|http://kingjbible.com/mark/1.htm| title=|King James Bible| target=|_top|&gt;KJV&lt;/a&gt;</v>
      </c>
      <c r="R958" t="str">
        <f t="shared" si="3828"/>
        <v>&lt;/li&gt;&lt;li&gt;&lt;a href=|http://asvbible.com/mark/1.htm| title=|American Standard Version| target=|_top|&gt;ASV&lt;/a&gt;</v>
      </c>
      <c r="S958" t="str">
        <f t="shared" si="3828"/>
        <v>&lt;/li&gt;&lt;li&gt;&lt;a href=|http://drb.scripturetext.com/mark/1.htm| title=|Douay-Rheims Bible| target=|_top|&gt;DRB&lt;/a&gt;</v>
      </c>
      <c r="T958" t="str">
        <f t="shared" si="3828"/>
        <v>&lt;/li&gt;&lt;li&gt;&lt;a href=|http://erv.scripturetext.com/mark/1.htm| title=|English Revised Version| target=|_top|&gt;ERV&lt;/a&gt;</v>
      </c>
      <c r="U958" t="str">
        <f>CONCATENATE("&lt;/li&gt;&lt;li&gt;&lt;a href=|http://",U1191,"/mark/1.htm","| ","title=|",U1190,"| target=|_top|&gt;",U1192,"&lt;/a&gt;")</f>
        <v>&lt;/li&gt;&lt;li&gt;&lt;a href=|http://study.interlinearbible.org/mark/1.htm| title=|Greek Study Bible| target=|_top|&gt;Grk Study&lt;/a&gt;</v>
      </c>
      <c r="W958" t="str">
        <f t="shared" si="3828"/>
        <v>&lt;/li&gt;&lt;li&gt;&lt;a href=|http://apostolic.interlinearbible.org/mark/1.htm| title=|Apostolic Bible Polyglot Interlinear| target=|_top|&gt;Polyglot&lt;/a&gt;</v>
      </c>
      <c r="X958" t="str">
        <f t="shared" si="3828"/>
        <v>&lt;/li&gt;&lt;li&gt;&lt;a href=|http://interlinearbible.org/mark/1.htm| title=|Interlinear Bible| target=|_top|&gt;Interlin&lt;/a&gt;</v>
      </c>
      <c r="Y958" t="str">
        <f t="shared" ref="Y958" si="3829">CONCATENATE("&lt;/li&gt;&lt;li&gt;&lt;a href=|http://",Y1191,"/mark/1.htm","| ","title=|",Y1190,"| target=|_top|&gt;",Y1192,"&lt;/a&gt;")</f>
        <v>&lt;/li&gt;&lt;li&gt;&lt;a href=|http://bibleoutline.org/mark/1.htm| title=|Outline with People and Places List| target=|_top|&gt;Outline&lt;/a&gt;</v>
      </c>
      <c r="Z958" t="str">
        <f t="shared" si="3828"/>
        <v>&lt;/li&gt;&lt;li&gt;&lt;a href=|http://kjvs.scripturetext.com/mark/1.htm| title=|King James Bible with Strong's Numbers| target=|_top|&gt;Strong's&lt;/a&gt;</v>
      </c>
      <c r="AA958" t="str">
        <f t="shared" si="3828"/>
        <v>&lt;/li&gt;&lt;li&gt;&lt;a href=|http://childrensbibleonline.com/mark/1.htm| title=|The Children's Bible| target=|_top|&gt;Children's&lt;/a&gt;</v>
      </c>
      <c r="AB958" s="2" t="str">
        <f t="shared" si="3828"/>
        <v>&lt;/li&gt;&lt;li&gt;&lt;a href=|http://tsk.scripturetext.com/mark/1.htm| title=|Treasury of Scripture Knowledge| target=|_top|&gt;TSK&lt;/a&gt;</v>
      </c>
      <c r="AC958" t="str">
        <f>CONCATENATE("&lt;a href=|http://",AC1191,"/mark/1.htm","| ","title=|",AC1190,"| target=|_top|&gt;",AC1192,"&lt;/a&gt;")</f>
        <v>&lt;a href=|http://parallelbible.com/mark/1.htm| title=|Parallel Chapters| target=|_top|&gt;PAR&lt;/a&gt;</v>
      </c>
      <c r="AD958" s="2" t="str">
        <f t="shared" ref="AD958:AI958" si="3830">CONCATENATE("&lt;/li&gt;&lt;li&gt;&lt;a href=|http://",AD1191,"/mark/1.htm","| ","title=|",AD1190,"| target=|_top|&gt;",AD1192,"&lt;/a&gt;")</f>
        <v>&lt;/li&gt;&lt;li&gt;&lt;a href=|http://gsb.biblecommenter.com/mark/1.htm| title=|Geneva Study Bible| target=|_top|&gt;GSB&lt;/a&gt;</v>
      </c>
      <c r="AE958" s="2" t="str">
        <f t="shared" si="3830"/>
        <v>&lt;/li&gt;&lt;li&gt;&lt;a href=|http://jfb.biblecommenter.com/mark/1.htm| title=|Jamieson-Fausset-Brown Bible Commentary| target=|_top|&gt;JFB&lt;/a&gt;</v>
      </c>
      <c r="AF958" s="2" t="str">
        <f t="shared" si="3830"/>
        <v>&lt;/li&gt;&lt;li&gt;&lt;a href=|http://kjt.biblecommenter.com/mark/1.htm| title=|King James Translators' Notes| target=|_top|&gt;KJT&lt;/a&gt;</v>
      </c>
      <c r="AG958" s="2" t="str">
        <f t="shared" si="3830"/>
        <v>&lt;/li&gt;&lt;li&gt;&lt;a href=|http://mhc.biblecommenter.com/mark/1.htm| title=|Matthew Henry's Concise Commentary| target=|_top|&gt;MHC&lt;/a&gt;</v>
      </c>
      <c r="AH958" s="2" t="str">
        <f t="shared" si="3830"/>
        <v>&lt;/li&gt;&lt;li&gt;&lt;a href=|http://sco.biblecommenter.com/mark/1.htm| title=|Scofield Reference Notes| target=|_top|&gt;SCO&lt;/a&gt;</v>
      </c>
      <c r="AI958" s="2" t="str">
        <f t="shared" si="3830"/>
        <v>&lt;/li&gt;&lt;li&gt;&lt;a href=|http://wes.biblecommenter.com/mark/1.htm| title=|Wesley's Notes on the Bible| target=|_top|&gt;WES&lt;/a&gt;</v>
      </c>
      <c r="AJ958" t="str">
        <f>CONCATENATE("&lt;/li&gt;&lt;li&gt;&lt;a href=|http://",AJ1191,"/mark/1.htm","| ","title=|",AJ1190,"| target=|_top|&gt;",AJ1192,"&lt;/a&gt;")</f>
        <v>&lt;/li&gt;&lt;li&gt;&lt;a href=|http://worldebible.com/mark/1.htm| title=|World English Bible| target=|_top|&gt;WEB&lt;/a&gt;</v>
      </c>
      <c r="AK958" t="str">
        <f>CONCATENATE("&lt;/li&gt;&lt;li&gt;&lt;a href=|http://",AK1191,"/mark/1.htm","| ","title=|",AK1190,"| target=|_top|&gt;",AK1192,"&lt;/a&gt;")</f>
        <v>&lt;/li&gt;&lt;li&gt;&lt;a href=|http://yltbible.com/mark/1.htm| title=|Young's Literal Translation| target=|_top|&gt;YLT&lt;/a&gt;</v>
      </c>
      <c r="AL958" t="str">
        <f>CONCATENATE("&lt;a href=|http://",AL1191,"/mark/1.htm","| ","title=|",AL1190,"| target=|_top|&gt;",AL1192,"&lt;/a&gt;")</f>
        <v>&lt;a href=|http://kjv.us/mark/1.htm| title=|American King James Version| target=|_top|&gt;AKJ&lt;/a&gt;</v>
      </c>
      <c r="AM958" t="str">
        <f t="shared" ref="AM958:AS958" si="3831">CONCATENATE("&lt;/li&gt;&lt;li&gt;&lt;a href=|http://",AM1191,"/mark/1.htm","| ","title=|",AM1190,"| target=|_top|&gt;",AM1192,"&lt;/a&gt;")</f>
        <v>&lt;/li&gt;&lt;li&gt;&lt;a href=|http://basicenglishbible.com/mark/1.htm| title=|Bible in Basic English| target=|_top|&gt;BBE&lt;/a&gt;</v>
      </c>
      <c r="AN958" t="str">
        <f t="shared" si="3831"/>
        <v>&lt;/li&gt;&lt;li&gt;&lt;a href=|http://darbybible.com/mark/1.htm| title=|Darby Bible Translation| target=|_top|&gt;DBY&lt;/a&gt;</v>
      </c>
      <c r="AO958" t="str">
        <f t="shared" si="3831"/>
        <v>&lt;/li&gt;&lt;li&gt;&lt;a href=|http://isv.scripturetext.com/mark/1.htm| title=|International Standard Version| target=|_top|&gt;ISV&lt;/a&gt;</v>
      </c>
      <c r="AP958" t="str">
        <f t="shared" si="3831"/>
        <v>&lt;/li&gt;&lt;li&gt;&lt;a href=|http://tnt.scripturetext.com/mark/1.htm| title=|Tyndale New Testament| target=|_top|&gt;TNT&lt;/a&gt;</v>
      </c>
      <c r="AQ958" s="2" t="str">
        <f t="shared" si="3831"/>
        <v>&lt;/li&gt;&lt;li&gt;&lt;a href=|http://pnt.biblecommenter.com/mark/1.htm| title=|People's New Testament| target=|_top|&gt;PNT&lt;/a&gt;</v>
      </c>
      <c r="AR958" t="str">
        <f t="shared" si="3831"/>
        <v>&lt;/li&gt;&lt;li&gt;&lt;a href=|http://websterbible.com/mark/1.htm| title=|Webster's Bible Translation| target=|_top|&gt;WBS&lt;/a&gt;</v>
      </c>
      <c r="AS958" t="str">
        <f t="shared" si="3831"/>
        <v>&lt;/li&gt;&lt;li&gt;&lt;a href=|http://weymouthbible.com/mark/1.htm| title=|Weymouth New Testament| target=|_top|&gt;WEY&lt;/a&gt;</v>
      </c>
      <c r="AT958" t="str">
        <f>CONCATENATE("&lt;/li&gt;&lt;li&gt;&lt;a href=|http://",AT1191,"/mark/1-1.htm","| ","title=|",AT1190,"| target=|_top|&gt;",AT1192,"&lt;/a&gt;")</f>
        <v>&lt;/li&gt;&lt;li&gt;&lt;a href=|http://biblebrowser.com/mark/1-1.htm| title=|Split View| target=|_top|&gt;Split&lt;/a&gt;</v>
      </c>
      <c r="AU958" s="2" t="s">
        <v>1276</v>
      </c>
      <c r="AV958" t="s">
        <v>64</v>
      </c>
    </row>
    <row r="959" spans="1:48">
      <c r="A959" t="s">
        <v>622</v>
      </c>
      <c r="B959" t="s">
        <v>1000</v>
      </c>
      <c r="C959" t="s">
        <v>624</v>
      </c>
      <c r="D959" t="s">
        <v>1268</v>
      </c>
      <c r="E959" t="s">
        <v>1277</v>
      </c>
      <c r="F959" t="s">
        <v>1304</v>
      </c>
      <c r="G959" t="s">
        <v>1266</v>
      </c>
      <c r="H959" t="s">
        <v>1305</v>
      </c>
      <c r="I959" t="s">
        <v>1303</v>
      </c>
      <c r="J959" t="s">
        <v>1267</v>
      </c>
      <c r="K959" t="s">
        <v>1275</v>
      </c>
      <c r="L959" s="2" t="s">
        <v>1274</v>
      </c>
      <c r="M959" t="str">
        <f t="shared" ref="M959:AB959" si="3832">CONCATENATE("&lt;/li&gt;&lt;li&gt;&lt;a href=|http://",M1191,"/mark/2.htm","| ","title=|",M1190,"| target=|_top|&gt;",M1192,"&lt;/a&gt;")</f>
        <v>&lt;/li&gt;&lt;li&gt;&lt;a href=|http://niv.scripturetext.com/mark/2.htm| title=|New International Version| target=|_top|&gt;NIV&lt;/a&gt;</v>
      </c>
      <c r="N959" t="str">
        <f t="shared" si="3832"/>
        <v>&lt;/li&gt;&lt;li&gt;&lt;a href=|http://nlt.scripturetext.com/mark/2.htm| title=|New Living Translation| target=|_top|&gt;NLT&lt;/a&gt;</v>
      </c>
      <c r="O959" t="str">
        <f t="shared" si="3832"/>
        <v>&lt;/li&gt;&lt;li&gt;&lt;a href=|http://nasb.scripturetext.com/mark/2.htm| title=|New American Standard Bible| target=|_top|&gt;NAS&lt;/a&gt;</v>
      </c>
      <c r="P959" t="str">
        <f t="shared" si="3832"/>
        <v>&lt;/li&gt;&lt;li&gt;&lt;a href=|http://gwt.scripturetext.com/mark/2.htm| title=|God's Word Translation| target=|_top|&gt;GWT&lt;/a&gt;</v>
      </c>
      <c r="Q959" t="str">
        <f t="shared" si="3832"/>
        <v>&lt;/li&gt;&lt;li&gt;&lt;a href=|http://kingjbible.com/mark/2.htm| title=|King James Bible| target=|_top|&gt;KJV&lt;/a&gt;</v>
      </c>
      <c r="R959" t="str">
        <f t="shared" si="3832"/>
        <v>&lt;/li&gt;&lt;li&gt;&lt;a href=|http://asvbible.com/mark/2.htm| title=|American Standard Version| target=|_top|&gt;ASV&lt;/a&gt;</v>
      </c>
      <c r="S959" t="str">
        <f t="shared" si="3832"/>
        <v>&lt;/li&gt;&lt;li&gt;&lt;a href=|http://drb.scripturetext.com/mark/2.htm| title=|Douay-Rheims Bible| target=|_top|&gt;DRB&lt;/a&gt;</v>
      </c>
      <c r="T959" t="str">
        <f t="shared" si="3832"/>
        <v>&lt;/li&gt;&lt;li&gt;&lt;a href=|http://erv.scripturetext.com/mark/2.htm| title=|English Revised Version| target=|_top|&gt;ERV&lt;/a&gt;</v>
      </c>
      <c r="U959" t="str">
        <f>CONCATENATE("&lt;/li&gt;&lt;li&gt;&lt;a href=|http://",U1191,"/mark/2.htm","| ","title=|",U1190,"| target=|_top|&gt;",U1192,"&lt;/a&gt;")</f>
        <v>&lt;/li&gt;&lt;li&gt;&lt;a href=|http://study.interlinearbible.org/mark/2.htm| title=|Greek Study Bible| target=|_top|&gt;Grk Study&lt;/a&gt;</v>
      </c>
      <c r="W959" t="str">
        <f t="shared" si="3832"/>
        <v>&lt;/li&gt;&lt;li&gt;&lt;a href=|http://apostolic.interlinearbible.org/mark/2.htm| title=|Apostolic Bible Polyglot Interlinear| target=|_top|&gt;Polyglot&lt;/a&gt;</v>
      </c>
      <c r="X959" t="str">
        <f t="shared" si="3832"/>
        <v>&lt;/li&gt;&lt;li&gt;&lt;a href=|http://interlinearbible.org/mark/2.htm| title=|Interlinear Bible| target=|_top|&gt;Interlin&lt;/a&gt;</v>
      </c>
      <c r="Y959" t="str">
        <f t="shared" ref="Y959" si="3833">CONCATENATE("&lt;/li&gt;&lt;li&gt;&lt;a href=|http://",Y1191,"/mark/2.htm","| ","title=|",Y1190,"| target=|_top|&gt;",Y1192,"&lt;/a&gt;")</f>
        <v>&lt;/li&gt;&lt;li&gt;&lt;a href=|http://bibleoutline.org/mark/2.htm| title=|Outline with People and Places List| target=|_top|&gt;Outline&lt;/a&gt;</v>
      </c>
      <c r="Z959" t="str">
        <f t="shared" si="3832"/>
        <v>&lt;/li&gt;&lt;li&gt;&lt;a href=|http://kjvs.scripturetext.com/mark/2.htm| title=|King James Bible with Strong's Numbers| target=|_top|&gt;Strong's&lt;/a&gt;</v>
      </c>
      <c r="AA959" t="str">
        <f t="shared" si="3832"/>
        <v>&lt;/li&gt;&lt;li&gt;&lt;a href=|http://childrensbibleonline.com/mark/2.htm| title=|The Children's Bible| target=|_top|&gt;Children's&lt;/a&gt;</v>
      </c>
      <c r="AB959" s="2" t="str">
        <f t="shared" si="3832"/>
        <v>&lt;/li&gt;&lt;li&gt;&lt;a href=|http://tsk.scripturetext.com/mark/2.htm| title=|Treasury of Scripture Knowledge| target=|_top|&gt;TSK&lt;/a&gt;</v>
      </c>
      <c r="AC959" t="str">
        <f>CONCATENATE("&lt;a href=|http://",AC1191,"/mark/2.htm","| ","title=|",AC1190,"| target=|_top|&gt;",AC1192,"&lt;/a&gt;")</f>
        <v>&lt;a href=|http://parallelbible.com/mark/2.htm| title=|Parallel Chapters| target=|_top|&gt;PAR&lt;/a&gt;</v>
      </c>
      <c r="AD959" s="2" t="str">
        <f t="shared" ref="AD959:AI959" si="3834">CONCATENATE("&lt;/li&gt;&lt;li&gt;&lt;a href=|http://",AD1191,"/mark/2.htm","| ","title=|",AD1190,"| target=|_top|&gt;",AD1192,"&lt;/a&gt;")</f>
        <v>&lt;/li&gt;&lt;li&gt;&lt;a href=|http://gsb.biblecommenter.com/mark/2.htm| title=|Geneva Study Bible| target=|_top|&gt;GSB&lt;/a&gt;</v>
      </c>
      <c r="AE959" s="2" t="str">
        <f t="shared" si="3834"/>
        <v>&lt;/li&gt;&lt;li&gt;&lt;a href=|http://jfb.biblecommenter.com/mark/2.htm| title=|Jamieson-Fausset-Brown Bible Commentary| target=|_top|&gt;JFB&lt;/a&gt;</v>
      </c>
      <c r="AF959" s="2" t="str">
        <f t="shared" si="3834"/>
        <v>&lt;/li&gt;&lt;li&gt;&lt;a href=|http://kjt.biblecommenter.com/mark/2.htm| title=|King James Translators' Notes| target=|_top|&gt;KJT&lt;/a&gt;</v>
      </c>
      <c r="AG959" s="2" t="str">
        <f t="shared" si="3834"/>
        <v>&lt;/li&gt;&lt;li&gt;&lt;a href=|http://mhc.biblecommenter.com/mark/2.htm| title=|Matthew Henry's Concise Commentary| target=|_top|&gt;MHC&lt;/a&gt;</v>
      </c>
      <c r="AH959" s="2" t="str">
        <f t="shared" si="3834"/>
        <v>&lt;/li&gt;&lt;li&gt;&lt;a href=|http://sco.biblecommenter.com/mark/2.htm| title=|Scofield Reference Notes| target=|_top|&gt;SCO&lt;/a&gt;</v>
      </c>
      <c r="AI959" s="2" t="str">
        <f t="shared" si="3834"/>
        <v>&lt;/li&gt;&lt;li&gt;&lt;a href=|http://wes.biblecommenter.com/mark/2.htm| title=|Wesley's Notes on the Bible| target=|_top|&gt;WES&lt;/a&gt;</v>
      </c>
      <c r="AJ959" t="str">
        <f>CONCATENATE("&lt;/li&gt;&lt;li&gt;&lt;a href=|http://",AJ1191,"/mark/2.htm","| ","title=|",AJ1190,"| target=|_top|&gt;",AJ1192,"&lt;/a&gt;")</f>
        <v>&lt;/li&gt;&lt;li&gt;&lt;a href=|http://worldebible.com/mark/2.htm| title=|World English Bible| target=|_top|&gt;WEB&lt;/a&gt;</v>
      </c>
      <c r="AK959" t="str">
        <f>CONCATENATE("&lt;/li&gt;&lt;li&gt;&lt;a href=|http://",AK1191,"/mark/2.htm","| ","title=|",AK1190,"| target=|_top|&gt;",AK1192,"&lt;/a&gt;")</f>
        <v>&lt;/li&gt;&lt;li&gt;&lt;a href=|http://yltbible.com/mark/2.htm| title=|Young's Literal Translation| target=|_top|&gt;YLT&lt;/a&gt;</v>
      </c>
      <c r="AL959" t="str">
        <f>CONCATENATE("&lt;a href=|http://",AL1191,"/mark/2.htm","| ","title=|",AL1190,"| target=|_top|&gt;",AL1192,"&lt;/a&gt;")</f>
        <v>&lt;a href=|http://kjv.us/mark/2.htm| title=|American King James Version| target=|_top|&gt;AKJ&lt;/a&gt;</v>
      </c>
      <c r="AM959" t="str">
        <f t="shared" ref="AM959:AS959" si="3835">CONCATENATE("&lt;/li&gt;&lt;li&gt;&lt;a href=|http://",AM1191,"/mark/2.htm","| ","title=|",AM1190,"| target=|_top|&gt;",AM1192,"&lt;/a&gt;")</f>
        <v>&lt;/li&gt;&lt;li&gt;&lt;a href=|http://basicenglishbible.com/mark/2.htm| title=|Bible in Basic English| target=|_top|&gt;BBE&lt;/a&gt;</v>
      </c>
      <c r="AN959" t="str">
        <f t="shared" si="3835"/>
        <v>&lt;/li&gt;&lt;li&gt;&lt;a href=|http://darbybible.com/mark/2.htm| title=|Darby Bible Translation| target=|_top|&gt;DBY&lt;/a&gt;</v>
      </c>
      <c r="AO959" t="str">
        <f t="shared" si="3835"/>
        <v>&lt;/li&gt;&lt;li&gt;&lt;a href=|http://isv.scripturetext.com/mark/2.htm| title=|International Standard Version| target=|_top|&gt;ISV&lt;/a&gt;</v>
      </c>
      <c r="AP959" t="str">
        <f t="shared" si="3835"/>
        <v>&lt;/li&gt;&lt;li&gt;&lt;a href=|http://tnt.scripturetext.com/mark/2.htm| title=|Tyndale New Testament| target=|_top|&gt;TNT&lt;/a&gt;</v>
      </c>
      <c r="AQ959" s="2" t="str">
        <f t="shared" si="3835"/>
        <v>&lt;/li&gt;&lt;li&gt;&lt;a href=|http://pnt.biblecommenter.com/mark/2.htm| title=|People's New Testament| target=|_top|&gt;PNT&lt;/a&gt;</v>
      </c>
      <c r="AR959" t="str">
        <f t="shared" si="3835"/>
        <v>&lt;/li&gt;&lt;li&gt;&lt;a href=|http://websterbible.com/mark/2.htm| title=|Webster's Bible Translation| target=|_top|&gt;WBS&lt;/a&gt;</v>
      </c>
      <c r="AS959" t="str">
        <f t="shared" si="3835"/>
        <v>&lt;/li&gt;&lt;li&gt;&lt;a href=|http://weymouthbible.com/mark/2.htm| title=|Weymouth New Testament| target=|_top|&gt;WEY&lt;/a&gt;</v>
      </c>
      <c r="AT959" t="str">
        <f>CONCATENATE("&lt;/li&gt;&lt;li&gt;&lt;a href=|http://",AT1191,"/mark/2-1.htm","| ","title=|",AT1190,"| target=|_top|&gt;",AT1192,"&lt;/a&gt;")</f>
        <v>&lt;/li&gt;&lt;li&gt;&lt;a href=|http://biblebrowser.com/mark/2-1.htm| title=|Split View| target=|_top|&gt;Split&lt;/a&gt;</v>
      </c>
      <c r="AU959" s="2" t="s">
        <v>1276</v>
      </c>
      <c r="AV959" t="s">
        <v>64</v>
      </c>
    </row>
    <row r="960" spans="1:48">
      <c r="A960" t="s">
        <v>622</v>
      </c>
      <c r="B960" t="s">
        <v>1001</v>
      </c>
      <c r="C960" t="s">
        <v>624</v>
      </c>
      <c r="D960" t="s">
        <v>1268</v>
      </c>
      <c r="E960" t="s">
        <v>1277</v>
      </c>
      <c r="F960" t="s">
        <v>1304</v>
      </c>
      <c r="G960" t="s">
        <v>1266</v>
      </c>
      <c r="H960" t="s">
        <v>1305</v>
      </c>
      <c r="I960" t="s">
        <v>1303</v>
      </c>
      <c r="J960" t="s">
        <v>1267</v>
      </c>
      <c r="K960" t="s">
        <v>1275</v>
      </c>
      <c r="L960" s="2" t="s">
        <v>1274</v>
      </c>
      <c r="M960" t="str">
        <f t="shared" ref="M960:AB960" si="3836">CONCATENATE("&lt;/li&gt;&lt;li&gt;&lt;a href=|http://",M1191,"/mark/3.htm","| ","title=|",M1190,"| target=|_top|&gt;",M1192,"&lt;/a&gt;")</f>
        <v>&lt;/li&gt;&lt;li&gt;&lt;a href=|http://niv.scripturetext.com/mark/3.htm| title=|New International Version| target=|_top|&gt;NIV&lt;/a&gt;</v>
      </c>
      <c r="N960" t="str">
        <f t="shared" si="3836"/>
        <v>&lt;/li&gt;&lt;li&gt;&lt;a href=|http://nlt.scripturetext.com/mark/3.htm| title=|New Living Translation| target=|_top|&gt;NLT&lt;/a&gt;</v>
      </c>
      <c r="O960" t="str">
        <f t="shared" si="3836"/>
        <v>&lt;/li&gt;&lt;li&gt;&lt;a href=|http://nasb.scripturetext.com/mark/3.htm| title=|New American Standard Bible| target=|_top|&gt;NAS&lt;/a&gt;</v>
      </c>
      <c r="P960" t="str">
        <f t="shared" si="3836"/>
        <v>&lt;/li&gt;&lt;li&gt;&lt;a href=|http://gwt.scripturetext.com/mark/3.htm| title=|God's Word Translation| target=|_top|&gt;GWT&lt;/a&gt;</v>
      </c>
      <c r="Q960" t="str">
        <f t="shared" si="3836"/>
        <v>&lt;/li&gt;&lt;li&gt;&lt;a href=|http://kingjbible.com/mark/3.htm| title=|King James Bible| target=|_top|&gt;KJV&lt;/a&gt;</v>
      </c>
      <c r="R960" t="str">
        <f t="shared" si="3836"/>
        <v>&lt;/li&gt;&lt;li&gt;&lt;a href=|http://asvbible.com/mark/3.htm| title=|American Standard Version| target=|_top|&gt;ASV&lt;/a&gt;</v>
      </c>
      <c r="S960" t="str">
        <f t="shared" si="3836"/>
        <v>&lt;/li&gt;&lt;li&gt;&lt;a href=|http://drb.scripturetext.com/mark/3.htm| title=|Douay-Rheims Bible| target=|_top|&gt;DRB&lt;/a&gt;</v>
      </c>
      <c r="T960" t="str">
        <f t="shared" si="3836"/>
        <v>&lt;/li&gt;&lt;li&gt;&lt;a href=|http://erv.scripturetext.com/mark/3.htm| title=|English Revised Version| target=|_top|&gt;ERV&lt;/a&gt;</v>
      </c>
      <c r="U960" t="str">
        <f>CONCATENATE("&lt;/li&gt;&lt;li&gt;&lt;a href=|http://",U1191,"/mark/3.htm","| ","title=|",U1190,"| target=|_top|&gt;",U1192,"&lt;/a&gt;")</f>
        <v>&lt;/li&gt;&lt;li&gt;&lt;a href=|http://study.interlinearbible.org/mark/3.htm| title=|Greek Study Bible| target=|_top|&gt;Grk Study&lt;/a&gt;</v>
      </c>
      <c r="W960" t="str">
        <f t="shared" si="3836"/>
        <v>&lt;/li&gt;&lt;li&gt;&lt;a href=|http://apostolic.interlinearbible.org/mark/3.htm| title=|Apostolic Bible Polyglot Interlinear| target=|_top|&gt;Polyglot&lt;/a&gt;</v>
      </c>
      <c r="X960" t="str">
        <f t="shared" si="3836"/>
        <v>&lt;/li&gt;&lt;li&gt;&lt;a href=|http://interlinearbible.org/mark/3.htm| title=|Interlinear Bible| target=|_top|&gt;Interlin&lt;/a&gt;</v>
      </c>
      <c r="Y960" t="str">
        <f t="shared" ref="Y960" si="3837">CONCATENATE("&lt;/li&gt;&lt;li&gt;&lt;a href=|http://",Y1191,"/mark/3.htm","| ","title=|",Y1190,"| target=|_top|&gt;",Y1192,"&lt;/a&gt;")</f>
        <v>&lt;/li&gt;&lt;li&gt;&lt;a href=|http://bibleoutline.org/mark/3.htm| title=|Outline with People and Places List| target=|_top|&gt;Outline&lt;/a&gt;</v>
      </c>
      <c r="Z960" t="str">
        <f t="shared" si="3836"/>
        <v>&lt;/li&gt;&lt;li&gt;&lt;a href=|http://kjvs.scripturetext.com/mark/3.htm| title=|King James Bible with Strong's Numbers| target=|_top|&gt;Strong's&lt;/a&gt;</v>
      </c>
      <c r="AA960" t="str">
        <f t="shared" si="3836"/>
        <v>&lt;/li&gt;&lt;li&gt;&lt;a href=|http://childrensbibleonline.com/mark/3.htm| title=|The Children's Bible| target=|_top|&gt;Children's&lt;/a&gt;</v>
      </c>
      <c r="AB960" s="2" t="str">
        <f t="shared" si="3836"/>
        <v>&lt;/li&gt;&lt;li&gt;&lt;a href=|http://tsk.scripturetext.com/mark/3.htm| title=|Treasury of Scripture Knowledge| target=|_top|&gt;TSK&lt;/a&gt;</v>
      </c>
      <c r="AC960" t="str">
        <f>CONCATENATE("&lt;a href=|http://",AC1191,"/mark/3.htm","| ","title=|",AC1190,"| target=|_top|&gt;",AC1192,"&lt;/a&gt;")</f>
        <v>&lt;a href=|http://parallelbible.com/mark/3.htm| title=|Parallel Chapters| target=|_top|&gt;PAR&lt;/a&gt;</v>
      </c>
      <c r="AD960" s="2" t="str">
        <f t="shared" ref="AD960:AI960" si="3838">CONCATENATE("&lt;/li&gt;&lt;li&gt;&lt;a href=|http://",AD1191,"/mark/3.htm","| ","title=|",AD1190,"| target=|_top|&gt;",AD1192,"&lt;/a&gt;")</f>
        <v>&lt;/li&gt;&lt;li&gt;&lt;a href=|http://gsb.biblecommenter.com/mark/3.htm| title=|Geneva Study Bible| target=|_top|&gt;GSB&lt;/a&gt;</v>
      </c>
      <c r="AE960" s="2" t="str">
        <f t="shared" si="3838"/>
        <v>&lt;/li&gt;&lt;li&gt;&lt;a href=|http://jfb.biblecommenter.com/mark/3.htm| title=|Jamieson-Fausset-Brown Bible Commentary| target=|_top|&gt;JFB&lt;/a&gt;</v>
      </c>
      <c r="AF960" s="2" t="str">
        <f t="shared" si="3838"/>
        <v>&lt;/li&gt;&lt;li&gt;&lt;a href=|http://kjt.biblecommenter.com/mark/3.htm| title=|King James Translators' Notes| target=|_top|&gt;KJT&lt;/a&gt;</v>
      </c>
      <c r="AG960" s="2" t="str">
        <f t="shared" si="3838"/>
        <v>&lt;/li&gt;&lt;li&gt;&lt;a href=|http://mhc.biblecommenter.com/mark/3.htm| title=|Matthew Henry's Concise Commentary| target=|_top|&gt;MHC&lt;/a&gt;</v>
      </c>
      <c r="AH960" s="2" t="str">
        <f t="shared" si="3838"/>
        <v>&lt;/li&gt;&lt;li&gt;&lt;a href=|http://sco.biblecommenter.com/mark/3.htm| title=|Scofield Reference Notes| target=|_top|&gt;SCO&lt;/a&gt;</v>
      </c>
      <c r="AI960" s="2" t="str">
        <f t="shared" si="3838"/>
        <v>&lt;/li&gt;&lt;li&gt;&lt;a href=|http://wes.biblecommenter.com/mark/3.htm| title=|Wesley's Notes on the Bible| target=|_top|&gt;WES&lt;/a&gt;</v>
      </c>
      <c r="AJ960" t="str">
        <f>CONCATENATE("&lt;/li&gt;&lt;li&gt;&lt;a href=|http://",AJ1191,"/mark/3.htm","| ","title=|",AJ1190,"| target=|_top|&gt;",AJ1192,"&lt;/a&gt;")</f>
        <v>&lt;/li&gt;&lt;li&gt;&lt;a href=|http://worldebible.com/mark/3.htm| title=|World English Bible| target=|_top|&gt;WEB&lt;/a&gt;</v>
      </c>
      <c r="AK960" t="str">
        <f>CONCATENATE("&lt;/li&gt;&lt;li&gt;&lt;a href=|http://",AK1191,"/mark/3.htm","| ","title=|",AK1190,"| target=|_top|&gt;",AK1192,"&lt;/a&gt;")</f>
        <v>&lt;/li&gt;&lt;li&gt;&lt;a href=|http://yltbible.com/mark/3.htm| title=|Young's Literal Translation| target=|_top|&gt;YLT&lt;/a&gt;</v>
      </c>
      <c r="AL960" t="str">
        <f>CONCATENATE("&lt;a href=|http://",AL1191,"/mark/3.htm","| ","title=|",AL1190,"| target=|_top|&gt;",AL1192,"&lt;/a&gt;")</f>
        <v>&lt;a href=|http://kjv.us/mark/3.htm| title=|American King James Version| target=|_top|&gt;AKJ&lt;/a&gt;</v>
      </c>
      <c r="AM960" t="str">
        <f t="shared" ref="AM960:AS960" si="3839">CONCATENATE("&lt;/li&gt;&lt;li&gt;&lt;a href=|http://",AM1191,"/mark/3.htm","| ","title=|",AM1190,"| target=|_top|&gt;",AM1192,"&lt;/a&gt;")</f>
        <v>&lt;/li&gt;&lt;li&gt;&lt;a href=|http://basicenglishbible.com/mark/3.htm| title=|Bible in Basic English| target=|_top|&gt;BBE&lt;/a&gt;</v>
      </c>
      <c r="AN960" t="str">
        <f t="shared" si="3839"/>
        <v>&lt;/li&gt;&lt;li&gt;&lt;a href=|http://darbybible.com/mark/3.htm| title=|Darby Bible Translation| target=|_top|&gt;DBY&lt;/a&gt;</v>
      </c>
      <c r="AO960" t="str">
        <f t="shared" si="3839"/>
        <v>&lt;/li&gt;&lt;li&gt;&lt;a href=|http://isv.scripturetext.com/mark/3.htm| title=|International Standard Version| target=|_top|&gt;ISV&lt;/a&gt;</v>
      </c>
      <c r="AP960" t="str">
        <f t="shared" si="3839"/>
        <v>&lt;/li&gt;&lt;li&gt;&lt;a href=|http://tnt.scripturetext.com/mark/3.htm| title=|Tyndale New Testament| target=|_top|&gt;TNT&lt;/a&gt;</v>
      </c>
      <c r="AQ960" s="2" t="str">
        <f t="shared" si="3839"/>
        <v>&lt;/li&gt;&lt;li&gt;&lt;a href=|http://pnt.biblecommenter.com/mark/3.htm| title=|People's New Testament| target=|_top|&gt;PNT&lt;/a&gt;</v>
      </c>
      <c r="AR960" t="str">
        <f t="shared" si="3839"/>
        <v>&lt;/li&gt;&lt;li&gt;&lt;a href=|http://websterbible.com/mark/3.htm| title=|Webster's Bible Translation| target=|_top|&gt;WBS&lt;/a&gt;</v>
      </c>
      <c r="AS960" t="str">
        <f t="shared" si="3839"/>
        <v>&lt;/li&gt;&lt;li&gt;&lt;a href=|http://weymouthbible.com/mark/3.htm| title=|Weymouth New Testament| target=|_top|&gt;WEY&lt;/a&gt;</v>
      </c>
      <c r="AT960" t="str">
        <f>CONCATENATE("&lt;/li&gt;&lt;li&gt;&lt;a href=|http://",AT1191,"/mark/3-1.htm","| ","title=|",AT1190,"| target=|_top|&gt;",AT1192,"&lt;/a&gt;")</f>
        <v>&lt;/li&gt;&lt;li&gt;&lt;a href=|http://biblebrowser.com/mark/3-1.htm| title=|Split View| target=|_top|&gt;Split&lt;/a&gt;</v>
      </c>
      <c r="AU960" s="2" t="s">
        <v>1276</v>
      </c>
      <c r="AV960" t="s">
        <v>64</v>
      </c>
    </row>
    <row r="961" spans="1:48">
      <c r="A961" t="s">
        <v>622</v>
      </c>
      <c r="B961" t="s">
        <v>1002</v>
      </c>
      <c r="C961" t="s">
        <v>624</v>
      </c>
      <c r="D961" t="s">
        <v>1268</v>
      </c>
      <c r="E961" t="s">
        <v>1277</v>
      </c>
      <c r="F961" t="s">
        <v>1304</v>
      </c>
      <c r="G961" t="s">
        <v>1266</v>
      </c>
      <c r="H961" t="s">
        <v>1305</v>
      </c>
      <c r="I961" t="s">
        <v>1303</v>
      </c>
      <c r="J961" t="s">
        <v>1267</v>
      </c>
      <c r="K961" t="s">
        <v>1275</v>
      </c>
      <c r="L961" s="2" t="s">
        <v>1274</v>
      </c>
      <c r="M961" t="str">
        <f t="shared" ref="M961:AB961" si="3840">CONCATENATE("&lt;/li&gt;&lt;li&gt;&lt;a href=|http://",M1191,"/mark/4.htm","| ","title=|",M1190,"| target=|_top|&gt;",M1192,"&lt;/a&gt;")</f>
        <v>&lt;/li&gt;&lt;li&gt;&lt;a href=|http://niv.scripturetext.com/mark/4.htm| title=|New International Version| target=|_top|&gt;NIV&lt;/a&gt;</v>
      </c>
      <c r="N961" t="str">
        <f t="shared" si="3840"/>
        <v>&lt;/li&gt;&lt;li&gt;&lt;a href=|http://nlt.scripturetext.com/mark/4.htm| title=|New Living Translation| target=|_top|&gt;NLT&lt;/a&gt;</v>
      </c>
      <c r="O961" t="str">
        <f t="shared" si="3840"/>
        <v>&lt;/li&gt;&lt;li&gt;&lt;a href=|http://nasb.scripturetext.com/mark/4.htm| title=|New American Standard Bible| target=|_top|&gt;NAS&lt;/a&gt;</v>
      </c>
      <c r="P961" t="str">
        <f t="shared" si="3840"/>
        <v>&lt;/li&gt;&lt;li&gt;&lt;a href=|http://gwt.scripturetext.com/mark/4.htm| title=|God's Word Translation| target=|_top|&gt;GWT&lt;/a&gt;</v>
      </c>
      <c r="Q961" t="str">
        <f t="shared" si="3840"/>
        <v>&lt;/li&gt;&lt;li&gt;&lt;a href=|http://kingjbible.com/mark/4.htm| title=|King James Bible| target=|_top|&gt;KJV&lt;/a&gt;</v>
      </c>
      <c r="R961" t="str">
        <f t="shared" si="3840"/>
        <v>&lt;/li&gt;&lt;li&gt;&lt;a href=|http://asvbible.com/mark/4.htm| title=|American Standard Version| target=|_top|&gt;ASV&lt;/a&gt;</v>
      </c>
      <c r="S961" t="str">
        <f t="shared" si="3840"/>
        <v>&lt;/li&gt;&lt;li&gt;&lt;a href=|http://drb.scripturetext.com/mark/4.htm| title=|Douay-Rheims Bible| target=|_top|&gt;DRB&lt;/a&gt;</v>
      </c>
      <c r="T961" t="str">
        <f t="shared" si="3840"/>
        <v>&lt;/li&gt;&lt;li&gt;&lt;a href=|http://erv.scripturetext.com/mark/4.htm| title=|English Revised Version| target=|_top|&gt;ERV&lt;/a&gt;</v>
      </c>
      <c r="U961" t="str">
        <f>CONCATENATE("&lt;/li&gt;&lt;li&gt;&lt;a href=|http://",U1191,"/mark/4.htm","| ","title=|",U1190,"| target=|_top|&gt;",U1192,"&lt;/a&gt;")</f>
        <v>&lt;/li&gt;&lt;li&gt;&lt;a href=|http://study.interlinearbible.org/mark/4.htm| title=|Greek Study Bible| target=|_top|&gt;Grk Study&lt;/a&gt;</v>
      </c>
      <c r="W961" t="str">
        <f t="shared" si="3840"/>
        <v>&lt;/li&gt;&lt;li&gt;&lt;a href=|http://apostolic.interlinearbible.org/mark/4.htm| title=|Apostolic Bible Polyglot Interlinear| target=|_top|&gt;Polyglot&lt;/a&gt;</v>
      </c>
      <c r="X961" t="str">
        <f t="shared" si="3840"/>
        <v>&lt;/li&gt;&lt;li&gt;&lt;a href=|http://interlinearbible.org/mark/4.htm| title=|Interlinear Bible| target=|_top|&gt;Interlin&lt;/a&gt;</v>
      </c>
      <c r="Y961" t="str">
        <f t="shared" ref="Y961" si="3841">CONCATENATE("&lt;/li&gt;&lt;li&gt;&lt;a href=|http://",Y1191,"/mark/4.htm","| ","title=|",Y1190,"| target=|_top|&gt;",Y1192,"&lt;/a&gt;")</f>
        <v>&lt;/li&gt;&lt;li&gt;&lt;a href=|http://bibleoutline.org/mark/4.htm| title=|Outline with People and Places List| target=|_top|&gt;Outline&lt;/a&gt;</v>
      </c>
      <c r="Z961" t="str">
        <f t="shared" si="3840"/>
        <v>&lt;/li&gt;&lt;li&gt;&lt;a href=|http://kjvs.scripturetext.com/mark/4.htm| title=|King James Bible with Strong's Numbers| target=|_top|&gt;Strong's&lt;/a&gt;</v>
      </c>
      <c r="AA961" t="str">
        <f t="shared" si="3840"/>
        <v>&lt;/li&gt;&lt;li&gt;&lt;a href=|http://childrensbibleonline.com/mark/4.htm| title=|The Children's Bible| target=|_top|&gt;Children's&lt;/a&gt;</v>
      </c>
      <c r="AB961" s="2" t="str">
        <f t="shared" si="3840"/>
        <v>&lt;/li&gt;&lt;li&gt;&lt;a href=|http://tsk.scripturetext.com/mark/4.htm| title=|Treasury of Scripture Knowledge| target=|_top|&gt;TSK&lt;/a&gt;</v>
      </c>
      <c r="AC961" t="str">
        <f>CONCATENATE("&lt;a href=|http://",AC1191,"/mark/4.htm","| ","title=|",AC1190,"| target=|_top|&gt;",AC1192,"&lt;/a&gt;")</f>
        <v>&lt;a href=|http://parallelbible.com/mark/4.htm| title=|Parallel Chapters| target=|_top|&gt;PAR&lt;/a&gt;</v>
      </c>
      <c r="AD961" s="2" t="str">
        <f t="shared" ref="AD961:AI961" si="3842">CONCATENATE("&lt;/li&gt;&lt;li&gt;&lt;a href=|http://",AD1191,"/mark/4.htm","| ","title=|",AD1190,"| target=|_top|&gt;",AD1192,"&lt;/a&gt;")</f>
        <v>&lt;/li&gt;&lt;li&gt;&lt;a href=|http://gsb.biblecommenter.com/mark/4.htm| title=|Geneva Study Bible| target=|_top|&gt;GSB&lt;/a&gt;</v>
      </c>
      <c r="AE961" s="2" t="str">
        <f t="shared" si="3842"/>
        <v>&lt;/li&gt;&lt;li&gt;&lt;a href=|http://jfb.biblecommenter.com/mark/4.htm| title=|Jamieson-Fausset-Brown Bible Commentary| target=|_top|&gt;JFB&lt;/a&gt;</v>
      </c>
      <c r="AF961" s="2" t="str">
        <f t="shared" si="3842"/>
        <v>&lt;/li&gt;&lt;li&gt;&lt;a href=|http://kjt.biblecommenter.com/mark/4.htm| title=|King James Translators' Notes| target=|_top|&gt;KJT&lt;/a&gt;</v>
      </c>
      <c r="AG961" s="2" t="str">
        <f t="shared" si="3842"/>
        <v>&lt;/li&gt;&lt;li&gt;&lt;a href=|http://mhc.biblecommenter.com/mark/4.htm| title=|Matthew Henry's Concise Commentary| target=|_top|&gt;MHC&lt;/a&gt;</v>
      </c>
      <c r="AH961" s="2" t="str">
        <f t="shared" si="3842"/>
        <v>&lt;/li&gt;&lt;li&gt;&lt;a href=|http://sco.biblecommenter.com/mark/4.htm| title=|Scofield Reference Notes| target=|_top|&gt;SCO&lt;/a&gt;</v>
      </c>
      <c r="AI961" s="2" t="str">
        <f t="shared" si="3842"/>
        <v>&lt;/li&gt;&lt;li&gt;&lt;a href=|http://wes.biblecommenter.com/mark/4.htm| title=|Wesley's Notes on the Bible| target=|_top|&gt;WES&lt;/a&gt;</v>
      </c>
      <c r="AJ961" t="str">
        <f>CONCATENATE("&lt;/li&gt;&lt;li&gt;&lt;a href=|http://",AJ1191,"/mark/4.htm","| ","title=|",AJ1190,"| target=|_top|&gt;",AJ1192,"&lt;/a&gt;")</f>
        <v>&lt;/li&gt;&lt;li&gt;&lt;a href=|http://worldebible.com/mark/4.htm| title=|World English Bible| target=|_top|&gt;WEB&lt;/a&gt;</v>
      </c>
      <c r="AK961" t="str">
        <f>CONCATENATE("&lt;/li&gt;&lt;li&gt;&lt;a href=|http://",AK1191,"/mark/4.htm","| ","title=|",AK1190,"| target=|_top|&gt;",AK1192,"&lt;/a&gt;")</f>
        <v>&lt;/li&gt;&lt;li&gt;&lt;a href=|http://yltbible.com/mark/4.htm| title=|Young's Literal Translation| target=|_top|&gt;YLT&lt;/a&gt;</v>
      </c>
      <c r="AL961" t="str">
        <f>CONCATENATE("&lt;a href=|http://",AL1191,"/mark/4.htm","| ","title=|",AL1190,"| target=|_top|&gt;",AL1192,"&lt;/a&gt;")</f>
        <v>&lt;a href=|http://kjv.us/mark/4.htm| title=|American King James Version| target=|_top|&gt;AKJ&lt;/a&gt;</v>
      </c>
      <c r="AM961" t="str">
        <f t="shared" ref="AM961:AS961" si="3843">CONCATENATE("&lt;/li&gt;&lt;li&gt;&lt;a href=|http://",AM1191,"/mark/4.htm","| ","title=|",AM1190,"| target=|_top|&gt;",AM1192,"&lt;/a&gt;")</f>
        <v>&lt;/li&gt;&lt;li&gt;&lt;a href=|http://basicenglishbible.com/mark/4.htm| title=|Bible in Basic English| target=|_top|&gt;BBE&lt;/a&gt;</v>
      </c>
      <c r="AN961" t="str">
        <f t="shared" si="3843"/>
        <v>&lt;/li&gt;&lt;li&gt;&lt;a href=|http://darbybible.com/mark/4.htm| title=|Darby Bible Translation| target=|_top|&gt;DBY&lt;/a&gt;</v>
      </c>
      <c r="AO961" t="str">
        <f t="shared" si="3843"/>
        <v>&lt;/li&gt;&lt;li&gt;&lt;a href=|http://isv.scripturetext.com/mark/4.htm| title=|International Standard Version| target=|_top|&gt;ISV&lt;/a&gt;</v>
      </c>
      <c r="AP961" t="str">
        <f t="shared" si="3843"/>
        <v>&lt;/li&gt;&lt;li&gt;&lt;a href=|http://tnt.scripturetext.com/mark/4.htm| title=|Tyndale New Testament| target=|_top|&gt;TNT&lt;/a&gt;</v>
      </c>
      <c r="AQ961" s="2" t="str">
        <f t="shared" si="3843"/>
        <v>&lt;/li&gt;&lt;li&gt;&lt;a href=|http://pnt.biblecommenter.com/mark/4.htm| title=|People's New Testament| target=|_top|&gt;PNT&lt;/a&gt;</v>
      </c>
      <c r="AR961" t="str">
        <f t="shared" si="3843"/>
        <v>&lt;/li&gt;&lt;li&gt;&lt;a href=|http://websterbible.com/mark/4.htm| title=|Webster's Bible Translation| target=|_top|&gt;WBS&lt;/a&gt;</v>
      </c>
      <c r="AS961" t="str">
        <f t="shared" si="3843"/>
        <v>&lt;/li&gt;&lt;li&gt;&lt;a href=|http://weymouthbible.com/mark/4.htm| title=|Weymouth New Testament| target=|_top|&gt;WEY&lt;/a&gt;</v>
      </c>
      <c r="AT961" t="str">
        <f>CONCATENATE("&lt;/li&gt;&lt;li&gt;&lt;a href=|http://",AT1191,"/mark/4-1.htm","| ","title=|",AT1190,"| target=|_top|&gt;",AT1192,"&lt;/a&gt;")</f>
        <v>&lt;/li&gt;&lt;li&gt;&lt;a href=|http://biblebrowser.com/mark/4-1.htm| title=|Split View| target=|_top|&gt;Split&lt;/a&gt;</v>
      </c>
      <c r="AU961" s="2" t="s">
        <v>1276</v>
      </c>
      <c r="AV961" t="s">
        <v>64</v>
      </c>
    </row>
    <row r="962" spans="1:48">
      <c r="A962" t="s">
        <v>622</v>
      </c>
      <c r="B962" t="s">
        <v>1003</v>
      </c>
      <c r="C962" t="s">
        <v>624</v>
      </c>
      <c r="D962" t="s">
        <v>1268</v>
      </c>
      <c r="E962" t="s">
        <v>1277</v>
      </c>
      <c r="F962" t="s">
        <v>1304</v>
      </c>
      <c r="G962" t="s">
        <v>1266</v>
      </c>
      <c r="H962" t="s">
        <v>1305</v>
      </c>
      <c r="I962" t="s">
        <v>1303</v>
      </c>
      <c r="J962" t="s">
        <v>1267</v>
      </c>
      <c r="K962" t="s">
        <v>1275</v>
      </c>
      <c r="L962" s="2" t="s">
        <v>1274</v>
      </c>
      <c r="M962" t="str">
        <f t="shared" ref="M962:AB962" si="3844">CONCATENATE("&lt;/li&gt;&lt;li&gt;&lt;a href=|http://",M1191,"/mark/5.htm","| ","title=|",M1190,"| target=|_top|&gt;",M1192,"&lt;/a&gt;")</f>
        <v>&lt;/li&gt;&lt;li&gt;&lt;a href=|http://niv.scripturetext.com/mark/5.htm| title=|New International Version| target=|_top|&gt;NIV&lt;/a&gt;</v>
      </c>
      <c r="N962" t="str">
        <f t="shared" si="3844"/>
        <v>&lt;/li&gt;&lt;li&gt;&lt;a href=|http://nlt.scripturetext.com/mark/5.htm| title=|New Living Translation| target=|_top|&gt;NLT&lt;/a&gt;</v>
      </c>
      <c r="O962" t="str">
        <f t="shared" si="3844"/>
        <v>&lt;/li&gt;&lt;li&gt;&lt;a href=|http://nasb.scripturetext.com/mark/5.htm| title=|New American Standard Bible| target=|_top|&gt;NAS&lt;/a&gt;</v>
      </c>
      <c r="P962" t="str">
        <f t="shared" si="3844"/>
        <v>&lt;/li&gt;&lt;li&gt;&lt;a href=|http://gwt.scripturetext.com/mark/5.htm| title=|God's Word Translation| target=|_top|&gt;GWT&lt;/a&gt;</v>
      </c>
      <c r="Q962" t="str">
        <f t="shared" si="3844"/>
        <v>&lt;/li&gt;&lt;li&gt;&lt;a href=|http://kingjbible.com/mark/5.htm| title=|King James Bible| target=|_top|&gt;KJV&lt;/a&gt;</v>
      </c>
      <c r="R962" t="str">
        <f t="shared" si="3844"/>
        <v>&lt;/li&gt;&lt;li&gt;&lt;a href=|http://asvbible.com/mark/5.htm| title=|American Standard Version| target=|_top|&gt;ASV&lt;/a&gt;</v>
      </c>
      <c r="S962" t="str">
        <f t="shared" si="3844"/>
        <v>&lt;/li&gt;&lt;li&gt;&lt;a href=|http://drb.scripturetext.com/mark/5.htm| title=|Douay-Rheims Bible| target=|_top|&gt;DRB&lt;/a&gt;</v>
      </c>
      <c r="T962" t="str">
        <f t="shared" si="3844"/>
        <v>&lt;/li&gt;&lt;li&gt;&lt;a href=|http://erv.scripturetext.com/mark/5.htm| title=|English Revised Version| target=|_top|&gt;ERV&lt;/a&gt;</v>
      </c>
      <c r="U962" t="str">
        <f>CONCATENATE("&lt;/li&gt;&lt;li&gt;&lt;a href=|http://",U1191,"/mark/5.htm","| ","title=|",U1190,"| target=|_top|&gt;",U1192,"&lt;/a&gt;")</f>
        <v>&lt;/li&gt;&lt;li&gt;&lt;a href=|http://study.interlinearbible.org/mark/5.htm| title=|Greek Study Bible| target=|_top|&gt;Grk Study&lt;/a&gt;</v>
      </c>
      <c r="W962" t="str">
        <f t="shared" si="3844"/>
        <v>&lt;/li&gt;&lt;li&gt;&lt;a href=|http://apostolic.interlinearbible.org/mark/5.htm| title=|Apostolic Bible Polyglot Interlinear| target=|_top|&gt;Polyglot&lt;/a&gt;</v>
      </c>
      <c r="X962" t="str">
        <f t="shared" si="3844"/>
        <v>&lt;/li&gt;&lt;li&gt;&lt;a href=|http://interlinearbible.org/mark/5.htm| title=|Interlinear Bible| target=|_top|&gt;Interlin&lt;/a&gt;</v>
      </c>
      <c r="Y962" t="str">
        <f t="shared" ref="Y962" si="3845">CONCATENATE("&lt;/li&gt;&lt;li&gt;&lt;a href=|http://",Y1191,"/mark/5.htm","| ","title=|",Y1190,"| target=|_top|&gt;",Y1192,"&lt;/a&gt;")</f>
        <v>&lt;/li&gt;&lt;li&gt;&lt;a href=|http://bibleoutline.org/mark/5.htm| title=|Outline with People and Places List| target=|_top|&gt;Outline&lt;/a&gt;</v>
      </c>
      <c r="Z962" t="str">
        <f t="shared" si="3844"/>
        <v>&lt;/li&gt;&lt;li&gt;&lt;a href=|http://kjvs.scripturetext.com/mark/5.htm| title=|King James Bible with Strong's Numbers| target=|_top|&gt;Strong's&lt;/a&gt;</v>
      </c>
      <c r="AA962" t="str">
        <f t="shared" si="3844"/>
        <v>&lt;/li&gt;&lt;li&gt;&lt;a href=|http://childrensbibleonline.com/mark/5.htm| title=|The Children's Bible| target=|_top|&gt;Children's&lt;/a&gt;</v>
      </c>
      <c r="AB962" s="2" t="str">
        <f t="shared" si="3844"/>
        <v>&lt;/li&gt;&lt;li&gt;&lt;a href=|http://tsk.scripturetext.com/mark/5.htm| title=|Treasury of Scripture Knowledge| target=|_top|&gt;TSK&lt;/a&gt;</v>
      </c>
      <c r="AC962" t="str">
        <f>CONCATENATE("&lt;a href=|http://",AC1191,"/mark/5.htm","| ","title=|",AC1190,"| target=|_top|&gt;",AC1192,"&lt;/a&gt;")</f>
        <v>&lt;a href=|http://parallelbible.com/mark/5.htm| title=|Parallel Chapters| target=|_top|&gt;PAR&lt;/a&gt;</v>
      </c>
      <c r="AD962" s="2" t="str">
        <f t="shared" ref="AD962:AI962" si="3846">CONCATENATE("&lt;/li&gt;&lt;li&gt;&lt;a href=|http://",AD1191,"/mark/5.htm","| ","title=|",AD1190,"| target=|_top|&gt;",AD1192,"&lt;/a&gt;")</f>
        <v>&lt;/li&gt;&lt;li&gt;&lt;a href=|http://gsb.biblecommenter.com/mark/5.htm| title=|Geneva Study Bible| target=|_top|&gt;GSB&lt;/a&gt;</v>
      </c>
      <c r="AE962" s="2" t="str">
        <f t="shared" si="3846"/>
        <v>&lt;/li&gt;&lt;li&gt;&lt;a href=|http://jfb.biblecommenter.com/mark/5.htm| title=|Jamieson-Fausset-Brown Bible Commentary| target=|_top|&gt;JFB&lt;/a&gt;</v>
      </c>
      <c r="AF962" s="2" t="str">
        <f t="shared" si="3846"/>
        <v>&lt;/li&gt;&lt;li&gt;&lt;a href=|http://kjt.biblecommenter.com/mark/5.htm| title=|King James Translators' Notes| target=|_top|&gt;KJT&lt;/a&gt;</v>
      </c>
      <c r="AG962" s="2" t="str">
        <f t="shared" si="3846"/>
        <v>&lt;/li&gt;&lt;li&gt;&lt;a href=|http://mhc.biblecommenter.com/mark/5.htm| title=|Matthew Henry's Concise Commentary| target=|_top|&gt;MHC&lt;/a&gt;</v>
      </c>
      <c r="AH962" s="2" t="str">
        <f t="shared" si="3846"/>
        <v>&lt;/li&gt;&lt;li&gt;&lt;a href=|http://sco.biblecommenter.com/mark/5.htm| title=|Scofield Reference Notes| target=|_top|&gt;SCO&lt;/a&gt;</v>
      </c>
      <c r="AI962" s="2" t="str">
        <f t="shared" si="3846"/>
        <v>&lt;/li&gt;&lt;li&gt;&lt;a href=|http://wes.biblecommenter.com/mark/5.htm| title=|Wesley's Notes on the Bible| target=|_top|&gt;WES&lt;/a&gt;</v>
      </c>
      <c r="AJ962" t="str">
        <f>CONCATENATE("&lt;/li&gt;&lt;li&gt;&lt;a href=|http://",AJ1191,"/mark/5.htm","| ","title=|",AJ1190,"| target=|_top|&gt;",AJ1192,"&lt;/a&gt;")</f>
        <v>&lt;/li&gt;&lt;li&gt;&lt;a href=|http://worldebible.com/mark/5.htm| title=|World English Bible| target=|_top|&gt;WEB&lt;/a&gt;</v>
      </c>
      <c r="AK962" t="str">
        <f>CONCATENATE("&lt;/li&gt;&lt;li&gt;&lt;a href=|http://",AK1191,"/mark/5.htm","| ","title=|",AK1190,"| target=|_top|&gt;",AK1192,"&lt;/a&gt;")</f>
        <v>&lt;/li&gt;&lt;li&gt;&lt;a href=|http://yltbible.com/mark/5.htm| title=|Young's Literal Translation| target=|_top|&gt;YLT&lt;/a&gt;</v>
      </c>
      <c r="AL962" t="str">
        <f>CONCATENATE("&lt;a href=|http://",AL1191,"/mark/5.htm","| ","title=|",AL1190,"| target=|_top|&gt;",AL1192,"&lt;/a&gt;")</f>
        <v>&lt;a href=|http://kjv.us/mark/5.htm| title=|American King James Version| target=|_top|&gt;AKJ&lt;/a&gt;</v>
      </c>
      <c r="AM962" t="str">
        <f t="shared" ref="AM962:AS962" si="3847">CONCATENATE("&lt;/li&gt;&lt;li&gt;&lt;a href=|http://",AM1191,"/mark/5.htm","| ","title=|",AM1190,"| target=|_top|&gt;",AM1192,"&lt;/a&gt;")</f>
        <v>&lt;/li&gt;&lt;li&gt;&lt;a href=|http://basicenglishbible.com/mark/5.htm| title=|Bible in Basic English| target=|_top|&gt;BBE&lt;/a&gt;</v>
      </c>
      <c r="AN962" t="str">
        <f t="shared" si="3847"/>
        <v>&lt;/li&gt;&lt;li&gt;&lt;a href=|http://darbybible.com/mark/5.htm| title=|Darby Bible Translation| target=|_top|&gt;DBY&lt;/a&gt;</v>
      </c>
      <c r="AO962" t="str">
        <f t="shared" si="3847"/>
        <v>&lt;/li&gt;&lt;li&gt;&lt;a href=|http://isv.scripturetext.com/mark/5.htm| title=|International Standard Version| target=|_top|&gt;ISV&lt;/a&gt;</v>
      </c>
      <c r="AP962" t="str">
        <f t="shared" si="3847"/>
        <v>&lt;/li&gt;&lt;li&gt;&lt;a href=|http://tnt.scripturetext.com/mark/5.htm| title=|Tyndale New Testament| target=|_top|&gt;TNT&lt;/a&gt;</v>
      </c>
      <c r="AQ962" s="2" t="str">
        <f t="shared" si="3847"/>
        <v>&lt;/li&gt;&lt;li&gt;&lt;a href=|http://pnt.biblecommenter.com/mark/5.htm| title=|People's New Testament| target=|_top|&gt;PNT&lt;/a&gt;</v>
      </c>
      <c r="AR962" t="str">
        <f t="shared" si="3847"/>
        <v>&lt;/li&gt;&lt;li&gt;&lt;a href=|http://websterbible.com/mark/5.htm| title=|Webster's Bible Translation| target=|_top|&gt;WBS&lt;/a&gt;</v>
      </c>
      <c r="AS962" t="str">
        <f t="shared" si="3847"/>
        <v>&lt;/li&gt;&lt;li&gt;&lt;a href=|http://weymouthbible.com/mark/5.htm| title=|Weymouth New Testament| target=|_top|&gt;WEY&lt;/a&gt;</v>
      </c>
      <c r="AT962" t="str">
        <f>CONCATENATE("&lt;/li&gt;&lt;li&gt;&lt;a href=|http://",AT1191,"/mark/5-1.htm","| ","title=|",AT1190,"| target=|_top|&gt;",AT1192,"&lt;/a&gt;")</f>
        <v>&lt;/li&gt;&lt;li&gt;&lt;a href=|http://biblebrowser.com/mark/5-1.htm| title=|Split View| target=|_top|&gt;Split&lt;/a&gt;</v>
      </c>
      <c r="AU962" s="2" t="s">
        <v>1276</v>
      </c>
      <c r="AV962" t="s">
        <v>64</v>
      </c>
    </row>
    <row r="963" spans="1:48">
      <c r="A963" t="s">
        <v>622</v>
      </c>
      <c r="B963" t="s">
        <v>1004</v>
      </c>
      <c r="C963" t="s">
        <v>624</v>
      </c>
      <c r="D963" t="s">
        <v>1268</v>
      </c>
      <c r="E963" t="s">
        <v>1277</v>
      </c>
      <c r="F963" t="s">
        <v>1304</v>
      </c>
      <c r="G963" t="s">
        <v>1266</v>
      </c>
      <c r="H963" t="s">
        <v>1305</v>
      </c>
      <c r="I963" t="s">
        <v>1303</v>
      </c>
      <c r="J963" t="s">
        <v>1267</v>
      </c>
      <c r="K963" t="s">
        <v>1275</v>
      </c>
      <c r="L963" s="2" t="s">
        <v>1274</v>
      </c>
      <c r="M963" t="str">
        <f t="shared" ref="M963:AB963" si="3848">CONCATENATE("&lt;/li&gt;&lt;li&gt;&lt;a href=|http://",M1191,"/mark/6.htm","| ","title=|",M1190,"| target=|_top|&gt;",M1192,"&lt;/a&gt;")</f>
        <v>&lt;/li&gt;&lt;li&gt;&lt;a href=|http://niv.scripturetext.com/mark/6.htm| title=|New International Version| target=|_top|&gt;NIV&lt;/a&gt;</v>
      </c>
      <c r="N963" t="str">
        <f t="shared" si="3848"/>
        <v>&lt;/li&gt;&lt;li&gt;&lt;a href=|http://nlt.scripturetext.com/mark/6.htm| title=|New Living Translation| target=|_top|&gt;NLT&lt;/a&gt;</v>
      </c>
      <c r="O963" t="str">
        <f t="shared" si="3848"/>
        <v>&lt;/li&gt;&lt;li&gt;&lt;a href=|http://nasb.scripturetext.com/mark/6.htm| title=|New American Standard Bible| target=|_top|&gt;NAS&lt;/a&gt;</v>
      </c>
      <c r="P963" t="str">
        <f t="shared" si="3848"/>
        <v>&lt;/li&gt;&lt;li&gt;&lt;a href=|http://gwt.scripturetext.com/mark/6.htm| title=|God's Word Translation| target=|_top|&gt;GWT&lt;/a&gt;</v>
      </c>
      <c r="Q963" t="str">
        <f t="shared" si="3848"/>
        <v>&lt;/li&gt;&lt;li&gt;&lt;a href=|http://kingjbible.com/mark/6.htm| title=|King James Bible| target=|_top|&gt;KJV&lt;/a&gt;</v>
      </c>
      <c r="R963" t="str">
        <f t="shared" si="3848"/>
        <v>&lt;/li&gt;&lt;li&gt;&lt;a href=|http://asvbible.com/mark/6.htm| title=|American Standard Version| target=|_top|&gt;ASV&lt;/a&gt;</v>
      </c>
      <c r="S963" t="str">
        <f t="shared" si="3848"/>
        <v>&lt;/li&gt;&lt;li&gt;&lt;a href=|http://drb.scripturetext.com/mark/6.htm| title=|Douay-Rheims Bible| target=|_top|&gt;DRB&lt;/a&gt;</v>
      </c>
      <c r="T963" t="str">
        <f t="shared" si="3848"/>
        <v>&lt;/li&gt;&lt;li&gt;&lt;a href=|http://erv.scripturetext.com/mark/6.htm| title=|English Revised Version| target=|_top|&gt;ERV&lt;/a&gt;</v>
      </c>
      <c r="U963" t="str">
        <f>CONCATENATE("&lt;/li&gt;&lt;li&gt;&lt;a href=|http://",U1191,"/mark/6.htm","| ","title=|",U1190,"| target=|_top|&gt;",U1192,"&lt;/a&gt;")</f>
        <v>&lt;/li&gt;&lt;li&gt;&lt;a href=|http://study.interlinearbible.org/mark/6.htm| title=|Greek Study Bible| target=|_top|&gt;Grk Study&lt;/a&gt;</v>
      </c>
      <c r="W963" t="str">
        <f t="shared" si="3848"/>
        <v>&lt;/li&gt;&lt;li&gt;&lt;a href=|http://apostolic.interlinearbible.org/mark/6.htm| title=|Apostolic Bible Polyglot Interlinear| target=|_top|&gt;Polyglot&lt;/a&gt;</v>
      </c>
      <c r="X963" t="str">
        <f t="shared" si="3848"/>
        <v>&lt;/li&gt;&lt;li&gt;&lt;a href=|http://interlinearbible.org/mark/6.htm| title=|Interlinear Bible| target=|_top|&gt;Interlin&lt;/a&gt;</v>
      </c>
      <c r="Y963" t="str">
        <f t="shared" ref="Y963" si="3849">CONCATENATE("&lt;/li&gt;&lt;li&gt;&lt;a href=|http://",Y1191,"/mark/6.htm","| ","title=|",Y1190,"| target=|_top|&gt;",Y1192,"&lt;/a&gt;")</f>
        <v>&lt;/li&gt;&lt;li&gt;&lt;a href=|http://bibleoutline.org/mark/6.htm| title=|Outline with People and Places List| target=|_top|&gt;Outline&lt;/a&gt;</v>
      </c>
      <c r="Z963" t="str">
        <f t="shared" si="3848"/>
        <v>&lt;/li&gt;&lt;li&gt;&lt;a href=|http://kjvs.scripturetext.com/mark/6.htm| title=|King James Bible with Strong's Numbers| target=|_top|&gt;Strong's&lt;/a&gt;</v>
      </c>
      <c r="AA963" t="str">
        <f t="shared" si="3848"/>
        <v>&lt;/li&gt;&lt;li&gt;&lt;a href=|http://childrensbibleonline.com/mark/6.htm| title=|The Children's Bible| target=|_top|&gt;Children's&lt;/a&gt;</v>
      </c>
      <c r="AB963" s="2" t="str">
        <f t="shared" si="3848"/>
        <v>&lt;/li&gt;&lt;li&gt;&lt;a href=|http://tsk.scripturetext.com/mark/6.htm| title=|Treasury of Scripture Knowledge| target=|_top|&gt;TSK&lt;/a&gt;</v>
      </c>
      <c r="AC963" t="str">
        <f>CONCATENATE("&lt;a href=|http://",AC1191,"/mark/6.htm","| ","title=|",AC1190,"| target=|_top|&gt;",AC1192,"&lt;/a&gt;")</f>
        <v>&lt;a href=|http://parallelbible.com/mark/6.htm| title=|Parallel Chapters| target=|_top|&gt;PAR&lt;/a&gt;</v>
      </c>
      <c r="AD963" s="2" t="str">
        <f t="shared" ref="AD963:AI963" si="3850">CONCATENATE("&lt;/li&gt;&lt;li&gt;&lt;a href=|http://",AD1191,"/mark/6.htm","| ","title=|",AD1190,"| target=|_top|&gt;",AD1192,"&lt;/a&gt;")</f>
        <v>&lt;/li&gt;&lt;li&gt;&lt;a href=|http://gsb.biblecommenter.com/mark/6.htm| title=|Geneva Study Bible| target=|_top|&gt;GSB&lt;/a&gt;</v>
      </c>
      <c r="AE963" s="2" t="str">
        <f t="shared" si="3850"/>
        <v>&lt;/li&gt;&lt;li&gt;&lt;a href=|http://jfb.biblecommenter.com/mark/6.htm| title=|Jamieson-Fausset-Brown Bible Commentary| target=|_top|&gt;JFB&lt;/a&gt;</v>
      </c>
      <c r="AF963" s="2" t="str">
        <f t="shared" si="3850"/>
        <v>&lt;/li&gt;&lt;li&gt;&lt;a href=|http://kjt.biblecommenter.com/mark/6.htm| title=|King James Translators' Notes| target=|_top|&gt;KJT&lt;/a&gt;</v>
      </c>
      <c r="AG963" s="2" t="str">
        <f t="shared" si="3850"/>
        <v>&lt;/li&gt;&lt;li&gt;&lt;a href=|http://mhc.biblecommenter.com/mark/6.htm| title=|Matthew Henry's Concise Commentary| target=|_top|&gt;MHC&lt;/a&gt;</v>
      </c>
      <c r="AH963" s="2" t="str">
        <f t="shared" si="3850"/>
        <v>&lt;/li&gt;&lt;li&gt;&lt;a href=|http://sco.biblecommenter.com/mark/6.htm| title=|Scofield Reference Notes| target=|_top|&gt;SCO&lt;/a&gt;</v>
      </c>
      <c r="AI963" s="2" t="str">
        <f t="shared" si="3850"/>
        <v>&lt;/li&gt;&lt;li&gt;&lt;a href=|http://wes.biblecommenter.com/mark/6.htm| title=|Wesley's Notes on the Bible| target=|_top|&gt;WES&lt;/a&gt;</v>
      </c>
      <c r="AJ963" t="str">
        <f>CONCATENATE("&lt;/li&gt;&lt;li&gt;&lt;a href=|http://",AJ1191,"/mark/6.htm","| ","title=|",AJ1190,"| target=|_top|&gt;",AJ1192,"&lt;/a&gt;")</f>
        <v>&lt;/li&gt;&lt;li&gt;&lt;a href=|http://worldebible.com/mark/6.htm| title=|World English Bible| target=|_top|&gt;WEB&lt;/a&gt;</v>
      </c>
      <c r="AK963" t="str">
        <f>CONCATENATE("&lt;/li&gt;&lt;li&gt;&lt;a href=|http://",AK1191,"/mark/6.htm","| ","title=|",AK1190,"| target=|_top|&gt;",AK1192,"&lt;/a&gt;")</f>
        <v>&lt;/li&gt;&lt;li&gt;&lt;a href=|http://yltbible.com/mark/6.htm| title=|Young's Literal Translation| target=|_top|&gt;YLT&lt;/a&gt;</v>
      </c>
      <c r="AL963" t="str">
        <f>CONCATENATE("&lt;a href=|http://",AL1191,"/mark/6.htm","| ","title=|",AL1190,"| target=|_top|&gt;",AL1192,"&lt;/a&gt;")</f>
        <v>&lt;a href=|http://kjv.us/mark/6.htm| title=|American King James Version| target=|_top|&gt;AKJ&lt;/a&gt;</v>
      </c>
      <c r="AM963" t="str">
        <f t="shared" ref="AM963:AS963" si="3851">CONCATENATE("&lt;/li&gt;&lt;li&gt;&lt;a href=|http://",AM1191,"/mark/6.htm","| ","title=|",AM1190,"| target=|_top|&gt;",AM1192,"&lt;/a&gt;")</f>
        <v>&lt;/li&gt;&lt;li&gt;&lt;a href=|http://basicenglishbible.com/mark/6.htm| title=|Bible in Basic English| target=|_top|&gt;BBE&lt;/a&gt;</v>
      </c>
      <c r="AN963" t="str">
        <f t="shared" si="3851"/>
        <v>&lt;/li&gt;&lt;li&gt;&lt;a href=|http://darbybible.com/mark/6.htm| title=|Darby Bible Translation| target=|_top|&gt;DBY&lt;/a&gt;</v>
      </c>
      <c r="AO963" t="str">
        <f t="shared" si="3851"/>
        <v>&lt;/li&gt;&lt;li&gt;&lt;a href=|http://isv.scripturetext.com/mark/6.htm| title=|International Standard Version| target=|_top|&gt;ISV&lt;/a&gt;</v>
      </c>
      <c r="AP963" t="str">
        <f t="shared" si="3851"/>
        <v>&lt;/li&gt;&lt;li&gt;&lt;a href=|http://tnt.scripturetext.com/mark/6.htm| title=|Tyndale New Testament| target=|_top|&gt;TNT&lt;/a&gt;</v>
      </c>
      <c r="AQ963" s="2" t="str">
        <f t="shared" si="3851"/>
        <v>&lt;/li&gt;&lt;li&gt;&lt;a href=|http://pnt.biblecommenter.com/mark/6.htm| title=|People's New Testament| target=|_top|&gt;PNT&lt;/a&gt;</v>
      </c>
      <c r="AR963" t="str">
        <f t="shared" si="3851"/>
        <v>&lt;/li&gt;&lt;li&gt;&lt;a href=|http://websterbible.com/mark/6.htm| title=|Webster's Bible Translation| target=|_top|&gt;WBS&lt;/a&gt;</v>
      </c>
      <c r="AS963" t="str">
        <f t="shared" si="3851"/>
        <v>&lt;/li&gt;&lt;li&gt;&lt;a href=|http://weymouthbible.com/mark/6.htm| title=|Weymouth New Testament| target=|_top|&gt;WEY&lt;/a&gt;</v>
      </c>
      <c r="AT963" t="str">
        <f>CONCATENATE("&lt;/li&gt;&lt;li&gt;&lt;a href=|http://",AT1191,"/mark/6-1.htm","| ","title=|",AT1190,"| target=|_top|&gt;",AT1192,"&lt;/a&gt;")</f>
        <v>&lt;/li&gt;&lt;li&gt;&lt;a href=|http://biblebrowser.com/mark/6-1.htm| title=|Split View| target=|_top|&gt;Split&lt;/a&gt;</v>
      </c>
      <c r="AU963" s="2" t="s">
        <v>1276</v>
      </c>
      <c r="AV963" t="s">
        <v>64</v>
      </c>
    </row>
    <row r="964" spans="1:48">
      <c r="A964" t="s">
        <v>622</v>
      </c>
      <c r="B964" t="s">
        <v>1005</v>
      </c>
      <c r="C964" t="s">
        <v>624</v>
      </c>
      <c r="D964" t="s">
        <v>1268</v>
      </c>
      <c r="E964" t="s">
        <v>1277</v>
      </c>
      <c r="F964" t="s">
        <v>1304</v>
      </c>
      <c r="G964" t="s">
        <v>1266</v>
      </c>
      <c r="H964" t="s">
        <v>1305</v>
      </c>
      <c r="I964" t="s">
        <v>1303</v>
      </c>
      <c r="J964" t="s">
        <v>1267</v>
      </c>
      <c r="K964" t="s">
        <v>1275</v>
      </c>
      <c r="L964" s="2" t="s">
        <v>1274</v>
      </c>
      <c r="M964" t="str">
        <f t="shared" ref="M964:AB964" si="3852">CONCATENATE("&lt;/li&gt;&lt;li&gt;&lt;a href=|http://",M1191,"/mark/7.htm","| ","title=|",M1190,"| target=|_top|&gt;",M1192,"&lt;/a&gt;")</f>
        <v>&lt;/li&gt;&lt;li&gt;&lt;a href=|http://niv.scripturetext.com/mark/7.htm| title=|New International Version| target=|_top|&gt;NIV&lt;/a&gt;</v>
      </c>
      <c r="N964" t="str">
        <f t="shared" si="3852"/>
        <v>&lt;/li&gt;&lt;li&gt;&lt;a href=|http://nlt.scripturetext.com/mark/7.htm| title=|New Living Translation| target=|_top|&gt;NLT&lt;/a&gt;</v>
      </c>
      <c r="O964" t="str">
        <f t="shared" si="3852"/>
        <v>&lt;/li&gt;&lt;li&gt;&lt;a href=|http://nasb.scripturetext.com/mark/7.htm| title=|New American Standard Bible| target=|_top|&gt;NAS&lt;/a&gt;</v>
      </c>
      <c r="P964" t="str">
        <f t="shared" si="3852"/>
        <v>&lt;/li&gt;&lt;li&gt;&lt;a href=|http://gwt.scripturetext.com/mark/7.htm| title=|God's Word Translation| target=|_top|&gt;GWT&lt;/a&gt;</v>
      </c>
      <c r="Q964" t="str">
        <f t="shared" si="3852"/>
        <v>&lt;/li&gt;&lt;li&gt;&lt;a href=|http://kingjbible.com/mark/7.htm| title=|King James Bible| target=|_top|&gt;KJV&lt;/a&gt;</v>
      </c>
      <c r="R964" t="str">
        <f t="shared" si="3852"/>
        <v>&lt;/li&gt;&lt;li&gt;&lt;a href=|http://asvbible.com/mark/7.htm| title=|American Standard Version| target=|_top|&gt;ASV&lt;/a&gt;</v>
      </c>
      <c r="S964" t="str">
        <f t="shared" si="3852"/>
        <v>&lt;/li&gt;&lt;li&gt;&lt;a href=|http://drb.scripturetext.com/mark/7.htm| title=|Douay-Rheims Bible| target=|_top|&gt;DRB&lt;/a&gt;</v>
      </c>
      <c r="T964" t="str">
        <f t="shared" si="3852"/>
        <v>&lt;/li&gt;&lt;li&gt;&lt;a href=|http://erv.scripturetext.com/mark/7.htm| title=|English Revised Version| target=|_top|&gt;ERV&lt;/a&gt;</v>
      </c>
      <c r="U964" t="str">
        <f>CONCATENATE("&lt;/li&gt;&lt;li&gt;&lt;a href=|http://",U1191,"/mark/7.htm","| ","title=|",U1190,"| target=|_top|&gt;",U1192,"&lt;/a&gt;")</f>
        <v>&lt;/li&gt;&lt;li&gt;&lt;a href=|http://study.interlinearbible.org/mark/7.htm| title=|Greek Study Bible| target=|_top|&gt;Grk Study&lt;/a&gt;</v>
      </c>
      <c r="W964" t="str">
        <f t="shared" si="3852"/>
        <v>&lt;/li&gt;&lt;li&gt;&lt;a href=|http://apostolic.interlinearbible.org/mark/7.htm| title=|Apostolic Bible Polyglot Interlinear| target=|_top|&gt;Polyglot&lt;/a&gt;</v>
      </c>
      <c r="X964" t="str">
        <f t="shared" si="3852"/>
        <v>&lt;/li&gt;&lt;li&gt;&lt;a href=|http://interlinearbible.org/mark/7.htm| title=|Interlinear Bible| target=|_top|&gt;Interlin&lt;/a&gt;</v>
      </c>
      <c r="Y964" t="str">
        <f t="shared" ref="Y964" si="3853">CONCATENATE("&lt;/li&gt;&lt;li&gt;&lt;a href=|http://",Y1191,"/mark/7.htm","| ","title=|",Y1190,"| target=|_top|&gt;",Y1192,"&lt;/a&gt;")</f>
        <v>&lt;/li&gt;&lt;li&gt;&lt;a href=|http://bibleoutline.org/mark/7.htm| title=|Outline with People and Places List| target=|_top|&gt;Outline&lt;/a&gt;</v>
      </c>
      <c r="Z964" t="str">
        <f t="shared" si="3852"/>
        <v>&lt;/li&gt;&lt;li&gt;&lt;a href=|http://kjvs.scripturetext.com/mark/7.htm| title=|King James Bible with Strong's Numbers| target=|_top|&gt;Strong's&lt;/a&gt;</v>
      </c>
      <c r="AA964" t="str">
        <f t="shared" si="3852"/>
        <v>&lt;/li&gt;&lt;li&gt;&lt;a href=|http://childrensbibleonline.com/mark/7.htm| title=|The Children's Bible| target=|_top|&gt;Children's&lt;/a&gt;</v>
      </c>
      <c r="AB964" s="2" t="str">
        <f t="shared" si="3852"/>
        <v>&lt;/li&gt;&lt;li&gt;&lt;a href=|http://tsk.scripturetext.com/mark/7.htm| title=|Treasury of Scripture Knowledge| target=|_top|&gt;TSK&lt;/a&gt;</v>
      </c>
      <c r="AC964" t="str">
        <f>CONCATENATE("&lt;a href=|http://",AC1191,"/mark/7.htm","| ","title=|",AC1190,"| target=|_top|&gt;",AC1192,"&lt;/a&gt;")</f>
        <v>&lt;a href=|http://parallelbible.com/mark/7.htm| title=|Parallel Chapters| target=|_top|&gt;PAR&lt;/a&gt;</v>
      </c>
      <c r="AD964" s="2" t="str">
        <f t="shared" ref="AD964:AI964" si="3854">CONCATENATE("&lt;/li&gt;&lt;li&gt;&lt;a href=|http://",AD1191,"/mark/7.htm","| ","title=|",AD1190,"| target=|_top|&gt;",AD1192,"&lt;/a&gt;")</f>
        <v>&lt;/li&gt;&lt;li&gt;&lt;a href=|http://gsb.biblecommenter.com/mark/7.htm| title=|Geneva Study Bible| target=|_top|&gt;GSB&lt;/a&gt;</v>
      </c>
      <c r="AE964" s="2" t="str">
        <f t="shared" si="3854"/>
        <v>&lt;/li&gt;&lt;li&gt;&lt;a href=|http://jfb.biblecommenter.com/mark/7.htm| title=|Jamieson-Fausset-Brown Bible Commentary| target=|_top|&gt;JFB&lt;/a&gt;</v>
      </c>
      <c r="AF964" s="2" t="str">
        <f t="shared" si="3854"/>
        <v>&lt;/li&gt;&lt;li&gt;&lt;a href=|http://kjt.biblecommenter.com/mark/7.htm| title=|King James Translators' Notes| target=|_top|&gt;KJT&lt;/a&gt;</v>
      </c>
      <c r="AG964" s="2" t="str">
        <f t="shared" si="3854"/>
        <v>&lt;/li&gt;&lt;li&gt;&lt;a href=|http://mhc.biblecommenter.com/mark/7.htm| title=|Matthew Henry's Concise Commentary| target=|_top|&gt;MHC&lt;/a&gt;</v>
      </c>
      <c r="AH964" s="2" t="str">
        <f t="shared" si="3854"/>
        <v>&lt;/li&gt;&lt;li&gt;&lt;a href=|http://sco.biblecommenter.com/mark/7.htm| title=|Scofield Reference Notes| target=|_top|&gt;SCO&lt;/a&gt;</v>
      </c>
      <c r="AI964" s="2" t="str">
        <f t="shared" si="3854"/>
        <v>&lt;/li&gt;&lt;li&gt;&lt;a href=|http://wes.biblecommenter.com/mark/7.htm| title=|Wesley's Notes on the Bible| target=|_top|&gt;WES&lt;/a&gt;</v>
      </c>
      <c r="AJ964" t="str">
        <f>CONCATENATE("&lt;/li&gt;&lt;li&gt;&lt;a href=|http://",AJ1191,"/mark/7.htm","| ","title=|",AJ1190,"| target=|_top|&gt;",AJ1192,"&lt;/a&gt;")</f>
        <v>&lt;/li&gt;&lt;li&gt;&lt;a href=|http://worldebible.com/mark/7.htm| title=|World English Bible| target=|_top|&gt;WEB&lt;/a&gt;</v>
      </c>
      <c r="AK964" t="str">
        <f>CONCATENATE("&lt;/li&gt;&lt;li&gt;&lt;a href=|http://",AK1191,"/mark/7.htm","| ","title=|",AK1190,"| target=|_top|&gt;",AK1192,"&lt;/a&gt;")</f>
        <v>&lt;/li&gt;&lt;li&gt;&lt;a href=|http://yltbible.com/mark/7.htm| title=|Young's Literal Translation| target=|_top|&gt;YLT&lt;/a&gt;</v>
      </c>
      <c r="AL964" t="str">
        <f>CONCATENATE("&lt;a href=|http://",AL1191,"/mark/7.htm","| ","title=|",AL1190,"| target=|_top|&gt;",AL1192,"&lt;/a&gt;")</f>
        <v>&lt;a href=|http://kjv.us/mark/7.htm| title=|American King James Version| target=|_top|&gt;AKJ&lt;/a&gt;</v>
      </c>
      <c r="AM964" t="str">
        <f t="shared" ref="AM964:AS964" si="3855">CONCATENATE("&lt;/li&gt;&lt;li&gt;&lt;a href=|http://",AM1191,"/mark/7.htm","| ","title=|",AM1190,"| target=|_top|&gt;",AM1192,"&lt;/a&gt;")</f>
        <v>&lt;/li&gt;&lt;li&gt;&lt;a href=|http://basicenglishbible.com/mark/7.htm| title=|Bible in Basic English| target=|_top|&gt;BBE&lt;/a&gt;</v>
      </c>
      <c r="AN964" t="str">
        <f t="shared" si="3855"/>
        <v>&lt;/li&gt;&lt;li&gt;&lt;a href=|http://darbybible.com/mark/7.htm| title=|Darby Bible Translation| target=|_top|&gt;DBY&lt;/a&gt;</v>
      </c>
      <c r="AO964" t="str">
        <f t="shared" si="3855"/>
        <v>&lt;/li&gt;&lt;li&gt;&lt;a href=|http://isv.scripturetext.com/mark/7.htm| title=|International Standard Version| target=|_top|&gt;ISV&lt;/a&gt;</v>
      </c>
      <c r="AP964" t="str">
        <f t="shared" si="3855"/>
        <v>&lt;/li&gt;&lt;li&gt;&lt;a href=|http://tnt.scripturetext.com/mark/7.htm| title=|Tyndale New Testament| target=|_top|&gt;TNT&lt;/a&gt;</v>
      </c>
      <c r="AQ964" s="2" t="str">
        <f t="shared" si="3855"/>
        <v>&lt;/li&gt;&lt;li&gt;&lt;a href=|http://pnt.biblecommenter.com/mark/7.htm| title=|People's New Testament| target=|_top|&gt;PNT&lt;/a&gt;</v>
      </c>
      <c r="AR964" t="str">
        <f t="shared" si="3855"/>
        <v>&lt;/li&gt;&lt;li&gt;&lt;a href=|http://websterbible.com/mark/7.htm| title=|Webster's Bible Translation| target=|_top|&gt;WBS&lt;/a&gt;</v>
      </c>
      <c r="AS964" t="str">
        <f t="shared" si="3855"/>
        <v>&lt;/li&gt;&lt;li&gt;&lt;a href=|http://weymouthbible.com/mark/7.htm| title=|Weymouth New Testament| target=|_top|&gt;WEY&lt;/a&gt;</v>
      </c>
      <c r="AT964" t="str">
        <f>CONCATENATE("&lt;/li&gt;&lt;li&gt;&lt;a href=|http://",AT1191,"/mark/7-1.htm","| ","title=|",AT1190,"| target=|_top|&gt;",AT1192,"&lt;/a&gt;")</f>
        <v>&lt;/li&gt;&lt;li&gt;&lt;a href=|http://biblebrowser.com/mark/7-1.htm| title=|Split View| target=|_top|&gt;Split&lt;/a&gt;</v>
      </c>
      <c r="AU964" s="2" t="s">
        <v>1276</v>
      </c>
      <c r="AV964" t="s">
        <v>64</v>
      </c>
    </row>
    <row r="965" spans="1:48">
      <c r="A965" t="s">
        <v>622</v>
      </c>
      <c r="B965" t="s">
        <v>1006</v>
      </c>
      <c r="C965" t="s">
        <v>624</v>
      </c>
      <c r="D965" t="s">
        <v>1268</v>
      </c>
      <c r="E965" t="s">
        <v>1277</v>
      </c>
      <c r="F965" t="s">
        <v>1304</v>
      </c>
      <c r="G965" t="s">
        <v>1266</v>
      </c>
      <c r="H965" t="s">
        <v>1305</v>
      </c>
      <c r="I965" t="s">
        <v>1303</v>
      </c>
      <c r="J965" t="s">
        <v>1267</v>
      </c>
      <c r="K965" t="s">
        <v>1275</v>
      </c>
      <c r="L965" s="2" t="s">
        <v>1274</v>
      </c>
      <c r="M965" t="str">
        <f t="shared" ref="M965:AB965" si="3856">CONCATENATE("&lt;/li&gt;&lt;li&gt;&lt;a href=|http://",M1191,"/mark/8.htm","| ","title=|",M1190,"| target=|_top|&gt;",M1192,"&lt;/a&gt;")</f>
        <v>&lt;/li&gt;&lt;li&gt;&lt;a href=|http://niv.scripturetext.com/mark/8.htm| title=|New International Version| target=|_top|&gt;NIV&lt;/a&gt;</v>
      </c>
      <c r="N965" t="str">
        <f t="shared" si="3856"/>
        <v>&lt;/li&gt;&lt;li&gt;&lt;a href=|http://nlt.scripturetext.com/mark/8.htm| title=|New Living Translation| target=|_top|&gt;NLT&lt;/a&gt;</v>
      </c>
      <c r="O965" t="str">
        <f t="shared" si="3856"/>
        <v>&lt;/li&gt;&lt;li&gt;&lt;a href=|http://nasb.scripturetext.com/mark/8.htm| title=|New American Standard Bible| target=|_top|&gt;NAS&lt;/a&gt;</v>
      </c>
      <c r="P965" t="str">
        <f t="shared" si="3856"/>
        <v>&lt;/li&gt;&lt;li&gt;&lt;a href=|http://gwt.scripturetext.com/mark/8.htm| title=|God's Word Translation| target=|_top|&gt;GWT&lt;/a&gt;</v>
      </c>
      <c r="Q965" t="str">
        <f t="shared" si="3856"/>
        <v>&lt;/li&gt;&lt;li&gt;&lt;a href=|http://kingjbible.com/mark/8.htm| title=|King James Bible| target=|_top|&gt;KJV&lt;/a&gt;</v>
      </c>
      <c r="R965" t="str">
        <f t="shared" si="3856"/>
        <v>&lt;/li&gt;&lt;li&gt;&lt;a href=|http://asvbible.com/mark/8.htm| title=|American Standard Version| target=|_top|&gt;ASV&lt;/a&gt;</v>
      </c>
      <c r="S965" t="str">
        <f t="shared" si="3856"/>
        <v>&lt;/li&gt;&lt;li&gt;&lt;a href=|http://drb.scripturetext.com/mark/8.htm| title=|Douay-Rheims Bible| target=|_top|&gt;DRB&lt;/a&gt;</v>
      </c>
      <c r="T965" t="str">
        <f t="shared" si="3856"/>
        <v>&lt;/li&gt;&lt;li&gt;&lt;a href=|http://erv.scripturetext.com/mark/8.htm| title=|English Revised Version| target=|_top|&gt;ERV&lt;/a&gt;</v>
      </c>
      <c r="U965" t="str">
        <f>CONCATENATE("&lt;/li&gt;&lt;li&gt;&lt;a href=|http://",U1191,"/mark/8.htm","| ","title=|",U1190,"| target=|_top|&gt;",U1192,"&lt;/a&gt;")</f>
        <v>&lt;/li&gt;&lt;li&gt;&lt;a href=|http://study.interlinearbible.org/mark/8.htm| title=|Greek Study Bible| target=|_top|&gt;Grk Study&lt;/a&gt;</v>
      </c>
      <c r="W965" t="str">
        <f t="shared" si="3856"/>
        <v>&lt;/li&gt;&lt;li&gt;&lt;a href=|http://apostolic.interlinearbible.org/mark/8.htm| title=|Apostolic Bible Polyglot Interlinear| target=|_top|&gt;Polyglot&lt;/a&gt;</v>
      </c>
      <c r="X965" t="str">
        <f t="shared" si="3856"/>
        <v>&lt;/li&gt;&lt;li&gt;&lt;a href=|http://interlinearbible.org/mark/8.htm| title=|Interlinear Bible| target=|_top|&gt;Interlin&lt;/a&gt;</v>
      </c>
      <c r="Y965" t="str">
        <f t="shared" ref="Y965" si="3857">CONCATENATE("&lt;/li&gt;&lt;li&gt;&lt;a href=|http://",Y1191,"/mark/8.htm","| ","title=|",Y1190,"| target=|_top|&gt;",Y1192,"&lt;/a&gt;")</f>
        <v>&lt;/li&gt;&lt;li&gt;&lt;a href=|http://bibleoutline.org/mark/8.htm| title=|Outline with People and Places List| target=|_top|&gt;Outline&lt;/a&gt;</v>
      </c>
      <c r="Z965" t="str">
        <f t="shared" si="3856"/>
        <v>&lt;/li&gt;&lt;li&gt;&lt;a href=|http://kjvs.scripturetext.com/mark/8.htm| title=|King James Bible with Strong's Numbers| target=|_top|&gt;Strong's&lt;/a&gt;</v>
      </c>
      <c r="AA965" t="str">
        <f t="shared" si="3856"/>
        <v>&lt;/li&gt;&lt;li&gt;&lt;a href=|http://childrensbibleonline.com/mark/8.htm| title=|The Children's Bible| target=|_top|&gt;Children's&lt;/a&gt;</v>
      </c>
      <c r="AB965" s="2" t="str">
        <f t="shared" si="3856"/>
        <v>&lt;/li&gt;&lt;li&gt;&lt;a href=|http://tsk.scripturetext.com/mark/8.htm| title=|Treasury of Scripture Knowledge| target=|_top|&gt;TSK&lt;/a&gt;</v>
      </c>
      <c r="AC965" t="str">
        <f>CONCATENATE("&lt;a href=|http://",AC1191,"/mark/8.htm","| ","title=|",AC1190,"| target=|_top|&gt;",AC1192,"&lt;/a&gt;")</f>
        <v>&lt;a href=|http://parallelbible.com/mark/8.htm| title=|Parallel Chapters| target=|_top|&gt;PAR&lt;/a&gt;</v>
      </c>
      <c r="AD965" s="2" t="str">
        <f t="shared" ref="AD965:AI965" si="3858">CONCATENATE("&lt;/li&gt;&lt;li&gt;&lt;a href=|http://",AD1191,"/mark/8.htm","| ","title=|",AD1190,"| target=|_top|&gt;",AD1192,"&lt;/a&gt;")</f>
        <v>&lt;/li&gt;&lt;li&gt;&lt;a href=|http://gsb.biblecommenter.com/mark/8.htm| title=|Geneva Study Bible| target=|_top|&gt;GSB&lt;/a&gt;</v>
      </c>
      <c r="AE965" s="2" t="str">
        <f t="shared" si="3858"/>
        <v>&lt;/li&gt;&lt;li&gt;&lt;a href=|http://jfb.biblecommenter.com/mark/8.htm| title=|Jamieson-Fausset-Brown Bible Commentary| target=|_top|&gt;JFB&lt;/a&gt;</v>
      </c>
      <c r="AF965" s="2" t="str">
        <f t="shared" si="3858"/>
        <v>&lt;/li&gt;&lt;li&gt;&lt;a href=|http://kjt.biblecommenter.com/mark/8.htm| title=|King James Translators' Notes| target=|_top|&gt;KJT&lt;/a&gt;</v>
      </c>
      <c r="AG965" s="2" t="str">
        <f t="shared" si="3858"/>
        <v>&lt;/li&gt;&lt;li&gt;&lt;a href=|http://mhc.biblecommenter.com/mark/8.htm| title=|Matthew Henry's Concise Commentary| target=|_top|&gt;MHC&lt;/a&gt;</v>
      </c>
      <c r="AH965" s="2" t="str">
        <f t="shared" si="3858"/>
        <v>&lt;/li&gt;&lt;li&gt;&lt;a href=|http://sco.biblecommenter.com/mark/8.htm| title=|Scofield Reference Notes| target=|_top|&gt;SCO&lt;/a&gt;</v>
      </c>
      <c r="AI965" s="2" t="str">
        <f t="shared" si="3858"/>
        <v>&lt;/li&gt;&lt;li&gt;&lt;a href=|http://wes.biblecommenter.com/mark/8.htm| title=|Wesley's Notes on the Bible| target=|_top|&gt;WES&lt;/a&gt;</v>
      </c>
      <c r="AJ965" t="str">
        <f>CONCATENATE("&lt;/li&gt;&lt;li&gt;&lt;a href=|http://",AJ1191,"/mark/8.htm","| ","title=|",AJ1190,"| target=|_top|&gt;",AJ1192,"&lt;/a&gt;")</f>
        <v>&lt;/li&gt;&lt;li&gt;&lt;a href=|http://worldebible.com/mark/8.htm| title=|World English Bible| target=|_top|&gt;WEB&lt;/a&gt;</v>
      </c>
      <c r="AK965" t="str">
        <f>CONCATENATE("&lt;/li&gt;&lt;li&gt;&lt;a href=|http://",AK1191,"/mark/8.htm","| ","title=|",AK1190,"| target=|_top|&gt;",AK1192,"&lt;/a&gt;")</f>
        <v>&lt;/li&gt;&lt;li&gt;&lt;a href=|http://yltbible.com/mark/8.htm| title=|Young's Literal Translation| target=|_top|&gt;YLT&lt;/a&gt;</v>
      </c>
      <c r="AL965" t="str">
        <f>CONCATENATE("&lt;a href=|http://",AL1191,"/mark/8.htm","| ","title=|",AL1190,"| target=|_top|&gt;",AL1192,"&lt;/a&gt;")</f>
        <v>&lt;a href=|http://kjv.us/mark/8.htm| title=|American King James Version| target=|_top|&gt;AKJ&lt;/a&gt;</v>
      </c>
      <c r="AM965" t="str">
        <f t="shared" ref="AM965:AS965" si="3859">CONCATENATE("&lt;/li&gt;&lt;li&gt;&lt;a href=|http://",AM1191,"/mark/8.htm","| ","title=|",AM1190,"| target=|_top|&gt;",AM1192,"&lt;/a&gt;")</f>
        <v>&lt;/li&gt;&lt;li&gt;&lt;a href=|http://basicenglishbible.com/mark/8.htm| title=|Bible in Basic English| target=|_top|&gt;BBE&lt;/a&gt;</v>
      </c>
      <c r="AN965" t="str">
        <f t="shared" si="3859"/>
        <v>&lt;/li&gt;&lt;li&gt;&lt;a href=|http://darbybible.com/mark/8.htm| title=|Darby Bible Translation| target=|_top|&gt;DBY&lt;/a&gt;</v>
      </c>
      <c r="AO965" t="str">
        <f t="shared" si="3859"/>
        <v>&lt;/li&gt;&lt;li&gt;&lt;a href=|http://isv.scripturetext.com/mark/8.htm| title=|International Standard Version| target=|_top|&gt;ISV&lt;/a&gt;</v>
      </c>
      <c r="AP965" t="str">
        <f t="shared" si="3859"/>
        <v>&lt;/li&gt;&lt;li&gt;&lt;a href=|http://tnt.scripturetext.com/mark/8.htm| title=|Tyndale New Testament| target=|_top|&gt;TNT&lt;/a&gt;</v>
      </c>
      <c r="AQ965" s="2" t="str">
        <f t="shared" si="3859"/>
        <v>&lt;/li&gt;&lt;li&gt;&lt;a href=|http://pnt.biblecommenter.com/mark/8.htm| title=|People's New Testament| target=|_top|&gt;PNT&lt;/a&gt;</v>
      </c>
      <c r="AR965" t="str">
        <f t="shared" si="3859"/>
        <v>&lt;/li&gt;&lt;li&gt;&lt;a href=|http://websterbible.com/mark/8.htm| title=|Webster's Bible Translation| target=|_top|&gt;WBS&lt;/a&gt;</v>
      </c>
      <c r="AS965" t="str">
        <f t="shared" si="3859"/>
        <v>&lt;/li&gt;&lt;li&gt;&lt;a href=|http://weymouthbible.com/mark/8.htm| title=|Weymouth New Testament| target=|_top|&gt;WEY&lt;/a&gt;</v>
      </c>
      <c r="AT965" t="str">
        <f>CONCATENATE("&lt;/li&gt;&lt;li&gt;&lt;a href=|http://",AT1191,"/mark/8-1.htm","| ","title=|",AT1190,"| target=|_top|&gt;",AT1192,"&lt;/a&gt;")</f>
        <v>&lt;/li&gt;&lt;li&gt;&lt;a href=|http://biblebrowser.com/mark/8-1.htm| title=|Split View| target=|_top|&gt;Split&lt;/a&gt;</v>
      </c>
      <c r="AU965" s="2" t="s">
        <v>1276</v>
      </c>
      <c r="AV965" t="s">
        <v>64</v>
      </c>
    </row>
    <row r="966" spans="1:48">
      <c r="A966" t="s">
        <v>622</v>
      </c>
      <c r="B966" t="s">
        <v>1007</v>
      </c>
      <c r="C966" t="s">
        <v>624</v>
      </c>
      <c r="D966" t="s">
        <v>1268</v>
      </c>
      <c r="E966" t="s">
        <v>1277</v>
      </c>
      <c r="F966" t="s">
        <v>1304</v>
      </c>
      <c r="G966" t="s">
        <v>1266</v>
      </c>
      <c r="H966" t="s">
        <v>1305</v>
      </c>
      <c r="I966" t="s">
        <v>1303</v>
      </c>
      <c r="J966" t="s">
        <v>1267</v>
      </c>
      <c r="K966" t="s">
        <v>1275</v>
      </c>
      <c r="L966" s="2" t="s">
        <v>1274</v>
      </c>
      <c r="M966" t="str">
        <f t="shared" ref="M966:AB966" si="3860">CONCATENATE("&lt;/li&gt;&lt;li&gt;&lt;a href=|http://",M1191,"/mark/9.htm","| ","title=|",M1190,"| target=|_top|&gt;",M1192,"&lt;/a&gt;")</f>
        <v>&lt;/li&gt;&lt;li&gt;&lt;a href=|http://niv.scripturetext.com/mark/9.htm| title=|New International Version| target=|_top|&gt;NIV&lt;/a&gt;</v>
      </c>
      <c r="N966" t="str">
        <f t="shared" si="3860"/>
        <v>&lt;/li&gt;&lt;li&gt;&lt;a href=|http://nlt.scripturetext.com/mark/9.htm| title=|New Living Translation| target=|_top|&gt;NLT&lt;/a&gt;</v>
      </c>
      <c r="O966" t="str">
        <f t="shared" si="3860"/>
        <v>&lt;/li&gt;&lt;li&gt;&lt;a href=|http://nasb.scripturetext.com/mark/9.htm| title=|New American Standard Bible| target=|_top|&gt;NAS&lt;/a&gt;</v>
      </c>
      <c r="P966" t="str">
        <f t="shared" si="3860"/>
        <v>&lt;/li&gt;&lt;li&gt;&lt;a href=|http://gwt.scripturetext.com/mark/9.htm| title=|God's Word Translation| target=|_top|&gt;GWT&lt;/a&gt;</v>
      </c>
      <c r="Q966" t="str">
        <f t="shared" si="3860"/>
        <v>&lt;/li&gt;&lt;li&gt;&lt;a href=|http://kingjbible.com/mark/9.htm| title=|King James Bible| target=|_top|&gt;KJV&lt;/a&gt;</v>
      </c>
      <c r="R966" t="str">
        <f t="shared" si="3860"/>
        <v>&lt;/li&gt;&lt;li&gt;&lt;a href=|http://asvbible.com/mark/9.htm| title=|American Standard Version| target=|_top|&gt;ASV&lt;/a&gt;</v>
      </c>
      <c r="S966" t="str">
        <f t="shared" si="3860"/>
        <v>&lt;/li&gt;&lt;li&gt;&lt;a href=|http://drb.scripturetext.com/mark/9.htm| title=|Douay-Rheims Bible| target=|_top|&gt;DRB&lt;/a&gt;</v>
      </c>
      <c r="T966" t="str">
        <f t="shared" si="3860"/>
        <v>&lt;/li&gt;&lt;li&gt;&lt;a href=|http://erv.scripturetext.com/mark/9.htm| title=|English Revised Version| target=|_top|&gt;ERV&lt;/a&gt;</v>
      </c>
      <c r="U966" t="str">
        <f>CONCATENATE("&lt;/li&gt;&lt;li&gt;&lt;a href=|http://",U1191,"/mark/9.htm","| ","title=|",U1190,"| target=|_top|&gt;",U1192,"&lt;/a&gt;")</f>
        <v>&lt;/li&gt;&lt;li&gt;&lt;a href=|http://study.interlinearbible.org/mark/9.htm| title=|Greek Study Bible| target=|_top|&gt;Grk Study&lt;/a&gt;</v>
      </c>
      <c r="W966" t="str">
        <f t="shared" si="3860"/>
        <v>&lt;/li&gt;&lt;li&gt;&lt;a href=|http://apostolic.interlinearbible.org/mark/9.htm| title=|Apostolic Bible Polyglot Interlinear| target=|_top|&gt;Polyglot&lt;/a&gt;</v>
      </c>
      <c r="X966" t="str">
        <f t="shared" si="3860"/>
        <v>&lt;/li&gt;&lt;li&gt;&lt;a href=|http://interlinearbible.org/mark/9.htm| title=|Interlinear Bible| target=|_top|&gt;Interlin&lt;/a&gt;</v>
      </c>
      <c r="Y966" t="str">
        <f t="shared" ref="Y966" si="3861">CONCATENATE("&lt;/li&gt;&lt;li&gt;&lt;a href=|http://",Y1191,"/mark/9.htm","| ","title=|",Y1190,"| target=|_top|&gt;",Y1192,"&lt;/a&gt;")</f>
        <v>&lt;/li&gt;&lt;li&gt;&lt;a href=|http://bibleoutline.org/mark/9.htm| title=|Outline with People and Places List| target=|_top|&gt;Outline&lt;/a&gt;</v>
      </c>
      <c r="Z966" t="str">
        <f t="shared" si="3860"/>
        <v>&lt;/li&gt;&lt;li&gt;&lt;a href=|http://kjvs.scripturetext.com/mark/9.htm| title=|King James Bible with Strong's Numbers| target=|_top|&gt;Strong's&lt;/a&gt;</v>
      </c>
      <c r="AA966" t="str">
        <f t="shared" si="3860"/>
        <v>&lt;/li&gt;&lt;li&gt;&lt;a href=|http://childrensbibleonline.com/mark/9.htm| title=|The Children's Bible| target=|_top|&gt;Children's&lt;/a&gt;</v>
      </c>
      <c r="AB966" s="2" t="str">
        <f t="shared" si="3860"/>
        <v>&lt;/li&gt;&lt;li&gt;&lt;a href=|http://tsk.scripturetext.com/mark/9.htm| title=|Treasury of Scripture Knowledge| target=|_top|&gt;TSK&lt;/a&gt;</v>
      </c>
      <c r="AC966" t="str">
        <f>CONCATENATE("&lt;a href=|http://",AC1191,"/mark/9.htm","| ","title=|",AC1190,"| target=|_top|&gt;",AC1192,"&lt;/a&gt;")</f>
        <v>&lt;a href=|http://parallelbible.com/mark/9.htm| title=|Parallel Chapters| target=|_top|&gt;PAR&lt;/a&gt;</v>
      </c>
      <c r="AD966" s="2" t="str">
        <f t="shared" ref="AD966:AI966" si="3862">CONCATENATE("&lt;/li&gt;&lt;li&gt;&lt;a href=|http://",AD1191,"/mark/9.htm","| ","title=|",AD1190,"| target=|_top|&gt;",AD1192,"&lt;/a&gt;")</f>
        <v>&lt;/li&gt;&lt;li&gt;&lt;a href=|http://gsb.biblecommenter.com/mark/9.htm| title=|Geneva Study Bible| target=|_top|&gt;GSB&lt;/a&gt;</v>
      </c>
      <c r="AE966" s="2" t="str">
        <f t="shared" si="3862"/>
        <v>&lt;/li&gt;&lt;li&gt;&lt;a href=|http://jfb.biblecommenter.com/mark/9.htm| title=|Jamieson-Fausset-Brown Bible Commentary| target=|_top|&gt;JFB&lt;/a&gt;</v>
      </c>
      <c r="AF966" s="2" t="str">
        <f t="shared" si="3862"/>
        <v>&lt;/li&gt;&lt;li&gt;&lt;a href=|http://kjt.biblecommenter.com/mark/9.htm| title=|King James Translators' Notes| target=|_top|&gt;KJT&lt;/a&gt;</v>
      </c>
      <c r="AG966" s="2" t="str">
        <f t="shared" si="3862"/>
        <v>&lt;/li&gt;&lt;li&gt;&lt;a href=|http://mhc.biblecommenter.com/mark/9.htm| title=|Matthew Henry's Concise Commentary| target=|_top|&gt;MHC&lt;/a&gt;</v>
      </c>
      <c r="AH966" s="2" t="str">
        <f t="shared" si="3862"/>
        <v>&lt;/li&gt;&lt;li&gt;&lt;a href=|http://sco.biblecommenter.com/mark/9.htm| title=|Scofield Reference Notes| target=|_top|&gt;SCO&lt;/a&gt;</v>
      </c>
      <c r="AI966" s="2" t="str">
        <f t="shared" si="3862"/>
        <v>&lt;/li&gt;&lt;li&gt;&lt;a href=|http://wes.biblecommenter.com/mark/9.htm| title=|Wesley's Notes on the Bible| target=|_top|&gt;WES&lt;/a&gt;</v>
      </c>
      <c r="AJ966" t="str">
        <f>CONCATENATE("&lt;/li&gt;&lt;li&gt;&lt;a href=|http://",AJ1191,"/mark/9.htm","| ","title=|",AJ1190,"| target=|_top|&gt;",AJ1192,"&lt;/a&gt;")</f>
        <v>&lt;/li&gt;&lt;li&gt;&lt;a href=|http://worldebible.com/mark/9.htm| title=|World English Bible| target=|_top|&gt;WEB&lt;/a&gt;</v>
      </c>
      <c r="AK966" t="str">
        <f>CONCATENATE("&lt;/li&gt;&lt;li&gt;&lt;a href=|http://",AK1191,"/mark/9.htm","| ","title=|",AK1190,"| target=|_top|&gt;",AK1192,"&lt;/a&gt;")</f>
        <v>&lt;/li&gt;&lt;li&gt;&lt;a href=|http://yltbible.com/mark/9.htm| title=|Young's Literal Translation| target=|_top|&gt;YLT&lt;/a&gt;</v>
      </c>
      <c r="AL966" t="str">
        <f>CONCATENATE("&lt;a href=|http://",AL1191,"/mark/9.htm","| ","title=|",AL1190,"| target=|_top|&gt;",AL1192,"&lt;/a&gt;")</f>
        <v>&lt;a href=|http://kjv.us/mark/9.htm| title=|American King James Version| target=|_top|&gt;AKJ&lt;/a&gt;</v>
      </c>
      <c r="AM966" t="str">
        <f t="shared" ref="AM966:AS966" si="3863">CONCATENATE("&lt;/li&gt;&lt;li&gt;&lt;a href=|http://",AM1191,"/mark/9.htm","| ","title=|",AM1190,"| target=|_top|&gt;",AM1192,"&lt;/a&gt;")</f>
        <v>&lt;/li&gt;&lt;li&gt;&lt;a href=|http://basicenglishbible.com/mark/9.htm| title=|Bible in Basic English| target=|_top|&gt;BBE&lt;/a&gt;</v>
      </c>
      <c r="AN966" t="str">
        <f t="shared" si="3863"/>
        <v>&lt;/li&gt;&lt;li&gt;&lt;a href=|http://darbybible.com/mark/9.htm| title=|Darby Bible Translation| target=|_top|&gt;DBY&lt;/a&gt;</v>
      </c>
      <c r="AO966" t="str">
        <f t="shared" si="3863"/>
        <v>&lt;/li&gt;&lt;li&gt;&lt;a href=|http://isv.scripturetext.com/mark/9.htm| title=|International Standard Version| target=|_top|&gt;ISV&lt;/a&gt;</v>
      </c>
      <c r="AP966" t="str">
        <f t="shared" si="3863"/>
        <v>&lt;/li&gt;&lt;li&gt;&lt;a href=|http://tnt.scripturetext.com/mark/9.htm| title=|Tyndale New Testament| target=|_top|&gt;TNT&lt;/a&gt;</v>
      </c>
      <c r="AQ966" s="2" t="str">
        <f t="shared" si="3863"/>
        <v>&lt;/li&gt;&lt;li&gt;&lt;a href=|http://pnt.biblecommenter.com/mark/9.htm| title=|People's New Testament| target=|_top|&gt;PNT&lt;/a&gt;</v>
      </c>
      <c r="AR966" t="str">
        <f t="shared" si="3863"/>
        <v>&lt;/li&gt;&lt;li&gt;&lt;a href=|http://websterbible.com/mark/9.htm| title=|Webster's Bible Translation| target=|_top|&gt;WBS&lt;/a&gt;</v>
      </c>
      <c r="AS966" t="str">
        <f t="shared" si="3863"/>
        <v>&lt;/li&gt;&lt;li&gt;&lt;a href=|http://weymouthbible.com/mark/9.htm| title=|Weymouth New Testament| target=|_top|&gt;WEY&lt;/a&gt;</v>
      </c>
      <c r="AT966" t="str">
        <f>CONCATENATE("&lt;/li&gt;&lt;li&gt;&lt;a href=|http://",AT1191,"/mark/9-1.htm","| ","title=|",AT1190,"| target=|_top|&gt;",AT1192,"&lt;/a&gt;")</f>
        <v>&lt;/li&gt;&lt;li&gt;&lt;a href=|http://biblebrowser.com/mark/9-1.htm| title=|Split View| target=|_top|&gt;Split&lt;/a&gt;</v>
      </c>
      <c r="AU966" s="2" t="s">
        <v>1276</v>
      </c>
      <c r="AV966" t="s">
        <v>64</v>
      </c>
    </row>
    <row r="967" spans="1:48">
      <c r="A967" t="s">
        <v>622</v>
      </c>
      <c r="B967" t="s">
        <v>1008</v>
      </c>
      <c r="C967" t="s">
        <v>624</v>
      </c>
      <c r="D967" t="s">
        <v>1268</v>
      </c>
      <c r="E967" t="s">
        <v>1277</v>
      </c>
      <c r="F967" t="s">
        <v>1304</v>
      </c>
      <c r="G967" t="s">
        <v>1266</v>
      </c>
      <c r="H967" t="s">
        <v>1305</v>
      </c>
      <c r="I967" t="s">
        <v>1303</v>
      </c>
      <c r="J967" t="s">
        <v>1267</v>
      </c>
      <c r="K967" t="s">
        <v>1275</v>
      </c>
      <c r="L967" s="2" t="s">
        <v>1274</v>
      </c>
      <c r="M967" t="str">
        <f t="shared" ref="M967:AB967" si="3864">CONCATENATE("&lt;/li&gt;&lt;li&gt;&lt;a href=|http://",M1191,"/mark/10.htm","| ","title=|",M1190,"| target=|_top|&gt;",M1192,"&lt;/a&gt;")</f>
        <v>&lt;/li&gt;&lt;li&gt;&lt;a href=|http://niv.scripturetext.com/mark/10.htm| title=|New International Version| target=|_top|&gt;NIV&lt;/a&gt;</v>
      </c>
      <c r="N967" t="str">
        <f t="shared" si="3864"/>
        <v>&lt;/li&gt;&lt;li&gt;&lt;a href=|http://nlt.scripturetext.com/mark/10.htm| title=|New Living Translation| target=|_top|&gt;NLT&lt;/a&gt;</v>
      </c>
      <c r="O967" t="str">
        <f t="shared" si="3864"/>
        <v>&lt;/li&gt;&lt;li&gt;&lt;a href=|http://nasb.scripturetext.com/mark/10.htm| title=|New American Standard Bible| target=|_top|&gt;NAS&lt;/a&gt;</v>
      </c>
      <c r="P967" t="str">
        <f t="shared" si="3864"/>
        <v>&lt;/li&gt;&lt;li&gt;&lt;a href=|http://gwt.scripturetext.com/mark/10.htm| title=|God's Word Translation| target=|_top|&gt;GWT&lt;/a&gt;</v>
      </c>
      <c r="Q967" t="str">
        <f t="shared" si="3864"/>
        <v>&lt;/li&gt;&lt;li&gt;&lt;a href=|http://kingjbible.com/mark/10.htm| title=|King James Bible| target=|_top|&gt;KJV&lt;/a&gt;</v>
      </c>
      <c r="R967" t="str">
        <f t="shared" si="3864"/>
        <v>&lt;/li&gt;&lt;li&gt;&lt;a href=|http://asvbible.com/mark/10.htm| title=|American Standard Version| target=|_top|&gt;ASV&lt;/a&gt;</v>
      </c>
      <c r="S967" t="str">
        <f t="shared" si="3864"/>
        <v>&lt;/li&gt;&lt;li&gt;&lt;a href=|http://drb.scripturetext.com/mark/10.htm| title=|Douay-Rheims Bible| target=|_top|&gt;DRB&lt;/a&gt;</v>
      </c>
      <c r="T967" t="str">
        <f t="shared" si="3864"/>
        <v>&lt;/li&gt;&lt;li&gt;&lt;a href=|http://erv.scripturetext.com/mark/10.htm| title=|English Revised Version| target=|_top|&gt;ERV&lt;/a&gt;</v>
      </c>
      <c r="U967" t="str">
        <f>CONCATENATE("&lt;/li&gt;&lt;li&gt;&lt;a href=|http://",U1191,"/mark/10.htm","| ","title=|",U1190,"| target=|_top|&gt;",U1192,"&lt;/a&gt;")</f>
        <v>&lt;/li&gt;&lt;li&gt;&lt;a href=|http://study.interlinearbible.org/mark/10.htm| title=|Greek Study Bible| target=|_top|&gt;Grk Study&lt;/a&gt;</v>
      </c>
      <c r="W967" t="str">
        <f t="shared" si="3864"/>
        <v>&lt;/li&gt;&lt;li&gt;&lt;a href=|http://apostolic.interlinearbible.org/mark/10.htm| title=|Apostolic Bible Polyglot Interlinear| target=|_top|&gt;Polyglot&lt;/a&gt;</v>
      </c>
      <c r="X967" t="str">
        <f t="shared" si="3864"/>
        <v>&lt;/li&gt;&lt;li&gt;&lt;a href=|http://interlinearbible.org/mark/10.htm| title=|Interlinear Bible| target=|_top|&gt;Interlin&lt;/a&gt;</v>
      </c>
      <c r="Y967" t="str">
        <f t="shared" ref="Y967" si="3865">CONCATENATE("&lt;/li&gt;&lt;li&gt;&lt;a href=|http://",Y1191,"/mark/10.htm","| ","title=|",Y1190,"| target=|_top|&gt;",Y1192,"&lt;/a&gt;")</f>
        <v>&lt;/li&gt;&lt;li&gt;&lt;a href=|http://bibleoutline.org/mark/10.htm| title=|Outline with People and Places List| target=|_top|&gt;Outline&lt;/a&gt;</v>
      </c>
      <c r="Z967" t="str">
        <f t="shared" si="3864"/>
        <v>&lt;/li&gt;&lt;li&gt;&lt;a href=|http://kjvs.scripturetext.com/mark/10.htm| title=|King James Bible with Strong's Numbers| target=|_top|&gt;Strong's&lt;/a&gt;</v>
      </c>
      <c r="AA967" t="str">
        <f t="shared" si="3864"/>
        <v>&lt;/li&gt;&lt;li&gt;&lt;a href=|http://childrensbibleonline.com/mark/10.htm| title=|The Children's Bible| target=|_top|&gt;Children's&lt;/a&gt;</v>
      </c>
      <c r="AB967" s="2" t="str">
        <f t="shared" si="3864"/>
        <v>&lt;/li&gt;&lt;li&gt;&lt;a href=|http://tsk.scripturetext.com/mark/10.htm| title=|Treasury of Scripture Knowledge| target=|_top|&gt;TSK&lt;/a&gt;</v>
      </c>
      <c r="AC967" t="str">
        <f>CONCATENATE("&lt;a href=|http://",AC1191,"/mark/10.htm","| ","title=|",AC1190,"| target=|_top|&gt;",AC1192,"&lt;/a&gt;")</f>
        <v>&lt;a href=|http://parallelbible.com/mark/10.htm| title=|Parallel Chapters| target=|_top|&gt;PAR&lt;/a&gt;</v>
      </c>
      <c r="AD967" s="2" t="str">
        <f t="shared" ref="AD967:AI967" si="3866">CONCATENATE("&lt;/li&gt;&lt;li&gt;&lt;a href=|http://",AD1191,"/mark/10.htm","| ","title=|",AD1190,"| target=|_top|&gt;",AD1192,"&lt;/a&gt;")</f>
        <v>&lt;/li&gt;&lt;li&gt;&lt;a href=|http://gsb.biblecommenter.com/mark/10.htm| title=|Geneva Study Bible| target=|_top|&gt;GSB&lt;/a&gt;</v>
      </c>
      <c r="AE967" s="2" t="str">
        <f t="shared" si="3866"/>
        <v>&lt;/li&gt;&lt;li&gt;&lt;a href=|http://jfb.biblecommenter.com/mark/10.htm| title=|Jamieson-Fausset-Brown Bible Commentary| target=|_top|&gt;JFB&lt;/a&gt;</v>
      </c>
      <c r="AF967" s="2" t="str">
        <f t="shared" si="3866"/>
        <v>&lt;/li&gt;&lt;li&gt;&lt;a href=|http://kjt.biblecommenter.com/mark/10.htm| title=|King James Translators' Notes| target=|_top|&gt;KJT&lt;/a&gt;</v>
      </c>
      <c r="AG967" s="2" t="str">
        <f t="shared" si="3866"/>
        <v>&lt;/li&gt;&lt;li&gt;&lt;a href=|http://mhc.biblecommenter.com/mark/10.htm| title=|Matthew Henry's Concise Commentary| target=|_top|&gt;MHC&lt;/a&gt;</v>
      </c>
      <c r="AH967" s="2" t="str">
        <f t="shared" si="3866"/>
        <v>&lt;/li&gt;&lt;li&gt;&lt;a href=|http://sco.biblecommenter.com/mark/10.htm| title=|Scofield Reference Notes| target=|_top|&gt;SCO&lt;/a&gt;</v>
      </c>
      <c r="AI967" s="2" t="str">
        <f t="shared" si="3866"/>
        <v>&lt;/li&gt;&lt;li&gt;&lt;a href=|http://wes.biblecommenter.com/mark/10.htm| title=|Wesley's Notes on the Bible| target=|_top|&gt;WES&lt;/a&gt;</v>
      </c>
      <c r="AJ967" t="str">
        <f>CONCATENATE("&lt;/li&gt;&lt;li&gt;&lt;a href=|http://",AJ1191,"/mark/10.htm","| ","title=|",AJ1190,"| target=|_top|&gt;",AJ1192,"&lt;/a&gt;")</f>
        <v>&lt;/li&gt;&lt;li&gt;&lt;a href=|http://worldebible.com/mark/10.htm| title=|World English Bible| target=|_top|&gt;WEB&lt;/a&gt;</v>
      </c>
      <c r="AK967" t="str">
        <f>CONCATENATE("&lt;/li&gt;&lt;li&gt;&lt;a href=|http://",AK1191,"/mark/10.htm","| ","title=|",AK1190,"| target=|_top|&gt;",AK1192,"&lt;/a&gt;")</f>
        <v>&lt;/li&gt;&lt;li&gt;&lt;a href=|http://yltbible.com/mark/10.htm| title=|Young's Literal Translation| target=|_top|&gt;YLT&lt;/a&gt;</v>
      </c>
      <c r="AL967" t="str">
        <f>CONCATENATE("&lt;a href=|http://",AL1191,"/mark/10.htm","| ","title=|",AL1190,"| target=|_top|&gt;",AL1192,"&lt;/a&gt;")</f>
        <v>&lt;a href=|http://kjv.us/mark/10.htm| title=|American King James Version| target=|_top|&gt;AKJ&lt;/a&gt;</v>
      </c>
      <c r="AM967" t="str">
        <f t="shared" ref="AM967:AS967" si="3867">CONCATENATE("&lt;/li&gt;&lt;li&gt;&lt;a href=|http://",AM1191,"/mark/10.htm","| ","title=|",AM1190,"| target=|_top|&gt;",AM1192,"&lt;/a&gt;")</f>
        <v>&lt;/li&gt;&lt;li&gt;&lt;a href=|http://basicenglishbible.com/mark/10.htm| title=|Bible in Basic English| target=|_top|&gt;BBE&lt;/a&gt;</v>
      </c>
      <c r="AN967" t="str">
        <f t="shared" si="3867"/>
        <v>&lt;/li&gt;&lt;li&gt;&lt;a href=|http://darbybible.com/mark/10.htm| title=|Darby Bible Translation| target=|_top|&gt;DBY&lt;/a&gt;</v>
      </c>
      <c r="AO967" t="str">
        <f t="shared" si="3867"/>
        <v>&lt;/li&gt;&lt;li&gt;&lt;a href=|http://isv.scripturetext.com/mark/10.htm| title=|International Standard Version| target=|_top|&gt;ISV&lt;/a&gt;</v>
      </c>
      <c r="AP967" t="str">
        <f t="shared" si="3867"/>
        <v>&lt;/li&gt;&lt;li&gt;&lt;a href=|http://tnt.scripturetext.com/mark/10.htm| title=|Tyndale New Testament| target=|_top|&gt;TNT&lt;/a&gt;</v>
      </c>
      <c r="AQ967" s="2" t="str">
        <f t="shared" si="3867"/>
        <v>&lt;/li&gt;&lt;li&gt;&lt;a href=|http://pnt.biblecommenter.com/mark/10.htm| title=|People's New Testament| target=|_top|&gt;PNT&lt;/a&gt;</v>
      </c>
      <c r="AR967" t="str">
        <f t="shared" si="3867"/>
        <v>&lt;/li&gt;&lt;li&gt;&lt;a href=|http://websterbible.com/mark/10.htm| title=|Webster's Bible Translation| target=|_top|&gt;WBS&lt;/a&gt;</v>
      </c>
      <c r="AS967" t="str">
        <f t="shared" si="3867"/>
        <v>&lt;/li&gt;&lt;li&gt;&lt;a href=|http://weymouthbible.com/mark/10.htm| title=|Weymouth New Testament| target=|_top|&gt;WEY&lt;/a&gt;</v>
      </c>
      <c r="AT967" t="str">
        <f>CONCATENATE("&lt;/li&gt;&lt;li&gt;&lt;a href=|http://",AT1191,"/mark/10-1.htm","| ","title=|",AT1190,"| target=|_top|&gt;",AT1192,"&lt;/a&gt;")</f>
        <v>&lt;/li&gt;&lt;li&gt;&lt;a href=|http://biblebrowser.com/mark/10-1.htm| title=|Split View| target=|_top|&gt;Split&lt;/a&gt;</v>
      </c>
      <c r="AU967" s="2" t="s">
        <v>1276</v>
      </c>
      <c r="AV967" t="s">
        <v>64</v>
      </c>
    </row>
    <row r="968" spans="1:48">
      <c r="A968" t="s">
        <v>622</v>
      </c>
      <c r="B968" t="s">
        <v>1009</v>
      </c>
      <c r="C968" t="s">
        <v>624</v>
      </c>
      <c r="D968" t="s">
        <v>1268</v>
      </c>
      <c r="E968" t="s">
        <v>1277</v>
      </c>
      <c r="F968" t="s">
        <v>1304</v>
      </c>
      <c r="G968" t="s">
        <v>1266</v>
      </c>
      <c r="H968" t="s">
        <v>1305</v>
      </c>
      <c r="I968" t="s">
        <v>1303</v>
      </c>
      <c r="J968" t="s">
        <v>1267</v>
      </c>
      <c r="K968" t="s">
        <v>1275</v>
      </c>
      <c r="L968" s="2" t="s">
        <v>1274</v>
      </c>
      <c r="M968" t="str">
        <f t="shared" ref="M968:AB968" si="3868">CONCATENATE("&lt;/li&gt;&lt;li&gt;&lt;a href=|http://",M1191,"/mark/11.htm","| ","title=|",M1190,"| target=|_top|&gt;",M1192,"&lt;/a&gt;")</f>
        <v>&lt;/li&gt;&lt;li&gt;&lt;a href=|http://niv.scripturetext.com/mark/11.htm| title=|New International Version| target=|_top|&gt;NIV&lt;/a&gt;</v>
      </c>
      <c r="N968" t="str">
        <f t="shared" si="3868"/>
        <v>&lt;/li&gt;&lt;li&gt;&lt;a href=|http://nlt.scripturetext.com/mark/11.htm| title=|New Living Translation| target=|_top|&gt;NLT&lt;/a&gt;</v>
      </c>
      <c r="O968" t="str">
        <f t="shared" si="3868"/>
        <v>&lt;/li&gt;&lt;li&gt;&lt;a href=|http://nasb.scripturetext.com/mark/11.htm| title=|New American Standard Bible| target=|_top|&gt;NAS&lt;/a&gt;</v>
      </c>
      <c r="P968" t="str">
        <f t="shared" si="3868"/>
        <v>&lt;/li&gt;&lt;li&gt;&lt;a href=|http://gwt.scripturetext.com/mark/11.htm| title=|God's Word Translation| target=|_top|&gt;GWT&lt;/a&gt;</v>
      </c>
      <c r="Q968" t="str">
        <f t="shared" si="3868"/>
        <v>&lt;/li&gt;&lt;li&gt;&lt;a href=|http://kingjbible.com/mark/11.htm| title=|King James Bible| target=|_top|&gt;KJV&lt;/a&gt;</v>
      </c>
      <c r="R968" t="str">
        <f t="shared" si="3868"/>
        <v>&lt;/li&gt;&lt;li&gt;&lt;a href=|http://asvbible.com/mark/11.htm| title=|American Standard Version| target=|_top|&gt;ASV&lt;/a&gt;</v>
      </c>
      <c r="S968" t="str">
        <f t="shared" si="3868"/>
        <v>&lt;/li&gt;&lt;li&gt;&lt;a href=|http://drb.scripturetext.com/mark/11.htm| title=|Douay-Rheims Bible| target=|_top|&gt;DRB&lt;/a&gt;</v>
      </c>
      <c r="T968" t="str">
        <f t="shared" si="3868"/>
        <v>&lt;/li&gt;&lt;li&gt;&lt;a href=|http://erv.scripturetext.com/mark/11.htm| title=|English Revised Version| target=|_top|&gt;ERV&lt;/a&gt;</v>
      </c>
      <c r="U968" t="str">
        <f>CONCATENATE("&lt;/li&gt;&lt;li&gt;&lt;a href=|http://",U1191,"/mark/11.htm","| ","title=|",U1190,"| target=|_top|&gt;",U1192,"&lt;/a&gt;")</f>
        <v>&lt;/li&gt;&lt;li&gt;&lt;a href=|http://study.interlinearbible.org/mark/11.htm| title=|Greek Study Bible| target=|_top|&gt;Grk Study&lt;/a&gt;</v>
      </c>
      <c r="W968" t="str">
        <f t="shared" si="3868"/>
        <v>&lt;/li&gt;&lt;li&gt;&lt;a href=|http://apostolic.interlinearbible.org/mark/11.htm| title=|Apostolic Bible Polyglot Interlinear| target=|_top|&gt;Polyglot&lt;/a&gt;</v>
      </c>
      <c r="X968" t="str">
        <f t="shared" si="3868"/>
        <v>&lt;/li&gt;&lt;li&gt;&lt;a href=|http://interlinearbible.org/mark/11.htm| title=|Interlinear Bible| target=|_top|&gt;Interlin&lt;/a&gt;</v>
      </c>
      <c r="Y968" t="str">
        <f t="shared" ref="Y968" si="3869">CONCATENATE("&lt;/li&gt;&lt;li&gt;&lt;a href=|http://",Y1191,"/mark/11.htm","| ","title=|",Y1190,"| target=|_top|&gt;",Y1192,"&lt;/a&gt;")</f>
        <v>&lt;/li&gt;&lt;li&gt;&lt;a href=|http://bibleoutline.org/mark/11.htm| title=|Outline with People and Places List| target=|_top|&gt;Outline&lt;/a&gt;</v>
      </c>
      <c r="Z968" t="str">
        <f t="shared" si="3868"/>
        <v>&lt;/li&gt;&lt;li&gt;&lt;a href=|http://kjvs.scripturetext.com/mark/11.htm| title=|King James Bible with Strong's Numbers| target=|_top|&gt;Strong's&lt;/a&gt;</v>
      </c>
      <c r="AA968" t="str">
        <f t="shared" si="3868"/>
        <v>&lt;/li&gt;&lt;li&gt;&lt;a href=|http://childrensbibleonline.com/mark/11.htm| title=|The Children's Bible| target=|_top|&gt;Children's&lt;/a&gt;</v>
      </c>
      <c r="AB968" s="2" t="str">
        <f t="shared" si="3868"/>
        <v>&lt;/li&gt;&lt;li&gt;&lt;a href=|http://tsk.scripturetext.com/mark/11.htm| title=|Treasury of Scripture Knowledge| target=|_top|&gt;TSK&lt;/a&gt;</v>
      </c>
      <c r="AC968" t="str">
        <f>CONCATENATE("&lt;a href=|http://",AC1191,"/mark/11.htm","| ","title=|",AC1190,"| target=|_top|&gt;",AC1192,"&lt;/a&gt;")</f>
        <v>&lt;a href=|http://parallelbible.com/mark/11.htm| title=|Parallel Chapters| target=|_top|&gt;PAR&lt;/a&gt;</v>
      </c>
      <c r="AD968" s="2" t="str">
        <f t="shared" ref="AD968:AI968" si="3870">CONCATENATE("&lt;/li&gt;&lt;li&gt;&lt;a href=|http://",AD1191,"/mark/11.htm","| ","title=|",AD1190,"| target=|_top|&gt;",AD1192,"&lt;/a&gt;")</f>
        <v>&lt;/li&gt;&lt;li&gt;&lt;a href=|http://gsb.biblecommenter.com/mark/11.htm| title=|Geneva Study Bible| target=|_top|&gt;GSB&lt;/a&gt;</v>
      </c>
      <c r="AE968" s="2" t="str">
        <f t="shared" si="3870"/>
        <v>&lt;/li&gt;&lt;li&gt;&lt;a href=|http://jfb.biblecommenter.com/mark/11.htm| title=|Jamieson-Fausset-Brown Bible Commentary| target=|_top|&gt;JFB&lt;/a&gt;</v>
      </c>
      <c r="AF968" s="2" t="str">
        <f t="shared" si="3870"/>
        <v>&lt;/li&gt;&lt;li&gt;&lt;a href=|http://kjt.biblecommenter.com/mark/11.htm| title=|King James Translators' Notes| target=|_top|&gt;KJT&lt;/a&gt;</v>
      </c>
      <c r="AG968" s="2" t="str">
        <f t="shared" si="3870"/>
        <v>&lt;/li&gt;&lt;li&gt;&lt;a href=|http://mhc.biblecommenter.com/mark/11.htm| title=|Matthew Henry's Concise Commentary| target=|_top|&gt;MHC&lt;/a&gt;</v>
      </c>
      <c r="AH968" s="2" t="str">
        <f t="shared" si="3870"/>
        <v>&lt;/li&gt;&lt;li&gt;&lt;a href=|http://sco.biblecommenter.com/mark/11.htm| title=|Scofield Reference Notes| target=|_top|&gt;SCO&lt;/a&gt;</v>
      </c>
      <c r="AI968" s="2" t="str">
        <f t="shared" si="3870"/>
        <v>&lt;/li&gt;&lt;li&gt;&lt;a href=|http://wes.biblecommenter.com/mark/11.htm| title=|Wesley's Notes on the Bible| target=|_top|&gt;WES&lt;/a&gt;</v>
      </c>
      <c r="AJ968" t="str">
        <f>CONCATENATE("&lt;/li&gt;&lt;li&gt;&lt;a href=|http://",AJ1191,"/mark/11.htm","| ","title=|",AJ1190,"| target=|_top|&gt;",AJ1192,"&lt;/a&gt;")</f>
        <v>&lt;/li&gt;&lt;li&gt;&lt;a href=|http://worldebible.com/mark/11.htm| title=|World English Bible| target=|_top|&gt;WEB&lt;/a&gt;</v>
      </c>
      <c r="AK968" t="str">
        <f>CONCATENATE("&lt;/li&gt;&lt;li&gt;&lt;a href=|http://",AK1191,"/mark/11.htm","| ","title=|",AK1190,"| target=|_top|&gt;",AK1192,"&lt;/a&gt;")</f>
        <v>&lt;/li&gt;&lt;li&gt;&lt;a href=|http://yltbible.com/mark/11.htm| title=|Young's Literal Translation| target=|_top|&gt;YLT&lt;/a&gt;</v>
      </c>
      <c r="AL968" t="str">
        <f>CONCATENATE("&lt;a href=|http://",AL1191,"/mark/11.htm","| ","title=|",AL1190,"| target=|_top|&gt;",AL1192,"&lt;/a&gt;")</f>
        <v>&lt;a href=|http://kjv.us/mark/11.htm| title=|American King James Version| target=|_top|&gt;AKJ&lt;/a&gt;</v>
      </c>
      <c r="AM968" t="str">
        <f t="shared" ref="AM968:AS968" si="3871">CONCATENATE("&lt;/li&gt;&lt;li&gt;&lt;a href=|http://",AM1191,"/mark/11.htm","| ","title=|",AM1190,"| target=|_top|&gt;",AM1192,"&lt;/a&gt;")</f>
        <v>&lt;/li&gt;&lt;li&gt;&lt;a href=|http://basicenglishbible.com/mark/11.htm| title=|Bible in Basic English| target=|_top|&gt;BBE&lt;/a&gt;</v>
      </c>
      <c r="AN968" t="str">
        <f t="shared" si="3871"/>
        <v>&lt;/li&gt;&lt;li&gt;&lt;a href=|http://darbybible.com/mark/11.htm| title=|Darby Bible Translation| target=|_top|&gt;DBY&lt;/a&gt;</v>
      </c>
      <c r="AO968" t="str">
        <f t="shared" si="3871"/>
        <v>&lt;/li&gt;&lt;li&gt;&lt;a href=|http://isv.scripturetext.com/mark/11.htm| title=|International Standard Version| target=|_top|&gt;ISV&lt;/a&gt;</v>
      </c>
      <c r="AP968" t="str">
        <f t="shared" si="3871"/>
        <v>&lt;/li&gt;&lt;li&gt;&lt;a href=|http://tnt.scripturetext.com/mark/11.htm| title=|Tyndale New Testament| target=|_top|&gt;TNT&lt;/a&gt;</v>
      </c>
      <c r="AQ968" s="2" t="str">
        <f t="shared" si="3871"/>
        <v>&lt;/li&gt;&lt;li&gt;&lt;a href=|http://pnt.biblecommenter.com/mark/11.htm| title=|People's New Testament| target=|_top|&gt;PNT&lt;/a&gt;</v>
      </c>
      <c r="AR968" t="str">
        <f t="shared" si="3871"/>
        <v>&lt;/li&gt;&lt;li&gt;&lt;a href=|http://websterbible.com/mark/11.htm| title=|Webster's Bible Translation| target=|_top|&gt;WBS&lt;/a&gt;</v>
      </c>
      <c r="AS968" t="str">
        <f t="shared" si="3871"/>
        <v>&lt;/li&gt;&lt;li&gt;&lt;a href=|http://weymouthbible.com/mark/11.htm| title=|Weymouth New Testament| target=|_top|&gt;WEY&lt;/a&gt;</v>
      </c>
      <c r="AT968" t="str">
        <f>CONCATENATE("&lt;/li&gt;&lt;li&gt;&lt;a href=|http://",AT1191,"/mark/11-1.htm","| ","title=|",AT1190,"| target=|_top|&gt;",AT1192,"&lt;/a&gt;")</f>
        <v>&lt;/li&gt;&lt;li&gt;&lt;a href=|http://biblebrowser.com/mark/11-1.htm| title=|Split View| target=|_top|&gt;Split&lt;/a&gt;</v>
      </c>
      <c r="AU968" s="2" t="s">
        <v>1276</v>
      </c>
      <c r="AV968" t="s">
        <v>64</v>
      </c>
    </row>
    <row r="969" spans="1:48">
      <c r="A969" t="s">
        <v>622</v>
      </c>
      <c r="B969" t="s">
        <v>1010</v>
      </c>
      <c r="C969" t="s">
        <v>624</v>
      </c>
      <c r="D969" t="s">
        <v>1268</v>
      </c>
      <c r="E969" t="s">
        <v>1277</v>
      </c>
      <c r="F969" t="s">
        <v>1304</v>
      </c>
      <c r="G969" t="s">
        <v>1266</v>
      </c>
      <c r="H969" t="s">
        <v>1305</v>
      </c>
      <c r="I969" t="s">
        <v>1303</v>
      </c>
      <c r="J969" t="s">
        <v>1267</v>
      </c>
      <c r="K969" t="s">
        <v>1275</v>
      </c>
      <c r="L969" s="2" t="s">
        <v>1274</v>
      </c>
      <c r="M969" t="str">
        <f t="shared" ref="M969:AB969" si="3872">CONCATENATE("&lt;/li&gt;&lt;li&gt;&lt;a href=|http://",M1191,"/mark/12.htm","| ","title=|",M1190,"| target=|_top|&gt;",M1192,"&lt;/a&gt;")</f>
        <v>&lt;/li&gt;&lt;li&gt;&lt;a href=|http://niv.scripturetext.com/mark/12.htm| title=|New International Version| target=|_top|&gt;NIV&lt;/a&gt;</v>
      </c>
      <c r="N969" t="str">
        <f t="shared" si="3872"/>
        <v>&lt;/li&gt;&lt;li&gt;&lt;a href=|http://nlt.scripturetext.com/mark/12.htm| title=|New Living Translation| target=|_top|&gt;NLT&lt;/a&gt;</v>
      </c>
      <c r="O969" t="str">
        <f t="shared" si="3872"/>
        <v>&lt;/li&gt;&lt;li&gt;&lt;a href=|http://nasb.scripturetext.com/mark/12.htm| title=|New American Standard Bible| target=|_top|&gt;NAS&lt;/a&gt;</v>
      </c>
      <c r="P969" t="str">
        <f t="shared" si="3872"/>
        <v>&lt;/li&gt;&lt;li&gt;&lt;a href=|http://gwt.scripturetext.com/mark/12.htm| title=|God's Word Translation| target=|_top|&gt;GWT&lt;/a&gt;</v>
      </c>
      <c r="Q969" t="str">
        <f t="shared" si="3872"/>
        <v>&lt;/li&gt;&lt;li&gt;&lt;a href=|http://kingjbible.com/mark/12.htm| title=|King James Bible| target=|_top|&gt;KJV&lt;/a&gt;</v>
      </c>
      <c r="R969" t="str">
        <f t="shared" si="3872"/>
        <v>&lt;/li&gt;&lt;li&gt;&lt;a href=|http://asvbible.com/mark/12.htm| title=|American Standard Version| target=|_top|&gt;ASV&lt;/a&gt;</v>
      </c>
      <c r="S969" t="str">
        <f t="shared" si="3872"/>
        <v>&lt;/li&gt;&lt;li&gt;&lt;a href=|http://drb.scripturetext.com/mark/12.htm| title=|Douay-Rheims Bible| target=|_top|&gt;DRB&lt;/a&gt;</v>
      </c>
      <c r="T969" t="str">
        <f t="shared" si="3872"/>
        <v>&lt;/li&gt;&lt;li&gt;&lt;a href=|http://erv.scripturetext.com/mark/12.htm| title=|English Revised Version| target=|_top|&gt;ERV&lt;/a&gt;</v>
      </c>
      <c r="U969" t="str">
        <f>CONCATENATE("&lt;/li&gt;&lt;li&gt;&lt;a href=|http://",U1191,"/mark/12.htm","| ","title=|",U1190,"| target=|_top|&gt;",U1192,"&lt;/a&gt;")</f>
        <v>&lt;/li&gt;&lt;li&gt;&lt;a href=|http://study.interlinearbible.org/mark/12.htm| title=|Greek Study Bible| target=|_top|&gt;Grk Study&lt;/a&gt;</v>
      </c>
      <c r="W969" t="str">
        <f t="shared" si="3872"/>
        <v>&lt;/li&gt;&lt;li&gt;&lt;a href=|http://apostolic.interlinearbible.org/mark/12.htm| title=|Apostolic Bible Polyglot Interlinear| target=|_top|&gt;Polyglot&lt;/a&gt;</v>
      </c>
      <c r="X969" t="str">
        <f t="shared" si="3872"/>
        <v>&lt;/li&gt;&lt;li&gt;&lt;a href=|http://interlinearbible.org/mark/12.htm| title=|Interlinear Bible| target=|_top|&gt;Interlin&lt;/a&gt;</v>
      </c>
      <c r="Y969" t="str">
        <f t="shared" ref="Y969" si="3873">CONCATENATE("&lt;/li&gt;&lt;li&gt;&lt;a href=|http://",Y1191,"/mark/12.htm","| ","title=|",Y1190,"| target=|_top|&gt;",Y1192,"&lt;/a&gt;")</f>
        <v>&lt;/li&gt;&lt;li&gt;&lt;a href=|http://bibleoutline.org/mark/12.htm| title=|Outline with People and Places List| target=|_top|&gt;Outline&lt;/a&gt;</v>
      </c>
      <c r="Z969" t="str">
        <f t="shared" si="3872"/>
        <v>&lt;/li&gt;&lt;li&gt;&lt;a href=|http://kjvs.scripturetext.com/mark/12.htm| title=|King James Bible with Strong's Numbers| target=|_top|&gt;Strong's&lt;/a&gt;</v>
      </c>
      <c r="AA969" t="str">
        <f t="shared" si="3872"/>
        <v>&lt;/li&gt;&lt;li&gt;&lt;a href=|http://childrensbibleonline.com/mark/12.htm| title=|The Children's Bible| target=|_top|&gt;Children's&lt;/a&gt;</v>
      </c>
      <c r="AB969" s="2" t="str">
        <f t="shared" si="3872"/>
        <v>&lt;/li&gt;&lt;li&gt;&lt;a href=|http://tsk.scripturetext.com/mark/12.htm| title=|Treasury of Scripture Knowledge| target=|_top|&gt;TSK&lt;/a&gt;</v>
      </c>
      <c r="AC969" t="str">
        <f>CONCATENATE("&lt;a href=|http://",AC1191,"/mark/12.htm","| ","title=|",AC1190,"| target=|_top|&gt;",AC1192,"&lt;/a&gt;")</f>
        <v>&lt;a href=|http://parallelbible.com/mark/12.htm| title=|Parallel Chapters| target=|_top|&gt;PAR&lt;/a&gt;</v>
      </c>
      <c r="AD969" s="2" t="str">
        <f t="shared" ref="AD969:AI969" si="3874">CONCATENATE("&lt;/li&gt;&lt;li&gt;&lt;a href=|http://",AD1191,"/mark/12.htm","| ","title=|",AD1190,"| target=|_top|&gt;",AD1192,"&lt;/a&gt;")</f>
        <v>&lt;/li&gt;&lt;li&gt;&lt;a href=|http://gsb.biblecommenter.com/mark/12.htm| title=|Geneva Study Bible| target=|_top|&gt;GSB&lt;/a&gt;</v>
      </c>
      <c r="AE969" s="2" t="str">
        <f t="shared" si="3874"/>
        <v>&lt;/li&gt;&lt;li&gt;&lt;a href=|http://jfb.biblecommenter.com/mark/12.htm| title=|Jamieson-Fausset-Brown Bible Commentary| target=|_top|&gt;JFB&lt;/a&gt;</v>
      </c>
      <c r="AF969" s="2" t="str">
        <f t="shared" si="3874"/>
        <v>&lt;/li&gt;&lt;li&gt;&lt;a href=|http://kjt.biblecommenter.com/mark/12.htm| title=|King James Translators' Notes| target=|_top|&gt;KJT&lt;/a&gt;</v>
      </c>
      <c r="AG969" s="2" t="str">
        <f t="shared" si="3874"/>
        <v>&lt;/li&gt;&lt;li&gt;&lt;a href=|http://mhc.biblecommenter.com/mark/12.htm| title=|Matthew Henry's Concise Commentary| target=|_top|&gt;MHC&lt;/a&gt;</v>
      </c>
      <c r="AH969" s="2" t="str">
        <f t="shared" si="3874"/>
        <v>&lt;/li&gt;&lt;li&gt;&lt;a href=|http://sco.biblecommenter.com/mark/12.htm| title=|Scofield Reference Notes| target=|_top|&gt;SCO&lt;/a&gt;</v>
      </c>
      <c r="AI969" s="2" t="str">
        <f t="shared" si="3874"/>
        <v>&lt;/li&gt;&lt;li&gt;&lt;a href=|http://wes.biblecommenter.com/mark/12.htm| title=|Wesley's Notes on the Bible| target=|_top|&gt;WES&lt;/a&gt;</v>
      </c>
      <c r="AJ969" t="str">
        <f>CONCATENATE("&lt;/li&gt;&lt;li&gt;&lt;a href=|http://",AJ1191,"/mark/12.htm","| ","title=|",AJ1190,"| target=|_top|&gt;",AJ1192,"&lt;/a&gt;")</f>
        <v>&lt;/li&gt;&lt;li&gt;&lt;a href=|http://worldebible.com/mark/12.htm| title=|World English Bible| target=|_top|&gt;WEB&lt;/a&gt;</v>
      </c>
      <c r="AK969" t="str">
        <f>CONCATENATE("&lt;/li&gt;&lt;li&gt;&lt;a href=|http://",AK1191,"/mark/12.htm","| ","title=|",AK1190,"| target=|_top|&gt;",AK1192,"&lt;/a&gt;")</f>
        <v>&lt;/li&gt;&lt;li&gt;&lt;a href=|http://yltbible.com/mark/12.htm| title=|Young's Literal Translation| target=|_top|&gt;YLT&lt;/a&gt;</v>
      </c>
      <c r="AL969" t="str">
        <f>CONCATENATE("&lt;a href=|http://",AL1191,"/mark/12.htm","| ","title=|",AL1190,"| target=|_top|&gt;",AL1192,"&lt;/a&gt;")</f>
        <v>&lt;a href=|http://kjv.us/mark/12.htm| title=|American King James Version| target=|_top|&gt;AKJ&lt;/a&gt;</v>
      </c>
      <c r="AM969" t="str">
        <f t="shared" ref="AM969:AS969" si="3875">CONCATENATE("&lt;/li&gt;&lt;li&gt;&lt;a href=|http://",AM1191,"/mark/12.htm","| ","title=|",AM1190,"| target=|_top|&gt;",AM1192,"&lt;/a&gt;")</f>
        <v>&lt;/li&gt;&lt;li&gt;&lt;a href=|http://basicenglishbible.com/mark/12.htm| title=|Bible in Basic English| target=|_top|&gt;BBE&lt;/a&gt;</v>
      </c>
      <c r="AN969" t="str">
        <f t="shared" si="3875"/>
        <v>&lt;/li&gt;&lt;li&gt;&lt;a href=|http://darbybible.com/mark/12.htm| title=|Darby Bible Translation| target=|_top|&gt;DBY&lt;/a&gt;</v>
      </c>
      <c r="AO969" t="str">
        <f t="shared" si="3875"/>
        <v>&lt;/li&gt;&lt;li&gt;&lt;a href=|http://isv.scripturetext.com/mark/12.htm| title=|International Standard Version| target=|_top|&gt;ISV&lt;/a&gt;</v>
      </c>
      <c r="AP969" t="str">
        <f t="shared" si="3875"/>
        <v>&lt;/li&gt;&lt;li&gt;&lt;a href=|http://tnt.scripturetext.com/mark/12.htm| title=|Tyndale New Testament| target=|_top|&gt;TNT&lt;/a&gt;</v>
      </c>
      <c r="AQ969" s="2" t="str">
        <f t="shared" si="3875"/>
        <v>&lt;/li&gt;&lt;li&gt;&lt;a href=|http://pnt.biblecommenter.com/mark/12.htm| title=|People's New Testament| target=|_top|&gt;PNT&lt;/a&gt;</v>
      </c>
      <c r="AR969" t="str">
        <f t="shared" si="3875"/>
        <v>&lt;/li&gt;&lt;li&gt;&lt;a href=|http://websterbible.com/mark/12.htm| title=|Webster's Bible Translation| target=|_top|&gt;WBS&lt;/a&gt;</v>
      </c>
      <c r="AS969" t="str">
        <f t="shared" si="3875"/>
        <v>&lt;/li&gt;&lt;li&gt;&lt;a href=|http://weymouthbible.com/mark/12.htm| title=|Weymouth New Testament| target=|_top|&gt;WEY&lt;/a&gt;</v>
      </c>
      <c r="AT969" t="str">
        <f>CONCATENATE("&lt;/li&gt;&lt;li&gt;&lt;a href=|http://",AT1191,"/mark/12-1.htm","| ","title=|",AT1190,"| target=|_top|&gt;",AT1192,"&lt;/a&gt;")</f>
        <v>&lt;/li&gt;&lt;li&gt;&lt;a href=|http://biblebrowser.com/mark/12-1.htm| title=|Split View| target=|_top|&gt;Split&lt;/a&gt;</v>
      </c>
      <c r="AU969" s="2" t="s">
        <v>1276</v>
      </c>
      <c r="AV969" t="s">
        <v>64</v>
      </c>
    </row>
    <row r="970" spans="1:48">
      <c r="A970" t="s">
        <v>622</v>
      </c>
      <c r="B970" t="s">
        <v>1011</v>
      </c>
      <c r="C970" t="s">
        <v>624</v>
      </c>
      <c r="D970" t="s">
        <v>1268</v>
      </c>
      <c r="E970" t="s">
        <v>1277</v>
      </c>
      <c r="F970" t="s">
        <v>1304</v>
      </c>
      <c r="G970" t="s">
        <v>1266</v>
      </c>
      <c r="H970" t="s">
        <v>1305</v>
      </c>
      <c r="I970" t="s">
        <v>1303</v>
      </c>
      <c r="J970" t="s">
        <v>1267</v>
      </c>
      <c r="K970" t="s">
        <v>1275</v>
      </c>
      <c r="L970" s="2" t="s">
        <v>1274</v>
      </c>
      <c r="M970" t="str">
        <f t="shared" ref="M970:AB970" si="3876">CONCATENATE("&lt;/li&gt;&lt;li&gt;&lt;a href=|http://",M1191,"/mark/13.htm","| ","title=|",M1190,"| target=|_top|&gt;",M1192,"&lt;/a&gt;")</f>
        <v>&lt;/li&gt;&lt;li&gt;&lt;a href=|http://niv.scripturetext.com/mark/13.htm| title=|New International Version| target=|_top|&gt;NIV&lt;/a&gt;</v>
      </c>
      <c r="N970" t="str">
        <f t="shared" si="3876"/>
        <v>&lt;/li&gt;&lt;li&gt;&lt;a href=|http://nlt.scripturetext.com/mark/13.htm| title=|New Living Translation| target=|_top|&gt;NLT&lt;/a&gt;</v>
      </c>
      <c r="O970" t="str">
        <f t="shared" si="3876"/>
        <v>&lt;/li&gt;&lt;li&gt;&lt;a href=|http://nasb.scripturetext.com/mark/13.htm| title=|New American Standard Bible| target=|_top|&gt;NAS&lt;/a&gt;</v>
      </c>
      <c r="P970" t="str">
        <f t="shared" si="3876"/>
        <v>&lt;/li&gt;&lt;li&gt;&lt;a href=|http://gwt.scripturetext.com/mark/13.htm| title=|God's Word Translation| target=|_top|&gt;GWT&lt;/a&gt;</v>
      </c>
      <c r="Q970" t="str">
        <f t="shared" si="3876"/>
        <v>&lt;/li&gt;&lt;li&gt;&lt;a href=|http://kingjbible.com/mark/13.htm| title=|King James Bible| target=|_top|&gt;KJV&lt;/a&gt;</v>
      </c>
      <c r="R970" t="str">
        <f t="shared" si="3876"/>
        <v>&lt;/li&gt;&lt;li&gt;&lt;a href=|http://asvbible.com/mark/13.htm| title=|American Standard Version| target=|_top|&gt;ASV&lt;/a&gt;</v>
      </c>
      <c r="S970" t="str">
        <f t="shared" si="3876"/>
        <v>&lt;/li&gt;&lt;li&gt;&lt;a href=|http://drb.scripturetext.com/mark/13.htm| title=|Douay-Rheims Bible| target=|_top|&gt;DRB&lt;/a&gt;</v>
      </c>
      <c r="T970" t="str">
        <f t="shared" si="3876"/>
        <v>&lt;/li&gt;&lt;li&gt;&lt;a href=|http://erv.scripturetext.com/mark/13.htm| title=|English Revised Version| target=|_top|&gt;ERV&lt;/a&gt;</v>
      </c>
      <c r="U970" t="str">
        <f>CONCATENATE("&lt;/li&gt;&lt;li&gt;&lt;a href=|http://",U1191,"/mark/13.htm","| ","title=|",U1190,"| target=|_top|&gt;",U1192,"&lt;/a&gt;")</f>
        <v>&lt;/li&gt;&lt;li&gt;&lt;a href=|http://study.interlinearbible.org/mark/13.htm| title=|Greek Study Bible| target=|_top|&gt;Grk Study&lt;/a&gt;</v>
      </c>
      <c r="W970" t="str">
        <f t="shared" si="3876"/>
        <v>&lt;/li&gt;&lt;li&gt;&lt;a href=|http://apostolic.interlinearbible.org/mark/13.htm| title=|Apostolic Bible Polyglot Interlinear| target=|_top|&gt;Polyglot&lt;/a&gt;</v>
      </c>
      <c r="X970" t="str">
        <f t="shared" si="3876"/>
        <v>&lt;/li&gt;&lt;li&gt;&lt;a href=|http://interlinearbible.org/mark/13.htm| title=|Interlinear Bible| target=|_top|&gt;Interlin&lt;/a&gt;</v>
      </c>
      <c r="Y970" t="str">
        <f t="shared" ref="Y970" si="3877">CONCATENATE("&lt;/li&gt;&lt;li&gt;&lt;a href=|http://",Y1191,"/mark/13.htm","| ","title=|",Y1190,"| target=|_top|&gt;",Y1192,"&lt;/a&gt;")</f>
        <v>&lt;/li&gt;&lt;li&gt;&lt;a href=|http://bibleoutline.org/mark/13.htm| title=|Outline with People and Places List| target=|_top|&gt;Outline&lt;/a&gt;</v>
      </c>
      <c r="Z970" t="str">
        <f t="shared" si="3876"/>
        <v>&lt;/li&gt;&lt;li&gt;&lt;a href=|http://kjvs.scripturetext.com/mark/13.htm| title=|King James Bible with Strong's Numbers| target=|_top|&gt;Strong's&lt;/a&gt;</v>
      </c>
      <c r="AA970" t="str">
        <f t="shared" si="3876"/>
        <v>&lt;/li&gt;&lt;li&gt;&lt;a href=|http://childrensbibleonline.com/mark/13.htm| title=|The Children's Bible| target=|_top|&gt;Children's&lt;/a&gt;</v>
      </c>
      <c r="AB970" s="2" t="str">
        <f t="shared" si="3876"/>
        <v>&lt;/li&gt;&lt;li&gt;&lt;a href=|http://tsk.scripturetext.com/mark/13.htm| title=|Treasury of Scripture Knowledge| target=|_top|&gt;TSK&lt;/a&gt;</v>
      </c>
      <c r="AC970" t="str">
        <f>CONCATENATE("&lt;a href=|http://",AC1191,"/mark/13.htm","| ","title=|",AC1190,"| target=|_top|&gt;",AC1192,"&lt;/a&gt;")</f>
        <v>&lt;a href=|http://parallelbible.com/mark/13.htm| title=|Parallel Chapters| target=|_top|&gt;PAR&lt;/a&gt;</v>
      </c>
      <c r="AD970" s="2" t="str">
        <f t="shared" ref="AD970:AI970" si="3878">CONCATENATE("&lt;/li&gt;&lt;li&gt;&lt;a href=|http://",AD1191,"/mark/13.htm","| ","title=|",AD1190,"| target=|_top|&gt;",AD1192,"&lt;/a&gt;")</f>
        <v>&lt;/li&gt;&lt;li&gt;&lt;a href=|http://gsb.biblecommenter.com/mark/13.htm| title=|Geneva Study Bible| target=|_top|&gt;GSB&lt;/a&gt;</v>
      </c>
      <c r="AE970" s="2" t="str">
        <f t="shared" si="3878"/>
        <v>&lt;/li&gt;&lt;li&gt;&lt;a href=|http://jfb.biblecommenter.com/mark/13.htm| title=|Jamieson-Fausset-Brown Bible Commentary| target=|_top|&gt;JFB&lt;/a&gt;</v>
      </c>
      <c r="AF970" s="2" t="str">
        <f t="shared" si="3878"/>
        <v>&lt;/li&gt;&lt;li&gt;&lt;a href=|http://kjt.biblecommenter.com/mark/13.htm| title=|King James Translators' Notes| target=|_top|&gt;KJT&lt;/a&gt;</v>
      </c>
      <c r="AG970" s="2" t="str">
        <f t="shared" si="3878"/>
        <v>&lt;/li&gt;&lt;li&gt;&lt;a href=|http://mhc.biblecommenter.com/mark/13.htm| title=|Matthew Henry's Concise Commentary| target=|_top|&gt;MHC&lt;/a&gt;</v>
      </c>
      <c r="AH970" s="2" t="str">
        <f t="shared" si="3878"/>
        <v>&lt;/li&gt;&lt;li&gt;&lt;a href=|http://sco.biblecommenter.com/mark/13.htm| title=|Scofield Reference Notes| target=|_top|&gt;SCO&lt;/a&gt;</v>
      </c>
      <c r="AI970" s="2" t="str">
        <f t="shared" si="3878"/>
        <v>&lt;/li&gt;&lt;li&gt;&lt;a href=|http://wes.biblecommenter.com/mark/13.htm| title=|Wesley's Notes on the Bible| target=|_top|&gt;WES&lt;/a&gt;</v>
      </c>
      <c r="AJ970" t="str">
        <f>CONCATENATE("&lt;/li&gt;&lt;li&gt;&lt;a href=|http://",AJ1191,"/mark/13.htm","| ","title=|",AJ1190,"| target=|_top|&gt;",AJ1192,"&lt;/a&gt;")</f>
        <v>&lt;/li&gt;&lt;li&gt;&lt;a href=|http://worldebible.com/mark/13.htm| title=|World English Bible| target=|_top|&gt;WEB&lt;/a&gt;</v>
      </c>
      <c r="AK970" t="str">
        <f>CONCATENATE("&lt;/li&gt;&lt;li&gt;&lt;a href=|http://",AK1191,"/mark/13.htm","| ","title=|",AK1190,"| target=|_top|&gt;",AK1192,"&lt;/a&gt;")</f>
        <v>&lt;/li&gt;&lt;li&gt;&lt;a href=|http://yltbible.com/mark/13.htm| title=|Young's Literal Translation| target=|_top|&gt;YLT&lt;/a&gt;</v>
      </c>
      <c r="AL970" t="str">
        <f>CONCATENATE("&lt;a href=|http://",AL1191,"/mark/13.htm","| ","title=|",AL1190,"| target=|_top|&gt;",AL1192,"&lt;/a&gt;")</f>
        <v>&lt;a href=|http://kjv.us/mark/13.htm| title=|American King James Version| target=|_top|&gt;AKJ&lt;/a&gt;</v>
      </c>
      <c r="AM970" t="str">
        <f t="shared" ref="AM970:AS970" si="3879">CONCATENATE("&lt;/li&gt;&lt;li&gt;&lt;a href=|http://",AM1191,"/mark/13.htm","| ","title=|",AM1190,"| target=|_top|&gt;",AM1192,"&lt;/a&gt;")</f>
        <v>&lt;/li&gt;&lt;li&gt;&lt;a href=|http://basicenglishbible.com/mark/13.htm| title=|Bible in Basic English| target=|_top|&gt;BBE&lt;/a&gt;</v>
      </c>
      <c r="AN970" t="str">
        <f t="shared" si="3879"/>
        <v>&lt;/li&gt;&lt;li&gt;&lt;a href=|http://darbybible.com/mark/13.htm| title=|Darby Bible Translation| target=|_top|&gt;DBY&lt;/a&gt;</v>
      </c>
      <c r="AO970" t="str">
        <f t="shared" si="3879"/>
        <v>&lt;/li&gt;&lt;li&gt;&lt;a href=|http://isv.scripturetext.com/mark/13.htm| title=|International Standard Version| target=|_top|&gt;ISV&lt;/a&gt;</v>
      </c>
      <c r="AP970" t="str">
        <f t="shared" si="3879"/>
        <v>&lt;/li&gt;&lt;li&gt;&lt;a href=|http://tnt.scripturetext.com/mark/13.htm| title=|Tyndale New Testament| target=|_top|&gt;TNT&lt;/a&gt;</v>
      </c>
      <c r="AQ970" s="2" t="str">
        <f t="shared" si="3879"/>
        <v>&lt;/li&gt;&lt;li&gt;&lt;a href=|http://pnt.biblecommenter.com/mark/13.htm| title=|People's New Testament| target=|_top|&gt;PNT&lt;/a&gt;</v>
      </c>
      <c r="AR970" t="str">
        <f t="shared" si="3879"/>
        <v>&lt;/li&gt;&lt;li&gt;&lt;a href=|http://websterbible.com/mark/13.htm| title=|Webster's Bible Translation| target=|_top|&gt;WBS&lt;/a&gt;</v>
      </c>
      <c r="AS970" t="str">
        <f t="shared" si="3879"/>
        <v>&lt;/li&gt;&lt;li&gt;&lt;a href=|http://weymouthbible.com/mark/13.htm| title=|Weymouth New Testament| target=|_top|&gt;WEY&lt;/a&gt;</v>
      </c>
      <c r="AT970" t="str">
        <f>CONCATENATE("&lt;/li&gt;&lt;li&gt;&lt;a href=|http://",AT1191,"/mark/13-1.htm","| ","title=|",AT1190,"| target=|_top|&gt;",AT1192,"&lt;/a&gt;")</f>
        <v>&lt;/li&gt;&lt;li&gt;&lt;a href=|http://biblebrowser.com/mark/13-1.htm| title=|Split View| target=|_top|&gt;Split&lt;/a&gt;</v>
      </c>
      <c r="AU970" s="2" t="s">
        <v>1276</v>
      </c>
      <c r="AV970" t="s">
        <v>64</v>
      </c>
    </row>
    <row r="971" spans="1:48">
      <c r="A971" t="s">
        <v>622</v>
      </c>
      <c r="B971" t="s">
        <v>1012</v>
      </c>
      <c r="C971" t="s">
        <v>624</v>
      </c>
      <c r="D971" t="s">
        <v>1268</v>
      </c>
      <c r="E971" t="s">
        <v>1277</v>
      </c>
      <c r="F971" t="s">
        <v>1304</v>
      </c>
      <c r="G971" t="s">
        <v>1266</v>
      </c>
      <c r="H971" t="s">
        <v>1305</v>
      </c>
      <c r="I971" t="s">
        <v>1303</v>
      </c>
      <c r="J971" t="s">
        <v>1267</v>
      </c>
      <c r="K971" t="s">
        <v>1275</v>
      </c>
      <c r="L971" s="2" t="s">
        <v>1274</v>
      </c>
      <c r="M971" t="str">
        <f t="shared" ref="M971:AB971" si="3880">CONCATENATE("&lt;/li&gt;&lt;li&gt;&lt;a href=|http://",M1191,"/mark/14.htm","| ","title=|",M1190,"| target=|_top|&gt;",M1192,"&lt;/a&gt;")</f>
        <v>&lt;/li&gt;&lt;li&gt;&lt;a href=|http://niv.scripturetext.com/mark/14.htm| title=|New International Version| target=|_top|&gt;NIV&lt;/a&gt;</v>
      </c>
      <c r="N971" t="str">
        <f t="shared" si="3880"/>
        <v>&lt;/li&gt;&lt;li&gt;&lt;a href=|http://nlt.scripturetext.com/mark/14.htm| title=|New Living Translation| target=|_top|&gt;NLT&lt;/a&gt;</v>
      </c>
      <c r="O971" t="str">
        <f t="shared" si="3880"/>
        <v>&lt;/li&gt;&lt;li&gt;&lt;a href=|http://nasb.scripturetext.com/mark/14.htm| title=|New American Standard Bible| target=|_top|&gt;NAS&lt;/a&gt;</v>
      </c>
      <c r="P971" t="str">
        <f t="shared" si="3880"/>
        <v>&lt;/li&gt;&lt;li&gt;&lt;a href=|http://gwt.scripturetext.com/mark/14.htm| title=|God's Word Translation| target=|_top|&gt;GWT&lt;/a&gt;</v>
      </c>
      <c r="Q971" t="str">
        <f t="shared" si="3880"/>
        <v>&lt;/li&gt;&lt;li&gt;&lt;a href=|http://kingjbible.com/mark/14.htm| title=|King James Bible| target=|_top|&gt;KJV&lt;/a&gt;</v>
      </c>
      <c r="R971" t="str">
        <f t="shared" si="3880"/>
        <v>&lt;/li&gt;&lt;li&gt;&lt;a href=|http://asvbible.com/mark/14.htm| title=|American Standard Version| target=|_top|&gt;ASV&lt;/a&gt;</v>
      </c>
      <c r="S971" t="str">
        <f t="shared" si="3880"/>
        <v>&lt;/li&gt;&lt;li&gt;&lt;a href=|http://drb.scripturetext.com/mark/14.htm| title=|Douay-Rheims Bible| target=|_top|&gt;DRB&lt;/a&gt;</v>
      </c>
      <c r="T971" t="str">
        <f t="shared" si="3880"/>
        <v>&lt;/li&gt;&lt;li&gt;&lt;a href=|http://erv.scripturetext.com/mark/14.htm| title=|English Revised Version| target=|_top|&gt;ERV&lt;/a&gt;</v>
      </c>
      <c r="U971" t="str">
        <f>CONCATENATE("&lt;/li&gt;&lt;li&gt;&lt;a href=|http://",U1191,"/mark/14.htm","| ","title=|",U1190,"| target=|_top|&gt;",U1192,"&lt;/a&gt;")</f>
        <v>&lt;/li&gt;&lt;li&gt;&lt;a href=|http://study.interlinearbible.org/mark/14.htm| title=|Greek Study Bible| target=|_top|&gt;Grk Study&lt;/a&gt;</v>
      </c>
      <c r="W971" t="str">
        <f t="shared" si="3880"/>
        <v>&lt;/li&gt;&lt;li&gt;&lt;a href=|http://apostolic.interlinearbible.org/mark/14.htm| title=|Apostolic Bible Polyglot Interlinear| target=|_top|&gt;Polyglot&lt;/a&gt;</v>
      </c>
      <c r="X971" t="str">
        <f t="shared" si="3880"/>
        <v>&lt;/li&gt;&lt;li&gt;&lt;a href=|http://interlinearbible.org/mark/14.htm| title=|Interlinear Bible| target=|_top|&gt;Interlin&lt;/a&gt;</v>
      </c>
      <c r="Y971" t="str">
        <f t="shared" ref="Y971" si="3881">CONCATENATE("&lt;/li&gt;&lt;li&gt;&lt;a href=|http://",Y1191,"/mark/14.htm","| ","title=|",Y1190,"| target=|_top|&gt;",Y1192,"&lt;/a&gt;")</f>
        <v>&lt;/li&gt;&lt;li&gt;&lt;a href=|http://bibleoutline.org/mark/14.htm| title=|Outline with People and Places List| target=|_top|&gt;Outline&lt;/a&gt;</v>
      </c>
      <c r="Z971" t="str">
        <f t="shared" si="3880"/>
        <v>&lt;/li&gt;&lt;li&gt;&lt;a href=|http://kjvs.scripturetext.com/mark/14.htm| title=|King James Bible with Strong's Numbers| target=|_top|&gt;Strong's&lt;/a&gt;</v>
      </c>
      <c r="AA971" t="str">
        <f t="shared" si="3880"/>
        <v>&lt;/li&gt;&lt;li&gt;&lt;a href=|http://childrensbibleonline.com/mark/14.htm| title=|The Children's Bible| target=|_top|&gt;Children's&lt;/a&gt;</v>
      </c>
      <c r="AB971" s="2" t="str">
        <f t="shared" si="3880"/>
        <v>&lt;/li&gt;&lt;li&gt;&lt;a href=|http://tsk.scripturetext.com/mark/14.htm| title=|Treasury of Scripture Knowledge| target=|_top|&gt;TSK&lt;/a&gt;</v>
      </c>
      <c r="AC971" t="str">
        <f>CONCATENATE("&lt;a href=|http://",AC1191,"/mark/14.htm","| ","title=|",AC1190,"| target=|_top|&gt;",AC1192,"&lt;/a&gt;")</f>
        <v>&lt;a href=|http://parallelbible.com/mark/14.htm| title=|Parallel Chapters| target=|_top|&gt;PAR&lt;/a&gt;</v>
      </c>
      <c r="AD971" s="2" t="str">
        <f t="shared" ref="AD971:AI971" si="3882">CONCATENATE("&lt;/li&gt;&lt;li&gt;&lt;a href=|http://",AD1191,"/mark/14.htm","| ","title=|",AD1190,"| target=|_top|&gt;",AD1192,"&lt;/a&gt;")</f>
        <v>&lt;/li&gt;&lt;li&gt;&lt;a href=|http://gsb.biblecommenter.com/mark/14.htm| title=|Geneva Study Bible| target=|_top|&gt;GSB&lt;/a&gt;</v>
      </c>
      <c r="AE971" s="2" t="str">
        <f t="shared" si="3882"/>
        <v>&lt;/li&gt;&lt;li&gt;&lt;a href=|http://jfb.biblecommenter.com/mark/14.htm| title=|Jamieson-Fausset-Brown Bible Commentary| target=|_top|&gt;JFB&lt;/a&gt;</v>
      </c>
      <c r="AF971" s="2" t="str">
        <f t="shared" si="3882"/>
        <v>&lt;/li&gt;&lt;li&gt;&lt;a href=|http://kjt.biblecommenter.com/mark/14.htm| title=|King James Translators' Notes| target=|_top|&gt;KJT&lt;/a&gt;</v>
      </c>
      <c r="AG971" s="2" t="str">
        <f t="shared" si="3882"/>
        <v>&lt;/li&gt;&lt;li&gt;&lt;a href=|http://mhc.biblecommenter.com/mark/14.htm| title=|Matthew Henry's Concise Commentary| target=|_top|&gt;MHC&lt;/a&gt;</v>
      </c>
      <c r="AH971" s="2" t="str">
        <f t="shared" si="3882"/>
        <v>&lt;/li&gt;&lt;li&gt;&lt;a href=|http://sco.biblecommenter.com/mark/14.htm| title=|Scofield Reference Notes| target=|_top|&gt;SCO&lt;/a&gt;</v>
      </c>
      <c r="AI971" s="2" t="str">
        <f t="shared" si="3882"/>
        <v>&lt;/li&gt;&lt;li&gt;&lt;a href=|http://wes.biblecommenter.com/mark/14.htm| title=|Wesley's Notes on the Bible| target=|_top|&gt;WES&lt;/a&gt;</v>
      </c>
      <c r="AJ971" t="str">
        <f>CONCATENATE("&lt;/li&gt;&lt;li&gt;&lt;a href=|http://",AJ1191,"/mark/14.htm","| ","title=|",AJ1190,"| target=|_top|&gt;",AJ1192,"&lt;/a&gt;")</f>
        <v>&lt;/li&gt;&lt;li&gt;&lt;a href=|http://worldebible.com/mark/14.htm| title=|World English Bible| target=|_top|&gt;WEB&lt;/a&gt;</v>
      </c>
      <c r="AK971" t="str">
        <f>CONCATENATE("&lt;/li&gt;&lt;li&gt;&lt;a href=|http://",AK1191,"/mark/14.htm","| ","title=|",AK1190,"| target=|_top|&gt;",AK1192,"&lt;/a&gt;")</f>
        <v>&lt;/li&gt;&lt;li&gt;&lt;a href=|http://yltbible.com/mark/14.htm| title=|Young's Literal Translation| target=|_top|&gt;YLT&lt;/a&gt;</v>
      </c>
      <c r="AL971" t="str">
        <f>CONCATENATE("&lt;a href=|http://",AL1191,"/mark/14.htm","| ","title=|",AL1190,"| target=|_top|&gt;",AL1192,"&lt;/a&gt;")</f>
        <v>&lt;a href=|http://kjv.us/mark/14.htm| title=|American King James Version| target=|_top|&gt;AKJ&lt;/a&gt;</v>
      </c>
      <c r="AM971" t="str">
        <f t="shared" ref="AM971:AS971" si="3883">CONCATENATE("&lt;/li&gt;&lt;li&gt;&lt;a href=|http://",AM1191,"/mark/14.htm","| ","title=|",AM1190,"| target=|_top|&gt;",AM1192,"&lt;/a&gt;")</f>
        <v>&lt;/li&gt;&lt;li&gt;&lt;a href=|http://basicenglishbible.com/mark/14.htm| title=|Bible in Basic English| target=|_top|&gt;BBE&lt;/a&gt;</v>
      </c>
      <c r="AN971" t="str">
        <f t="shared" si="3883"/>
        <v>&lt;/li&gt;&lt;li&gt;&lt;a href=|http://darbybible.com/mark/14.htm| title=|Darby Bible Translation| target=|_top|&gt;DBY&lt;/a&gt;</v>
      </c>
      <c r="AO971" t="str">
        <f t="shared" si="3883"/>
        <v>&lt;/li&gt;&lt;li&gt;&lt;a href=|http://isv.scripturetext.com/mark/14.htm| title=|International Standard Version| target=|_top|&gt;ISV&lt;/a&gt;</v>
      </c>
      <c r="AP971" t="str">
        <f t="shared" si="3883"/>
        <v>&lt;/li&gt;&lt;li&gt;&lt;a href=|http://tnt.scripturetext.com/mark/14.htm| title=|Tyndale New Testament| target=|_top|&gt;TNT&lt;/a&gt;</v>
      </c>
      <c r="AQ971" s="2" t="str">
        <f t="shared" si="3883"/>
        <v>&lt;/li&gt;&lt;li&gt;&lt;a href=|http://pnt.biblecommenter.com/mark/14.htm| title=|People's New Testament| target=|_top|&gt;PNT&lt;/a&gt;</v>
      </c>
      <c r="AR971" t="str">
        <f t="shared" si="3883"/>
        <v>&lt;/li&gt;&lt;li&gt;&lt;a href=|http://websterbible.com/mark/14.htm| title=|Webster's Bible Translation| target=|_top|&gt;WBS&lt;/a&gt;</v>
      </c>
      <c r="AS971" t="str">
        <f t="shared" si="3883"/>
        <v>&lt;/li&gt;&lt;li&gt;&lt;a href=|http://weymouthbible.com/mark/14.htm| title=|Weymouth New Testament| target=|_top|&gt;WEY&lt;/a&gt;</v>
      </c>
      <c r="AT971" t="str">
        <f>CONCATENATE("&lt;/li&gt;&lt;li&gt;&lt;a href=|http://",AT1191,"/mark/14-1.htm","| ","title=|",AT1190,"| target=|_top|&gt;",AT1192,"&lt;/a&gt;")</f>
        <v>&lt;/li&gt;&lt;li&gt;&lt;a href=|http://biblebrowser.com/mark/14-1.htm| title=|Split View| target=|_top|&gt;Split&lt;/a&gt;</v>
      </c>
      <c r="AU971" s="2" t="s">
        <v>1276</v>
      </c>
      <c r="AV971" t="s">
        <v>64</v>
      </c>
    </row>
    <row r="972" spans="1:48">
      <c r="A972" t="s">
        <v>622</v>
      </c>
      <c r="B972" t="s">
        <v>1013</v>
      </c>
      <c r="C972" t="s">
        <v>624</v>
      </c>
      <c r="D972" t="s">
        <v>1268</v>
      </c>
      <c r="E972" t="s">
        <v>1277</v>
      </c>
      <c r="F972" t="s">
        <v>1304</v>
      </c>
      <c r="G972" t="s">
        <v>1266</v>
      </c>
      <c r="H972" t="s">
        <v>1305</v>
      </c>
      <c r="I972" t="s">
        <v>1303</v>
      </c>
      <c r="J972" t="s">
        <v>1267</v>
      </c>
      <c r="K972" t="s">
        <v>1275</v>
      </c>
      <c r="L972" s="2" t="s">
        <v>1274</v>
      </c>
      <c r="M972" t="str">
        <f t="shared" ref="M972:AB972" si="3884">CONCATENATE("&lt;/li&gt;&lt;li&gt;&lt;a href=|http://",M1191,"/mark/15.htm","| ","title=|",M1190,"| target=|_top|&gt;",M1192,"&lt;/a&gt;")</f>
        <v>&lt;/li&gt;&lt;li&gt;&lt;a href=|http://niv.scripturetext.com/mark/15.htm| title=|New International Version| target=|_top|&gt;NIV&lt;/a&gt;</v>
      </c>
      <c r="N972" t="str">
        <f t="shared" si="3884"/>
        <v>&lt;/li&gt;&lt;li&gt;&lt;a href=|http://nlt.scripturetext.com/mark/15.htm| title=|New Living Translation| target=|_top|&gt;NLT&lt;/a&gt;</v>
      </c>
      <c r="O972" t="str">
        <f t="shared" si="3884"/>
        <v>&lt;/li&gt;&lt;li&gt;&lt;a href=|http://nasb.scripturetext.com/mark/15.htm| title=|New American Standard Bible| target=|_top|&gt;NAS&lt;/a&gt;</v>
      </c>
      <c r="P972" t="str">
        <f t="shared" si="3884"/>
        <v>&lt;/li&gt;&lt;li&gt;&lt;a href=|http://gwt.scripturetext.com/mark/15.htm| title=|God's Word Translation| target=|_top|&gt;GWT&lt;/a&gt;</v>
      </c>
      <c r="Q972" t="str">
        <f t="shared" si="3884"/>
        <v>&lt;/li&gt;&lt;li&gt;&lt;a href=|http://kingjbible.com/mark/15.htm| title=|King James Bible| target=|_top|&gt;KJV&lt;/a&gt;</v>
      </c>
      <c r="R972" t="str">
        <f t="shared" si="3884"/>
        <v>&lt;/li&gt;&lt;li&gt;&lt;a href=|http://asvbible.com/mark/15.htm| title=|American Standard Version| target=|_top|&gt;ASV&lt;/a&gt;</v>
      </c>
      <c r="S972" t="str">
        <f t="shared" si="3884"/>
        <v>&lt;/li&gt;&lt;li&gt;&lt;a href=|http://drb.scripturetext.com/mark/15.htm| title=|Douay-Rheims Bible| target=|_top|&gt;DRB&lt;/a&gt;</v>
      </c>
      <c r="T972" t="str">
        <f t="shared" si="3884"/>
        <v>&lt;/li&gt;&lt;li&gt;&lt;a href=|http://erv.scripturetext.com/mark/15.htm| title=|English Revised Version| target=|_top|&gt;ERV&lt;/a&gt;</v>
      </c>
      <c r="U972" t="str">
        <f>CONCATENATE("&lt;/li&gt;&lt;li&gt;&lt;a href=|http://",U1191,"/mark/15.htm","| ","title=|",U1190,"| target=|_top|&gt;",U1192,"&lt;/a&gt;")</f>
        <v>&lt;/li&gt;&lt;li&gt;&lt;a href=|http://study.interlinearbible.org/mark/15.htm| title=|Greek Study Bible| target=|_top|&gt;Grk Study&lt;/a&gt;</v>
      </c>
      <c r="W972" t="str">
        <f t="shared" si="3884"/>
        <v>&lt;/li&gt;&lt;li&gt;&lt;a href=|http://apostolic.interlinearbible.org/mark/15.htm| title=|Apostolic Bible Polyglot Interlinear| target=|_top|&gt;Polyglot&lt;/a&gt;</v>
      </c>
      <c r="X972" t="str">
        <f t="shared" si="3884"/>
        <v>&lt;/li&gt;&lt;li&gt;&lt;a href=|http://interlinearbible.org/mark/15.htm| title=|Interlinear Bible| target=|_top|&gt;Interlin&lt;/a&gt;</v>
      </c>
      <c r="Y972" t="str">
        <f t="shared" ref="Y972" si="3885">CONCATENATE("&lt;/li&gt;&lt;li&gt;&lt;a href=|http://",Y1191,"/mark/15.htm","| ","title=|",Y1190,"| target=|_top|&gt;",Y1192,"&lt;/a&gt;")</f>
        <v>&lt;/li&gt;&lt;li&gt;&lt;a href=|http://bibleoutline.org/mark/15.htm| title=|Outline with People and Places List| target=|_top|&gt;Outline&lt;/a&gt;</v>
      </c>
      <c r="Z972" t="str">
        <f t="shared" si="3884"/>
        <v>&lt;/li&gt;&lt;li&gt;&lt;a href=|http://kjvs.scripturetext.com/mark/15.htm| title=|King James Bible with Strong's Numbers| target=|_top|&gt;Strong's&lt;/a&gt;</v>
      </c>
      <c r="AA972" t="str">
        <f t="shared" si="3884"/>
        <v>&lt;/li&gt;&lt;li&gt;&lt;a href=|http://childrensbibleonline.com/mark/15.htm| title=|The Children's Bible| target=|_top|&gt;Children's&lt;/a&gt;</v>
      </c>
      <c r="AB972" s="2" t="str">
        <f t="shared" si="3884"/>
        <v>&lt;/li&gt;&lt;li&gt;&lt;a href=|http://tsk.scripturetext.com/mark/15.htm| title=|Treasury of Scripture Knowledge| target=|_top|&gt;TSK&lt;/a&gt;</v>
      </c>
      <c r="AC972" t="str">
        <f>CONCATENATE("&lt;a href=|http://",AC1191,"/mark/15.htm","| ","title=|",AC1190,"| target=|_top|&gt;",AC1192,"&lt;/a&gt;")</f>
        <v>&lt;a href=|http://parallelbible.com/mark/15.htm| title=|Parallel Chapters| target=|_top|&gt;PAR&lt;/a&gt;</v>
      </c>
      <c r="AD972" s="2" t="str">
        <f t="shared" ref="AD972:AI972" si="3886">CONCATENATE("&lt;/li&gt;&lt;li&gt;&lt;a href=|http://",AD1191,"/mark/15.htm","| ","title=|",AD1190,"| target=|_top|&gt;",AD1192,"&lt;/a&gt;")</f>
        <v>&lt;/li&gt;&lt;li&gt;&lt;a href=|http://gsb.biblecommenter.com/mark/15.htm| title=|Geneva Study Bible| target=|_top|&gt;GSB&lt;/a&gt;</v>
      </c>
      <c r="AE972" s="2" t="str">
        <f t="shared" si="3886"/>
        <v>&lt;/li&gt;&lt;li&gt;&lt;a href=|http://jfb.biblecommenter.com/mark/15.htm| title=|Jamieson-Fausset-Brown Bible Commentary| target=|_top|&gt;JFB&lt;/a&gt;</v>
      </c>
      <c r="AF972" s="2" t="str">
        <f t="shared" si="3886"/>
        <v>&lt;/li&gt;&lt;li&gt;&lt;a href=|http://kjt.biblecommenter.com/mark/15.htm| title=|King James Translators' Notes| target=|_top|&gt;KJT&lt;/a&gt;</v>
      </c>
      <c r="AG972" s="2" t="str">
        <f t="shared" si="3886"/>
        <v>&lt;/li&gt;&lt;li&gt;&lt;a href=|http://mhc.biblecommenter.com/mark/15.htm| title=|Matthew Henry's Concise Commentary| target=|_top|&gt;MHC&lt;/a&gt;</v>
      </c>
      <c r="AH972" s="2" t="str">
        <f t="shared" si="3886"/>
        <v>&lt;/li&gt;&lt;li&gt;&lt;a href=|http://sco.biblecommenter.com/mark/15.htm| title=|Scofield Reference Notes| target=|_top|&gt;SCO&lt;/a&gt;</v>
      </c>
      <c r="AI972" s="2" t="str">
        <f t="shared" si="3886"/>
        <v>&lt;/li&gt;&lt;li&gt;&lt;a href=|http://wes.biblecommenter.com/mark/15.htm| title=|Wesley's Notes on the Bible| target=|_top|&gt;WES&lt;/a&gt;</v>
      </c>
      <c r="AJ972" t="str">
        <f>CONCATENATE("&lt;/li&gt;&lt;li&gt;&lt;a href=|http://",AJ1191,"/mark/15.htm","| ","title=|",AJ1190,"| target=|_top|&gt;",AJ1192,"&lt;/a&gt;")</f>
        <v>&lt;/li&gt;&lt;li&gt;&lt;a href=|http://worldebible.com/mark/15.htm| title=|World English Bible| target=|_top|&gt;WEB&lt;/a&gt;</v>
      </c>
      <c r="AK972" t="str">
        <f>CONCATENATE("&lt;/li&gt;&lt;li&gt;&lt;a href=|http://",AK1191,"/mark/15.htm","| ","title=|",AK1190,"| target=|_top|&gt;",AK1192,"&lt;/a&gt;")</f>
        <v>&lt;/li&gt;&lt;li&gt;&lt;a href=|http://yltbible.com/mark/15.htm| title=|Young's Literal Translation| target=|_top|&gt;YLT&lt;/a&gt;</v>
      </c>
      <c r="AL972" t="str">
        <f>CONCATENATE("&lt;a href=|http://",AL1191,"/mark/15.htm","| ","title=|",AL1190,"| target=|_top|&gt;",AL1192,"&lt;/a&gt;")</f>
        <v>&lt;a href=|http://kjv.us/mark/15.htm| title=|American King James Version| target=|_top|&gt;AKJ&lt;/a&gt;</v>
      </c>
      <c r="AM972" t="str">
        <f t="shared" ref="AM972:AS972" si="3887">CONCATENATE("&lt;/li&gt;&lt;li&gt;&lt;a href=|http://",AM1191,"/mark/15.htm","| ","title=|",AM1190,"| target=|_top|&gt;",AM1192,"&lt;/a&gt;")</f>
        <v>&lt;/li&gt;&lt;li&gt;&lt;a href=|http://basicenglishbible.com/mark/15.htm| title=|Bible in Basic English| target=|_top|&gt;BBE&lt;/a&gt;</v>
      </c>
      <c r="AN972" t="str">
        <f t="shared" si="3887"/>
        <v>&lt;/li&gt;&lt;li&gt;&lt;a href=|http://darbybible.com/mark/15.htm| title=|Darby Bible Translation| target=|_top|&gt;DBY&lt;/a&gt;</v>
      </c>
      <c r="AO972" t="str">
        <f t="shared" si="3887"/>
        <v>&lt;/li&gt;&lt;li&gt;&lt;a href=|http://isv.scripturetext.com/mark/15.htm| title=|International Standard Version| target=|_top|&gt;ISV&lt;/a&gt;</v>
      </c>
      <c r="AP972" t="str">
        <f t="shared" si="3887"/>
        <v>&lt;/li&gt;&lt;li&gt;&lt;a href=|http://tnt.scripturetext.com/mark/15.htm| title=|Tyndale New Testament| target=|_top|&gt;TNT&lt;/a&gt;</v>
      </c>
      <c r="AQ972" s="2" t="str">
        <f t="shared" si="3887"/>
        <v>&lt;/li&gt;&lt;li&gt;&lt;a href=|http://pnt.biblecommenter.com/mark/15.htm| title=|People's New Testament| target=|_top|&gt;PNT&lt;/a&gt;</v>
      </c>
      <c r="AR972" t="str">
        <f t="shared" si="3887"/>
        <v>&lt;/li&gt;&lt;li&gt;&lt;a href=|http://websterbible.com/mark/15.htm| title=|Webster's Bible Translation| target=|_top|&gt;WBS&lt;/a&gt;</v>
      </c>
      <c r="AS972" t="str">
        <f t="shared" si="3887"/>
        <v>&lt;/li&gt;&lt;li&gt;&lt;a href=|http://weymouthbible.com/mark/15.htm| title=|Weymouth New Testament| target=|_top|&gt;WEY&lt;/a&gt;</v>
      </c>
      <c r="AT972" t="str">
        <f>CONCATENATE("&lt;/li&gt;&lt;li&gt;&lt;a href=|http://",AT1191,"/mark/15-1.htm","| ","title=|",AT1190,"| target=|_top|&gt;",AT1192,"&lt;/a&gt;")</f>
        <v>&lt;/li&gt;&lt;li&gt;&lt;a href=|http://biblebrowser.com/mark/15-1.htm| title=|Split View| target=|_top|&gt;Split&lt;/a&gt;</v>
      </c>
      <c r="AU972" s="2" t="s">
        <v>1276</v>
      </c>
      <c r="AV972" t="s">
        <v>64</v>
      </c>
    </row>
    <row r="973" spans="1:48">
      <c r="A973" t="s">
        <v>622</v>
      </c>
      <c r="B973" t="s">
        <v>1014</v>
      </c>
      <c r="C973" t="s">
        <v>624</v>
      </c>
      <c r="D973" t="s">
        <v>1268</v>
      </c>
      <c r="E973" t="s">
        <v>1277</v>
      </c>
      <c r="F973" t="s">
        <v>1304</v>
      </c>
      <c r="G973" t="s">
        <v>1266</v>
      </c>
      <c r="H973" t="s">
        <v>1305</v>
      </c>
      <c r="I973" t="s">
        <v>1303</v>
      </c>
      <c r="J973" t="s">
        <v>1267</v>
      </c>
      <c r="K973" t="s">
        <v>1275</v>
      </c>
      <c r="L973" s="2" t="s">
        <v>1274</v>
      </c>
      <c r="M973" t="str">
        <f t="shared" ref="M973:AB973" si="3888">CONCATENATE("&lt;/li&gt;&lt;li&gt;&lt;a href=|http://",M1191,"/mark/16.htm","| ","title=|",M1190,"| target=|_top|&gt;",M1192,"&lt;/a&gt;")</f>
        <v>&lt;/li&gt;&lt;li&gt;&lt;a href=|http://niv.scripturetext.com/mark/16.htm| title=|New International Version| target=|_top|&gt;NIV&lt;/a&gt;</v>
      </c>
      <c r="N973" t="str">
        <f t="shared" si="3888"/>
        <v>&lt;/li&gt;&lt;li&gt;&lt;a href=|http://nlt.scripturetext.com/mark/16.htm| title=|New Living Translation| target=|_top|&gt;NLT&lt;/a&gt;</v>
      </c>
      <c r="O973" t="str">
        <f t="shared" si="3888"/>
        <v>&lt;/li&gt;&lt;li&gt;&lt;a href=|http://nasb.scripturetext.com/mark/16.htm| title=|New American Standard Bible| target=|_top|&gt;NAS&lt;/a&gt;</v>
      </c>
      <c r="P973" t="str">
        <f t="shared" si="3888"/>
        <v>&lt;/li&gt;&lt;li&gt;&lt;a href=|http://gwt.scripturetext.com/mark/16.htm| title=|God's Word Translation| target=|_top|&gt;GWT&lt;/a&gt;</v>
      </c>
      <c r="Q973" t="str">
        <f t="shared" si="3888"/>
        <v>&lt;/li&gt;&lt;li&gt;&lt;a href=|http://kingjbible.com/mark/16.htm| title=|King James Bible| target=|_top|&gt;KJV&lt;/a&gt;</v>
      </c>
      <c r="R973" t="str">
        <f t="shared" si="3888"/>
        <v>&lt;/li&gt;&lt;li&gt;&lt;a href=|http://asvbible.com/mark/16.htm| title=|American Standard Version| target=|_top|&gt;ASV&lt;/a&gt;</v>
      </c>
      <c r="S973" t="str">
        <f t="shared" si="3888"/>
        <v>&lt;/li&gt;&lt;li&gt;&lt;a href=|http://drb.scripturetext.com/mark/16.htm| title=|Douay-Rheims Bible| target=|_top|&gt;DRB&lt;/a&gt;</v>
      </c>
      <c r="T973" t="str">
        <f t="shared" si="3888"/>
        <v>&lt;/li&gt;&lt;li&gt;&lt;a href=|http://erv.scripturetext.com/mark/16.htm| title=|English Revised Version| target=|_top|&gt;ERV&lt;/a&gt;</v>
      </c>
      <c r="U973" t="str">
        <f>CONCATENATE("&lt;/li&gt;&lt;li&gt;&lt;a href=|http://",U1191,"/mark/16.htm","| ","title=|",U1190,"| target=|_top|&gt;",U1192,"&lt;/a&gt;")</f>
        <v>&lt;/li&gt;&lt;li&gt;&lt;a href=|http://study.interlinearbible.org/mark/16.htm| title=|Greek Study Bible| target=|_top|&gt;Grk Study&lt;/a&gt;</v>
      </c>
      <c r="W973" t="str">
        <f t="shared" si="3888"/>
        <v>&lt;/li&gt;&lt;li&gt;&lt;a href=|http://apostolic.interlinearbible.org/mark/16.htm| title=|Apostolic Bible Polyglot Interlinear| target=|_top|&gt;Polyglot&lt;/a&gt;</v>
      </c>
      <c r="X973" t="str">
        <f t="shared" si="3888"/>
        <v>&lt;/li&gt;&lt;li&gt;&lt;a href=|http://interlinearbible.org/mark/16.htm| title=|Interlinear Bible| target=|_top|&gt;Interlin&lt;/a&gt;</v>
      </c>
      <c r="Y973" t="str">
        <f t="shared" ref="Y973" si="3889">CONCATENATE("&lt;/li&gt;&lt;li&gt;&lt;a href=|http://",Y1191,"/mark/16.htm","| ","title=|",Y1190,"| target=|_top|&gt;",Y1192,"&lt;/a&gt;")</f>
        <v>&lt;/li&gt;&lt;li&gt;&lt;a href=|http://bibleoutline.org/mark/16.htm| title=|Outline with People and Places List| target=|_top|&gt;Outline&lt;/a&gt;</v>
      </c>
      <c r="Z973" t="str">
        <f t="shared" si="3888"/>
        <v>&lt;/li&gt;&lt;li&gt;&lt;a href=|http://kjvs.scripturetext.com/mark/16.htm| title=|King James Bible with Strong's Numbers| target=|_top|&gt;Strong's&lt;/a&gt;</v>
      </c>
      <c r="AA973" t="str">
        <f t="shared" si="3888"/>
        <v>&lt;/li&gt;&lt;li&gt;&lt;a href=|http://childrensbibleonline.com/mark/16.htm| title=|The Children's Bible| target=|_top|&gt;Children's&lt;/a&gt;</v>
      </c>
      <c r="AB973" s="2" t="str">
        <f t="shared" si="3888"/>
        <v>&lt;/li&gt;&lt;li&gt;&lt;a href=|http://tsk.scripturetext.com/mark/16.htm| title=|Treasury of Scripture Knowledge| target=|_top|&gt;TSK&lt;/a&gt;</v>
      </c>
      <c r="AC973" t="str">
        <f>CONCATENATE("&lt;a href=|http://",AC1191,"/mark/16.htm","| ","title=|",AC1190,"| target=|_top|&gt;",AC1192,"&lt;/a&gt;")</f>
        <v>&lt;a href=|http://parallelbible.com/mark/16.htm| title=|Parallel Chapters| target=|_top|&gt;PAR&lt;/a&gt;</v>
      </c>
      <c r="AD973" s="2" t="str">
        <f t="shared" ref="AD973:AI973" si="3890">CONCATENATE("&lt;/li&gt;&lt;li&gt;&lt;a href=|http://",AD1191,"/mark/16.htm","| ","title=|",AD1190,"| target=|_top|&gt;",AD1192,"&lt;/a&gt;")</f>
        <v>&lt;/li&gt;&lt;li&gt;&lt;a href=|http://gsb.biblecommenter.com/mark/16.htm| title=|Geneva Study Bible| target=|_top|&gt;GSB&lt;/a&gt;</v>
      </c>
      <c r="AE973" s="2" t="str">
        <f t="shared" si="3890"/>
        <v>&lt;/li&gt;&lt;li&gt;&lt;a href=|http://jfb.biblecommenter.com/mark/16.htm| title=|Jamieson-Fausset-Brown Bible Commentary| target=|_top|&gt;JFB&lt;/a&gt;</v>
      </c>
      <c r="AF973" s="2" t="str">
        <f t="shared" si="3890"/>
        <v>&lt;/li&gt;&lt;li&gt;&lt;a href=|http://kjt.biblecommenter.com/mark/16.htm| title=|King James Translators' Notes| target=|_top|&gt;KJT&lt;/a&gt;</v>
      </c>
      <c r="AG973" s="2" t="str">
        <f t="shared" si="3890"/>
        <v>&lt;/li&gt;&lt;li&gt;&lt;a href=|http://mhc.biblecommenter.com/mark/16.htm| title=|Matthew Henry's Concise Commentary| target=|_top|&gt;MHC&lt;/a&gt;</v>
      </c>
      <c r="AH973" s="2" t="str">
        <f t="shared" si="3890"/>
        <v>&lt;/li&gt;&lt;li&gt;&lt;a href=|http://sco.biblecommenter.com/mark/16.htm| title=|Scofield Reference Notes| target=|_top|&gt;SCO&lt;/a&gt;</v>
      </c>
      <c r="AI973" s="2" t="str">
        <f t="shared" si="3890"/>
        <v>&lt;/li&gt;&lt;li&gt;&lt;a href=|http://wes.biblecommenter.com/mark/16.htm| title=|Wesley's Notes on the Bible| target=|_top|&gt;WES&lt;/a&gt;</v>
      </c>
      <c r="AJ973" t="str">
        <f>CONCATENATE("&lt;/li&gt;&lt;li&gt;&lt;a href=|http://",AJ1191,"/mark/16.htm","| ","title=|",AJ1190,"| target=|_top|&gt;",AJ1192,"&lt;/a&gt;")</f>
        <v>&lt;/li&gt;&lt;li&gt;&lt;a href=|http://worldebible.com/mark/16.htm| title=|World English Bible| target=|_top|&gt;WEB&lt;/a&gt;</v>
      </c>
      <c r="AK973" t="str">
        <f>CONCATENATE("&lt;/li&gt;&lt;li&gt;&lt;a href=|http://",AK1191,"/mark/16.htm","| ","title=|",AK1190,"| target=|_top|&gt;",AK1192,"&lt;/a&gt;")</f>
        <v>&lt;/li&gt;&lt;li&gt;&lt;a href=|http://yltbible.com/mark/16.htm| title=|Young's Literal Translation| target=|_top|&gt;YLT&lt;/a&gt;</v>
      </c>
      <c r="AL973" t="str">
        <f>CONCATENATE("&lt;a href=|http://",AL1191,"/mark/16.htm","| ","title=|",AL1190,"| target=|_top|&gt;",AL1192,"&lt;/a&gt;")</f>
        <v>&lt;a href=|http://kjv.us/mark/16.htm| title=|American King James Version| target=|_top|&gt;AKJ&lt;/a&gt;</v>
      </c>
      <c r="AM973" t="str">
        <f t="shared" ref="AM973:AS973" si="3891">CONCATENATE("&lt;/li&gt;&lt;li&gt;&lt;a href=|http://",AM1191,"/mark/16.htm","| ","title=|",AM1190,"| target=|_top|&gt;",AM1192,"&lt;/a&gt;")</f>
        <v>&lt;/li&gt;&lt;li&gt;&lt;a href=|http://basicenglishbible.com/mark/16.htm| title=|Bible in Basic English| target=|_top|&gt;BBE&lt;/a&gt;</v>
      </c>
      <c r="AN973" t="str">
        <f t="shared" si="3891"/>
        <v>&lt;/li&gt;&lt;li&gt;&lt;a href=|http://darbybible.com/mark/16.htm| title=|Darby Bible Translation| target=|_top|&gt;DBY&lt;/a&gt;</v>
      </c>
      <c r="AO973" t="str">
        <f t="shared" si="3891"/>
        <v>&lt;/li&gt;&lt;li&gt;&lt;a href=|http://isv.scripturetext.com/mark/16.htm| title=|International Standard Version| target=|_top|&gt;ISV&lt;/a&gt;</v>
      </c>
      <c r="AP973" t="str">
        <f t="shared" si="3891"/>
        <v>&lt;/li&gt;&lt;li&gt;&lt;a href=|http://tnt.scripturetext.com/mark/16.htm| title=|Tyndale New Testament| target=|_top|&gt;TNT&lt;/a&gt;</v>
      </c>
      <c r="AQ973" s="2" t="str">
        <f t="shared" si="3891"/>
        <v>&lt;/li&gt;&lt;li&gt;&lt;a href=|http://pnt.biblecommenter.com/mark/16.htm| title=|People's New Testament| target=|_top|&gt;PNT&lt;/a&gt;</v>
      </c>
      <c r="AR973" t="str">
        <f t="shared" si="3891"/>
        <v>&lt;/li&gt;&lt;li&gt;&lt;a href=|http://websterbible.com/mark/16.htm| title=|Webster's Bible Translation| target=|_top|&gt;WBS&lt;/a&gt;</v>
      </c>
      <c r="AS973" t="str">
        <f t="shared" si="3891"/>
        <v>&lt;/li&gt;&lt;li&gt;&lt;a href=|http://weymouthbible.com/mark/16.htm| title=|Weymouth New Testament| target=|_top|&gt;WEY&lt;/a&gt;</v>
      </c>
      <c r="AT973" t="str">
        <f>CONCATENATE("&lt;/li&gt;&lt;li&gt;&lt;a href=|http://",AT1191,"/mark/16-1.htm","| ","title=|",AT1190,"| target=|_top|&gt;",AT1192,"&lt;/a&gt;")</f>
        <v>&lt;/li&gt;&lt;li&gt;&lt;a href=|http://biblebrowser.com/mark/16-1.htm| title=|Split View| target=|_top|&gt;Split&lt;/a&gt;</v>
      </c>
      <c r="AU973" s="2" t="s">
        <v>1276</v>
      </c>
      <c r="AV973" t="s">
        <v>64</v>
      </c>
    </row>
    <row r="974" spans="1:48">
      <c r="A974" t="s">
        <v>622</v>
      </c>
      <c r="B974" t="s">
        <v>1015</v>
      </c>
      <c r="C974" t="s">
        <v>624</v>
      </c>
      <c r="D974" t="s">
        <v>1268</v>
      </c>
      <c r="E974" t="s">
        <v>1277</v>
      </c>
      <c r="F974" t="s">
        <v>1304</v>
      </c>
      <c r="G974" t="s">
        <v>1266</v>
      </c>
      <c r="H974" t="s">
        <v>1305</v>
      </c>
      <c r="I974" t="s">
        <v>1303</v>
      </c>
      <c r="J974" t="s">
        <v>1267</v>
      </c>
      <c r="K974" t="s">
        <v>1275</v>
      </c>
      <c r="L974" s="2" t="s">
        <v>1274</v>
      </c>
      <c r="M974" t="str">
        <f t="shared" ref="M974:AB974" si="3892">CONCATENATE("&lt;/li&gt;&lt;li&gt;&lt;a href=|http://",M1191,"/luke/1.htm","| ","title=|",M1190,"| target=|_top|&gt;",M1192,"&lt;/a&gt;")</f>
        <v>&lt;/li&gt;&lt;li&gt;&lt;a href=|http://niv.scripturetext.com/luke/1.htm| title=|New International Version| target=|_top|&gt;NIV&lt;/a&gt;</v>
      </c>
      <c r="N974" t="str">
        <f t="shared" si="3892"/>
        <v>&lt;/li&gt;&lt;li&gt;&lt;a href=|http://nlt.scripturetext.com/luke/1.htm| title=|New Living Translation| target=|_top|&gt;NLT&lt;/a&gt;</v>
      </c>
      <c r="O974" t="str">
        <f t="shared" si="3892"/>
        <v>&lt;/li&gt;&lt;li&gt;&lt;a href=|http://nasb.scripturetext.com/luke/1.htm| title=|New American Standard Bible| target=|_top|&gt;NAS&lt;/a&gt;</v>
      </c>
      <c r="P974" t="str">
        <f t="shared" si="3892"/>
        <v>&lt;/li&gt;&lt;li&gt;&lt;a href=|http://gwt.scripturetext.com/luke/1.htm| title=|God's Word Translation| target=|_top|&gt;GWT&lt;/a&gt;</v>
      </c>
      <c r="Q974" t="str">
        <f t="shared" si="3892"/>
        <v>&lt;/li&gt;&lt;li&gt;&lt;a href=|http://kingjbible.com/luke/1.htm| title=|King James Bible| target=|_top|&gt;KJV&lt;/a&gt;</v>
      </c>
      <c r="R974" t="str">
        <f t="shared" si="3892"/>
        <v>&lt;/li&gt;&lt;li&gt;&lt;a href=|http://asvbible.com/luke/1.htm| title=|American Standard Version| target=|_top|&gt;ASV&lt;/a&gt;</v>
      </c>
      <c r="S974" t="str">
        <f t="shared" si="3892"/>
        <v>&lt;/li&gt;&lt;li&gt;&lt;a href=|http://drb.scripturetext.com/luke/1.htm| title=|Douay-Rheims Bible| target=|_top|&gt;DRB&lt;/a&gt;</v>
      </c>
      <c r="T974" t="str">
        <f t="shared" si="3892"/>
        <v>&lt;/li&gt;&lt;li&gt;&lt;a href=|http://erv.scripturetext.com/luke/1.htm| title=|English Revised Version| target=|_top|&gt;ERV&lt;/a&gt;</v>
      </c>
      <c r="U974" t="str">
        <f>CONCATENATE("&lt;/li&gt;&lt;li&gt;&lt;a href=|http://",U1191,"/luke/1.htm","| ","title=|",U1190,"| target=|_top|&gt;",U1192,"&lt;/a&gt;")</f>
        <v>&lt;/li&gt;&lt;li&gt;&lt;a href=|http://study.interlinearbible.org/luke/1.htm| title=|Greek Study Bible| target=|_top|&gt;Grk Study&lt;/a&gt;</v>
      </c>
      <c r="W974" t="str">
        <f t="shared" si="3892"/>
        <v>&lt;/li&gt;&lt;li&gt;&lt;a href=|http://apostolic.interlinearbible.org/luke/1.htm| title=|Apostolic Bible Polyglot Interlinear| target=|_top|&gt;Polyglot&lt;/a&gt;</v>
      </c>
      <c r="X974" t="str">
        <f t="shared" si="3892"/>
        <v>&lt;/li&gt;&lt;li&gt;&lt;a href=|http://interlinearbible.org/luke/1.htm| title=|Interlinear Bible| target=|_top|&gt;Interlin&lt;/a&gt;</v>
      </c>
      <c r="Y974" t="str">
        <f t="shared" ref="Y974" si="3893">CONCATENATE("&lt;/li&gt;&lt;li&gt;&lt;a href=|http://",Y1191,"/luke/1.htm","| ","title=|",Y1190,"| target=|_top|&gt;",Y1192,"&lt;/a&gt;")</f>
        <v>&lt;/li&gt;&lt;li&gt;&lt;a href=|http://bibleoutline.org/luke/1.htm| title=|Outline with People and Places List| target=|_top|&gt;Outline&lt;/a&gt;</v>
      </c>
      <c r="Z974" t="str">
        <f t="shared" si="3892"/>
        <v>&lt;/li&gt;&lt;li&gt;&lt;a href=|http://kjvs.scripturetext.com/luke/1.htm| title=|King James Bible with Strong's Numbers| target=|_top|&gt;Strong's&lt;/a&gt;</v>
      </c>
      <c r="AA974" t="str">
        <f t="shared" si="3892"/>
        <v>&lt;/li&gt;&lt;li&gt;&lt;a href=|http://childrensbibleonline.com/luke/1.htm| title=|The Children's Bible| target=|_top|&gt;Children's&lt;/a&gt;</v>
      </c>
      <c r="AB974" s="2" t="str">
        <f t="shared" si="3892"/>
        <v>&lt;/li&gt;&lt;li&gt;&lt;a href=|http://tsk.scripturetext.com/luke/1.htm| title=|Treasury of Scripture Knowledge| target=|_top|&gt;TSK&lt;/a&gt;</v>
      </c>
      <c r="AC974" t="str">
        <f>CONCATENATE("&lt;a href=|http://",AC1191,"/luke/1.htm","| ","title=|",AC1190,"| target=|_top|&gt;",AC1192,"&lt;/a&gt;")</f>
        <v>&lt;a href=|http://parallelbible.com/luke/1.htm| title=|Parallel Chapters| target=|_top|&gt;PAR&lt;/a&gt;</v>
      </c>
      <c r="AD974" s="2" t="str">
        <f t="shared" ref="AD974:AI974" si="3894">CONCATENATE("&lt;/li&gt;&lt;li&gt;&lt;a href=|http://",AD1191,"/luke/1.htm","| ","title=|",AD1190,"| target=|_top|&gt;",AD1192,"&lt;/a&gt;")</f>
        <v>&lt;/li&gt;&lt;li&gt;&lt;a href=|http://gsb.biblecommenter.com/luke/1.htm| title=|Geneva Study Bible| target=|_top|&gt;GSB&lt;/a&gt;</v>
      </c>
      <c r="AE974" s="2" t="str">
        <f t="shared" si="3894"/>
        <v>&lt;/li&gt;&lt;li&gt;&lt;a href=|http://jfb.biblecommenter.com/luke/1.htm| title=|Jamieson-Fausset-Brown Bible Commentary| target=|_top|&gt;JFB&lt;/a&gt;</v>
      </c>
      <c r="AF974" s="2" t="str">
        <f t="shared" si="3894"/>
        <v>&lt;/li&gt;&lt;li&gt;&lt;a href=|http://kjt.biblecommenter.com/luke/1.htm| title=|King James Translators' Notes| target=|_top|&gt;KJT&lt;/a&gt;</v>
      </c>
      <c r="AG974" s="2" t="str">
        <f t="shared" si="3894"/>
        <v>&lt;/li&gt;&lt;li&gt;&lt;a href=|http://mhc.biblecommenter.com/luke/1.htm| title=|Matthew Henry's Concise Commentary| target=|_top|&gt;MHC&lt;/a&gt;</v>
      </c>
      <c r="AH974" s="2" t="str">
        <f t="shared" si="3894"/>
        <v>&lt;/li&gt;&lt;li&gt;&lt;a href=|http://sco.biblecommenter.com/luke/1.htm| title=|Scofield Reference Notes| target=|_top|&gt;SCO&lt;/a&gt;</v>
      </c>
      <c r="AI974" s="2" t="str">
        <f t="shared" si="3894"/>
        <v>&lt;/li&gt;&lt;li&gt;&lt;a href=|http://wes.biblecommenter.com/luke/1.htm| title=|Wesley's Notes on the Bible| target=|_top|&gt;WES&lt;/a&gt;</v>
      </c>
      <c r="AJ974" t="str">
        <f>CONCATENATE("&lt;/li&gt;&lt;li&gt;&lt;a href=|http://",AJ1191,"/luke/1.htm","| ","title=|",AJ1190,"| target=|_top|&gt;",AJ1192,"&lt;/a&gt;")</f>
        <v>&lt;/li&gt;&lt;li&gt;&lt;a href=|http://worldebible.com/luke/1.htm| title=|World English Bible| target=|_top|&gt;WEB&lt;/a&gt;</v>
      </c>
      <c r="AK974" t="str">
        <f>CONCATENATE("&lt;/li&gt;&lt;li&gt;&lt;a href=|http://",AK1191,"/luke/1.htm","| ","title=|",AK1190,"| target=|_top|&gt;",AK1192,"&lt;/a&gt;")</f>
        <v>&lt;/li&gt;&lt;li&gt;&lt;a href=|http://yltbible.com/luke/1.htm| title=|Young's Literal Translation| target=|_top|&gt;YLT&lt;/a&gt;</v>
      </c>
      <c r="AL974" t="str">
        <f>CONCATENATE("&lt;a href=|http://",AL1191,"/luke/1.htm","| ","title=|",AL1190,"| target=|_top|&gt;",AL1192,"&lt;/a&gt;")</f>
        <v>&lt;a href=|http://kjv.us/luke/1.htm| title=|American King James Version| target=|_top|&gt;AKJ&lt;/a&gt;</v>
      </c>
      <c r="AM974" t="str">
        <f t="shared" ref="AM974:AS974" si="3895">CONCATENATE("&lt;/li&gt;&lt;li&gt;&lt;a href=|http://",AM1191,"/luke/1.htm","| ","title=|",AM1190,"| target=|_top|&gt;",AM1192,"&lt;/a&gt;")</f>
        <v>&lt;/li&gt;&lt;li&gt;&lt;a href=|http://basicenglishbible.com/luke/1.htm| title=|Bible in Basic English| target=|_top|&gt;BBE&lt;/a&gt;</v>
      </c>
      <c r="AN974" t="str">
        <f t="shared" si="3895"/>
        <v>&lt;/li&gt;&lt;li&gt;&lt;a href=|http://darbybible.com/luke/1.htm| title=|Darby Bible Translation| target=|_top|&gt;DBY&lt;/a&gt;</v>
      </c>
      <c r="AO974" t="str">
        <f t="shared" si="3895"/>
        <v>&lt;/li&gt;&lt;li&gt;&lt;a href=|http://isv.scripturetext.com/luke/1.htm| title=|International Standard Version| target=|_top|&gt;ISV&lt;/a&gt;</v>
      </c>
      <c r="AP974" t="str">
        <f t="shared" si="3895"/>
        <v>&lt;/li&gt;&lt;li&gt;&lt;a href=|http://tnt.scripturetext.com/luke/1.htm| title=|Tyndale New Testament| target=|_top|&gt;TNT&lt;/a&gt;</v>
      </c>
      <c r="AQ974" s="2" t="str">
        <f t="shared" si="3895"/>
        <v>&lt;/li&gt;&lt;li&gt;&lt;a href=|http://pnt.biblecommenter.com/luke/1.htm| title=|People's New Testament| target=|_top|&gt;PNT&lt;/a&gt;</v>
      </c>
      <c r="AR974" t="str">
        <f t="shared" si="3895"/>
        <v>&lt;/li&gt;&lt;li&gt;&lt;a href=|http://websterbible.com/luke/1.htm| title=|Webster's Bible Translation| target=|_top|&gt;WBS&lt;/a&gt;</v>
      </c>
      <c r="AS974" t="str">
        <f t="shared" si="3895"/>
        <v>&lt;/li&gt;&lt;li&gt;&lt;a href=|http://weymouthbible.com/luke/1.htm| title=|Weymouth New Testament| target=|_top|&gt;WEY&lt;/a&gt;</v>
      </c>
      <c r="AT974" t="str">
        <f>CONCATENATE("&lt;/li&gt;&lt;li&gt;&lt;a href=|http://",AT1191,"/luke/1-1.htm","| ","title=|",AT1190,"| target=|_top|&gt;",AT1192,"&lt;/a&gt;")</f>
        <v>&lt;/li&gt;&lt;li&gt;&lt;a href=|http://biblebrowser.com/luke/1-1.htm| title=|Split View| target=|_top|&gt;Split&lt;/a&gt;</v>
      </c>
      <c r="AU974" s="2" t="s">
        <v>1276</v>
      </c>
      <c r="AV974" t="s">
        <v>64</v>
      </c>
    </row>
    <row r="975" spans="1:48">
      <c r="A975" t="s">
        <v>622</v>
      </c>
      <c r="B975" t="s">
        <v>1016</v>
      </c>
      <c r="C975" t="s">
        <v>624</v>
      </c>
      <c r="D975" t="s">
        <v>1268</v>
      </c>
      <c r="E975" t="s">
        <v>1277</v>
      </c>
      <c r="F975" t="s">
        <v>1304</v>
      </c>
      <c r="G975" t="s">
        <v>1266</v>
      </c>
      <c r="H975" t="s">
        <v>1305</v>
      </c>
      <c r="I975" t="s">
        <v>1303</v>
      </c>
      <c r="J975" t="s">
        <v>1267</v>
      </c>
      <c r="K975" t="s">
        <v>1275</v>
      </c>
      <c r="L975" s="2" t="s">
        <v>1274</v>
      </c>
      <c r="M975" t="str">
        <f t="shared" ref="M975:AB975" si="3896">CONCATENATE("&lt;/li&gt;&lt;li&gt;&lt;a href=|http://",M1191,"/luke/2.htm","| ","title=|",M1190,"| target=|_top|&gt;",M1192,"&lt;/a&gt;")</f>
        <v>&lt;/li&gt;&lt;li&gt;&lt;a href=|http://niv.scripturetext.com/luke/2.htm| title=|New International Version| target=|_top|&gt;NIV&lt;/a&gt;</v>
      </c>
      <c r="N975" t="str">
        <f t="shared" si="3896"/>
        <v>&lt;/li&gt;&lt;li&gt;&lt;a href=|http://nlt.scripturetext.com/luke/2.htm| title=|New Living Translation| target=|_top|&gt;NLT&lt;/a&gt;</v>
      </c>
      <c r="O975" t="str">
        <f t="shared" si="3896"/>
        <v>&lt;/li&gt;&lt;li&gt;&lt;a href=|http://nasb.scripturetext.com/luke/2.htm| title=|New American Standard Bible| target=|_top|&gt;NAS&lt;/a&gt;</v>
      </c>
      <c r="P975" t="str">
        <f t="shared" si="3896"/>
        <v>&lt;/li&gt;&lt;li&gt;&lt;a href=|http://gwt.scripturetext.com/luke/2.htm| title=|God's Word Translation| target=|_top|&gt;GWT&lt;/a&gt;</v>
      </c>
      <c r="Q975" t="str">
        <f t="shared" si="3896"/>
        <v>&lt;/li&gt;&lt;li&gt;&lt;a href=|http://kingjbible.com/luke/2.htm| title=|King James Bible| target=|_top|&gt;KJV&lt;/a&gt;</v>
      </c>
      <c r="R975" t="str">
        <f t="shared" si="3896"/>
        <v>&lt;/li&gt;&lt;li&gt;&lt;a href=|http://asvbible.com/luke/2.htm| title=|American Standard Version| target=|_top|&gt;ASV&lt;/a&gt;</v>
      </c>
      <c r="S975" t="str">
        <f t="shared" si="3896"/>
        <v>&lt;/li&gt;&lt;li&gt;&lt;a href=|http://drb.scripturetext.com/luke/2.htm| title=|Douay-Rheims Bible| target=|_top|&gt;DRB&lt;/a&gt;</v>
      </c>
      <c r="T975" t="str">
        <f t="shared" si="3896"/>
        <v>&lt;/li&gt;&lt;li&gt;&lt;a href=|http://erv.scripturetext.com/luke/2.htm| title=|English Revised Version| target=|_top|&gt;ERV&lt;/a&gt;</v>
      </c>
      <c r="U975" t="str">
        <f>CONCATENATE("&lt;/li&gt;&lt;li&gt;&lt;a href=|http://",U1191,"/luke/2.htm","| ","title=|",U1190,"| target=|_top|&gt;",U1192,"&lt;/a&gt;")</f>
        <v>&lt;/li&gt;&lt;li&gt;&lt;a href=|http://study.interlinearbible.org/luke/2.htm| title=|Greek Study Bible| target=|_top|&gt;Grk Study&lt;/a&gt;</v>
      </c>
      <c r="W975" t="str">
        <f t="shared" si="3896"/>
        <v>&lt;/li&gt;&lt;li&gt;&lt;a href=|http://apostolic.interlinearbible.org/luke/2.htm| title=|Apostolic Bible Polyglot Interlinear| target=|_top|&gt;Polyglot&lt;/a&gt;</v>
      </c>
      <c r="X975" t="str">
        <f t="shared" si="3896"/>
        <v>&lt;/li&gt;&lt;li&gt;&lt;a href=|http://interlinearbible.org/luke/2.htm| title=|Interlinear Bible| target=|_top|&gt;Interlin&lt;/a&gt;</v>
      </c>
      <c r="Y975" t="str">
        <f t="shared" ref="Y975" si="3897">CONCATENATE("&lt;/li&gt;&lt;li&gt;&lt;a href=|http://",Y1191,"/luke/2.htm","| ","title=|",Y1190,"| target=|_top|&gt;",Y1192,"&lt;/a&gt;")</f>
        <v>&lt;/li&gt;&lt;li&gt;&lt;a href=|http://bibleoutline.org/luke/2.htm| title=|Outline with People and Places List| target=|_top|&gt;Outline&lt;/a&gt;</v>
      </c>
      <c r="Z975" t="str">
        <f t="shared" si="3896"/>
        <v>&lt;/li&gt;&lt;li&gt;&lt;a href=|http://kjvs.scripturetext.com/luke/2.htm| title=|King James Bible with Strong's Numbers| target=|_top|&gt;Strong's&lt;/a&gt;</v>
      </c>
      <c r="AA975" t="str">
        <f t="shared" si="3896"/>
        <v>&lt;/li&gt;&lt;li&gt;&lt;a href=|http://childrensbibleonline.com/luke/2.htm| title=|The Children's Bible| target=|_top|&gt;Children's&lt;/a&gt;</v>
      </c>
      <c r="AB975" s="2" t="str">
        <f t="shared" si="3896"/>
        <v>&lt;/li&gt;&lt;li&gt;&lt;a href=|http://tsk.scripturetext.com/luke/2.htm| title=|Treasury of Scripture Knowledge| target=|_top|&gt;TSK&lt;/a&gt;</v>
      </c>
      <c r="AC975" t="str">
        <f>CONCATENATE("&lt;a href=|http://",AC1191,"/luke/2.htm","| ","title=|",AC1190,"| target=|_top|&gt;",AC1192,"&lt;/a&gt;")</f>
        <v>&lt;a href=|http://parallelbible.com/luke/2.htm| title=|Parallel Chapters| target=|_top|&gt;PAR&lt;/a&gt;</v>
      </c>
      <c r="AD975" s="2" t="str">
        <f t="shared" ref="AD975:AI975" si="3898">CONCATENATE("&lt;/li&gt;&lt;li&gt;&lt;a href=|http://",AD1191,"/luke/2.htm","| ","title=|",AD1190,"| target=|_top|&gt;",AD1192,"&lt;/a&gt;")</f>
        <v>&lt;/li&gt;&lt;li&gt;&lt;a href=|http://gsb.biblecommenter.com/luke/2.htm| title=|Geneva Study Bible| target=|_top|&gt;GSB&lt;/a&gt;</v>
      </c>
      <c r="AE975" s="2" t="str">
        <f t="shared" si="3898"/>
        <v>&lt;/li&gt;&lt;li&gt;&lt;a href=|http://jfb.biblecommenter.com/luke/2.htm| title=|Jamieson-Fausset-Brown Bible Commentary| target=|_top|&gt;JFB&lt;/a&gt;</v>
      </c>
      <c r="AF975" s="2" t="str">
        <f t="shared" si="3898"/>
        <v>&lt;/li&gt;&lt;li&gt;&lt;a href=|http://kjt.biblecommenter.com/luke/2.htm| title=|King James Translators' Notes| target=|_top|&gt;KJT&lt;/a&gt;</v>
      </c>
      <c r="AG975" s="2" t="str">
        <f t="shared" si="3898"/>
        <v>&lt;/li&gt;&lt;li&gt;&lt;a href=|http://mhc.biblecommenter.com/luke/2.htm| title=|Matthew Henry's Concise Commentary| target=|_top|&gt;MHC&lt;/a&gt;</v>
      </c>
      <c r="AH975" s="2" t="str">
        <f t="shared" si="3898"/>
        <v>&lt;/li&gt;&lt;li&gt;&lt;a href=|http://sco.biblecommenter.com/luke/2.htm| title=|Scofield Reference Notes| target=|_top|&gt;SCO&lt;/a&gt;</v>
      </c>
      <c r="AI975" s="2" t="str">
        <f t="shared" si="3898"/>
        <v>&lt;/li&gt;&lt;li&gt;&lt;a href=|http://wes.biblecommenter.com/luke/2.htm| title=|Wesley's Notes on the Bible| target=|_top|&gt;WES&lt;/a&gt;</v>
      </c>
      <c r="AJ975" t="str">
        <f>CONCATENATE("&lt;/li&gt;&lt;li&gt;&lt;a href=|http://",AJ1191,"/luke/2.htm","| ","title=|",AJ1190,"| target=|_top|&gt;",AJ1192,"&lt;/a&gt;")</f>
        <v>&lt;/li&gt;&lt;li&gt;&lt;a href=|http://worldebible.com/luke/2.htm| title=|World English Bible| target=|_top|&gt;WEB&lt;/a&gt;</v>
      </c>
      <c r="AK975" t="str">
        <f>CONCATENATE("&lt;/li&gt;&lt;li&gt;&lt;a href=|http://",AK1191,"/luke/2.htm","| ","title=|",AK1190,"| target=|_top|&gt;",AK1192,"&lt;/a&gt;")</f>
        <v>&lt;/li&gt;&lt;li&gt;&lt;a href=|http://yltbible.com/luke/2.htm| title=|Young's Literal Translation| target=|_top|&gt;YLT&lt;/a&gt;</v>
      </c>
      <c r="AL975" t="str">
        <f>CONCATENATE("&lt;a href=|http://",AL1191,"/luke/2.htm","| ","title=|",AL1190,"| target=|_top|&gt;",AL1192,"&lt;/a&gt;")</f>
        <v>&lt;a href=|http://kjv.us/luke/2.htm| title=|American King James Version| target=|_top|&gt;AKJ&lt;/a&gt;</v>
      </c>
      <c r="AM975" t="str">
        <f t="shared" ref="AM975:AS975" si="3899">CONCATENATE("&lt;/li&gt;&lt;li&gt;&lt;a href=|http://",AM1191,"/luke/2.htm","| ","title=|",AM1190,"| target=|_top|&gt;",AM1192,"&lt;/a&gt;")</f>
        <v>&lt;/li&gt;&lt;li&gt;&lt;a href=|http://basicenglishbible.com/luke/2.htm| title=|Bible in Basic English| target=|_top|&gt;BBE&lt;/a&gt;</v>
      </c>
      <c r="AN975" t="str">
        <f t="shared" si="3899"/>
        <v>&lt;/li&gt;&lt;li&gt;&lt;a href=|http://darbybible.com/luke/2.htm| title=|Darby Bible Translation| target=|_top|&gt;DBY&lt;/a&gt;</v>
      </c>
      <c r="AO975" t="str">
        <f t="shared" si="3899"/>
        <v>&lt;/li&gt;&lt;li&gt;&lt;a href=|http://isv.scripturetext.com/luke/2.htm| title=|International Standard Version| target=|_top|&gt;ISV&lt;/a&gt;</v>
      </c>
      <c r="AP975" t="str">
        <f t="shared" si="3899"/>
        <v>&lt;/li&gt;&lt;li&gt;&lt;a href=|http://tnt.scripturetext.com/luke/2.htm| title=|Tyndale New Testament| target=|_top|&gt;TNT&lt;/a&gt;</v>
      </c>
      <c r="AQ975" s="2" t="str">
        <f t="shared" si="3899"/>
        <v>&lt;/li&gt;&lt;li&gt;&lt;a href=|http://pnt.biblecommenter.com/luke/2.htm| title=|People's New Testament| target=|_top|&gt;PNT&lt;/a&gt;</v>
      </c>
      <c r="AR975" t="str">
        <f t="shared" si="3899"/>
        <v>&lt;/li&gt;&lt;li&gt;&lt;a href=|http://websterbible.com/luke/2.htm| title=|Webster's Bible Translation| target=|_top|&gt;WBS&lt;/a&gt;</v>
      </c>
      <c r="AS975" t="str">
        <f t="shared" si="3899"/>
        <v>&lt;/li&gt;&lt;li&gt;&lt;a href=|http://weymouthbible.com/luke/2.htm| title=|Weymouth New Testament| target=|_top|&gt;WEY&lt;/a&gt;</v>
      </c>
      <c r="AT975" t="str">
        <f>CONCATENATE("&lt;/li&gt;&lt;li&gt;&lt;a href=|http://",AT1191,"/luke/2-1.htm","| ","title=|",AT1190,"| target=|_top|&gt;",AT1192,"&lt;/a&gt;")</f>
        <v>&lt;/li&gt;&lt;li&gt;&lt;a href=|http://biblebrowser.com/luke/2-1.htm| title=|Split View| target=|_top|&gt;Split&lt;/a&gt;</v>
      </c>
      <c r="AU975" s="2" t="s">
        <v>1276</v>
      </c>
      <c r="AV975" t="s">
        <v>64</v>
      </c>
    </row>
    <row r="976" spans="1:48">
      <c r="A976" t="s">
        <v>622</v>
      </c>
      <c r="B976" t="s">
        <v>1017</v>
      </c>
      <c r="C976" t="s">
        <v>624</v>
      </c>
      <c r="D976" t="s">
        <v>1268</v>
      </c>
      <c r="E976" t="s">
        <v>1277</v>
      </c>
      <c r="F976" t="s">
        <v>1304</v>
      </c>
      <c r="G976" t="s">
        <v>1266</v>
      </c>
      <c r="H976" t="s">
        <v>1305</v>
      </c>
      <c r="I976" t="s">
        <v>1303</v>
      </c>
      <c r="J976" t="s">
        <v>1267</v>
      </c>
      <c r="K976" t="s">
        <v>1275</v>
      </c>
      <c r="L976" s="2" t="s">
        <v>1274</v>
      </c>
      <c r="M976" t="str">
        <f t="shared" ref="M976:AB976" si="3900">CONCATENATE("&lt;/li&gt;&lt;li&gt;&lt;a href=|http://",M1191,"/luke/3.htm","| ","title=|",M1190,"| target=|_top|&gt;",M1192,"&lt;/a&gt;")</f>
        <v>&lt;/li&gt;&lt;li&gt;&lt;a href=|http://niv.scripturetext.com/luke/3.htm| title=|New International Version| target=|_top|&gt;NIV&lt;/a&gt;</v>
      </c>
      <c r="N976" t="str">
        <f t="shared" si="3900"/>
        <v>&lt;/li&gt;&lt;li&gt;&lt;a href=|http://nlt.scripturetext.com/luke/3.htm| title=|New Living Translation| target=|_top|&gt;NLT&lt;/a&gt;</v>
      </c>
      <c r="O976" t="str">
        <f t="shared" si="3900"/>
        <v>&lt;/li&gt;&lt;li&gt;&lt;a href=|http://nasb.scripturetext.com/luke/3.htm| title=|New American Standard Bible| target=|_top|&gt;NAS&lt;/a&gt;</v>
      </c>
      <c r="P976" t="str">
        <f t="shared" si="3900"/>
        <v>&lt;/li&gt;&lt;li&gt;&lt;a href=|http://gwt.scripturetext.com/luke/3.htm| title=|God's Word Translation| target=|_top|&gt;GWT&lt;/a&gt;</v>
      </c>
      <c r="Q976" t="str">
        <f t="shared" si="3900"/>
        <v>&lt;/li&gt;&lt;li&gt;&lt;a href=|http://kingjbible.com/luke/3.htm| title=|King James Bible| target=|_top|&gt;KJV&lt;/a&gt;</v>
      </c>
      <c r="R976" t="str">
        <f t="shared" si="3900"/>
        <v>&lt;/li&gt;&lt;li&gt;&lt;a href=|http://asvbible.com/luke/3.htm| title=|American Standard Version| target=|_top|&gt;ASV&lt;/a&gt;</v>
      </c>
      <c r="S976" t="str">
        <f t="shared" si="3900"/>
        <v>&lt;/li&gt;&lt;li&gt;&lt;a href=|http://drb.scripturetext.com/luke/3.htm| title=|Douay-Rheims Bible| target=|_top|&gt;DRB&lt;/a&gt;</v>
      </c>
      <c r="T976" t="str">
        <f t="shared" si="3900"/>
        <v>&lt;/li&gt;&lt;li&gt;&lt;a href=|http://erv.scripturetext.com/luke/3.htm| title=|English Revised Version| target=|_top|&gt;ERV&lt;/a&gt;</v>
      </c>
      <c r="U976" t="str">
        <f>CONCATENATE("&lt;/li&gt;&lt;li&gt;&lt;a href=|http://",U1191,"/luke/3.htm","| ","title=|",U1190,"| target=|_top|&gt;",U1192,"&lt;/a&gt;")</f>
        <v>&lt;/li&gt;&lt;li&gt;&lt;a href=|http://study.interlinearbible.org/luke/3.htm| title=|Greek Study Bible| target=|_top|&gt;Grk Study&lt;/a&gt;</v>
      </c>
      <c r="W976" t="str">
        <f t="shared" si="3900"/>
        <v>&lt;/li&gt;&lt;li&gt;&lt;a href=|http://apostolic.interlinearbible.org/luke/3.htm| title=|Apostolic Bible Polyglot Interlinear| target=|_top|&gt;Polyglot&lt;/a&gt;</v>
      </c>
      <c r="X976" t="str">
        <f t="shared" si="3900"/>
        <v>&lt;/li&gt;&lt;li&gt;&lt;a href=|http://interlinearbible.org/luke/3.htm| title=|Interlinear Bible| target=|_top|&gt;Interlin&lt;/a&gt;</v>
      </c>
      <c r="Y976" t="str">
        <f t="shared" ref="Y976" si="3901">CONCATENATE("&lt;/li&gt;&lt;li&gt;&lt;a href=|http://",Y1191,"/luke/3.htm","| ","title=|",Y1190,"| target=|_top|&gt;",Y1192,"&lt;/a&gt;")</f>
        <v>&lt;/li&gt;&lt;li&gt;&lt;a href=|http://bibleoutline.org/luke/3.htm| title=|Outline with People and Places List| target=|_top|&gt;Outline&lt;/a&gt;</v>
      </c>
      <c r="Z976" t="str">
        <f t="shared" si="3900"/>
        <v>&lt;/li&gt;&lt;li&gt;&lt;a href=|http://kjvs.scripturetext.com/luke/3.htm| title=|King James Bible with Strong's Numbers| target=|_top|&gt;Strong's&lt;/a&gt;</v>
      </c>
      <c r="AA976" t="str">
        <f t="shared" si="3900"/>
        <v>&lt;/li&gt;&lt;li&gt;&lt;a href=|http://childrensbibleonline.com/luke/3.htm| title=|The Children's Bible| target=|_top|&gt;Children's&lt;/a&gt;</v>
      </c>
      <c r="AB976" s="2" t="str">
        <f t="shared" si="3900"/>
        <v>&lt;/li&gt;&lt;li&gt;&lt;a href=|http://tsk.scripturetext.com/luke/3.htm| title=|Treasury of Scripture Knowledge| target=|_top|&gt;TSK&lt;/a&gt;</v>
      </c>
      <c r="AC976" t="str">
        <f>CONCATENATE("&lt;a href=|http://",AC1191,"/luke/3.htm","| ","title=|",AC1190,"| target=|_top|&gt;",AC1192,"&lt;/a&gt;")</f>
        <v>&lt;a href=|http://parallelbible.com/luke/3.htm| title=|Parallel Chapters| target=|_top|&gt;PAR&lt;/a&gt;</v>
      </c>
      <c r="AD976" s="2" t="str">
        <f t="shared" ref="AD976:AI976" si="3902">CONCATENATE("&lt;/li&gt;&lt;li&gt;&lt;a href=|http://",AD1191,"/luke/3.htm","| ","title=|",AD1190,"| target=|_top|&gt;",AD1192,"&lt;/a&gt;")</f>
        <v>&lt;/li&gt;&lt;li&gt;&lt;a href=|http://gsb.biblecommenter.com/luke/3.htm| title=|Geneva Study Bible| target=|_top|&gt;GSB&lt;/a&gt;</v>
      </c>
      <c r="AE976" s="2" t="str">
        <f t="shared" si="3902"/>
        <v>&lt;/li&gt;&lt;li&gt;&lt;a href=|http://jfb.biblecommenter.com/luke/3.htm| title=|Jamieson-Fausset-Brown Bible Commentary| target=|_top|&gt;JFB&lt;/a&gt;</v>
      </c>
      <c r="AF976" s="2" t="str">
        <f t="shared" si="3902"/>
        <v>&lt;/li&gt;&lt;li&gt;&lt;a href=|http://kjt.biblecommenter.com/luke/3.htm| title=|King James Translators' Notes| target=|_top|&gt;KJT&lt;/a&gt;</v>
      </c>
      <c r="AG976" s="2" t="str">
        <f t="shared" si="3902"/>
        <v>&lt;/li&gt;&lt;li&gt;&lt;a href=|http://mhc.biblecommenter.com/luke/3.htm| title=|Matthew Henry's Concise Commentary| target=|_top|&gt;MHC&lt;/a&gt;</v>
      </c>
      <c r="AH976" s="2" t="str">
        <f t="shared" si="3902"/>
        <v>&lt;/li&gt;&lt;li&gt;&lt;a href=|http://sco.biblecommenter.com/luke/3.htm| title=|Scofield Reference Notes| target=|_top|&gt;SCO&lt;/a&gt;</v>
      </c>
      <c r="AI976" s="2" t="str">
        <f t="shared" si="3902"/>
        <v>&lt;/li&gt;&lt;li&gt;&lt;a href=|http://wes.biblecommenter.com/luke/3.htm| title=|Wesley's Notes on the Bible| target=|_top|&gt;WES&lt;/a&gt;</v>
      </c>
      <c r="AJ976" t="str">
        <f>CONCATENATE("&lt;/li&gt;&lt;li&gt;&lt;a href=|http://",AJ1191,"/luke/3.htm","| ","title=|",AJ1190,"| target=|_top|&gt;",AJ1192,"&lt;/a&gt;")</f>
        <v>&lt;/li&gt;&lt;li&gt;&lt;a href=|http://worldebible.com/luke/3.htm| title=|World English Bible| target=|_top|&gt;WEB&lt;/a&gt;</v>
      </c>
      <c r="AK976" t="str">
        <f>CONCATENATE("&lt;/li&gt;&lt;li&gt;&lt;a href=|http://",AK1191,"/luke/3.htm","| ","title=|",AK1190,"| target=|_top|&gt;",AK1192,"&lt;/a&gt;")</f>
        <v>&lt;/li&gt;&lt;li&gt;&lt;a href=|http://yltbible.com/luke/3.htm| title=|Young's Literal Translation| target=|_top|&gt;YLT&lt;/a&gt;</v>
      </c>
      <c r="AL976" t="str">
        <f>CONCATENATE("&lt;a href=|http://",AL1191,"/luke/3.htm","| ","title=|",AL1190,"| target=|_top|&gt;",AL1192,"&lt;/a&gt;")</f>
        <v>&lt;a href=|http://kjv.us/luke/3.htm| title=|American King James Version| target=|_top|&gt;AKJ&lt;/a&gt;</v>
      </c>
      <c r="AM976" t="str">
        <f t="shared" ref="AM976:AS976" si="3903">CONCATENATE("&lt;/li&gt;&lt;li&gt;&lt;a href=|http://",AM1191,"/luke/3.htm","| ","title=|",AM1190,"| target=|_top|&gt;",AM1192,"&lt;/a&gt;")</f>
        <v>&lt;/li&gt;&lt;li&gt;&lt;a href=|http://basicenglishbible.com/luke/3.htm| title=|Bible in Basic English| target=|_top|&gt;BBE&lt;/a&gt;</v>
      </c>
      <c r="AN976" t="str">
        <f t="shared" si="3903"/>
        <v>&lt;/li&gt;&lt;li&gt;&lt;a href=|http://darbybible.com/luke/3.htm| title=|Darby Bible Translation| target=|_top|&gt;DBY&lt;/a&gt;</v>
      </c>
      <c r="AO976" t="str">
        <f t="shared" si="3903"/>
        <v>&lt;/li&gt;&lt;li&gt;&lt;a href=|http://isv.scripturetext.com/luke/3.htm| title=|International Standard Version| target=|_top|&gt;ISV&lt;/a&gt;</v>
      </c>
      <c r="AP976" t="str">
        <f t="shared" si="3903"/>
        <v>&lt;/li&gt;&lt;li&gt;&lt;a href=|http://tnt.scripturetext.com/luke/3.htm| title=|Tyndale New Testament| target=|_top|&gt;TNT&lt;/a&gt;</v>
      </c>
      <c r="AQ976" s="2" t="str">
        <f t="shared" si="3903"/>
        <v>&lt;/li&gt;&lt;li&gt;&lt;a href=|http://pnt.biblecommenter.com/luke/3.htm| title=|People's New Testament| target=|_top|&gt;PNT&lt;/a&gt;</v>
      </c>
      <c r="AR976" t="str">
        <f t="shared" si="3903"/>
        <v>&lt;/li&gt;&lt;li&gt;&lt;a href=|http://websterbible.com/luke/3.htm| title=|Webster's Bible Translation| target=|_top|&gt;WBS&lt;/a&gt;</v>
      </c>
      <c r="AS976" t="str">
        <f t="shared" si="3903"/>
        <v>&lt;/li&gt;&lt;li&gt;&lt;a href=|http://weymouthbible.com/luke/3.htm| title=|Weymouth New Testament| target=|_top|&gt;WEY&lt;/a&gt;</v>
      </c>
      <c r="AT976" t="str">
        <f>CONCATENATE("&lt;/li&gt;&lt;li&gt;&lt;a href=|http://",AT1191,"/luke/3-1.htm","| ","title=|",AT1190,"| target=|_top|&gt;",AT1192,"&lt;/a&gt;")</f>
        <v>&lt;/li&gt;&lt;li&gt;&lt;a href=|http://biblebrowser.com/luke/3-1.htm| title=|Split View| target=|_top|&gt;Split&lt;/a&gt;</v>
      </c>
      <c r="AU976" s="2" t="s">
        <v>1276</v>
      </c>
      <c r="AV976" t="s">
        <v>64</v>
      </c>
    </row>
    <row r="977" spans="1:48">
      <c r="A977" t="s">
        <v>622</v>
      </c>
      <c r="B977" t="s">
        <v>1018</v>
      </c>
      <c r="C977" t="s">
        <v>624</v>
      </c>
      <c r="D977" t="s">
        <v>1268</v>
      </c>
      <c r="E977" t="s">
        <v>1277</v>
      </c>
      <c r="F977" t="s">
        <v>1304</v>
      </c>
      <c r="G977" t="s">
        <v>1266</v>
      </c>
      <c r="H977" t="s">
        <v>1305</v>
      </c>
      <c r="I977" t="s">
        <v>1303</v>
      </c>
      <c r="J977" t="s">
        <v>1267</v>
      </c>
      <c r="K977" t="s">
        <v>1275</v>
      </c>
      <c r="L977" s="2" t="s">
        <v>1274</v>
      </c>
      <c r="M977" t="str">
        <f t="shared" ref="M977:AB977" si="3904">CONCATENATE("&lt;/li&gt;&lt;li&gt;&lt;a href=|http://",M1191,"/luke/4.htm","| ","title=|",M1190,"| target=|_top|&gt;",M1192,"&lt;/a&gt;")</f>
        <v>&lt;/li&gt;&lt;li&gt;&lt;a href=|http://niv.scripturetext.com/luke/4.htm| title=|New International Version| target=|_top|&gt;NIV&lt;/a&gt;</v>
      </c>
      <c r="N977" t="str">
        <f t="shared" si="3904"/>
        <v>&lt;/li&gt;&lt;li&gt;&lt;a href=|http://nlt.scripturetext.com/luke/4.htm| title=|New Living Translation| target=|_top|&gt;NLT&lt;/a&gt;</v>
      </c>
      <c r="O977" t="str">
        <f t="shared" si="3904"/>
        <v>&lt;/li&gt;&lt;li&gt;&lt;a href=|http://nasb.scripturetext.com/luke/4.htm| title=|New American Standard Bible| target=|_top|&gt;NAS&lt;/a&gt;</v>
      </c>
      <c r="P977" t="str">
        <f t="shared" si="3904"/>
        <v>&lt;/li&gt;&lt;li&gt;&lt;a href=|http://gwt.scripturetext.com/luke/4.htm| title=|God's Word Translation| target=|_top|&gt;GWT&lt;/a&gt;</v>
      </c>
      <c r="Q977" t="str">
        <f t="shared" si="3904"/>
        <v>&lt;/li&gt;&lt;li&gt;&lt;a href=|http://kingjbible.com/luke/4.htm| title=|King James Bible| target=|_top|&gt;KJV&lt;/a&gt;</v>
      </c>
      <c r="R977" t="str">
        <f t="shared" si="3904"/>
        <v>&lt;/li&gt;&lt;li&gt;&lt;a href=|http://asvbible.com/luke/4.htm| title=|American Standard Version| target=|_top|&gt;ASV&lt;/a&gt;</v>
      </c>
      <c r="S977" t="str">
        <f t="shared" si="3904"/>
        <v>&lt;/li&gt;&lt;li&gt;&lt;a href=|http://drb.scripturetext.com/luke/4.htm| title=|Douay-Rheims Bible| target=|_top|&gt;DRB&lt;/a&gt;</v>
      </c>
      <c r="T977" t="str">
        <f t="shared" si="3904"/>
        <v>&lt;/li&gt;&lt;li&gt;&lt;a href=|http://erv.scripturetext.com/luke/4.htm| title=|English Revised Version| target=|_top|&gt;ERV&lt;/a&gt;</v>
      </c>
      <c r="U977" t="str">
        <f>CONCATENATE("&lt;/li&gt;&lt;li&gt;&lt;a href=|http://",U1191,"/luke/4.htm","| ","title=|",U1190,"| target=|_top|&gt;",U1192,"&lt;/a&gt;")</f>
        <v>&lt;/li&gt;&lt;li&gt;&lt;a href=|http://study.interlinearbible.org/luke/4.htm| title=|Greek Study Bible| target=|_top|&gt;Grk Study&lt;/a&gt;</v>
      </c>
      <c r="W977" t="str">
        <f t="shared" si="3904"/>
        <v>&lt;/li&gt;&lt;li&gt;&lt;a href=|http://apostolic.interlinearbible.org/luke/4.htm| title=|Apostolic Bible Polyglot Interlinear| target=|_top|&gt;Polyglot&lt;/a&gt;</v>
      </c>
      <c r="X977" t="str">
        <f t="shared" si="3904"/>
        <v>&lt;/li&gt;&lt;li&gt;&lt;a href=|http://interlinearbible.org/luke/4.htm| title=|Interlinear Bible| target=|_top|&gt;Interlin&lt;/a&gt;</v>
      </c>
      <c r="Y977" t="str">
        <f t="shared" ref="Y977" si="3905">CONCATENATE("&lt;/li&gt;&lt;li&gt;&lt;a href=|http://",Y1191,"/luke/4.htm","| ","title=|",Y1190,"| target=|_top|&gt;",Y1192,"&lt;/a&gt;")</f>
        <v>&lt;/li&gt;&lt;li&gt;&lt;a href=|http://bibleoutline.org/luke/4.htm| title=|Outline with People and Places List| target=|_top|&gt;Outline&lt;/a&gt;</v>
      </c>
      <c r="Z977" t="str">
        <f t="shared" si="3904"/>
        <v>&lt;/li&gt;&lt;li&gt;&lt;a href=|http://kjvs.scripturetext.com/luke/4.htm| title=|King James Bible with Strong's Numbers| target=|_top|&gt;Strong's&lt;/a&gt;</v>
      </c>
      <c r="AA977" t="str">
        <f t="shared" si="3904"/>
        <v>&lt;/li&gt;&lt;li&gt;&lt;a href=|http://childrensbibleonline.com/luke/4.htm| title=|The Children's Bible| target=|_top|&gt;Children's&lt;/a&gt;</v>
      </c>
      <c r="AB977" s="2" t="str">
        <f t="shared" si="3904"/>
        <v>&lt;/li&gt;&lt;li&gt;&lt;a href=|http://tsk.scripturetext.com/luke/4.htm| title=|Treasury of Scripture Knowledge| target=|_top|&gt;TSK&lt;/a&gt;</v>
      </c>
      <c r="AC977" t="str">
        <f>CONCATENATE("&lt;a href=|http://",AC1191,"/luke/4.htm","| ","title=|",AC1190,"| target=|_top|&gt;",AC1192,"&lt;/a&gt;")</f>
        <v>&lt;a href=|http://parallelbible.com/luke/4.htm| title=|Parallel Chapters| target=|_top|&gt;PAR&lt;/a&gt;</v>
      </c>
      <c r="AD977" s="2" t="str">
        <f t="shared" ref="AD977:AI977" si="3906">CONCATENATE("&lt;/li&gt;&lt;li&gt;&lt;a href=|http://",AD1191,"/luke/4.htm","| ","title=|",AD1190,"| target=|_top|&gt;",AD1192,"&lt;/a&gt;")</f>
        <v>&lt;/li&gt;&lt;li&gt;&lt;a href=|http://gsb.biblecommenter.com/luke/4.htm| title=|Geneva Study Bible| target=|_top|&gt;GSB&lt;/a&gt;</v>
      </c>
      <c r="AE977" s="2" t="str">
        <f t="shared" si="3906"/>
        <v>&lt;/li&gt;&lt;li&gt;&lt;a href=|http://jfb.biblecommenter.com/luke/4.htm| title=|Jamieson-Fausset-Brown Bible Commentary| target=|_top|&gt;JFB&lt;/a&gt;</v>
      </c>
      <c r="AF977" s="2" t="str">
        <f t="shared" si="3906"/>
        <v>&lt;/li&gt;&lt;li&gt;&lt;a href=|http://kjt.biblecommenter.com/luke/4.htm| title=|King James Translators' Notes| target=|_top|&gt;KJT&lt;/a&gt;</v>
      </c>
      <c r="AG977" s="2" t="str">
        <f t="shared" si="3906"/>
        <v>&lt;/li&gt;&lt;li&gt;&lt;a href=|http://mhc.biblecommenter.com/luke/4.htm| title=|Matthew Henry's Concise Commentary| target=|_top|&gt;MHC&lt;/a&gt;</v>
      </c>
      <c r="AH977" s="2" t="str">
        <f t="shared" si="3906"/>
        <v>&lt;/li&gt;&lt;li&gt;&lt;a href=|http://sco.biblecommenter.com/luke/4.htm| title=|Scofield Reference Notes| target=|_top|&gt;SCO&lt;/a&gt;</v>
      </c>
      <c r="AI977" s="2" t="str">
        <f t="shared" si="3906"/>
        <v>&lt;/li&gt;&lt;li&gt;&lt;a href=|http://wes.biblecommenter.com/luke/4.htm| title=|Wesley's Notes on the Bible| target=|_top|&gt;WES&lt;/a&gt;</v>
      </c>
      <c r="AJ977" t="str">
        <f>CONCATENATE("&lt;/li&gt;&lt;li&gt;&lt;a href=|http://",AJ1191,"/luke/4.htm","| ","title=|",AJ1190,"| target=|_top|&gt;",AJ1192,"&lt;/a&gt;")</f>
        <v>&lt;/li&gt;&lt;li&gt;&lt;a href=|http://worldebible.com/luke/4.htm| title=|World English Bible| target=|_top|&gt;WEB&lt;/a&gt;</v>
      </c>
      <c r="AK977" t="str">
        <f>CONCATENATE("&lt;/li&gt;&lt;li&gt;&lt;a href=|http://",AK1191,"/luke/4.htm","| ","title=|",AK1190,"| target=|_top|&gt;",AK1192,"&lt;/a&gt;")</f>
        <v>&lt;/li&gt;&lt;li&gt;&lt;a href=|http://yltbible.com/luke/4.htm| title=|Young's Literal Translation| target=|_top|&gt;YLT&lt;/a&gt;</v>
      </c>
      <c r="AL977" t="str">
        <f>CONCATENATE("&lt;a href=|http://",AL1191,"/luke/4.htm","| ","title=|",AL1190,"| target=|_top|&gt;",AL1192,"&lt;/a&gt;")</f>
        <v>&lt;a href=|http://kjv.us/luke/4.htm| title=|American King James Version| target=|_top|&gt;AKJ&lt;/a&gt;</v>
      </c>
      <c r="AM977" t="str">
        <f t="shared" ref="AM977:AS977" si="3907">CONCATENATE("&lt;/li&gt;&lt;li&gt;&lt;a href=|http://",AM1191,"/luke/4.htm","| ","title=|",AM1190,"| target=|_top|&gt;",AM1192,"&lt;/a&gt;")</f>
        <v>&lt;/li&gt;&lt;li&gt;&lt;a href=|http://basicenglishbible.com/luke/4.htm| title=|Bible in Basic English| target=|_top|&gt;BBE&lt;/a&gt;</v>
      </c>
      <c r="AN977" t="str">
        <f t="shared" si="3907"/>
        <v>&lt;/li&gt;&lt;li&gt;&lt;a href=|http://darbybible.com/luke/4.htm| title=|Darby Bible Translation| target=|_top|&gt;DBY&lt;/a&gt;</v>
      </c>
      <c r="AO977" t="str">
        <f t="shared" si="3907"/>
        <v>&lt;/li&gt;&lt;li&gt;&lt;a href=|http://isv.scripturetext.com/luke/4.htm| title=|International Standard Version| target=|_top|&gt;ISV&lt;/a&gt;</v>
      </c>
      <c r="AP977" t="str">
        <f t="shared" si="3907"/>
        <v>&lt;/li&gt;&lt;li&gt;&lt;a href=|http://tnt.scripturetext.com/luke/4.htm| title=|Tyndale New Testament| target=|_top|&gt;TNT&lt;/a&gt;</v>
      </c>
      <c r="AQ977" s="2" t="str">
        <f t="shared" si="3907"/>
        <v>&lt;/li&gt;&lt;li&gt;&lt;a href=|http://pnt.biblecommenter.com/luke/4.htm| title=|People's New Testament| target=|_top|&gt;PNT&lt;/a&gt;</v>
      </c>
      <c r="AR977" t="str">
        <f t="shared" si="3907"/>
        <v>&lt;/li&gt;&lt;li&gt;&lt;a href=|http://websterbible.com/luke/4.htm| title=|Webster's Bible Translation| target=|_top|&gt;WBS&lt;/a&gt;</v>
      </c>
      <c r="AS977" t="str">
        <f t="shared" si="3907"/>
        <v>&lt;/li&gt;&lt;li&gt;&lt;a href=|http://weymouthbible.com/luke/4.htm| title=|Weymouth New Testament| target=|_top|&gt;WEY&lt;/a&gt;</v>
      </c>
      <c r="AT977" t="str">
        <f>CONCATENATE("&lt;/li&gt;&lt;li&gt;&lt;a href=|http://",AT1191,"/luke/4-1.htm","| ","title=|",AT1190,"| target=|_top|&gt;",AT1192,"&lt;/a&gt;")</f>
        <v>&lt;/li&gt;&lt;li&gt;&lt;a href=|http://biblebrowser.com/luke/4-1.htm| title=|Split View| target=|_top|&gt;Split&lt;/a&gt;</v>
      </c>
      <c r="AU977" s="2" t="s">
        <v>1276</v>
      </c>
      <c r="AV977" t="s">
        <v>64</v>
      </c>
    </row>
    <row r="978" spans="1:48">
      <c r="A978" t="s">
        <v>622</v>
      </c>
      <c r="B978" t="s">
        <v>1019</v>
      </c>
      <c r="C978" t="s">
        <v>624</v>
      </c>
      <c r="D978" t="s">
        <v>1268</v>
      </c>
      <c r="E978" t="s">
        <v>1277</v>
      </c>
      <c r="F978" t="s">
        <v>1304</v>
      </c>
      <c r="G978" t="s">
        <v>1266</v>
      </c>
      <c r="H978" t="s">
        <v>1305</v>
      </c>
      <c r="I978" t="s">
        <v>1303</v>
      </c>
      <c r="J978" t="s">
        <v>1267</v>
      </c>
      <c r="K978" t="s">
        <v>1275</v>
      </c>
      <c r="L978" s="2" t="s">
        <v>1274</v>
      </c>
      <c r="M978" t="str">
        <f t="shared" ref="M978:AB978" si="3908">CONCATENATE("&lt;/li&gt;&lt;li&gt;&lt;a href=|http://",M1191,"/luke/5.htm","| ","title=|",M1190,"| target=|_top|&gt;",M1192,"&lt;/a&gt;")</f>
        <v>&lt;/li&gt;&lt;li&gt;&lt;a href=|http://niv.scripturetext.com/luke/5.htm| title=|New International Version| target=|_top|&gt;NIV&lt;/a&gt;</v>
      </c>
      <c r="N978" t="str">
        <f t="shared" si="3908"/>
        <v>&lt;/li&gt;&lt;li&gt;&lt;a href=|http://nlt.scripturetext.com/luke/5.htm| title=|New Living Translation| target=|_top|&gt;NLT&lt;/a&gt;</v>
      </c>
      <c r="O978" t="str">
        <f t="shared" si="3908"/>
        <v>&lt;/li&gt;&lt;li&gt;&lt;a href=|http://nasb.scripturetext.com/luke/5.htm| title=|New American Standard Bible| target=|_top|&gt;NAS&lt;/a&gt;</v>
      </c>
      <c r="P978" t="str">
        <f t="shared" si="3908"/>
        <v>&lt;/li&gt;&lt;li&gt;&lt;a href=|http://gwt.scripturetext.com/luke/5.htm| title=|God's Word Translation| target=|_top|&gt;GWT&lt;/a&gt;</v>
      </c>
      <c r="Q978" t="str">
        <f t="shared" si="3908"/>
        <v>&lt;/li&gt;&lt;li&gt;&lt;a href=|http://kingjbible.com/luke/5.htm| title=|King James Bible| target=|_top|&gt;KJV&lt;/a&gt;</v>
      </c>
      <c r="R978" t="str">
        <f t="shared" si="3908"/>
        <v>&lt;/li&gt;&lt;li&gt;&lt;a href=|http://asvbible.com/luke/5.htm| title=|American Standard Version| target=|_top|&gt;ASV&lt;/a&gt;</v>
      </c>
      <c r="S978" t="str">
        <f t="shared" si="3908"/>
        <v>&lt;/li&gt;&lt;li&gt;&lt;a href=|http://drb.scripturetext.com/luke/5.htm| title=|Douay-Rheims Bible| target=|_top|&gt;DRB&lt;/a&gt;</v>
      </c>
      <c r="T978" t="str">
        <f t="shared" si="3908"/>
        <v>&lt;/li&gt;&lt;li&gt;&lt;a href=|http://erv.scripturetext.com/luke/5.htm| title=|English Revised Version| target=|_top|&gt;ERV&lt;/a&gt;</v>
      </c>
      <c r="U978" t="str">
        <f>CONCATENATE("&lt;/li&gt;&lt;li&gt;&lt;a href=|http://",U1191,"/luke/5.htm","| ","title=|",U1190,"| target=|_top|&gt;",U1192,"&lt;/a&gt;")</f>
        <v>&lt;/li&gt;&lt;li&gt;&lt;a href=|http://study.interlinearbible.org/luke/5.htm| title=|Greek Study Bible| target=|_top|&gt;Grk Study&lt;/a&gt;</v>
      </c>
      <c r="W978" t="str">
        <f t="shared" si="3908"/>
        <v>&lt;/li&gt;&lt;li&gt;&lt;a href=|http://apostolic.interlinearbible.org/luke/5.htm| title=|Apostolic Bible Polyglot Interlinear| target=|_top|&gt;Polyglot&lt;/a&gt;</v>
      </c>
      <c r="X978" t="str">
        <f t="shared" si="3908"/>
        <v>&lt;/li&gt;&lt;li&gt;&lt;a href=|http://interlinearbible.org/luke/5.htm| title=|Interlinear Bible| target=|_top|&gt;Interlin&lt;/a&gt;</v>
      </c>
      <c r="Y978" t="str">
        <f t="shared" ref="Y978" si="3909">CONCATENATE("&lt;/li&gt;&lt;li&gt;&lt;a href=|http://",Y1191,"/luke/5.htm","| ","title=|",Y1190,"| target=|_top|&gt;",Y1192,"&lt;/a&gt;")</f>
        <v>&lt;/li&gt;&lt;li&gt;&lt;a href=|http://bibleoutline.org/luke/5.htm| title=|Outline with People and Places List| target=|_top|&gt;Outline&lt;/a&gt;</v>
      </c>
      <c r="Z978" t="str">
        <f t="shared" si="3908"/>
        <v>&lt;/li&gt;&lt;li&gt;&lt;a href=|http://kjvs.scripturetext.com/luke/5.htm| title=|King James Bible with Strong's Numbers| target=|_top|&gt;Strong's&lt;/a&gt;</v>
      </c>
      <c r="AA978" t="str">
        <f t="shared" si="3908"/>
        <v>&lt;/li&gt;&lt;li&gt;&lt;a href=|http://childrensbibleonline.com/luke/5.htm| title=|The Children's Bible| target=|_top|&gt;Children's&lt;/a&gt;</v>
      </c>
      <c r="AB978" s="2" t="str">
        <f t="shared" si="3908"/>
        <v>&lt;/li&gt;&lt;li&gt;&lt;a href=|http://tsk.scripturetext.com/luke/5.htm| title=|Treasury of Scripture Knowledge| target=|_top|&gt;TSK&lt;/a&gt;</v>
      </c>
      <c r="AC978" t="str">
        <f>CONCATENATE("&lt;a href=|http://",AC1191,"/luke/5.htm","| ","title=|",AC1190,"| target=|_top|&gt;",AC1192,"&lt;/a&gt;")</f>
        <v>&lt;a href=|http://parallelbible.com/luke/5.htm| title=|Parallel Chapters| target=|_top|&gt;PAR&lt;/a&gt;</v>
      </c>
      <c r="AD978" s="2" t="str">
        <f t="shared" ref="AD978:AI978" si="3910">CONCATENATE("&lt;/li&gt;&lt;li&gt;&lt;a href=|http://",AD1191,"/luke/5.htm","| ","title=|",AD1190,"| target=|_top|&gt;",AD1192,"&lt;/a&gt;")</f>
        <v>&lt;/li&gt;&lt;li&gt;&lt;a href=|http://gsb.biblecommenter.com/luke/5.htm| title=|Geneva Study Bible| target=|_top|&gt;GSB&lt;/a&gt;</v>
      </c>
      <c r="AE978" s="2" t="str">
        <f t="shared" si="3910"/>
        <v>&lt;/li&gt;&lt;li&gt;&lt;a href=|http://jfb.biblecommenter.com/luke/5.htm| title=|Jamieson-Fausset-Brown Bible Commentary| target=|_top|&gt;JFB&lt;/a&gt;</v>
      </c>
      <c r="AF978" s="2" t="str">
        <f t="shared" si="3910"/>
        <v>&lt;/li&gt;&lt;li&gt;&lt;a href=|http://kjt.biblecommenter.com/luke/5.htm| title=|King James Translators' Notes| target=|_top|&gt;KJT&lt;/a&gt;</v>
      </c>
      <c r="AG978" s="2" t="str">
        <f t="shared" si="3910"/>
        <v>&lt;/li&gt;&lt;li&gt;&lt;a href=|http://mhc.biblecommenter.com/luke/5.htm| title=|Matthew Henry's Concise Commentary| target=|_top|&gt;MHC&lt;/a&gt;</v>
      </c>
      <c r="AH978" s="2" t="str">
        <f t="shared" si="3910"/>
        <v>&lt;/li&gt;&lt;li&gt;&lt;a href=|http://sco.biblecommenter.com/luke/5.htm| title=|Scofield Reference Notes| target=|_top|&gt;SCO&lt;/a&gt;</v>
      </c>
      <c r="AI978" s="2" t="str">
        <f t="shared" si="3910"/>
        <v>&lt;/li&gt;&lt;li&gt;&lt;a href=|http://wes.biblecommenter.com/luke/5.htm| title=|Wesley's Notes on the Bible| target=|_top|&gt;WES&lt;/a&gt;</v>
      </c>
      <c r="AJ978" t="str">
        <f>CONCATENATE("&lt;/li&gt;&lt;li&gt;&lt;a href=|http://",AJ1191,"/luke/5.htm","| ","title=|",AJ1190,"| target=|_top|&gt;",AJ1192,"&lt;/a&gt;")</f>
        <v>&lt;/li&gt;&lt;li&gt;&lt;a href=|http://worldebible.com/luke/5.htm| title=|World English Bible| target=|_top|&gt;WEB&lt;/a&gt;</v>
      </c>
      <c r="AK978" t="str">
        <f>CONCATENATE("&lt;/li&gt;&lt;li&gt;&lt;a href=|http://",AK1191,"/luke/5.htm","| ","title=|",AK1190,"| target=|_top|&gt;",AK1192,"&lt;/a&gt;")</f>
        <v>&lt;/li&gt;&lt;li&gt;&lt;a href=|http://yltbible.com/luke/5.htm| title=|Young's Literal Translation| target=|_top|&gt;YLT&lt;/a&gt;</v>
      </c>
      <c r="AL978" t="str">
        <f>CONCATENATE("&lt;a href=|http://",AL1191,"/luke/5.htm","| ","title=|",AL1190,"| target=|_top|&gt;",AL1192,"&lt;/a&gt;")</f>
        <v>&lt;a href=|http://kjv.us/luke/5.htm| title=|American King James Version| target=|_top|&gt;AKJ&lt;/a&gt;</v>
      </c>
      <c r="AM978" t="str">
        <f t="shared" ref="AM978:AS978" si="3911">CONCATENATE("&lt;/li&gt;&lt;li&gt;&lt;a href=|http://",AM1191,"/luke/5.htm","| ","title=|",AM1190,"| target=|_top|&gt;",AM1192,"&lt;/a&gt;")</f>
        <v>&lt;/li&gt;&lt;li&gt;&lt;a href=|http://basicenglishbible.com/luke/5.htm| title=|Bible in Basic English| target=|_top|&gt;BBE&lt;/a&gt;</v>
      </c>
      <c r="AN978" t="str">
        <f t="shared" si="3911"/>
        <v>&lt;/li&gt;&lt;li&gt;&lt;a href=|http://darbybible.com/luke/5.htm| title=|Darby Bible Translation| target=|_top|&gt;DBY&lt;/a&gt;</v>
      </c>
      <c r="AO978" t="str">
        <f t="shared" si="3911"/>
        <v>&lt;/li&gt;&lt;li&gt;&lt;a href=|http://isv.scripturetext.com/luke/5.htm| title=|International Standard Version| target=|_top|&gt;ISV&lt;/a&gt;</v>
      </c>
      <c r="AP978" t="str">
        <f t="shared" si="3911"/>
        <v>&lt;/li&gt;&lt;li&gt;&lt;a href=|http://tnt.scripturetext.com/luke/5.htm| title=|Tyndale New Testament| target=|_top|&gt;TNT&lt;/a&gt;</v>
      </c>
      <c r="AQ978" s="2" t="str">
        <f t="shared" si="3911"/>
        <v>&lt;/li&gt;&lt;li&gt;&lt;a href=|http://pnt.biblecommenter.com/luke/5.htm| title=|People's New Testament| target=|_top|&gt;PNT&lt;/a&gt;</v>
      </c>
      <c r="AR978" t="str">
        <f t="shared" si="3911"/>
        <v>&lt;/li&gt;&lt;li&gt;&lt;a href=|http://websterbible.com/luke/5.htm| title=|Webster's Bible Translation| target=|_top|&gt;WBS&lt;/a&gt;</v>
      </c>
      <c r="AS978" t="str">
        <f t="shared" si="3911"/>
        <v>&lt;/li&gt;&lt;li&gt;&lt;a href=|http://weymouthbible.com/luke/5.htm| title=|Weymouth New Testament| target=|_top|&gt;WEY&lt;/a&gt;</v>
      </c>
      <c r="AT978" t="str">
        <f>CONCATENATE("&lt;/li&gt;&lt;li&gt;&lt;a href=|http://",AT1191,"/luke/5-1.htm","| ","title=|",AT1190,"| target=|_top|&gt;",AT1192,"&lt;/a&gt;")</f>
        <v>&lt;/li&gt;&lt;li&gt;&lt;a href=|http://biblebrowser.com/luke/5-1.htm| title=|Split View| target=|_top|&gt;Split&lt;/a&gt;</v>
      </c>
      <c r="AU978" s="2" t="s">
        <v>1276</v>
      </c>
      <c r="AV978" t="s">
        <v>64</v>
      </c>
    </row>
    <row r="979" spans="1:48">
      <c r="A979" t="s">
        <v>622</v>
      </c>
      <c r="B979" t="s">
        <v>1020</v>
      </c>
      <c r="C979" t="s">
        <v>624</v>
      </c>
      <c r="D979" t="s">
        <v>1268</v>
      </c>
      <c r="E979" t="s">
        <v>1277</v>
      </c>
      <c r="F979" t="s">
        <v>1304</v>
      </c>
      <c r="G979" t="s">
        <v>1266</v>
      </c>
      <c r="H979" t="s">
        <v>1305</v>
      </c>
      <c r="I979" t="s">
        <v>1303</v>
      </c>
      <c r="J979" t="s">
        <v>1267</v>
      </c>
      <c r="K979" t="s">
        <v>1275</v>
      </c>
      <c r="L979" s="2" t="s">
        <v>1274</v>
      </c>
      <c r="M979" t="str">
        <f t="shared" ref="M979:AB979" si="3912">CONCATENATE("&lt;/li&gt;&lt;li&gt;&lt;a href=|http://",M1191,"/luke/6.htm","| ","title=|",M1190,"| target=|_top|&gt;",M1192,"&lt;/a&gt;")</f>
        <v>&lt;/li&gt;&lt;li&gt;&lt;a href=|http://niv.scripturetext.com/luke/6.htm| title=|New International Version| target=|_top|&gt;NIV&lt;/a&gt;</v>
      </c>
      <c r="N979" t="str">
        <f t="shared" si="3912"/>
        <v>&lt;/li&gt;&lt;li&gt;&lt;a href=|http://nlt.scripturetext.com/luke/6.htm| title=|New Living Translation| target=|_top|&gt;NLT&lt;/a&gt;</v>
      </c>
      <c r="O979" t="str">
        <f t="shared" si="3912"/>
        <v>&lt;/li&gt;&lt;li&gt;&lt;a href=|http://nasb.scripturetext.com/luke/6.htm| title=|New American Standard Bible| target=|_top|&gt;NAS&lt;/a&gt;</v>
      </c>
      <c r="P979" t="str">
        <f t="shared" si="3912"/>
        <v>&lt;/li&gt;&lt;li&gt;&lt;a href=|http://gwt.scripturetext.com/luke/6.htm| title=|God's Word Translation| target=|_top|&gt;GWT&lt;/a&gt;</v>
      </c>
      <c r="Q979" t="str">
        <f t="shared" si="3912"/>
        <v>&lt;/li&gt;&lt;li&gt;&lt;a href=|http://kingjbible.com/luke/6.htm| title=|King James Bible| target=|_top|&gt;KJV&lt;/a&gt;</v>
      </c>
      <c r="R979" t="str">
        <f t="shared" si="3912"/>
        <v>&lt;/li&gt;&lt;li&gt;&lt;a href=|http://asvbible.com/luke/6.htm| title=|American Standard Version| target=|_top|&gt;ASV&lt;/a&gt;</v>
      </c>
      <c r="S979" t="str">
        <f t="shared" si="3912"/>
        <v>&lt;/li&gt;&lt;li&gt;&lt;a href=|http://drb.scripturetext.com/luke/6.htm| title=|Douay-Rheims Bible| target=|_top|&gt;DRB&lt;/a&gt;</v>
      </c>
      <c r="T979" t="str">
        <f t="shared" si="3912"/>
        <v>&lt;/li&gt;&lt;li&gt;&lt;a href=|http://erv.scripturetext.com/luke/6.htm| title=|English Revised Version| target=|_top|&gt;ERV&lt;/a&gt;</v>
      </c>
      <c r="U979" t="str">
        <f>CONCATENATE("&lt;/li&gt;&lt;li&gt;&lt;a href=|http://",U1191,"/luke/6.htm","| ","title=|",U1190,"| target=|_top|&gt;",U1192,"&lt;/a&gt;")</f>
        <v>&lt;/li&gt;&lt;li&gt;&lt;a href=|http://study.interlinearbible.org/luke/6.htm| title=|Greek Study Bible| target=|_top|&gt;Grk Study&lt;/a&gt;</v>
      </c>
      <c r="W979" t="str">
        <f t="shared" si="3912"/>
        <v>&lt;/li&gt;&lt;li&gt;&lt;a href=|http://apostolic.interlinearbible.org/luke/6.htm| title=|Apostolic Bible Polyglot Interlinear| target=|_top|&gt;Polyglot&lt;/a&gt;</v>
      </c>
      <c r="X979" t="str">
        <f t="shared" si="3912"/>
        <v>&lt;/li&gt;&lt;li&gt;&lt;a href=|http://interlinearbible.org/luke/6.htm| title=|Interlinear Bible| target=|_top|&gt;Interlin&lt;/a&gt;</v>
      </c>
      <c r="Y979" t="str">
        <f t="shared" ref="Y979" si="3913">CONCATENATE("&lt;/li&gt;&lt;li&gt;&lt;a href=|http://",Y1191,"/luke/6.htm","| ","title=|",Y1190,"| target=|_top|&gt;",Y1192,"&lt;/a&gt;")</f>
        <v>&lt;/li&gt;&lt;li&gt;&lt;a href=|http://bibleoutline.org/luke/6.htm| title=|Outline with People and Places List| target=|_top|&gt;Outline&lt;/a&gt;</v>
      </c>
      <c r="Z979" t="str">
        <f t="shared" si="3912"/>
        <v>&lt;/li&gt;&lt;li&gt;&lt;a href=|http://kjvs.scripturetext.com/luke/6.htm| title=|King James Bible with Strong's Numbers| target=|_top|&gt;Strong's&lt;/a&gt;</v>
      </c>
      <c r="AA979" t="str">
        <f t="shared" si="3912"/>
        <v>&lt;/li&gt;&lt;li&gt;&lt;a href=|http://childrensbibleonline.com/luke/6.htm| title=|The Children's Bible| target=|_top|&gt;Children's&lt;/a&gt;</v>
      </c>
      <c r="AB979" s="2" t="str">
        <f t="shared" si="3912"/>
        <v>&lt;/li&gt;&lt;li&gt;&lt;a href=|http://tsk.scripturetext.com/luke/6.htm| title=|Treasury of Scripture Knowledge| target=|_top|&gt;TSK&lt;/a&gt;</v>
      </c>
      <c r="AC979" t="str">
        <f>CONCATENATE("&lt;a href=|http://",AC1191,"/luke/6.htm","| ","title=|",AC1190,"| target=|_top|&gt;",AC1192,"&lt;/a&gt;")</f>
        <v>&lt;a href=|http://parallelbible.com/luke/6.htm| title=|Parallel Chapters| target=|_top|&gt;PAR&lt;/a&gt;</v>
      </c>
      <c r="AD979" s="2" t="str">
        <f t="shared" ref="AD979:AI979" si="3914">CONCATENATE("&lt;/li&gt;&lt;li&gt;&lt;a href=|http://",AD1191,"/luke/6.htm","| ","title=|",AD1190,"| target=|_top|&gt;",AD1192,"&lt;/a&gt;")</f>
        <v>&lt;/li&gt;&lt;li&gt;&lt;a href=|http://gsb.biblecommenter.com/luke/6.htm| title=|Geneva Study Bible| target=|_top|&gt;GSB&lt;/a&gt;</v>
      </c>
      <c r="AE979" s="2" t="str">
        <f t="shared" si="3914"/>
        <v>&lt;/li&gt;&lt;li&gt;&lt;a href=|http://jfb.biblecommenter.com/luke/6.htm| title=|Jamieson-Fausset-Brown Bible Commentary| target=|_top|&gt;JFB&lt;/a&gt;</v>
      </c>
      <c r="AF979" s="2" t="str">
        <f t="shared" si="3914"/>
        <v>&lt;/li&gt;&lt;li&gt;&lt;a href=|http://kjt.biblecommenter.com/luke/6.htm| title=|King James Translators' Notes| target=|_top|&gt;KJT&lt;/a&gt;</v>
      </c>
      <c r="AG979" s="2" t="str">
        <f t="shared" si="3914"/>
        <v>&lt;/li&gt;&lt;li&gt;&lt;a href=|http://mhc.biblecommenter.com/luke/6.htm| title=|Matthew Henry's Concise Commentary| target=|_top|&gt;MHC&lt;/a&gt;</v>
      </c>
      <c r="AH979" s="2" t="str">
        <f t="shared" si="3914"/>
        <v>&lt;/li&gt;&lt;li&gt;&lt;a href=|http://sco.biblecommenter.com/luke/6.htm| title=|Scofield Reference Notes| target=|_top|&gt;SCO&lt;/a&gt;</v>
      </c>
      <c r="AI979" s="2" t="str">
        <f t="shared" si="3914"/>
        <v>&lt;/li&gt;&lt;li&gt;&lt;a href=|http://wes.biblecommenter.com/luke/6.htm| title=|Wesley's Notes on the Bible| target=|_top|&gt;WES&lt;/a&gt;</v>
      </c>
      <c r="AJ979" t="str">
        <f>CONCATENATE("&lt;/li&gt;&lt;li&gt;&lt;a href=|http://",AJ1191,"/luke/6.htm","| ","title=|",AJ1190,"| target=|_top|&gt;",AJ1192,"&lt;/a&gt;")</f>
        <v>&lt;/li&gt;&lt;li&gt;&lt;a href=|http://worldebible.com/luke/6.htm| title=|World English Bible| target=|_top|&gt;WEB&lt;/a&gt;</v>
      </c>
      <c r="AK979" t="str">
        <f>CONCATENATE("&lt;/li&gt;&lt;li&gt;&lt;a href=|http://",AK1191,"/luke/6.htm","| ","title=|",AK1190,"| target=|_top|&gt;",AK1192,"&lt;/a&gt;")</f>
        <v>&lt;/li&gt;&lt;li&gt;&lt;a href=|http://yltbible.com/luke/6.htm| title=|Young's Literal Translation| target=|_top|&gt;YLT&lt;/a&gt;</v>
      </c>
      <c r="AL979" t="str">
        <f>CONCATENATE("&lt;a href=|http://",AL1191,"/luke/6.htm","| ","title=|",AL1190,"| target=|_top|&gt;",AL1192,"&lt;/a&gt;")</f>
        <v>&lt;a href=|http://kjv.us/luke/6.htm| title=|American King James Version| target=|_top|&gt;AKJ&lt;/a&gt;</v>
      </c>
      <c r="AM979" t="str">
        <f t="shared" ref="AM979:AS979" si="3915">CONCATENATE("&lt;/li&gt;&lt;li&gt;&lt;a href=|http://",AM1191,"/luke/6.htm","| ","title=|",AM1190,"| target=|_top|&gt;",AM1192,"&lt;/a&gt;")</f>
        <v>&lt;/li&gt;&lt;li&gt;&lt;a href=|http://basicenglishbible.com/luke/6.htm| title=|Bible in Basic English| target=|_top|&gt;BBE&lt;/a&gt;</v>
      </c>
      <c r="AN979" t="str">
        <f t="shared" si="3915"/>
        <v>&lt;/li&gt;&lt;li&gt;&lt;a href=|http://darbybible.com/luke/6.htm| title=|Darby Bible Translation| target=|_top|&gt;DBY&lt;/a&gt;</v>
      </c>
      <c r="AO979" t="str">
        <f t="shared" si="3915"/>
        <v>&lt;/li&gt;&lt;li&gt;&lt;a href=|http://isv.scripturetext.com/luke/6.htm| title=|International Standard Version| target=|_top|&gt;ISV&lt;/a&gt;</v>
      </c>
      <c r="AP979" t="str">
        <f t="shared" si="3915"/>
        <v>&lt;/li&gt;&lt;li&gt;&lt;a href=|http://tnt.scripturetext.com/luke/6.htm| title=|Tyndale New Testament| target=|_top|&gt;TNT&lt;/a&gt;</v>
      </c>
      <c r="AQ979" s="2" t="str">
        <f t="shared" si="3915"/>
        <v>&lt;/li&gt;&lt;li&gt;&lt;a href=|http://pnt.biblecommenter.com/luke/6.htm| title=|People's New Testament| target=|_top|&gt;PNT&lt;/a&gt;</v>
      </c>
      <c r="AR979" t="str">
        <f t="shared" si="3915"/>
        <v>&lt;/li&gt;&lt;li&gt;&lt;a href=|http://websterbible.com/luke/6.htm| title=|Webster's Bible Translation| target=|_top|&gt;WBS&lt;/a&gt;</v>
      </c>
      <c r="AS979" t="str">
        <f t="shared" si="3915"/>
        <v>&lt;/li&gt;&lt;li&gt;&lt;a href=|http://weymouthbible.com/luke/6.htm| title=|Weymouth New Testament| target=|_top|&gt;WEY&lt;/a&gt;</v>
      </c>
      <c r="AT979" t="str">
        <f>CONCATENATE("&lt;/li&gt;&lt;li&gt;&lt;a href=|http://",AT1191,"/luke/6-1.htm","| ","title=|",AT1190,"| target=|_top|&gt;",AT1192,"&lt;/a&gt;")</f>
        <v>&lt;/li&gt;&lt;li&gt;&lt;a href=|http://biblebrowser.com/luke/6-1.htm| title=|Split View| target=|_top|&gt;Split&lt;/a&gt;</v>
      </c>
      <c r="AU979" s="2" t="s">
        <v>1276</v>
      </c>
      <c r="AV979" t="s">
        <v>64</v>
      </c>
    </row>
    <row r="980" spans="1:48">
      <c r="A980" t="s">
        <v>622</v>
      </c>
      <c r="B980" t="s">
        <v>1021</v>
      </c>
      <c r="C980" t="s">
        <v>624</v>
      </c>
      <c r="D980" t="s">
        <v>1268</v>
      </c>
      <c r="E980" t="s">
        <v>1277</v>
      </c>
      <c r="F980" t="s">
        <v>1304</v>
      </c>
      <c r="G980" t="s">
        <v>1266</v>
      </c>
      <c r="H980" t="s">
        <v>1305</v>
      </c>
      <c r="I980" t="s">
        <v>1303</v>
      </c>
      <c r="J980" t="s">
        <v>1267</v>
      </c>
      <c r="K980" t="s">
        <v>1275</v>
      </c>
      <c r="L980" s="2" t="s">
        <v>1274</v>
      </c>
      <c r="M980" t="str">
        <f t="shared" ref="M980:AB980" si="3916">CONCATENATE("&lt;/li&gt;&lt;li&gt;&lt;a href=|http://",M1191,"/luke/7.htm","| ","title=|",M1190,"| target=|_top|&gt;",M1192,"&lt;/a&gt;")</f>
        <v>&lt;/li&gt;&lt;li&gt;&lt;a href=|http://niv.scripturetext.com/luke/7.htm| title=|New International Version| target=|_top|&gt;NIV&lt;/a&gt;</v>
      </c>
      <c r="N980" t="str">
        <f t="shared" si="3916"/>
        <v>&lt;/li&gt;&lt;li&gt;&lt;a href=|http://nlt.scripturetext.com/luke/7.htm| title=|New Living Translation| target=|_top|&gt;NLT&lt;/a&gt;</v>
      </c>
      <c r="O980" t="str">
        <f t="shared" si="3916"/>
        <v>&lt;/li&gt;&lt;li&gt;&lt;a href=|http://nasb.scripturetext.com/luke/7.htm| title=|New American Standard Bible| target=|_top|&gt;NAS&lt;/a&gt;</v>
      </c>
      <c r="P980" t="str">
        <f t="shared" si="3916"/>
        <v>&lt;/li&gt;&lt;li&gt;&lt;a href=|http://gwt.scripturetext.com/luke/7.htm| title=|God's Word Translation| target=|_top|&gt;GWT&lt;/a&gt;</v>
      </c>
      <c r="Q980" t="str">
        <f t="shared" si="3916"/>
        <v>&lt;/li&gt;&lt;li&gt;&lt;a href=|http://kingjbible.com/luke/7.htm| title=|King James Bible| target=|_top|&gt;KJV&lt;/a&gt;</v>
      </c>
      <c r="R980" t="str">
        <f t="shared" si="3916"/>
        <v>&lt;/li&gt;&lt;li&gt;&lt;a href=|http://asvbible.com/luke/7.htm| title=|American Standard Version| target=|_top|&gt;ASV&lt;/a&gt;</v>
      </c>
      <c r="S980" t="str">
        <f t="shared" si="3916"/>
        <v>&lt;/li&gt;&lt;li&gt;&lt;a href=|http://drb.scripturetext.com/luke/7.htm| title=|Douay-Rheims Bible| target=|_top|&gt;DRB&lt;/a&gt;</v>
      </c>
      <c r="T980" t="str">
        <f t="shared" si="3916"/>
        <v>&lt;/li&gt;&lt;li&gt;&lt;a href=|http://erv.scripturetext.com/luke/7.htm| title=|English Revised Version| target=|_top|&gt;ERV&lt;/a&gt;</v>
      </c>
      <c r="U980" t="str">
        <f>CONCATENATE("&lt;/li&gt;&lt;li&gt;&lt;a href=|http://",U1191,"/luke/7.htm","| ","title=|",U1190,"| target=|_top|&gt;",U1192,"&lt;/a&gt;")</f>
        <v>&lt;/li&gt;&lt;li&gt;&lt;a href=|http://study.interlinearbible.org/luke/7.htm| title=|Greek Study Bible| target=|_top|&gt;Grk Study&lt;/a&gt;</v>
      </c>
      <c r="W980" t="str">
        <f t="shared" si="3916"/>
        <v>&lt;/li&gt;&lt;li&gt;&lt;a href=|http://apostolic.interlinearbible.org/luke/7.htm| title=|Apostolic Bible Polyglot Interlinear| target=|_top|&gt;Polyglot&lt;/a&gt;</v>
      </c>
      <c r="X980" t="str">
        <f t="shared" si="3916"/>
        <v>&lt;/li&gt;&lt;li&gt;&lt;a href=|http://interlinearbible.org/luke/7.htm| title=|Interlinear Bible| target=|_top|&gt;Interlin&lt;/a&gt;</v>
      </c>
      <c r="Y980" t="str">
        <f t="shared" ref="Y980" si="3917">CONCATENATE("&lt;/li&gt;&lt;li&gt;&lt;a href=|http://",Y1191,"/luke/7.htm","| ","title=|",Y1190,"| target=|_top|&gt;",Y1192,"&lt;/a&gt;")</f>
        <v>&lt;/li&gt;&lt;li&gt;&lt;a href=|http://bibleoutline.org/luke/7.htm| title=|Outline with People and Places List| target=|_top|&gt;Outline&lt;/a&gt;</v>
      </c>
      <c r="Z980" t="str">
        <f t="shared" si="3916"/>
        <v>&lt;/li&gt;&lt;li&gt;&lt;a href=|http://kjvs.scripturetext.com/luke/7.htm| title=|King James Bible with Strong's Numbers| target=|_top|&gt;Strong's&lt;/a&gt;</v>
      </c>
      <c r="AA980" t="str">
        <f t="shared" si="3916"/>
        <v>&lt;/li&gt;&lt;li&gt;&lt;a href=|http://childrensbibleonline.com/luke/7.htm| title=|The Children's Bible| target=|_top|&gt;Children's&lt;/a&gt;</v>
      </c>
      <c r="AB980" s="2" t="str">
        <f t="shared" si="3916"/>
        <v>&lt;/li&gt;&lt;li&gt;&lt;a href=|http://tsk.scripturetext.com/luke/7.htm| title=|Treasury of Scripture Knowledge| target=|_top|&gt;TSK&lt;/a&gt;</v>
      </c>
      <c r="AC980" t="str">
        <f>CONCATENATE("&lt;a href=|http://",AC1191,"/luke/7.htm","| ","title=|",AC1190,"| target=|_top|&gt;",AC1192,"&lt;/a&gt;")</f>
        <v>&lt;a href=|http://parallelbible.com/luke/7.htm| title=|Parallel Chapters| target=|_top|&gt;PAR&lt;/a&gt;</v>
      </c>
      <c r="AD980" s="2" t="str">
        <f t="shared" ref="AD980:AI980" si="3918">CONCATENATE("&lt;/li&gt;&lt;li&gt;&lt;a href=|http://",AD1191,"/luke/7.htm","| ","title=|",AD1190,"| target=|_top|&gt;",AD1192,"&lt;/a&gt;")</f>
        <v>&lt;/li&gt;&lt;li&gt;&lt;a href=|http://gsb.biblecommenter.com/luke/7.htm| title=|Geneva Study Bible| target=|_top|&gt;GSB&lt;/a&gt;</v>
      </c>
      <c r="AE980" s="2" t="str">
        <f t="shared" si="3918"/>
        <v>&lt;/li&gt;&lt;li&gt;&lt;a href=|http://jfb.biblecommenter.com/luke/7.htm| title=|Jamieson-Fausset-Brown Bible Commentary| target=|_top|&gt;JFB&lt;/a&gt;</v>
      </c>
      <c r="AF980" s="2" t="str">
        <f t="shared" si="3918"/>
        <v>&lt;/li&gt;&lt;li&gt;&lt;a href=|http://kjt.biblecommenter.com/luke/7.htm| title=|King James Translators' Notes| target=|_top|&gt;KJT&lt;/a&gt;</v>
      </c>
      <c r="AG980" s="2" t="str">
        <f t="shared" si="3918"/>
        <v>&lt;/li&gt;&lt;li&gt;&lt;a href=|http://mhc.biblecommenter.com/luke/7.htm| title=|Matthew Henry's Concise Commentary| target=|_top|&gt;MHC&lt;/a&gt;</v>
      </c>
      <c r="AH980" s="2" t="str">
        <f t="shared" si="3918"/>
        <v>&lt;/li&gt;&lt;li&gt;&lt;a href=|http://sco.biblecommenter.com/luke/7.htm| title=|Scofield Reference Notes| target=|_top|&gt;SCO&lt;/a&gt;</v>
      </c>
      <c r="AI980" s="2" t="str">
        <f t="shared" si="3918"/>
        <v>&lt;/li&gt;&lt;li&gt;&lt;a href=|http://wes.biblecommenter.com/luke/7.htm| title=|Wesley's Notes on the Bible| target=|_top|&gt;WES&lt;/a&gt;</v>
      </c>
      <c r="AJ980" t="str">
        <f>CONCATENATE("&lt;/li&gt;&lt;li&gt;&lt;a href=|http://",AJ1191,"/luke/7.htm","| ","title=|",AJ1190,"| target=|_top|&gt;",AJ1192,"&lt;/a&gt;")</f>
        <v>&lt;/li&gt;&lt;li&gt;&lt;a href=|http://worldebible.com/luke/7.htm| title=|World English Bible| target=|_top|&gt;WEB&lt;/a&gt;</v>
      </c>
      <c r="AK980" t="str">
        <f>CONCATENATE("&lt;/li&gt;&lt;li&gt;&lt;a href=|http://",AK1191,"/luke/7.htm","| ","title=|",AK1190,"| target=|_top|&gt;",AK1192,"&lt;/a&gt;")</f>
        <v>&lt;/li&gt;&lt;li&gt;&lt;a href=|http://yltbible.com/luke/7.htm| title=|Young's Literal Translation| target=|_top|&gt;YLT&lt;/a&gt;</v>
      </c>
      <c r="AL980" t="str">
        <f>CONCATENATE("&lt;a href=|http://",AL1191,"/luke/7.htm","| ","title=|",AL1190,"| target=|_top|&gt;",AL1192,"&lt;/a&gt;")</f>
        <v>&lt;a href=|http://kjv.us/luke/7.htm| title=|American King James Version| target=|_top|&gt;AKJ&lt;/a&gt;</v>
      </c>
      <c r="AM980" t="str">
        <f t="shared" ref="AM980:AS980" si="3919">CONCATENATE("&lt;/li&gt;&lt;li&gt;&lt;a href=|http://",AM1191,"/luke/7.htm","| ","title=|",AM1190,"| target=|_top|&gt;",AM1192,"&lt;/a&gt;")</f>
        <v>&lt;/li&gt;&lt;li&gt;&lt;a href=|http://basicenglishbible.com/luke/7.htm| title=|Bible in Basic English| target=|_top|&gt;BBE&lt;/a&gt;</v>
      </c>
      <c r="AN980" t="str">
        <f t="shared" si="3919"/>
        <v>&lt;/li&gt;&lt;li&gt;&lt;a href=|http://darbybible.com/luke/7.htm| title=|Darby Bible Translation| target=|_top|&gt;DBY&lt;/a&gt;</v>
      </c>
      <c r="AO980" t="str">
        <f t="shared" si="3919"/>
        <v>&lt;/li&gt;&lt;li&gt;&lt;a href=|http://isv.scripturetext.com/luke/7.htm| title=|International Standard Version| target=|_top|&gt;ISV&lt;/a&gt;</v>
      </c>
      <c r="AP980" t="str">
        <f t="shared" si="3919"/>
        <v>&lt;/li&gt;&lt;li&gt;&lt;a href=|http://tnt.scripturetext.com/luke/7.htm| title=|Tyndale New Testament| target=|_top|&gt;TNT&lt;/a&gt;</v>
      </c>
      <c r="AQ980" s="2" t="str">
        <f t="shared" si="3919"/>
        <v>&lt;/li&gt;&lt;li&gt;&lt;a href=|http://pnt.biblecommenter.com/luke/7.htm| title=|People's New Testament| target=|_top|&gt;PNT&lt;/a&gt;</v>
      </c>
      <c r="AR980" t="str">
        <f t="shared" si="3919"/>
        <v>&lt;/li&gt;&lt;li&gt;&lt;a href=|http://websterbible.com/luke/7.htm| title=|Webster's Bible Translation| target=|_top|&gt;WBS&lt;/a&gt;</v>
      </c>
      <c r="AS980" t="str">
        <f t="shared" si="3919"/>
        <v>&lt;/li&gt;&lt;li&gt;&lt;a href=|http://weymouthbible.com/luke/7.htm| title=|Weymouth New Testament| target=|_top|&gt;WEY&lt;/a&gt;</v>
      </c>
      <c r="AT980" t="str">
        <f>CONCATENATE("&lt;/li&gt;&lt;li&gt;&lt;a href=|http://",AT1191,"/luke/7-1.htm","| ","title=|",AT1190,"| target=|_top|&gt;",AT1192,"&lt;/a&gt;")</f>
        <v>&lt;/li&gt;&lt;li&gt;&lt;a href=|http://biblebrowser.com/luke/7-1.htm| title=|Split View| target=|_top|&gt;Split&lt;/a&gt;</v>
      </c>
      <c r="AU980" s="2" t="s">
        <v>1276</v>
      </c>
      <c r="AV980" t="s">
        <v>64</v>
      </c>
    </row>
    <row r="981" spans="1:48">
      <c r="A981" t="s">
        <v>622</v>
      </c>
      <c r="B981" t="s">
        <v>1022</v>
      </c>
      <c r="C981" t="s">
        <v>624</v>
      </c>
      <c r="D981" t="s">
        <v>1268</v>
      </c>
      <c r="E981" t="s">
        <v>1277</v>
      </c>
      <c r="F981" t="s">
        <v>1304</v>
      </c>
      <c r="G981" t="s">
        <v>1266</v>
      </c>
      <c r="H981" t="s">
        <v>1305</v>
      </c>
      <c r="I981" t="s">
        <v>1303</v>
      </c>
      <c r="J981" t="s">
        <v>1267</v>
      </c>
      <c r="K981" t="s">
        <v>1275</v>
      </c>
      <c r="L981" s="2" t="s">
        <v>1274</v>
      </c>
      <c r="M981" t="str">
        <f t="shared" ref="M981:AB981" si="3920">CONCATENATE("&lt;/li&gt;&lt;li&gt;&lt;a href=|http://",M1191,"/luke/8.htm","| ","title=|",M1190,"| target=|_top|&gt;",M1192,"&lt;/a&gt;")</f>
        <v>&lt;/li&gt;&lt;li&gt;&lt;a href=|http://niv.scripturetext.com/luke/8.htm| title=|New International Version| target=|_top|&gt;NIV&lt;/a&gt;</v>
      </c>
      <c r="N981" t="str">
        <f t="shared" si="3920"/>
        <v>&lt;/li&gt;&lt;li&gt;&lt;a href=|http://nlt.scripturetext.com/luke/8.htm| title=|New Living Translation| target=|_top|&gt;NLT&lt;/a&gt;</v>
      </c>
      <c r="O981" t="str">
        <f t="shared" si="3920"/>
        <v>&lt;/li&gt;&lt;li&gt;&lt;a href=|http://nasb.scripturetext.com/luke/8.htm| title=|New American Standard Bible| target=|_top|&gt;NAS&lt;/a&gt;</v>
      </c>
      <c r="P981" t="str">
        <f t="shared" si="3920"/>
        <v>&lt;/li&gt;&lt;li&gt;&lt;a href=|http://gwt.scripturetext.com/luke/8.htm| title=|God's Word Translation| target=|_top|&gt;GWT&lt;/a&gt;</v>
      </c>
      <c r="Q981" t="str">
        <f t="shared" si="3920"/>
        <v>&lt;/li&gt;&lt;li&gt;&lt;a href=|http://kingjbible.com/luke/8.htm| title=|King James Bible| target=|_top|&gt;KJV&lt;/a&gt;</v>
      </c>
      <c r="R981" t="str">
        <f t="shared" si="3920"/>
        <v>&lt;/li&gt;&lt;li&gt;&lt;a href=|http://asvbible.com/luke/8.htm| title=|American Standard Version| target=|_top|&gt;ASV&lt;/a&gt;</v>
      </c>
      <c r="S981" t="str">
        <f t="shared" si="3920"/>
        <v>&lt;/li&gt;&lt;li&gt;&lt;a href=|http://drb.scripturetext.com/luke/8.htm| title=|Douay-Rheims Bible| target=|_top|&gt;DRB&lt;/a&gt;</v>
      </c>
      <c r="T981" t="str">
        <f t="shared" si="3920"/>
        <v>&lt;/li&gt;&lt;li&gt;&lt;a href=|http://erv.scripturetext.com/luke/8.htm| title=|English Revised Version| target=|_top|&gt;ERV&lt;/a&gt;</v>
      </c>
      <c r="U981" t="str">
        <f>CONCATENATE("&lt;/li&gt;&lt;li&gt;&lt;a href=|http://",U1191,"/luke/8.htm","| ","title=|",U1190,"| target=|_top|&gt;",U1192,"&lt;/a&gt;")</f>
        <v>&lt;/li&gt;&lt;li&gt;&lt;a href=|http://study.interlinearbible.org/luke/8.htm| title=|Greek Study Bible| target=|_top|&gt;Grk Study&lt;/a&gt;</v>
      </c>
      <c r="W981" t="str">
        <f t="shared" si="3920"/>
        <v>&lt;/li&gt;&lt;li&gt;&lt;a href=|http://apostolic.interlinearbible.org/luke/8.htm| title=|Apostolic Bible Polyglot Interlinear| target=|_top|&gt;Polyglot&lt;/a&gt;</v>
      </c>
      <c r="X981" t="str">
        <f t="shared" si="3920"/>
        <v>&lt;/li&gt;&lt;li&gt;&lt;a href=|http://interlinearbible.org/luke/8.htm| title=|Interlinear Bible| target=|_top|&gt;Interlin&lt;/a&gt;</v>
      </c>
      <c r="Y981" t="str">
        <f t="shared" ref="Y981" si="3921">CONCATENATE("&lt;/li&gt;&lt;li&gt;&lt;a href=|http://",Y1191,"/luke/8.htm","| ","title=|",Y1190,"| target=|_top|&gt;",Y1192,"&lt;/a&gt;")</f>
        <v>&lt;/li&gt;&lt;li&gt;&lt;a href=|http://bibleoutline.org/luke/8.htm| title=|Outline with People and Places List| target=|_top|&gt;Outline&lt;/a&gt;</v>
      </c>
      <c r="Z981" t="str">
        <f t="shared" si="3920"/>
        <v>&lt;/li&gt;&lt;li&gt;&lt;a href=|http://kjvs.scripturetext.com/luke/8.htm| title=|King James Bible with Strong's Numbers| target=|_top|&gt;Strong's&lt;/a&gt;</v>
      </c>
      <c r="AA981" t="str">
        <f t="shared" si="3920"/>
        <v>&lt;/li&gt;&lt;li&gt;&lt;a href=|http://childrensbibleonline.com/luke/8.htm| title=|The Children's Bible| target=|_top|&gt;Children's&lt;/a&gt;</v>
      </c>
      <c r="AB981" s="2" t="str">
        <f t="shared" si="3920"/>
        <v>&lt;/li&gt;&lt;li&gt;&lt;a href=|http://tsk.scripturetext.com/luke/8.htm| title=|Treasury of Scripture Knowledge| target=|_top|&gt;TSK&lt;/a&gt;</v>
      </c>
      <c r="AC981" t="str">
        <f>CONCATENATE("&lt;a href=|http://",AC1191,"/luke/8.htm","| ","title=|",AC1190,"| target=|_top|&gt;",AC1192,"&lt;/a&gt;")</f>
        <v>&lt;a href=|http://parallelbible.com/luke/8.htm| title=|Parallel Chapters| target=|_top|&gt;PAR&lt;/a&gt;</v>
      </c>
      <c r="AD981" s="2" t="str">
        <f t="shared" ref="AD981:AI981" si="3922">CONCATENATE("&lt;/li&gt;&lt;li&gt;&lt;a href=|http://",AD1191,"/luke/8.htm","| ","title=|",AD1190,"| target=|_top|&gt;",AD1192,"&lt;/a&gt;")</f>
        <v>&lt;/li&gt;&lt;li&gt;&lt;a href=|http://gsb.biblecommenter.com/luke/8.htm| title=|Geneva Study Bible| target=|_top|&gt;GSB&lt;/a&gt;</v>
      </c>
      <c r="AE981" s="2" t="str">
        <f t="shared" si="3922"/>
        <v>&lt;/li&gt;&lt;li&gt;&lt;a href=|http://jfb.biblecommenter.com/luke/8.htm| title=|Jamieson-Fausset-Brown Bible Commentary| target=|_top|&gt;JFB&lt;/a&gt;</v>
      </c>
      <c r="AF981" s="2" t="str">
        <f t="shared" si="3922"/>
        <v>&lt;/li&gt;&lt;li&gt;&lt;a href=|http://kjt.biblecommenter.com/luke/8.htm| title=|King James Translators' Notes| target=|_top|&gt;KJT&lt;/a&gt;</v>
      </c>
      <c r="AG981" s="2" t="str">
        <f t="shared" si="3922"/>
        <v>&lt;/li&gt;&lt;li&gt;&lt;a href=|http://mhc.biblecommenter.com/luke/8.htm| title=|Matthew Henry's Concise Commentary| target=|_top|&gt;MHC&lt;/a&gt;</v>
      </c>
      <c r="AH981" s="2" t="str">
        <f t="shared" si="3922"/>
        <v>&lt;/li&gt;&lt;li&gt;&lt;a href=|http://sco.biblecommenter.com/luke/8.htm| title=|Scofield Reference Notes| target=|_top|&gt;SCO&lt;/a&gt;</v>
      </c>
      <c r="AI981" s="2" t="str">
        <f t="shared" si="3922"/>
        <v>&lt;/li&gt;&lt;li&gt;&lt;a href=|http://wes.biblecommenter.com/luke/8.htm| title=|Wesley's Notes on the Bible| target=|_top|&gt;WES&lt;/a&gt;</v>
      </c>
      <c r="AJ981" t="str">
        <f>CONCATENATE("&lt;/li&gt;&lt;li&gt;&lt;a href=|http://",AJ1191,"/luke/8.htm","| ","title=|",AJ1190,"| target=|_top|&gt;",AJ1192,"&lt;/a&gt;")</f>
        <v>&lt;/li&gt;&lt;li&gt;&lt;a href=|http://worldebible.com/luke/8.htm| title=|World English Bible| target=|_top|&gt;WEB&lt;/a&gt;</v>
      </c>
      <c r="AK981" t="str">
        <f>CONCATENATE("&lt;/li&gt;&lt;li&gt;&lt;a href=|http://",AK1191,"/luke/8.htm","| ","title=|",AK1190,"| target=|_top|&gt;",AK1192,"&lt;/a&gt;")</f>
        <v>&lt;/li&gt;&lt;li&gt;&lt;a href=|http://yltbible.com/luke/8.htm| title=|Young's Literal Translation| target=|_top|&gt;YLT&lt;/a&gt;</v>
      </c>
      <c r="AL981" t="str">
        <f>CONCATENATE("&lt;a href=|http://",AL1191,"/luke/8.htm","| ","title=|",AL1190,"| target=|_top|&gt;",AL1192,"&lt;/a&gt;")</f>
        <v>&lt;a href=|http://kjv.us/luke/8.htm| title=|American King James Version| target=|_top|&gt;AKJ&lt;/a&gt;</v>
      </c>
      <c r="AM981" t="str">
        <f t="shared" ref="AM981:AS981" si="3923">CONCATENATE("&lt;/li&gt;&lt;li&gt;&lt;a href=|http://",AM1191,"/luke/8.htm","| ","title=|",AM1190,"| target=|_top|&gt;",AM1192,"&lt;/a&gt;")</f>
        <v>&lt;/li&gt;&lt;li&gt;&lt;a href=|http://basicenglishbible.com/luke/8.htm| title=|Bible in Basic English| target=|_top|&gt;BBE&lt;/a&gt;</v>
      </c>
      <c r="AN981" t="str">
        <f t="shared" si="3923"/>
        <v>&lt;/li&gt;&lt;li&gt;&lt;a href=|http://darbybible.com/luke/8.htm| title=|Darby Bible Translation| target=|_top|&gt;DBY&lt;/a&gt;</v>
      </c>
      <c r="AO981" t="str">
        <f t="shared" si="3923"/>
        <v>&lt;/li&gt;&lt;li&gt;&lt;a href=|http://isv.scripturetext.com/luke/8.htm| title=|International Standard Version| target=|_top|&gt;ISV&lt;/a&gt;</v>
      </c>
      <c r="AP981" t="str">
        <f t="shared" si="3923"/>
        <v>&lt;/li&gt;&lt;li&gt;&lt;a href=|http://tnt.scripturetext.com/luke/8.htm| title=|Tyndale New Testament| target=|_top|&gt;TNT&lt;/a&gt;</v>
      </c>
      <c r="AQ981" s="2" t="str">
        <f t="shared" si="3923"/>
        <v>&lt;/li&gt;&lt;li&gt;&lt;a href=|http://pnt.biblecommenter.com/luke/8.htm| title=|People's New Testament| target=|_top|&gt;PNT&lt;/a&gt;</v>
      </c>
      <c r="AR981" t="str">
        <f t="shared" si="3923"/>
        <v>&lt;/li&gt;&lt;li&gt;&lt;a href=|http://websterbible.com/luke/8.htm| title=|Webster's Bible Translation| target=|_top|&gt;WBS&lt;/a&gt;</v>
      </c>
      <c r="AS981" t="str">
        <f t="shared" si="3923"/>
        <v>&lt;/li&gt;&lt;li&gt;&lt;a href=|http://weymouthbible.com/luke/8.htm| title=|Weymouth New Testament| target=|_top|&gt;WEY&lt;/a&gt;</v>
      </c>
      <c r="AT981" t="str">
        <f>CONCATENATE("&lt;/li&gt;&lt;li&gt;&lt;a href=|http://",AT1191,"/luke/8-1.htm","| ","title=|",AT1190,"| target=|_top|&gt;",AT1192,"&lt;/a&gt;")</f>
        <v>&lt;/li&gt;&lt;li&gt;&lt;a href=|http://biblebrowser.com/luke/8-1.htm| title=|Split View| target=|_top|&gt;Split&lt;/a&gt;</v>
      </c>
      <c r="AU981" s="2" t="s">
        <v>1276</v>
      </c>
      <c r="AV981" t="s">
        <v>64</v>
      </c>
    </row>
    <row r="982" spans="1:48">
      <c r="A982" t="s">
        <v>622</v>
      </c>
      <c r="B982" t="s">
        <v>1023</v>
      </c>
      <c r="C982" t="s">
        <v>624</v>
      </c>
      <c r="D982" t="s">
        <v>1268</v>
      </c>
      <c r="E982" t="s">
        <v>1277</v>
      </c>
      <c r="F982" t="s">
        <v>1304</v>
      </c>
      <c r="G982" t="s">
        <v>1266</v>
      </c>
      <c r="H982" t="s">
        <v>1305</v>
      </c>
      <c r="I982" t="s">
        <v>1303</v>
      </c>
      <c r="J982" t="s">
        <v>1267</v>
      </c>
      <c r="K982" t="s">
        <v>1275</v>
      </c>
      <c r="L982" s="2" t="s">
        <v>1274</v>
      </c>
      <c r="M982" t="str">
        <f t="shared" ref="M982:AB982" si="3924">CONCATENATE("&lt;/li&gt;&lt;li&gt;&lt;a href=|http://",M1191,"/luke/9.htm","| ","title=|",M1190,"| target=|_top|&gt;",M1192,"&lt;/a&gt;")</f>
        <v>&lt;/li&gt;&lt;li&gt;&lt;a href=|http://niv.scripturetext.com/luke/9.htm| title=|New International Version| target=|_top|&gt;NIV&lt;/a&gt;</v>
      </c>
      <c r="N982" t="str">
        <f t="shared" si="3924"/>
        <v>&lt;/li&gt;&lt;li&gt;&lt;a href=|http://nlt.scripturetext.com/luke/9.htm| title=|New Living Translation| target=|_top|&gt;NLT&lt;/a&gt;</v>
      </c>
      <c r="O982" t="str">
        <f t="shared" si="3924"/>
        <v>&lt;/li&gt;&lt;li&gt;&lt;a href=|http://nasb.scripturetext.com/luke/9.htm| title=|New American Standard Bible| target=|_top|&gt;NAS&lt;/a&gt;</v>
      </c>
      <c r="P982" t="str">
        <f t="shared" si="3924"/>
        <v>&lt;/li&gt;&lt;li&gt;&lt;a href=|http://gwt.scripturetext.com/luke/9.htm| title=|God's Word Translation| target=|_top|&gt;GWT&lt;/a&gt;</v>
      </c>
      <c r="Q982" t="str">
        <f t="shared" si="3924"/>
        <v>&lt;/li&gt;&lt;li&gt;&lt;a href=|http://kingjbible.com/luke/9.htm| title=|King James Bible| target=|_top|&gt;KJV&lt;/a&gt;</v>
      </c>
      <c r="R982" t="str">
        <f t="shared" si="3924"/>
        <v>&lt;/li&gt;&lt;li&gt;&lt;a href=|http://asvbible.com/luke/9.htm| title=|American Standard Version| target=|_top|&gt;ASV&lt;/a&gt;</v>
      </c>
      <c r="S982" t="str">
        <f t="shared" si="3924"/>
        <v>&lt;/li&gt;&lt;li&gt;&lt;a href=|http://drb.scripturetext.com/luke/9.htm| title=|Douay-Rheims Bible| target=|_top|&gt;DRB&lt;/a&gt;</v>
      </c>
      <c r="T982" t="str">
        <f t="shared" si="3924"/>
        <v>&lt;/li&gt;&lt;li&gt;&lt;a href=|http://erv.scripturetext.com/luke/9.htm| title=|English Revised Version| target=|_top|&gt;ERV&lt;/a&gt;</v>
      </c>
      <c r="U982" t="str">
        <f>CONCATENATE("&lt;/li&gt;&lt;li&gt;&lt;a href=|http://",U1191,"/luke/9.htm","| ","title=|",U1190,"| target=|_top|&gt;",U1192,"&lt;/a&gt;")</f>
        <v>&lt;/li&gt;&lt;li&gt;&lt;a href=|http://study.interlinearbible.org/luke/9.htm| title=|Greek Study Bible| target=|_top|&gt;Grk Study&lt;/a&gt;</v>
      </c>
      <c r="W982" t="str">
        <f t="shared" si="3924"/>
        <v>&lt;/li&gt;&lt;li&gt;&lt;a href=|http://apostolic.interlinearbible.org/luke/9.htm| title=|Apostolic Bible Polyglot Interlinear| target=|_top|&gt;Polyglot&lt;/a&gt;</v>
      </c>
      <c r="X982" t="str">
        <f t="shared" si="3924"/>
        <v>&lt;/li&gt;&lt;li&gt;&lt;a href=|http://interlinearbible.org/luke/9.htm| title=|Interlinear Bible| target=|_top|&gt;Interlin&lt;/a&gt;</v>
      </c>
      <c r="Y982" t="str">
        <f t="shared" ref="Y982" si="3925">CONCATENATE("&lt;/li&gt;&lt;li&gt;&lt;a href=|http://",Y1191,"/luke/9.htm","| ","title=|",Y1190,"| target=|_top|&gt;",Y1192,"&lt;/a&gt;")</f>
        <v>&lt;/li&gt;&lt;li&gt;&lt;a href=|http://bibleoutline.org/luke/9.htm| title=|Outline with People and Places List| target=|_top|&gt;Outline&lt;/a&gt;</v>
      </c>
      <c r="Z982" t="str">
        <f t="shared" si="3924"/>
        <v>&lt;/li&gt;&lt;li&gt;&lt;a href=|http://kjvs.scripturetext.com/luke/9.htm| title=|King James Bible with Strong's Numbers| target=|_top|&gt;Strong's&lt;/a&gt;</v>
      </c>
      <c r="AA982" t="str">
        <f t="shared" si="3924"/>
        <v>&lt;/li&gt;&lt;li&gt;&lt;a href=|http://childrensbibleonline.com/luke/9.htm| title=|The Children's Bible| target=|_top|&gt;Children's&lt;/a&gt;</v>
      </c>
      <c r="AB982" s="2" t="str">
        <f t="shared" si="3924"/>
        <v>&lt;/li&gt;&lt;li&gt;&lt;a href=|http://tsk.scripturetext.com/luke/9.htm| title=|Treasury of Scripture Knowledge| target=|_top|&gt;TSK&lt;/a&gt;</v>
      </c>
      <c r="AC982" t="str">
        <f>CONCATENATE("&lt;a href=|http://",AC1191,"/luke/9.htm","| ","title=|",AC1190,"| target=|_top|&gt;",AC1192,"&lt;/a&gt;")</f>
        <v>&lt;a href=|http://parallelbible.com/luke/9.htm| title=|Parallel Chapters| target=|_top|&gt;PAR&lt;/a&gt;</v>
      </c>
      <c r="AD982" s="2" t="str">
        <f t="shared" ref="AD982:AI982" si="3926">CONCATENATE("&lt;/li&gt;&lt;li&gt;&lt;a href=|http://",AD1191,"/luke/9.htm","| ","title=|",AD1190,"| target=|_top|&gt;",AD1192,"&lt;/a&gt;")</f>
        <v>&lt;/li&gt;&lt;li&gt;&lt;a href=|http://gsb.biblecommenter.com/luke/9.htm| title=|Geneva Study Bible| target=|_top|&gt;GSB&lt;/a&gt;</v>
      </c>
      <c r="AE982" s="2" t="str">
        <f t="shared" si="3926"/>
        <v>&lt;/li&gt;&lt;li&gt;&lt;a href=|http://jfb.biblecommenter.com/luke/9.htm| title=|Jamieson-Fausset-Brown Bible Commentary| target=|_top|&gt;JFB&lt;/a&gt;</v>
      </c>
      <c r="AF982" s="2" t="str">
        <f t="shared" si="3926"/>
        <v>&lt;/li&gt;&lt;li&gt;&lt;a href=|http://kjt.biblecommenter.com/luke/9.htm| title=|King James Translators' Notes| target=|_top|&gt;KJT&lt;/a&gt;</v>
      </c>
      <c r="AG982" s="2" t="str">
        <f t="shared" si="3926"/>
        <v>&lt;/li&gt;&lt;li&gt;&lt;a href=|http://mhc.biblecommenter.com/luke/9.htm| title=|Matthew Henry's Concise Commentary| target=|_top|&gt;MHC&lt;/a&gt;</v>
      </c>
      <c r="AH982" s="2" t="str">
        <f t="shared" si="3926"/>
        <v>&lt;/li&gt;&lt;li&gt;&lt;a href=|http://sco.biblecommenter.com/luke/9.htm| title=|Scofield Reference Notes| target=|_top|&gt;SCO&lt;/a&gt;</v>
      </c>
      <c r="AI982" s="2" t="str">
        <f t="shared" si="3926"/>
        <v>&lt;/li&gt;&lt;li&gt;&lt;a href=|http://wes.biblecommenter.com/luke/9.htm| title=|Wesley's Notes on the Bible| target=|_top|&gt;WES&lt;/a&gt;</v>
      </c>
      <c r="AJ982" t="str">
        <f>CONCATENATE("&lt;/li&gt;&lt;li&gt;&lt;a href=|http://",AJ1191,"/luke/9.htm","| ","title=|",AJ1190,"| target=|_top|&gt;",AJ1192,"&lt;/a&gt;")</f>
        <v>&lt;/li&gt;&lt;li&gt;&lt;a href=|http://worldebible.com/luke/9.htm| title=|World English Bible| target=|_top|&gt;WEB&lt;/a&gt;</v>
      </c>
      <c r="AK982" t="str">
        <f>CONCATENATE("&lt;/li&gt;&lt;li&gt;&lt;a href=|http://",AK1191,"/luke/9.htm","| ","title=|",AK1190,"| target=|_top|&gt;",AK1192,"&lt;/a&gt;")</f>
        <v>&lt;/li&gt;&lt;li&gt;&lt;a href=|http://yltbible.com/luke/9.htm| title=|Young's Literal Translation| target=|_top|&gt;YLT&lt;/a&gt;</v>
      </c>
      <c r="AL982" t="str">
        <f>CONCATENATE("&lt;a href=|http://",AL1191,"/luke/9.htm","| ","title=|",AL1190,"| target=|_top|&gt;",AL1192,"&lt;/a&gt;")</f>
        <v>&lt;a href=|http://kjv.us/luke/9.htm| title=|American King James Version| target=|_top|&gt;AKJ&lt;/a&gt;</v>
      </c>
      <c r="AM982" t="str">
        <f t="shared" ref="AM982:AS982" si="3927">CONCATENATE("&lt;/li&gt;&lt;li&gt;&lt;a href=|http://",AM1191,"/luke/9.htm","| ","title=|",AM1190,"| target=|_top|&gt;",AM1192,"&lt;/a&gt;")</f>
        <v>&lt;/li&gt;&lt;li&gt;&lt;a href=|http://basicenglishbible.com/luke/9.htm| title=|Bible in Basic English| target=|_top|&gt;BBE&lt;/a&gt;</v>
      </c>
      <c r="AN982" t="str">
        <f t="shared" si="3927"/>
        <v>&lt;/li&gt;&lt;li&gt;&lt;a href=|http://darbybible.com/luke/9.htm| title=|Darby Bible Translation| target=|_top|&gt;DBY&lt;/a&gt;</v>
      </c>
      <c r="AO982" t="str">
        <f t="shared" si="3927"/>
        <v>&lt;/li&gt;&lt;li&gt;&lt;a href=|http://isv.scripturetext.com/luke/9.htm| title=|International Standard Version| target=|_top|&gt;ISV&lt;/a&gt;</v>
      </c>
      <c r="AP982" t="str">
        <f t="shared" si="3927"/>
        <v>&lt;/li&gt;&lt;li&gt;&lt;a href=|http://tnt.scripturetext.com/luke/9.htm| title=|Tyndale New Testament| target=|_top|&gt;TNT&lt;/a&gt;</v>
      </c>
      <c r="AQ982" s="2" t="str">
        <f t="shared" si="3927"/>
        <v>&lt;/li&gt;&lt;li&gt;&lt;a href=|http://pnt.biblecommenter.com/luke/9.htm| title=|People's New Testament| target=|_top|&gt;PNT&lt;/a&gt;</v>
      </c>
      <c r="AR982" t="str">
        <f t="shared" si="3927"/>
        <v>&lt;/li&gt;&lt;li&gt;&lt;a href=|http://websterbible.com/luke/9.htm| title=|Webster's Bible Translation| target=|_top|&gt;WBS&lt;/a&gt;</v>
      </c>
      <c r="AS982" t="str">
        <f t="shared" si="3927"/>
        <v>&lt;/li&gt;&lt;li&gt;&lt;a href=|http://weymouthbible.com/luke/9.htm| title=|Weymouth New Testament| target=|_top|&gt;WEY&lt;/a&gt;</v>
      </c>
      <c r="AT982" t="str">
        <f>CONCATENATE("&lt;/li&gt;&lt;li&gt;&lt;a href=|http://",AT1191,"/luke/9-1.htm","| ","title=|",AT1190,"| target=|_top|&gt;",AT1192,"&lt;/a&gt;")</f>
        <v>&lt;/li&gt;&lt;li&gt;&lt;a href=|http://biblebrowser.com/luke/9-1.htm| title=|Split View| target=|_top|&gt;Split&lt;/a&gt;</v>
      </c>
      <c r="AU982" s="2" t="s">
        <v>1276</v>
      </c>
      <c r="AV982" t="s">
        <v>64</v>
      </c>
    </row>
    <row r="983" spans="1:48">
      <c r="A983" t="s">
        <v>622</v>
      </c>
      <c r="B983" t="s">
        <v>1024</v>
      </c>
      <c r="C983" t="s">
        <v>624</v>
      </c>
      <c r="D983" t="s">
        <v>1268</v>
      </c>
      <c r="E983" t="s">
        <v>1277</v>
      </c>
      <c r="F983" t="s">
        <v>1304</v>
      </c>
      <c r="G983" t="s">
        <v>1266</v>
      </c>
      <c r="H983" t="s">
        <v>1305</v>
      </c>
      <c r="I983" t="s">
        <v>1303</v>
      </c>
      <c r="J983" t="s">
        <v>1267</v>
      </c>
      <c r="K983" t="s">
        <v>1275</v>
      </c>
      <c r="L983" s="2" t="s">
        <v>1274</v>
      </c>
      <c r="M983" t="str">
        <f t="shared" ref="M983:AB983" si="3928">CONCATENATE("&lt;/li&gt;&lt;li&gt;&lt;a href=|http://",M1191,"/luke/10.htm","| ","title=|",M1190,"| target=|_top|&gt;",M1192,"&lt;/a&gt;")</f>
        <v>&lt;/li&gt;&lt;li&gt;&lt;a href=|http://niv.scripturetext.com/luke/10.htm| title=|New International Version| target=|_top|&gt;NIV&lt;/a&gt;</v>
      </c>
      <c r="N983" t="str">
        <f t="shared" si="3928"/>
        <v>&lt;/li&gt;&lt;li&gt;&lt;a href=|http://nlt.scripturetext.com/luke/10.htm| title=|New Living Translation| target=|_top|&gt;NLT&lt;/a&gt;</v>
      </c>
      <c r="O983" t="str">
        <f t="shared" si="3928"/>
        <v>&lt;/li&gt;&lt;li&gt;&lt;a href=|http://nasb.scripturetext.com/luke/10.htm| title=|New American Standard Bible| target=|_top|&gt;NAS&lt;/a&gt;</v>
      </c>
      <c r="P983" t="str">
        <f t="shared" si="3928"/>
        <v>&lt;/li&gt;&lt;li&gt;&lt;a href=|http://gwt.scripturetext.com/luke/10.htm| title=|God's Word Translation| target=|_top|&gt;GWT&lt;/a&gt;</v>
      </c>
      <c r="Q983" t="str">
        <f t="shared" si="3928"/>
        <v>&lt;/li&gt;&lt;li&gt;&lt;a href=|http://kingjbible.com/luke/10.htm| title=|King James Bible| target=|_top|&gt;KJV&lt;/a&gt;</v>
      </c>
      <c r="R983" t="str">
        <f t="shared" si="3928"/>
        <v>&lt;/li&gt;&lt;li&gt;&lt;a href=|http://asvbible.com/luke/10.htm| title=|American Standard Version| target=|_top|&gt;ASV&lt;/a&gt;</v>
      </c>
      <c r="S983" t="str">
        <f t="shared" si="3928"/>
        <v>&lt;/li&gt;&lt;li&gt;&lt;a href=|http://drb.scripturetext.com/luke/10.htm| title=|Douay-Rheims Bible| target=|_top|&gt;DRB&lt;/a&gt;</v>
      </c>
      <c r="T983" t="str">
        <f t="shared" si="3928"/>
        <v>&lt;/li&gt;&lt;li&gt;&lt;a href=|http://erv.scripturetext.com/luke/10.htm| title=|English Revised Version| target=|_top|&gt;ERV&lt;/a&gt;</v>
      </c>
      <c r="U983" t="str">
        <f>CONCATENATE("&lt;/li&gt;&lt;li&gt;&lt;a href=|http://",U1191,"/luke/10.htm","| ","title=|",U1190,"| target=|_top|&gt;",U1192,"&lt;/a&gt;")</f>
        <v>&lt;/li&gt;&lt;li&gt;&lt;a href=|http://study.interlinearbible.org/luke/10.htm| title=|Greek Study Bible| target=|_top|&gt;Grk Study&lt;/a&gt;</v>
      </c>
      <c r="W983" t="str">
        <f t="shared" si="3928"/>
        <v>&lt;/li&gt;&lt;li&gt;&lt;a href=|http://apostolic.interlinearbible.org/luke/10.htm| title=|Apostolic Bible Polyglot Interlinear| target=|_top|&gt;Polyglot&lt;/a&gt;</v>
      </c>
      <c r="X983" t="str">
        <f t="shared" si="3928"/>
        <v>&lt;/li&gt;&lt;li&gt;&lt;a href=|http://interlinearbible.org/luke/10.htm| title=|Interlinear Bible| target=|_top|&gt;Interlin&lt;/a&gt;</v>
      </c>
      <c r="Y983" t="str">
        <f t="shared" ref="Y983" si="3929">CONCATENATE("&lt;/li&gt;&lt;li&gt;&lt;a href=|http://",Y1191,"/luke/10.htm","| ","title=|",Y1190,"| target=|_top|&gt;",Y1192,"&lt;/a&gt;")</f>
        <v>&lt;/li&gt;&lt;li&gt;&lt;a href=|http://bibleoutline.org/luke/10.htm| title=|Outline with People and Places List| target=|_top|&gt;Outline&lt;/a&gt;</v>
      </c>
      <c r="Z983" t="str">
        <f t="shared" si="3928"/>
        <v>&lt;/li&gt;&lt;li&gt;&lt;a href=|http://kjvs.scripturetext.com/luke/10.htm| title=|King James Bible with Strong's Numbers| target=|_top|&gt;Strong's&lt;/a&gt;</v>
      </c>
      <c r="AA983" t="str">
        <f t="shared" si="3928"/>
        <v>&lt;/li&gt;&lt;li&gt;&lt;a href=|http://childrensbibleonline.com/luke/10.htm| title=|The Children's Bible| target=|_top|&gt;Children's&lt;/a&gt;</v>
      </c>
      <c r="AB983" s="2" t="str">
        <f t="shared" si="3928"/>
        <v>&lt;/li&gt;&lt;li&gt;&lt;a href=|http://tsk.scripturetext.com/luke/10.htm| title=|Treasury of Scripture Knowledge| target=|_top|&gt;TSK&lt;/a&gt;</v>
      </c>
      <c r="AC983" t="str">
        <f>CONCATENATE("&lt;a href=|http://",AC1191,"/luke/10.htm","| ","title=|",AC1190,"| target=|_top|&gt;",AC1192,"&lt;/a&gt;")</f>
        <v>&lt;a href=|http://parallelbible.com/luke/10.htm| title=|Parallel Chapters| target=|_top|&gt;PAR&lt;/a&gt;</v>
      </c>
      <c r="AD983" s="2" t="str">
        <f t="shared" ref="AD983:AI983" si="3930">CONCATENATE("&lt;/li&gt;&lt;li&gt;&lt;a href=|http://",AD1191,"/luke/10.htm","| ","title=|",AD1190,"| target=|_top|&gt;",AD1192,"&lt;/a&gt;")</f>
        <v>&lt;/li&gt;&lt;li&gt;&lt;a href=|http://gsb.biblecommenter.com/luke/10.htm| title=|Geneva Study Bible| target=|_top|&gt;GSB&lt;/a&gt;</v>
      </c>
      <c r="AE983" s="2" t="str">
        <f t="shared" si="3930"/>
        <v>&lt;/li&gt;&lt;li&gt;&lt;a href=|http://jfb.biblecommenter.com/luke/10.htm| title=|Jamieson-Fausset-Brown Bible Commentary| target=|_top|&gt;JFB&lt;/a&gt;</v>
      </c>
      <c r="AF983" s="2" t="str">
        <f t="shared" si="3930"/>
        <v>&lt;/li&gt;&lt;li&gt;&lt;a href=|http://kjt.biblecommenter.com/luke/10.htm| title=|King James Translators' Notes| target=|_top|&gt;KJT&lt;/a&gt;</v>
      </c>
      <c r="AG983" s="2" t="str">
        <f t="shared" si="3930"/>
        <v>&lt;/li&gt;&lt;li&gt;&lt;a href=|http://mhc.biblecommenter.com/luke/10.htm| title=|Matthew Henry's Concise Commentary| target=|_top|&gt;MHC&lt;/a&gt;</v>
      </c>
      <c r="AH983" s="2" t="str">
        <f t="shared" si="3930"/>
        <v>&lt;/li&gt;&lt;li&gt;&lt;a href=|http://sco.biblecommenter.com/luke/10.htm| title=|Scofield Reference Notes| target=|_top|&gt;SCO&lt;/a&gt;</v>
      </c>
      <c r="AI983" s="2" t="str">
        <f t="shared" si="3930"/>
        <v>&lt;/li&gt;&lt;li&gt;&lt;a href=|http://wes.biblecommenter.com/luke/10.htm| title=|Wesley's Notes on the Bible| target=|_top|&gt;WES&lt;/a&gt;</v>
      </c>
      <c r="AJ983" t="str">
        <f>CONCATENATE("&lt;/li&gt;&lt;li&gt;&lt;a href=|http://",AJ1191,"/luke/10.htm","| ","title=|",AJ1190,"| target=|_top|&gt;",AJ1192,"&lt;/a&gt;")</f>
        <v>&lt;/li&gt;&lt;li&gt;&lt;a href=|http://worldebible.com/luke/10.htm| title=|World English Bible| target=|_top|&gt;WEB&lt;/a&gt;</v>
      </c>
      <c r="AK983" t="str">
        <f>CONCATENATE("&lt;/li&gt;&lt;li&gt;&lt;a href=|http://",AK1191,"/luke/10.htm","| ","title=|",AK1190,"| target=|_top|&gt;",AK1192,"&lt;/a&gt;")</f>
        <v>&lt;/li&gt;&lt;li&gt;&lt;a href=|http://yltbible.com/luke/10.htm| title=|Young's Literal Translation| target=|_top|&gt;YLT&lt;/a&gt;</v>
      </c>
      <c r="AL983" t="str">
        <f>CONCATENATE("&lt;a href=|http://",AL1191,"/luke/10.htm","| ","title=|",AL1190,"| target=|_top|&gt;",AL1192,"&lt;/a&gt;")</f>
        <v>&lt;a href=|http://kjv.us/luke/10.htm| title=|American King James Version| target=|_top|&gt;AKJ&lt;/a&gt;</v>
      </c>
      <c r="AM983" t="str">
        <f t="shared" ref="AM983:AS983" si="3931">CONCATENATE("&lt;/li&gt;&lt;li&gt;&lt;a href=|http://",AM1191,"/luke/10.htm","| ","title=|",AM1190,"| target=|_top|&gt;",AM1192,"&lt;/a&gt;")</f>
        <v>&lt;/li&gt;&lt;li&gt;&lt;a href=|http://basicenglishbible.com/luke/10.htm| title=|Bible in Basic English| target=|_top|&gt;BBE&lt;/a&gt;</v>
      </c>
      <c r="AN983" t="str">
        <f t="shared" si="3931"/>
        <v>&lt;/li&gt;&lt;li&gt;&lt;a href=|http://darbybible.com/luke/10.htm| title=|Darby Bible Translation| target=|_top|&gt;DBY&lt;/a&gt;</v>
      </c>
      <c r="AO983" t="str">
        <f t="shared" si="3931"/>
        <v>&lt;/li&gt;&lt;li&gt;&lt;a href=|http://isv.scripturetext.com/luke/10.htm| title=|International Standard Version| target=|_top|&gt;ISV&lt;/a&gt;</v>
      </c>
      <c r="AP983" t="str">
        <f t="shared" si="3931"/>
        <v>&lt;/li&gt;&lt;li&gt;&lt;a href=|http://tnt.scripturetext.com/luke/10.htm| title=|Tyndale New Testament| target=|_top|&gt;TNT&lt;/a&gt;</v>
      </c>
      <c r="AQ983" s="2" t="str">
        <f t="shared" si="3931"/>
        <v>&lt;/li&gt;&lt;li&gt;&lt;a href=|http://pnt.biblecommenter.com/luke/10.htm| title=|People's New Testament| target=|_top|&gt;PNT&lt;/a&gt;</v>
      </c>
      <c r="AR983" t="str">
        <f t="shared" si="3931"/>
        <v>&lt;/li&gt;&lt;li&gt;&lt;a href=|http://websterbible.com/luke/10.htm| title=|Webster's Bible Translation| target=|_top|&gt;WBS&lt;/a&gt;</v>
      </c>
      <c r="AS983" t="str">
        <f t="shared" si="3931"/>
        <v>&lt;/li&gt;&lt;li&gt;&lt;a href=|http://weymouthbible.com/luke/10.htm| title=|Weymouth New Testament| target=|_top|&gt;WEY&lt;/a&gt;</v>
      </c>
      <c r="AT983" t="str">
        <f>CONCATENATE("&lt;/li&gt;&lt;li&gt;&lt;a href=|http://",AT1191,"/luke/10-1.htm","| ","title=|",AT1190,"| target=|_top|&gt;",AT1192,"&lt;/a&gt;")</f>
        <v>&lt;/li&gt;&lt;li&gt;&lt;a href=|http://biblebrowser.com/luke/10-1.htm| title=|Split View| target=|_top|&gt;Split&lt;/a&gt;</v>
      </c>
      <c r="AU983" s="2" t="s">
        <v>1276</v>
      </c>
      <c r="AV983" t="s">
        <v>64</v>
      </c>
    </row>
    <row r="984" spans="1:48">
      <c r="A984" t="s">
        <v>622</v>
      </c>
      <c r="B984" t="s">
        <v>1025</v>
      </c>
      <c r="C984" t="s">
        <v>624</v>
      </c>
      <c r="D984" t="s">
        <v>1268</v>
      </c>
      <c r="E984" t="s">
        <v>1277</v>
      </c>
      <c r="F984" t="s">
        <v>1304</v>
      </c>
      <c r="G984" t="s">
        <v>1266</v>
      </c>
      <c r="H984" t="s">
        <v>1305</v>
      </c>
      <c r="I984" t="s">
        <v>1303</v>
      </c>
      <c r="J984" t="s">
        <v>1267</v>
      </c>
      <c r="K984" t="s">
        <v>1275</v>
      </c>
      <c r="L984" s="2" t="s">
        <v>1274</v>
      </c>
      <c r="M984" t="str">
        <f t="shared" ref="M984:AB984" si="3932">CONCATENATE("&lt;/li&gt;&lt;li&gt;&lt;a href=|http://",M1191,"/luke/11.htm","| ","title=|",M1190,"| target=|_top|&gt;",M1192,"&lt;/a&gt;")</f>
        <v>&lt;/li&gt;&lt;li&gt;&lt;a href=|http://niv.scripturetext.com/luke/11.htm| title=|New International Version| target=|_top|&gt;NIV&lt;/a&gt;</v>
      </c>
      <c r="N984" t="str">
        <f t="shared" si="3932"/>
        <v>&lt;/li&gt;&lt;li&gt;&lt;a href=|http://nlt.scripturetext.com/luke/11.htm| title=|New Living Translation| target=|_top|&gt;NLT&lt;/a&gt;</v>
      </c>
      <c r="O984" t="str">
        <f t="shared" si="3932"/>
        <v>&lt;/li&gt;&lt;li&gt;&lt;a href=|http://nasb.scripturetext.com/luke/11.htm| title=|New American Standard Bible| target=|_top|&gt;NAS&lt;/a&gt;</v>
      </c>
      <c r="P984" t="str">
        <f t="shared" si="3932"/>
        <v>&lt;/li&gt;&lt;li&gt;&lt;a href=|http://gwt.scripturetext.com/luke/11.htm| title=|God's Word Translation| target=|_top|&gt;GWT&lt;/a&gt;</v>
      </c>
      <c r="Q984" t="str">
        <f t="shared" si="3932"/>
        <v>&lt;/li&gt;&lt;li&gt;&lt;a href=|http://kingjbible.com/luke/11.htm| title=|King James Bible| target=|_top|&gt;KJV&lt;/a&gt;</v>
      </c>
      <c r="R984" t="str">
        <f t="shared" si="3932"/>
        <v>&lt;/li&gt;&lt;li&gt;&lt;a href=|http://asvbible.com/luke/11.htm| title=|American Standard Version| target=|_top|&gt;ASV&lt;/a&gt;</v>
      </c>
      <c r="S984" t="str">
        <f t="shared" si="3932"/>
        <v>&lt;/li&gt;&lt;li&gt;&lt;a href=|http://drb.scripturetext.com/luke/11.htm| title=|Douay-Rheims Bible| target=|_top|&gt;DRB&lt;/a&gt;</v>
      </c>
      <c r="T984" t="str">
        <f t="shared" si="3932"/>
        <v>&lt;/li&gt;&lt;li&gt;&lt;a href=|http://erv.scripturetext.com/luke/11.htm| title=|English Revised Version| target=|_top|&gt;ERV&lt;/a&gt;</v>
      </c>
      <c r="U984" t="str">
        <f>CONCATENATE("&lt;/li&gt;&lt;li&gt;&lt;a href=|http://",U1191,"/luke/11.htm","| ","title=|",U1190,"| target=|_top|&gt;",U1192,"&lt;/a&gt;")</f>
        <v>&lt;/li&gt;&lt;li&gt;&lt;a href=|http://study.interlinearbible.org/luke/11.htm| title=|Greek Study Bible| target=|_top|&gt;Grk Study&lt;/a&gt;</v>
      </c>
      <c r="W984" t="str">
        <f t="shared" si="3932"/>
        <v>&lt;/li&gt;&lt;li&gt;&lt;a href=|http://apostolic.interlinearbible.org/luke/11.htm| title=|Apostolic Bible Polyglot Interlinear| target=|_top|&gt;Polyglot&lt;/a&gt;</v>
      </c>
      <c r="X984" t="str">
        <f t="shared" si="3932"/>
        <v>&lt;/li&gt;&lt;li&gt;&lt;a href=|http://interlinearbible.org/luke/11.htm| title=|Interlinear Bible| target=|_top|&gt;Interlin&lt;/a&gt;</v>
      </c>
      <c r="Y984" t="str">
        <f t="shared" ref="Y984" si="3933">CONCATENATE("&lt;/li&gt;&lt;li&gt;&lt;a href=|http://",Y1191,"/luke/11.htm","| ","title=|",Y1190,"| target=|_top|&gt;",Y1192,"&lt;/a&gt;")</f>
        <v>&lt;/li&gt;&lt;li&gt;&lt;a href=|http://bibleoutline.org/luke/11.htm| title=|Outline with People and Places List| target=|_top|&gt;Outline&lt;/a&gt;</v>
      </c>
      <c r="Z984" t="str">
        <f t="shared" si="3932"/>
        <v>&lt;/li&gt;&lt;li&gt;&lt;a href=|http://kjvs.scripturetext.com/luke/11.htm| title=|King James Bible with Strong's Numbers| target=|_top|&gt;Strong's&lt;/a&gt;</v>
      </c>
      <c r="AA984" t="str">
        <f t="shared" si="3932"/>
        <v>&lt;/li&gt;&lt;li&gt;&lt;a href=|http://childrensbibleonline.com/luke/11.htm| title=|The Children's Bible| target=|_top|&gt;Children's&lt;/a&gt;</v>
      </c>
      <c r="AB984" s="2" t="str">
        <f t="shared" si="3932"/>
        <v>&lt;/li&gt;&lt;li&gt;&lt;a href=|http://tsk.scripturetext.com/luke/11.htm| title=|Treasury of Scripture Knowledge| target=|_top|&gt;TSK&lt;/a&gt;</v>
      </c>
      <c r="AC984" t="str">
        <f>CONCATENATE("&lt;a href=|http://",AC1191,"/luke/11.htm","| ","title=|",AC1190,"| target=|_top|&gt;",AC1192,"&lt;/a&gt;")</f>
        <v>&lt;a href=|http://parallelbible.com/luke/11.htm| title=|Parallel Chapters| target=|_top|&gt;PAR&lt;/a&gt;</v>
      </c>
      <c r="AD984" s="2" t="str">
        <f t="shared" ref="AD984:AI984" si="3934">CONCATENATE("&lt;/li&gt;&lt;li&gt;&lt;a href=|http://",AD1191,"/luke/11.htm","| ","title=|",AD1190,"| target=|_top|&gt;",AD1192,"&lt;/a&gt;")</f>
        <v>&lt;/li&gt;&lt;li&gt;&lt;a href=|http://gsb.biblecommenter.com/luke/11.htm| title=|Geneva Study Bible| target=|_top|&gt;GSB&lt;/a&gt;</v>
      </c>
      <c r="AE984" s="2" t="str">
        <f t="shared" si="3934"/>
        <v>&lt;/li&gt;&lt;li&gt;&lt;a href=|http://jfb.biblecommenter.com/luke/11.htm| title=|Jamieson-Fausset-Brown Bible Commentary| target=|_top|&gt;JFB&lt;/a&gt;</v>
      </c>
      <c r="AF984" s="2" t="str">
        <f t="shared" si="3934"/>
        <v>&lt;/li&gt;&lt;li&gt;&lt;a href=|http://kjt.biblecommenter.com/luke/11.htm| title=|King James Translators' Notes| target=|_top|&gt;KJT&lt;/a&gt;</v>
      </c>
      <c r="AG984" s="2" t="str">
        <f t="shared" si="3934"/>
        <v>&lt;/li&gt;&lt;li&gt;&lt;a href=|http://mhc.biblecommenter.com/luke/11.htm| title=|Matthew Henry's Concise Commentary| target=|_top|&gt;MHC&lt;/a&gt;</v>
      </c>
      <c r="AH984" s="2" t="str">
        <f t="shared" si="3934"/>
        <v>&lt;/li&gt;&lt;li&gt;&lt;a href=|http://sco.biblecommenter.com/luke/11.htm| title=|Scofield Reference Notes| target=|_top|&gt;SCO&lt;/a&gt;</v>
      </c>
      <c r="AI984" s="2" t="str">
        <f t="shared" si="3934"/>
        <v>&lt;/li&gt;&lt;li&gt;&lt;a href=|http://wes.biblecommenter.com/luke/11.htm| title=|Wesley's Notes on the Bible| target=|_top|&gt;WES&lt;/a&gt;</v>
      </c>
      <c r="AJ984" t="str">
        <f>CONCATENATE("&lt;/li&gt;&lt;li&gt;&lt;a href=|http://",AJ1191,"/luke/11.htm","| ","title=|",AJ1190,"| target=|_top|&gt;",AJ1192,"&lt;/a&gt;")</f>
        <v>&lt;/li&gt;&lt;li&gt;&lt;a href=|http://worldebible.com/luke/11.htm| title=|World English Bible| target=|_top|&gt;WEB&lt;/a&gt;</v>
      </c>
      <c r="AK984" t="str">
        <f>CONCATENATE("&lt;/li&gt;&lt;li&gt;&lt;a href=|http://",AK1191,"/luke/11.htm","| ","title=|",AK1190,"| target=|_top|&gt;",AK1192,"&lt;/a&gt;")</f>
        <v>&lt;/li&gt;&lt;li&gt;&lt;a href=|http://yltbible.com/luke/11.htm| title=|Young's Literal Translation| target=|_top|&gt;YLT&lt;/a&gt;</v>
      </c>
      <c r="AL984" t="str">
        <f>CONCATENATE("&lt;a href=|http://",AL1191,"/luke/11.htm","| ","title=|",AL1190,"| target=|_top|&gt;",AL1192,"&lt;/a&gt;")</f>
        <v>&lt;a href=|http://kjv.us/luke/11.htm| title=|American King James Version| target=|_top|&gt;AKJ&lt;/a&gt;</v>
      </c>
      <c r="AM984" t="str">
        <f t="shared" ref="AM984:AS984" si="3935">CONCATENATE("&lt;/li&gt;&lt;li&gt;&lt;a href=|http://",AM1191,"/luke/11.htm","| ","title=|",AM1190,"| target=|_top|&gt;",AM1192,"&lt;/a&gt;")</f>
        <v>&lt;/li&gt;&lt;li&gt;&lt;a href=|http://basicenglishbible.com/luke/11.htm| title=|Bible in Basic English| target=|_top|&gt;BBE&lt;/a&gt;</v>
      </c>
      <c r="AN984" t="str">
        <f t="shared" si="3935"/>
        <v>&lt;/li&gt;&lt;li&gt;&lt;a href=|http://darbybible.com/luke/11.htm| title=|Darby Bible Translation| target=|_top|&gt;DBY&lt;/a&gt;</v>
      </c>
      <c r="AO984" t="str">
        <f t="shared" si="3935"/>
        <v>&lt;/li&gt;&lt;li&gt;&lt;a href=|http://isv.scripturetext.com/luke/11.htm| title=|International Standard Version| target=|_top|&gt;ISV&lt;/a&gt;</v>
      </c>
      <c r="AP984" t="str">
        <f t="shared" si="3935"/>
        <v>&lt;/li&gt;&lt;li&gt;&lt;a href=|http://tnt.scripturetext.com/luke/11.htm| title=|Tyndale New Testament| target=|_top|&gt;TNT&lt;/a&gt;</v>
      </c>
      <c r="AQ984" s="2" t="str">
        <f t="shared" si="3935"/>
        <v>&lt;/li&gt;&lt;li&gt;&lt;a href=|http://pnt.biblecommenter.com/luke/11.htm| title=|People's New Testament| target=|_top|&gt;PNT&lt;/a&gt;</v>
      </c>
      <c r="AR984" t="str">
        <f t="shared" si="3935"/>
        <v>&lt;/li&gt;&lt;li&gt;&lt;a href=|http://websterbible.com/luke/11.htm| title=|Webster's Bible Translation| target=|_top|&gt;WBS&lt;/a&gt;</v>
      </c>
      <c r="AS984" t="str">
        <f t="shared" si="3935"/>
        <v>&lt;/li&gt;&lt;li&gt;&lt;a href=|http://weymouthbible.com/luke/11.htm| title=|Weymouth New Testament| target=|_top|&gt;WEY&lt;/a&gt;</v>
      </c>
      <c r="AT984" t="str">
        <f>CONCATENATE("&lt;/li&gt;&lt;li&gt;&lt;a href=|http://",AT1191,"/luke/11-1.htm","| ","title=|",AT1190,"| target=|_top|&gt;",AT1192,"&lt;/a&gt;")</f>
        <v>&lt;/li&gt;&lt;li&gt;&lt;a href=|http://biblebrowser.com/luke/11-1.htm| title=|Split View| target=|_top|&gt;Split&lt;/a&gt;</v>
      </c>
      <c r="AU984" s="2" t="s">
        <v>1276</v>
      </c>
      <c r="AV984" t="s">
        <v>64</v>
      </c>
    </row>
    <row r="985" spans="1:48">
      <c r="A985" t="s">
        <v>622</v>
      </c>
      <c r="B985" t="s">
        <v>1026</v>
      </c>
      <c r="C985" t="s">
        <v>624</v>
      </c>
      <c r="D985" t="s">
        <v>1268</v>
      </c>
      <c r="E985" t="s">
        <v>1277</v>
      </c>
      <c r="F985" t="s">
        <v>1304</v>
      </c>
      <c r="G985" t="s">
        <v>1266</v>
      </c>
      <c r="H985" t="s">
        <v>1305</v>
      </c>
      <c r="I985" t="s">
        <v>1303</v>
      </c>
      <c r="J985" t="s">
        <v>1267</v>
      </c>
      <c r="K985" t="s">
        <v>1275</v>
      </c>
      <c r="L985" s="2" t="s">
        <v>1274</v>
      </c>
      <c r="M985" t="str">
        <f t="shared" ref="M985:AB985" si="3936">CONCATENATE("&lt;/li&gt;&lt;li&gt;&lt;a href=|http://",M1191,"/luke/12.htm","| ","title=|",M1190,"| target=|_top|&gt;",M1192,"&lt;/a&gt;")</f>
        <v>&lt;/li&gt;&lt;li&gt;&lt;a href=|http://niv.scripturetext.com/luke/12.htm| title=|New International Version| target=|_top|&gt;NIV&lt;/a&gt;</v>
      </c>
      <c r="N985" t="str">
        <f t="shared" si="3936"/>
        <v>&lt;/li&gt;&lt;li&gt;&lt;a href=|http://nlt.scripturetext.com/luke/12.htm| title=|New Living Translation| target=|_top|&gt;NLT&lt;/a&gt;</v>
      </c>
      <c r="O985" t="str">
        <f t="shared" si="3936"/>
        <v>&lt;/li&gt;&lt;li&gt;&lt;a href=|http://nasb.scripturetext.com/luke/12.htm| title=|New American Standard Bible| target=|_top|&gt;NAS&lt;/a&gt;</v>
      </c>
      <c r="P985" t="str">
        <f t="shared" si="3936"/>
        <v>&lt;/li&gt;&lt;li&gt;&lt;a href=|http://gwt.scripturetext.com/luke/12.htm| title=|God's Word Translation| target=|_top|&gt;GWT&lt;/a&gt;</v>
      </c>
      <c r="Q985" t="str">
        <f t="shared" si="3936"/>
        <v>&lt;/li&gt;&lt;li&gt;&lt;a href=|http://kingjbible.com/luke/12.htm| title=|King James Bible| target=|_top|&gt;KJV&lt;/a&gt;</v>
      </c>
      <c r="R985" t="str">
        <f t="shared" si="3936"/>
        <v>&lt;/li&gt;&lt;li&gt;&lt;a href=|http://asvbible.com/luke/12.htm| title=|American Standard Version| target=|_top|&gt;ASV&lt;/a&gt;</v>
      </c>
      <c r="S985" t="str">
        <f t="shared" si="3936"/>
        <v>&lt;/li&gt;&lt;li&gt;&lt;a href=|http://drb.scripturetext.com/luke/12.htm| title=|Douay-Rheims Bible| target=|_top|&gt;DRB&lt;/a&gt;</v>
      </c>
      <c r="T985" t="str">
        <f t="shared" si="3936"/>
        <v>&lt;/li&gt;&lt;li&gt;&lt;a href=|http://erv.scripturetext.com/luke/12.htm| title=|English Revised Version| target=|_top|&gt;ERV&lt;/a&gt;</v>
      </c>
      <c r="U985" t="str">
        <f>CONCATENATE("&lt;/li&gt;&lt;li&gt;&lt;a href=|http://",U1191,"/luke/12.htm","| ","title=|",U1190,"| target=|_top|&gt;",U1192,"&lt;/a&gt;")</f>
        <v>&lt;/li&gt;&lt;li&gt;&lt;a href=|http://study.interlinearbible.org/luke/12.htm| title=|Greek Study Bible| target=|_top|&gt;Grk Study&lt;/a&gt;</v>
      </c>
      <c r="W985" t="str">
        <f t="shared" si="3936"/>
        <v>&lt;/li&gt;&lt;li&gt;&lt;a href=|http://apostolic.interlinearbible.org/luke/12.htm| title=|Apostolic Bible Polyglot Interlinear| target=|_top|&gt;Polyglot&lt;/a&gt;</v>
      </c>
      <c r="X985" t="str">
        <f t="shared" si="3936"/>
        <v>&lt;/li&gt;&lt;li&gt;&lt;a href=|http://interlinearbible.org/luke/12.htm| title=|Interlinear Bible| target=|_top|&gt;Interlin&lt;/a&gt;</v>
      </c>
      <c r="Y985" t="str">
        <f t="shared" ref="Y985" si="3937">CONCATENATE("&lt;/li&gt;&lt;li&gt;&lt;a href=|http://",Y1191,"/luke/12.htm","| ","title=|",Y1190,"| target=|_top|&gt;",Y1192,"&lt;/a&gt;")</f>
        <v>&lt;/li&gt;&lt;li&gt;&lt;a href=|http://bibleoutline.org/luke/12.htm| title=|Outline with People and Places List| target=|_top|&gt;Outline&lt;/a&gt;</v>
      </c>
      <c r="Z985" t="str">
        <f t="shared" si="3936"/>
        <v>&lt;/li&gt;&lt;li&gt;&lt;a href=|http://kjvs.scripturetext.com/luke/12.htm| title=|King James Bible with Strong's Numbers| target=|_top|&gt;Strong's&lt;/a&gt;</v>
      </c>
      <c r="AA985" t="str">
        <f t="shared" si="3936"/>
        <v>&lt;/li&gt;&lt;li&gt;&lt;a href=|http://childrensbibleonline.com/luke/12.htm| title=|The Children's Bible| target=|_top|&gt;Children's&lt;/a&gt;</v>
      </c>
      <c r="AB985" s="2" t="str">
        <f t="shared" si="3936"/>
        <v>&lt;/li&gt;&lt;li&gt;&lt;a href=|http://tsk.scripturetext.com/luke/12.htm| title=|Treasury of Scripture Knowledge| target=|_top|&gt;TSK&lt;/a&gt;</v>
      </c>
      <c r="AC985" t="str">
        <f>CONCATENATE("&lt;a href=|http://",AC1191,"/luke/12.htm","| ","title=|",AC1190,"| target=|_top|&gt;",AC1192,"&lt;/a&gt;")</f>
        <v>&lt;a href=|http://parallelbible.com/luke/12.htm| title=|Parallel Chapters| target=|_top|&gt;PAR&lt;/a&gt;</v>
      </c>
      <c r="AD985" s="2" t="str">
        <f t="shared" ref="AD985:AI985" si="3938">CONCATENATE("&lt;/li&gt;&lt;li&gt;&lt;a href=|http://",AD1191,"/luke/12.htm","| ","title=|",AD1190,"| target=|_top|&gt;",AD1192,"&lt;/a&gt;")</f>
        <v>&lt;/li&gt;&lt;li&gt;&lt;a href=|http://gsb.biblecommenter.com/luke/12.htm| title=|Geneva Study Bible| target=|_top|&gt;GSB&lt;/a&gt;</v>
      </c>
      <c r="AE985" s="2" t="str">
        <f t="shared" si="3938"/>
        <v>&lt;/li&gt;&lt;li&gt;&lt;a href=|http://jfb.biblecommenter.com/luke/12.htm| title=|Jamieson-Fausset-Brown Bible Commentary| target=|_top|&gt;JFB&lt;/a&gt;</v>
      </c>
      <c r="AF985" s="2" t="str">
        <f t="shared" si="3938"/>
        <v>&lt;/li&gt;&lt;li&gt;&lt;a href=|http://kjt.biblecommenter.com/luke/12.htm| title=|King James Translators' Notes| target=|_top|&gt;KJT&lt;/a&gt;</v>
      </c>
      <c r="AG985" s="2" t="str">
        <f t="shared" si="3938"/>
        <v>&lt;/li&gt;&lt;li&gt;&lt;a href=|http://mhc.biblecommenter.com/luke/12.htm| title=|Matthew Henry's Concise Commentary| target=|_top|&gt;MHC&lt;/a&gt;</v>
      </c>
      <c r="AH985" s="2" t="str">
        <f t="shared" si="3938"/>
        <v>&lt;/li&gt;&lt;li&gt;&lt;a href=|http://sco.biblecommenter.com/luke/12.htm| title=|Scofield Reference Notes| target=|_top|&gt;SCO&lt;/a&gt;</v>
      </c>
      <c r="AI985" s="2" t="str">
        <f t="shared" si="3938"/>
        <v>&lt;/li&gt;&lt;li&gt;&lt;a href=|http://wes.biblecommenter.com/luke/12.htm| title=|Wesley's Notes on the Bible| target=|_top|&gt;WES&lt;/a&gt;</v>
      </c>
      <c r="AJ985" t="str">
        <f>CONCATENATE("&lt;/li&gt;&lt;li&gt;&lt;a href=|http://",AJ1191,"/luke/12.htm","| ","title=|",AJ1190,"| target=|_top|&gt;",AJ1192,"&lt;/a&gt;")</f>
        <v>&lt;/li&gt;&lt;li&gt;&lt;a href=|http://worldebible.com/luke/12.htm| title=|World English Bible| target=|_top|&gt;WEB&lt;/a&gt;</v>
      </c>
      <c r="AK985" t="str">
        <f>CONCATENATE("&lt;/li&gt;&lt;li&gt;&lt;a href=|http://",AK1191,"/luke/12.htm","| ","title=|",AK1190,"| target=|_top|&gt;",AK1192,"&lt;/a&gt;")</f>
        <v>&lt;/li&gt;&lt;li&gt;&lt;a href=|http://yltbible.com/luke/12.htm| title=|Young's Literal Translation| target=|_top|&gt;YLT&lt;/a&gt;</v>
      </c>
      <c r="AL985" t="str">
        <f>CONCATENATE("&lt;a href=|http://",AL1191,"/luke/12.htm","| ","title=|",AL1190,"| target=|_top|&gt;",AL1192,"&lt;/a&gt;")</f>
        <v>&lt;a href=|http://kjv.us/luke/12.htm| title=|American King James Version| target=|_top|&gt;AKJ&lt;/a&gt;</v>
      </c>
      <c r="AM985" t="str">
        <f t="shared" ref="AM985:AS985" si="3939">CONCATENATE("&lt;/li&gt;&lt;li&gt;&lt;a href=|http://",AM1191,"/luke/12.htm","| ","title=|",AM1190,"| target=|_top|&gt;",AM1192,"&lt;/a&gt;")</f>
        <v>&lt;/li&gt;&lt;li&gt;&lt;a href=|http://basicenglishbible.com/luke/12.htm| title=|Bible in Basic English| target=|_top|&gt;BBE&lt;/a&gt;</v>
      </c>
      <c r="AN985" t="str">
        <f t="shared" si="3939"/>
        <v>&lt;/li&gt;&lt;li&gt;&lt;a href=|http://darbybible.com/luke/12.htm| title=|Darby Bible Translation| target=|_top|&gt;DBY&lt;/a&gt;</v>
      </c>
      <c r="AO985" t="str">
        <f t="shared" si="3939"/>
        <v>&lt;/li&gt;&lt;li&gt;&lt;a href=|http://isv.scripturetext.com/luke/12.htm| title=|International Standard Version| target=|_top|&gt;ISV&lt;/a&gt;</v>
      </c>
      <c r="AP985" t="str">
        <f t="shared" si="3939"/>
        <v>&lt;/li&gt;&lt;li&gt;&lt;a href=|http://tnt.scripturetext.com/luke/12.htm| title=|Tyndale New Testament| target=|_top|&gt;TNT&lt;/a&gt;</v>
      </c>
      <c r="AQ985" s="2" t="str">
        <f t="shared" si="3939"/>
        <v>&lt;/li&gt;&lt;li&gt;&lt;a href=|http://pnt.biblecommenter.com/luke/12.htm| title=|People's New Testament| target=|_top|&gt;PNT&lt;/a&gt;</v>
      </c>
      <c r="AR985" t="str">
        <f t="shared" si="3939"/>
        <v>&lt;/li&gt;&lt;li&gt;&lt;a href=|http://websterbible.com/luke/12.htm| title=|Webster's Bible Translation| target=|_top|&gt;WBS&lt;/a&gt;</v>
      </c>
      <c r="AS985" t="str">
        <f t="shared" si="3939"/>
        <v>&lt;/li&gt;&lt;li&gt;&lt;a href=|http://weymouthbible.com/luke/12.htm| title=|Weymouth New Testament| target=|_top|&gt;WEY&lt;/a&gt;</v>
      </c>
      <c r="AT985" t="str">
        <f>CONCATENATE("&lt;/li&gt;&lt;li&gt;&lt;a href=|http://",AT1191,"/luke/12-1.htm","| ","title=|",AT1190,"| target=|_top|&gt;",AT1192,"&lt;/a&gt;")</f>
        <v>&lt;/li&gt;&lt;li&gt;&lt;a href=|http://biblebrowser.com/luke/12-1.htm| title=|Split View| target=|_top|&gt;Split&lt;/a&gt;</v>
      </c>
      <c r="AU985" s="2" t="s">
        <v>1276</v>
      </c>
      <c r="AV985" t="s">
        <v>64</v>
      </c>
    </row>
    <row r="986" spans="1:48">
      <c r="A986" t="s">
        <v>622</v>
      </c>
      <c r="B986" t="s">
        <v>1027</v>
      </c>
      <c r="C986" t="s">
        <v>624</v>
      </c>
      <c r="D986" t="s">
        <v>1268</v>
      </c>
      <c r="E986" t="s">
        <v>1277</v>
      </c>
      <c r="F986" t="s">
        <v>1304</v>
      </c>
      <c r="G986" t="s">
        <v>1266</v>
      </c>
      <c r="H986" t="s">
        <v>1305</v>
      </c>
      <c r="I986" t="s">
        <v>1303</v>
      </c>
      <c r="J986" t="s">
        <v>1267</v>
      </c>
      <c r="K986" t="s">
        <v>1275</v>
      </c>
      <c r="L986" s="2" t="s">
        <v>1274</v>
      </c>
      <c r="M986" t="str">
        <f t="shared" ref="M986:AB986" si="3940">CONCATENATE("&lt;/li&gt;&lt;li&gt;&lt;a href=|http://",M1191,"/luke/13.htm","| ","title=|",M1190,"| target=|_top|&gt;",M1192,"&lt;/a&gt;")</f>
        <v>&lt;/li&gt;&lt;li&gt;&lt;a href=|http://niv.scripturetext.com/luke/13.htm| title=|New International Version| target=|_top|&gt;NIV&lt;/a&gt;</v>
      </c>
      <c r="N986" t="str">
        <f t="shared" si="3940"/>
        <v>&lt;/li&gt;&lt;li&gt;&lt;a href=|http://nlt.scripturetext.com/luke/13.htm| title=|New Living Translation| target=|_top|&gt;NLT&lt;/a&gt;</v>
      </c>
      <c r="O986" t="str">
        <f t="shared" si="3940"/>
        <v>&lt;/li&gt;&lt;li&gt;&lt;a href=|http://nasb.scripturetext.com/luke/13.htm| title=|New American Standard Bible| target=|_top|&gt;NAS&lt;/a&gt;</v>
      </c>
      <c r="P986" t="str">
        <f t="shared" si="3940"/>
        <v>&lt;/li&gt;&lt;li&gt;&lt;a href=|http://gwt.scripturetext.com/luke/13.htm| title=|God's Word Translation| target=|_top|&gt;GWT&lt;/a&gt;</v>
      </c>
      <c r="Q986" t="str">
        <f t="shared" si="3940"/>
        <v>&lt;/li&gt;&lt;li&gt;&lt;a href=|http://kingjbible.com/luke/13.htm| title=|King James Bible| target=|_top|&gt;KJV&lt;/a&gt;</v>
      </c>
      <c r="R986" t="str">
        <f t="shared" si="3940"/>
        <v>&lt;/li&gt;&lt;li&gt;&lt;a href=|http://asvbible.com/luke/13.htm| title=|American Standard Version| target=|_top|&gt;ASV&lt;/a&gt;</v>
      </c>
      <c r="S986" t="str">
        <f t="shared" si="3940"/>
        <v>&lt;/li&gt;&lt;li&gt;&lt;a href=|http://drb.scripturetext.com/luke/13.htm| title=|Douay-Rheims Bible| target=|_top|&gt;DRB&lt;/a&gt;</v>
      </c>
      <c r="T986" t="str">
        <f t="shared" si="3940"/>
        <v>&lt;/li&gt;&lt;li&gt;&lt;a href=|http://erv.scripturetext.com/luke/13.htm| title=|English Revised Version| target=|_top|&gt;ERV&lt;/a&gt;</v>
      </c>
      <c r="U986" t="str">
        <f>CONCATENATE("&lt;/li&gt;&lt;li&gt;&lt;a href=|http://",U1191,"/luke/13.htm","| ","title=|",U1190,"| target=|_top|&gt;",U1192,"&lt;/a&gt;")</f>
        <v>&lt;/li&gt;&lt;li&gt;&lt;a href=|http://study.interlinearbible.org/luke/13.htm| title=|Greek Study Bible| target=|_top|&gt;Grk Study&lt;/a&gt;</v>
      </c>
      <c r="W986" t="str">
        <f t="shared" si="3940"/>
        <v>&lt;/li&gt;&lt;li&gt;&lt;a href=|http://apostolic.interlinearbible.org/luke/13.htm| title=|Apostolic Bible Polyglot Interlinear| target=|_top|&gt;Polyglot&lt;/a&gt;</v>
      </c>
      <c r="X986" t="str">
        <f t="shared" si="3940"/>
        <v>&lt;/li&gt;&lt;li&gt;&lt;a href=|http://interlinearbible.org/luke/13.htm| title=|Interlinear Bible| target=|_top|&gt;Interlin&lt;/a&gt;</v>
      </c>
      <c r="Y986" t="str">
        <f t="shared" ref="Y986" si="3941">CONCATENATE("&lt;/li&gt;&lt;li&gt;&lt;a href=|http://",Y1191,"/luke/13.htm","| ","title=|",Y1190,"| target=|_top|&gt;",Y1192,"&lt;/a&gt;")</f>
        <v>&lt;/li&gt;&lt;li&gt;&lt;a href=|http://bibleoutline.org/luke/13.htm| title=|Outline with People and Places List| target=|_top|&gt;Outline&lt;/a&gt;</v>
      </c>
      <c r="Z986" t="str">
        <f t="shared" si="3940"/>
        <v>&lt;/li&gt;&lt;li&gt;&lt;a href=|http://kjvs.scripturetext.com/luke/13.htm| title=|King James Bible with Strong's Numbers| target=|_top|&gt;Strong's&lt;/a&gt;</v>
      </c>
      <c r="AA986" t="str">
        <f t="shared" si="3940"/>
        <v>&lt;/li&gt;&lt;li&gt;&lt;a href=|http://childrensbibleonline.com/luke/13.htm| title=|The Children's Bible| target=|_top|&gt;Children's&lt;/a&gt;</v>
      </c>
      <c r="AB986" s="2" t="str">
        <f t="shared" si="3940"/>
        <v>&lt;/li&gt;&lt;li&gt;&lt;a href=|http://tsk.scripturetext.com/luke/13.htm| title=|Treasury of Scripture Knowledge| target=|_top|&gt;TSK&lt;/a&gt;</v>
      </c>
      <c r="AC986" t="str">
        <f>CONCATENATE("&lt;a href=|http://",AC1191,"/luke/13.htm","| ","title=|",AC1190,"| target=|_top|&gt;",AC1192,"&lt;/a&gt;")</f>
        <v>&lt;a href=|http://parallelbible.com/luke/13.htm| title=|Parallel Chapters| target=|_top|&gt;PAR&lt;/a&gt;</v>
      </c>
      <c r="AD986" s="2" t="str">
        <f t="shared" ref="AD986:AI986" si="3942">CONCATENATE("&lt;/li&gt;&lt;li&gt;&lt;a href=|http://",AD1191,"/luke/13.htm","| ","title=|",AD1190,"| target=|_top|&gt;",AD1192,"&lt;/a&gt;")</f>
        <v>&lt;/li&gt;&lt;li&gt;&lt;a href=|http://gsb.biblecommenter.com/luke/13.htm| title=|Geneva Study Bible| target=|_top|&gt;GSB&lt;/a&gt;</v>
      </c>
      <c r="AE986" s="2" t="str">
        <f t="shared" si="3942"/>
        <v>&lt;/li&gt;&lt;li&gt;&lt;a href=|http://jfb.biblecommenter.com/luke/13.htm| title=|Jamieson-Fausset-Brown Bible Commentary| target=|_top|&gt;JFB&lt;/a&gt;</v>
      </c>
      <c r="AF986" s="2" t="str">
        <f t="shared" si="3942"/>
        <v>&lt;/li&gt;&lt;li&gt;&lt;a href=|http://kjt.biblecommenter.com/luke/13.htm| title=|King James Translators' Notes| target=|_top|&gt;KJT&lt;/a&gt;</v>
      </c>
      <c r="AG986" s="2" t="str">
        <f t="shared" si="3942"/>
        <v>&lt;/li&gt;&lt;li&gt;&lt;a href=|http://mhc.biblecommenter.com/luke/13.htm| title=|Matthew Henry's Concise Commentary| target=|_top|&gt;MHC&lt;/a&gt;</v>
      </c>
      <c r="AH986" s="2" t="str">
        <f t="shared" si="3942"/>
        <v>&lt;/li&gt;&lt;li&gt;&lt;a href=|http://sco.biblecommenter.com/luke/13.htm| title=|Scofield Reference Notes| target=|_top|&gt;SCO&lt;/a&gt;</v>
      </c>
      <c r="AI986" s="2" t="str">
        <f t="shared" si="3942"/>
        <v>&lt;/li&gt;&lt;li&gt;&lt;a href=|http://wes.biblecommenter.com/luke/13.htm| title=|Wesley's Notes on the Bible| target=|_top|&gt;WES&lt;/a&gt;</v>
      </c>
      <c r="AJ986" t="str">
        <f>CONCATENATE("&lt;/li&gt;&lt;li&gt;&lt;a href=|http://",AJ1191,"/luke/13.htm","| ","title=|",AJ1190,"| target=|_top|&gt;",AJ1192,"&lt;/a&gt;")</f>
        <v>&lt;/li&gt;&lt;li&gt;&lt;a href=|http://worldebible.com/luke/13.htm| title=|World English Bible| target=|_top|&gt;WEB&lt;/a&gt;</v>
      </c>
      <c r="AK986" t="str">
        <f>CONCATENATE("&lt;/li&gt;&lt;li&gt;&lt;a href=|http://",AK1191,"/luke/13.htm","| ","title=|",AK1190,"| target=|_top|&gt;",AK1192,"&lt;/a&gt;")</f>
        <v>&lt;/li&gt;&lt;li&gt;&lt;a href=|http://yltbible.com/luke/13.htm| title=|Young's Literal Translation| target=|_top|&gt;YLT&lt;/a&gt;</v>
      </c>
      <c r="AL986" t="str">
        <f>CONCATENATE("&lt;a href=|http://",AL1191,"/luke/13.htm","| ","title=|",AL1190,"| target=|_top|&gt;",AL1192,"&lt;/a&gt;")</f>
        <v>&lt;a href=|http://kjv.us/luke/13.htm| title=|American King James Version| target=|_top|&gt;AKJ&lt;/a&gt;</v>
      </c>
      <c r="AM986" t="str">
        <f t="shared" ref="AM986:AS986" si="3943">CONCATENATE("&lt;/li&gt;&lt;li&gt;&lt;a href=|http://",AM1191,"/luke/13.htm","| ","title=|",AM1190,"| target=|_top|&gt;",AM1192,"&lt;/a&gt;")</f>
        <v>&lt;/li&gt;&lt;li&gt;&lt;a href=|http://basicenglishbible.com/luke/13.htm| title=|Bible in Basic English| target=|_top|&gt;BBE&lt;/a&gt;</v>
      </c>
      <c r="AN986" t="str">
        <f t="shared" si="3943"/>
        <v>&lt;/li&gt;&lt;li&gt;&lt;a href=|http://darbybible.com/luke/13.htm| title=|Darby Bible Translation| target=|_top|&gt;DBY&lt;/a&gt;</v>
      </c>
      <c r="AO986" t="str">
        <f t="shared" si="3943"/>
        <v>&lt;/li&gt;&lt;li&gt;&lt;a href=|http://isv.scripturetext.com/luke/13.htm| title=|International Standard Version| target=|_top|&gt;ISV&lt;/a&gt;</v>
      </c>
      <c r="AP986" t="str">
        <f t="shared" si="3943"/>
        <v>&lt;/li&gt;&lt;li&gt;&lt;a href=|http://tnt.scripturetext.com/luke/13.htm| title=|Tyndale New Testament| target=|_top|&gt;TNT&lt;/a&gt;</v>
      </c>
      <c r="AQ986" s="2" t="str">
        <f t="shared" si="3943"/>
        <v>&lt;/li&gt;&lt;li&gt;&lt;a href=|http://pnt.biblecommenter.com/luke/13.htm| title=|People's New Testament| target=|_top|&gt;PNT&lt;/a&gt;</v>
      </c>
      <c r="AR986" t="str">
        <f t="shared" si="3943"/>
        <v>&lt;/li&gt;&lt;li&gt;&lt;a href=|http://websterbible.com/luke/13.htm| title=|Webster's Bible Translation| target=|_top|&gt;WBS&lt;/a&gt;</v>
      </c>
      <c r="AS986" t="str">
        <f t="shared" si="3943"/>
        <v>&lt;/li&gt;&lt;li&gt;&lt;a href=|http://weymouthbible.com/luke/13.htm| title=|Weymouth New Testament| target=|_top|&gt;WEY&lt;/a&gt;</v>
      </c>
      <c r="AT986" t="str">
        <f>CONCATENATE("&lt;/li&gt;&lt;li&gt;&lt;a href=|http://",AT1191,"/luke/13-1.htm","| ","title=|",AT1190,"| target=|_top|&gt;",AT1192,"&lt;/a&gt;")</f>
        <v>&lt;/li&gt;&lt;li&gt;&lt;a href=|http://biblebrowser.com/luke/13-1.htm| title=|Split View| target=|_top|&gt;Split&lt;/a&gt;</v>
      </c>
      <c r="AU986" s="2" t="s">
        <v>1276</v>
      </c>
      <c r="AV986" t="s">
        <v>64</v>
      </c>
    </row>
    <row r="987" spans="1:48">
      <c r="A987" t="s">
        <v>622</v>
      </c>
      <c r="B987" t="s">
        <v>1028</v>
      </c>
      <c r="C987" t="s">
        <v>624</v>
      </c>
      <c r="D987" t="s">
        <v>1268</v>
      </c>
      <c r="E987" t="s">
        <v>1277</v>
      </c>
      <c r="F987" t="s">
        <v>1304</v>
      </c>
      <c r="G987" t="s">
        <v>1266</v>
      </c>
      <c r="H987" t="s">
        <v>1305</v>
      </c>
      <c r="I987" t="s">
        <v>1303</v>
      </c>
      <c r="J987" t="s">
        <v>1267</v>
      </c>
      <c r="K987" t="s">
        <v>1275</v>
      </c>
      <c r="L987" s="2" t="s">
        <v>1274</v>
      </c>
      <c r="M987" t="str">
        <f t="shared" ref="M987:AB987" si="3944">CONCATENATE("&lt;/li&gt;&lt;li&gt;&lt;a href=|http://",M1191,"/luke/14.htm","| ","title=|",M1190,"| target=|_top|&gt;",M1192,"&lt;/a&gt;")</f>
        <v>&lt;/li&gt;&lt;li&gt;&lt;a href=|http://niv.scripturetext.com/luke/14.htm| title=|New International Version| target=|_top|&gt;NIV&lt;/a&gt;</v>
      </c>
      <c r="N987" t="str">
        <f t="shared" si="3944"/>
        <v>&lt;/li&gt;&lt;li&gt;&lt;a href=|http://nlt.scripturetext.com/luke/14.htm| title=|New Living Translation| target=|_top|&gt;NLT&lt;/a&gt;</v>
      </c>
      <c r="O987" t="str">
        <f t="shared" si="3944"/>
        <v>&lt;/li&gt;&lt;li&gt;&lt;a href=|http://nasb.scripturetext.com/luke/14.htm| title=|New American Standard Bible| target=|_top|&gt;NAS&lt;/a&gt;</v>
      </c>
      <c r="P987" t="str">
        <f t="shared" si="3944"/>
        <v>&lt;/li&gt;&lt;li&gt;&lt;a href=|http://gwt.scripturetext.com/luke/14.htm| title=|God's Word Translation| target=|_top|&gt;GWT&lt;/a&gt;</v>
      </c>
      <c r="Q987" t="str">
        <f t="shared" si="3944"/>
        <v>&lt;/li&gt;&lt;li&gt;&lt;a href=|http://kingjbible.com/luke/14.htm| title=|King James Bible| target=|_top|&gt;KJV&lt;/a&gt;</v>
      </c>
      <c r="R987" t="str">
        <f t="shared" si="3944"/>
        <v>&lt;/li&gt;&lt;li&gt;&lt;a href=|http://asvbible.com/luke/14.htm| title=|American Standard Version| target=|_top|&gt;ASV&lt;/a&gt;</v>
      </c>
      <c r="S987" t="str">
        <f t="shared" si="3944"/>
        <v>&lt;/li&gt;&lt;li&gt;&lt;a href=|http://drb.scripturetext.com/luke/14.htm| title=|Douay-Rheims Bible| target=|_top|&gt;DRB&lt;/a&gt;</v>
      </c>
      <c r="T987" t="str">
        <f t="shared" si="3944"/>
        <v>&lt;/li&gt;&lt;li&gt;&lt;a href=|http://erv.scripturetext.com/luke/14.htm| title=|English Revised Version| target=|_top|&gt;ERV&lt;/a&gt;</v>
      </c>
      <c r="U987" t="str">
        <f>CONCATENATE("&lt;/li&gt;&lt;li&gt;&lt;a href=|http://",U1191,"/luke/14.htm","| ","title=|",U1190,"| target=|_top|&gt;",U1192,"&lt;/a&gt;")</f>
        <v>&lt;/li&gt;&lt;li&gt;&lt;a href=|http://study.interlinearbible.org/luke/14.htm| title=|Greek Study Bible| target=|_top|&gt;Grk Study&lt;/a&gt;</v>
      </c>
      <c r="W987" t="str">
        <f t="shared" si="3944"/>
        <v>&lt;/li&gt;&lt;li&gt;&lt;a href=|http://apostolic.interlinearbible.org/luke/14.htm| title=|Apostolic Bible Polyglot Interlinear| target=|_top|&gt;Polyglot&lt;/a&gt;</v>
      </c>
      <c r="X987" t="str">
        <f t="shared" si="3944"/>
        <v>&lt;/li&gt;&lt;li&gt;&lt;a href=|http://interlinearbible.org/luke/14.htm| title=|Interlinear Bible| target=|_top|&gt;Interlin&lt;/a&gt;</v>
      </c>
      <c r="Y987" t="str">
        <f t="shared" ref="Y987" si="3945">CONCATENATE("&lt;/li&gt;&lt;li&gt;&lt;a href=|http://",Y1191,"/luke/14.htm","| ","title=|",Y1190,"| target=|_top|&gt;",Y1192,"&lt;/a&gt;")</f>
        <v>&lt;/li&gt;&lt;li&gt;&lt;a href=|http://bibleoutline.org/luke/14.htm| title=|Outline with People and Places List| target=|_top|&gt;Outline&lt;/a&gt;</v>
      </c>
      <c r="Z987" t="str">
        <f t="shared" si="3944"/>
        <v>&lt;/li&gt;&lt;li&gt;&lt;a href=|http://kjvs.scripturetext.com/luke/14.htm| title=|King James Bible with Strong's Numbers| target=|_top|&gt;Strong's&lt;/a&gt;</v>
      </c>
      <c r="AA987" t="str">
        <f t="shared" si="3944"/>
        <v>&lt;/li&gt;&lt;li&gt;&lt;a href=|http://childrensbibleonline.com/luke/14.htm| title=|The Children's Bible| target=|_top|&gt;Children's&lt;/a&gt;</v>
      </c>
      <c r="AB987" s="2" t="str">
        <f t="shared" si="3944"/>
        <v>&lt;/li&gt;&lt;li&gt;&lt;a href=|http://tsk.scripturetext.com/luke/14.htm| title=|Treasury of Scripture Knowledge| target=|_top|&gt;TSK&lt;/a&gt;</v>
      </c>
      <c r="AC987" t="str">
        <f>CONCATENATE("&lt;a href=|http://",AC1191,"/luke/14.htm","| ","title=|",AC1190,"| target=|_top|&gt;",AC1192,"&lt;/a&gt;")</f>
        <v>&lt;a href=|http://parallelbible.com/luke/14.htm| title=|Parallel Chapters| target=|_top|&gt;PAR&lt;/a&gt;</v>
      </c>
      <c r="AD987" s="2" t="str">
        <f t="shared" ref="AD987:AI987" si="3946">CONCATENATE("&lt;/li&gt;&lt;li&gt;&lt;a href=|http://",AD1191,"/luke/14.htm","| ","title=|",AD1190,"| target=|_top|&gt;",AD1192,"&lt;/a&gt;")</f>
        <v>&lt;/li&gt;&lt;li&gt;&lt;a href=|http://gsb.biblecommenter.com/luke/14.htm| title=|Geneva Study Bible| target=|_top|&gt;GSB&lt;/a&gt;</v>
      </c>
      <c r="AE987" s="2" t="str">
        <f t="shared" si="3946"/>
        <v>&lt;/li&gt;&lt;li&gt;&lt;a href=|http://jfb.biblecommenter.com/luke/14.htm| title=|Jamieson-Fausset-Brown Bible Commentary| target=|_top|&gt;JFB&lt;/a&gt;</v>
      </c>
      <c r="AF987" s="2" t="str">
        <f t="shared" si="3946"/>
        <v>&lt;/li&gt;&lt;li&gt;&lt;a href=|http://kjt.biblecommenter.com/luke/14.htm| title=|King James Translators' Notes| target=|_top|&gt;KJT&lt;/a&gt;</v>
      </c>
      <c r="AG987" s="2" t="str">
        <f t="shared" si="3946"/>
        <v>&lt;/li&gt;&lt;li&gt;&lt;a href=|http://mhc.biblecommenter.com/luke/14.htm| title=|Matthew Henry's Concise Commentary| target=|_top|&gt;MHC&lt;/a&gt;</v>
      </c>
      <c r="AH987" s="2" t="str">
        <f t="shared" si="3946"/>
        <v>&lt;/li&gt;&lt;li&gt;&lt;a href=|http://sco.biblecommenter.com/luke/14.htm| title=|Scofield Reference Notes| target=|_top|&gt;SCO&lt;/a&gt;</v>
      </c>
      <c r="AI987" s="2" t="str">
        <f t="shared" si="3946"/>
        <v>&lt;/li&gt;&lt;li&gt;&lt;a href=|http://wes.biblecommenter.com/luke/14.htm| title=|Wesley's Notes on the Bible| target=|_top|&gt;WES&lt;/a&gt;</v>
      </c>
      <c r="AJ987" t="str">
        <f>CONCATENATE("&lt;/li&gt;&lt;li&gt;&lt;a href=|http://",AJ1191,"/luke/14.htm","| ","title=|",AJ1190,"| target=|_top|&gt;",AJ1192,"&lt;/a&gt;")</f>
        <v>&lt;/li&gt;&lt;li&gt;&lt;a href=|http://worldebible.com/luke/14.htm| title=|World English Bible| target=|_top|&gt;WEB&lt;/a&gt;</v>
      </c>
      <c r="AK987" t="str">
        <f>CONCATENATE("&lt;/li&gt;&lt;li&gt;&lt;a href=|http://",AK1191,"/luke/14.htm","| ","title=|",AK1190,"| target=|_top|&gt;",AK1192,"&lt;/a&gt;")</f>
        <v>&lt;/li&gt;&lt;li&gt;&lt;a href=|http://yltbible.com/luke/14.htm| title=|Young's Literal Translation| target=|_top|&gt;YLT&lt;/a&gt;</v>
      </c>
      <c r="AL987" t="str">
        <f>CONCATENATE("&lt;a href=|http://",AL1191,"/luke/14.htm","| ","title=|",AL1190,"| target=|_top|&gt;",AL1192,"&lt;/a&gt;")</f>
        <v>&lt;a href=|http://kjv.us/luke/14.htm| title=|American King James Version| target=|_top|&gt;AKJ&lt;/a&gt;</v>
      </c>
      <c r="AM987" t="str">
        <f t="shared" ref="AM987:AS987" si="3947">CONCATENATE("&lt;/li&gt;&lt;li&gt;&lt;a href=|http://",AM1191,"/luke/14.htm","| ","title=|",AM1190,"| target=|_top|&gt;",AM1192,"&lt;/a&gt;")</f>
        <v>&lt;/li&gt;&lt;li&gt;&lt;a href=|http://basicenglishbible.com/luke/14.htm| title=|Bible in Basic English| target=|_top|&gt;BBE&lt;/a&gt;</v>
      </c>
      <c r="AN987" t="str">
        <f t="shared" si="3947"/>
        <v>&lt;/li&gt;&lt;li&gt;&lt;a href=|http://darbybible.com/luke/14.htm| title=|Darby Bible Translation| target=|_top|&gt;DBY&lt;/a&gt;</v>
      </c>
      <c r="AO987" t="str">
        <f t="shared" si="3947"/>
        <v>&lt;/li&gt;&lt;li&gt;&lt;a href=|http://isv.scripturetext.com/luke/14.htm| title=|International Standard Version| target=|_top|&gt;ISV&lt;/a&gt;</v>
      </c>
      <c r="AP987" t="str">
        <f t="shared" si="3947"/>
        <v>&lt;/li&gt;&lt;li&gt;&lt;a href=|http://tnt.scripturetext.com/luke/14.htm| title=|Tyndale New Testament| target=|_top|&gt;TNT&lt;/a&gt;</v>
      </c>
      <c r="AQ987" s="2" t="str">
        <f t="shared" si="3947"/>
        <v>&lt;/li&gt;&lt;li&gt;&lt;a href=|http://pnt.biblecommenter.com/luke/14.htm| title=|People's New Testament| target=|_top|&gt;PNT&lt;/a&gt;</v>
      </c>
      <c r="AR987" t="str">
        <f t="shared" si="3947"/>
        <v>&lt;/li&gt;&lt;li&gt;&lt;a href=|http://websterbible.com/luke/14.htm| title=|Webster's Bible Translation| target=|_top|&gt;WBS&lt;/a&gt;</v>
      </c>
      <c r="AS987" t="str">
        <f t="shared" si="3947"/>
        <v>&lt;/li&gt;&lt;li&gt;&lt;a href=|http://weymouthbible.com/luke/14.htm| title=|Weymouth New Testament| target=|_top|&gt;WEY&lt;/a&gt;</v>
      </c>
      <c r="AT987" t="str">
        <f>CONCATENATE("&lt;/li&gt;&lt;li&gt;&lt;a href=|http://",AT1191,"/luke/14-1.htm","| ","title=|",AT1190,"| target=|_top|&gt;",AT1192,"&lt;/a&gt;")</f>
        <v>&lt;/li&gt;&lt;li&gt;&lt;a href=|http://biblebrowser.com/luke/14-1.htm| title=|Split View| target=|_top|&gt;Split&lt;/a&gt;</v>
      </c>
      <c r="AU987" s="2" t="s">
        <v>1276</v>
      </c>
      <c r="AV987" t="s">
        <v>64</v>
      </c>
    </row>
    <row r="988" spans="1:48">
      <c r="A988" t="s">
        <v>622</v>
      </c>
      <c r="B988" t="s">
        <v>1029</v>
      </c>
      <c r="C988" t="s">
        <v>624</v>
      </c>
      <c r="D988" t="s">
        <v>1268</v>
      </c>
      <c r="E988" t="s">
        <v>1277</v>
      </c>
      <c r="F988" t="s">
        <v>1304</v>
      </c>
      <c r="G988" t="s">
        <v>1266</v>
      </c>
      <c r="H988" t="s">
        <v>1305</v>
      </c>
      <c r="I988" t="s">
        <v>1303</v>
      </c>
      <c r="J988" t="s">
        <v>1267</v>
      </c>
      <c r="K988" t="s">
        <v>1275</v>
      </c>
      <c r="L988" s="2" t="s">
        <v>1274</v>
      </c>
      <c r="M988" t="str">
        <f t="shared" ref="M988:AB988" si="3948">CONCATENATE("&lt;/li&gt;&lt;li&gt;&lt;a href=|http://",M1191,"/luke/15.htm","| ","title=|",M1190,"| target=|_top|&gt;",M1192,"&lt;/a&gt;")</f>
        <v>&lt;/li&gt;&lt;li&gt;&lt;a href=|http://niv.scripturetext.com/luke/15.htm| title=|New International Version| target=|_top|&gt;NIV&lt;/a&gt;</v>
      </c>
      <c r="N988" t="str">
        <f t="shared" si="3948"/>
        <v>&lt;/li&gt;&lt;li&gt;&lt;a href=|http://nlt.scripturetext.com/luke/15.htm| title=|New Living Translation| target=|_top|&gt;NLT&lt;/a&gt;</v>
      </c>
      <c r="O988" t="str">
        <f t="shared" si="3948"/>
        <v>&lt;/li&gt;&lt;li&gt;&lt;a href=|http://nasb.scripturetext.com/luke/15.htm| title=|New American Standard Bible| target=|_top|&gt;NAS&lt;/a&gt;</v>
      </c>
      <c r="P988" t="str">
        <f t="shared" si="3948"/>
        <v>&lt;/li&gt;&lt;li&gt;&lt;a href=|http://gwt.scripturetext.com/luke/15.htm| title=|God's Word Translation| target=|_top|&gt;GWT&lt;/a&gt;</v>
      </c>
      <c r="Q988" t="str">
        <f t="shared" si="3948"/>
        <v>&lt;/li&gt;&lt;li&gt;&lt;a href=|http://kingjbible.com/luke/15.htm| title=|King James Bible| target=|_top|&gt;KJV&lt;/a&gt;</v>
      </c>
      <c r="R988" t="str">
        <f t="shared" si="3948"/>
        <v>&lt;/li&gt;&lt;li&gt;&lt;a href=|http://asvbible.com/luke/15.htm| title=|American Standard Version| target=|_top|&gt;ASV&lt;/a&gt;</v>
      </c>
      <c r="S988" t="str">
        <f t="shared" si="3948"/>
        <v>&lt;/li&gt;&lt;li&gt;&lt;a href=|http://drb.scripturetext.com/luke/15.htm| title=|Douay-Rheims Bible| target=|_top|&gt;DRB&lt;/a&gt;</v>
      </c>
      <c r="T988" t="str">
        <f t="shared" si="3948"/>
        <v>&lt;/li&gt;&lt;li&gt;&lt;a href=|http://erv.scripturetext.com/luke/15.htm| title=|English Revised Version| target=|_top|&gt;ERV&lt;/a&gt;</v>
      </c>
      <c r="U988" t="str">
        <f>CONCATENATE("&lt;/li&gt;&lt;li&gt;&lt;a href=|http://",U1191,"/luke/15.htm","| ","title=|",U1190,"| target=|_top|&gt;",U1192,"&lt;/a&gt;")</f>
        <v>&lt;/li&gt;&lt;li&gt;&lt;a href=|http://study.interlinearbible.org/luke/15.htm| title=|Greek Study Bible| target=|_top|&gt;Grk Study&lt;/a&gt;</v>
      </c>
      <c r="W988" t="str">
        <f t="shared" si="3948"/>
        <v>&lt;/li&gt;&lt;li&gt;&lt;a href=|http://apostolic.interlinearbible.org/luke/15.htm| title=|Apostolic Bible Polyglot Interlinear| target=|_top|&gt;Polyglot&lt;/a&gt;</v>
      </c>
      <c r="X988" t="str">
        <f t="shared" si="3948"/>
        <v>&lt;/li&gt;&lt;li&gt;&lt;a href=|http://interlinearbible.org/luke/15.htm| title=|Interlinear Bible| target=|_top|&gt;Interlin&lt;/a&gt;</v>
      </c>
      <c r="Y988" t="str">
        <f t="shared" ref="Y988" si="3949">CONCATENATE("&lt;/li&gt;&lt;li&gt;&lt;a href=|http://",Y1191,"/luke/15.htm","| ","title=|",Y1190,"| target=|_top|&gt;",Y1192,"&lt;/a&gt;")</f>
        <v>&lt;/li&gt;&lt;li&gt;&lt;a href=|http://bibleoutline.org/luke/15.htm| title=|Outline with People and Places List| target=|_top|&gt;Outline&lt;/a&gt;</v>
      </c>
      <c r="Z988" t="str">
        <f t="shared" si="3948"/>
        <v>&lt;/li&gt;&lt;li&gt;&lt;a href=|http://kjvs.scripturetext.com/luke/15.htm| title=|King James Bible with Strong's Numbers| target=|_top|&gt;Strong's&lt;/a&gt;</v>
      </c>
      <c r="AA988" t="str">
        <f t="shared" si="3948"/>
        <v>&lt;/li&gt;&lt;li&gt;&lt;a href=|http://childrensbibleonline.com/luke/15.htm| title=|The Children's Bible| target=|_top|&gt;Children's&lt;/a&gt;</v>
      </c>
      <c r="AB988" s="2" t="str">
        <f t="shared" si="3948"/>
        <v>&lt;/li&gt;&lt;li&gt;&lt;a href=|http://tsk.scripturetext.com/luke/15.htm| title=|Treasury of Scripture Knowledge| target=|_top|&gt;TSK&lt;/a&gt;</v>
      </c>
      <c r="AC988" t="str">
        <f>CONCATENATE("&lt;a href=|http://",AC1191,"/luke/15.htm","| ","title=|",AC1190,"| target=|_top|&gt;",AC1192,"&lt;/a&gt;")</f>
        <v>&lt;a href=|http://parallelbible.com/luke/15.htm| title=|Parallel Chapters| target=|_top|&gt;PAR&lt;/a&gt;</v>
      </c>
      <c r="AD988" s="2" t="str">
        <f t="shared" ref="AD988:AI988" si="3950">CONCATENATE("&lt;/li&gt;&lt;li&gt;&lt;a href=|http://",AD1191,"/luke/15.htm","| ","title=|",AD1190,"| target=|_top|&gt;",AD1192,"&lt;/a&gt;")</f>
        <v>&lt;/li&gt;&lt;li&gt;&lt;a href=|http://gsb.biblecommenter.com/luke/15.htm| title=|Geneva Study Bible| target=|_top|&gt;GSB&lt;/a&gt;</v>
      </c>
      <c r="AE988" s="2" t="str">
        <f t="shared" si="3950"/>
        <v>&lt;/li&gt;&lt;li&gt;&lt;a href=|http://jfb.biblecommenter.com/luke/15.htm| title=|Jamieson-Fausset-Brown Bible Commentary| target=|_top|&gt;JFB&lt;/a&gt;</v>
      </c>
      <c r="AF988" s="2" t="str">
        <f t="shared" si="3950"/>
        <v>&lt;/li&gt;&lt;li&gt;&lt;a href=|http://kjt.biblecommenter.com/luke/15.htm| title=|King James Translators' Notes| target=|_top|&gt;KJT&lt;/a&gt;</v>
      </c>
      <c r="AG988" s="2" t="str">
        <f t="shared" si="3950"/>
        <v>&lt;/li&gt;&lt;li&gt;&lt;a href=|http://mhc.biblecommenter.com/luke/15.htm| title=|Matthew Henry's Concise Commentary| target=|_top|&gt;MHC&lt;/a&gt;</v>
      </c>
      <c r="AH988" s="2" t="str">
        <f t="shared" si="3950"/>
        <v>&lt;/li&gt;&lt;li&gt;&lt;a href=|http://sco.biblecommenter.com/luke/15.htm| title=|Scofield Reference Notes| target=|_top|&gt;SCO&lt;/a&gt;</v>
      </c>
      <c r="AI988" s="2" t="str">
        <f t="shared" si="3950"/>
        <v>&lt;/li&gt;&lt;li&gt;&lt;a href=|http://wes.biblecommenter.com/luke/15.htm| title=|Wesley's Notes on the Bible| target=|_top|&gt;WES&lt;/a&gt;</v>
      </c>
      <c r="AJ988" t="str">
        <f>CONCATENATE("&lt;/li&gt;&lt;li&gt;&lt;a href=|http://",AJ1191,"/luke/15.htm","| ","title=|",AJ1190,"| target=|_top|&gt;",AJ1192,"&lt;/a&gt;")</f>
        <v>&lt;/li&gt;&lt;li&gt;&lt;a href=|http://worldebible.com/luke/15.htm| title=|World English Bible| target=|_top|&gt;WEB&lt;/a&gt;</v>
      </c>
      <c r="AK988" t="str">
        <f>CONCATENATE("&lt;/li&gt;&lt;li&gt;&lt;a href=|http://",AK1191,"/luke/15.htm","| ","title=|",AK1190,"| target=|_top|&gt;",AK1192,"&lt;/a&gt;")</f>
        <v>&lt;/li&gt;&lt;li&gt;&lt;a href=|http://yltbible.com/luke/15.htm| title=|Young's Literal Translation| target=|_top|&gt;YLT&lt;/a&gt;</v>
      </c>
      <c r="AL988" t="str">
        <f>CONCATENATE("&lt;a href=|http://",AL1191,"/luke/15.htm","| ","title=|",AL1190,"| target=|_top|&gt;",AL1192,"&lt;/a&gt;")</f>
        <v>&lt;a href=|http://kjv.us/luke/15.htm| title=|American King James Version| target=|_top|&gt;AKJ&lt;/a&gt;</v>
      </c>
      <c r="AM988" t="str">
        <f t="shared" ref="AM988:AS988" si="3951">CONCATENATE("&lt;/li&gt;&lt;li&gt;&lt;a href=|http://",AM1191,"/luke/15.htm","| ","title=|",AM1190,"| target=|_top|&gt;",AM1192,"&lt;/a&gt;")</f>
        <v>&lt;/li&gt;&lt;li&gt;&lt;a href=|http://basicenglishbible.com/luke/15.htm| title=|Bible in Basic English| target=|_top|&gt;BBE&lt;/a&gt;</v>
      </c>
      <c r="AN988" t="str">
        <f t="shared" si="3951"/>
        <v>&lt;/li&gt;&lt;li&gt;&lt;a href=|http://darbybible.com/luke/15.htm| title=|Darby Bible Translation| target=|_top|&gt;DBY&lt;/a&gt;</v>
      </c>
      <c r="AO988" t="str">
        <f t="shared" si="3951"/>
        <v>&lt;/li&gt;&lt;li&gt;&lt;a href=|http://isv.scripturetext.com/luke/15.htm| title=|International Standard Version| target=|_top|&gt;ISV&lt;/a&gt;</v>
      </c>
      <c r="AP988" t="str">
        <f t="shared" si="3951"/>
        <v>&lt;/li&gt;&lt;li&gt;&lt;a href=|http://tnt.scripturetext.com/luke/15.htm| title=|Tyndale New Testament| target=|_top|&gt;TNT&lt;/a&gt;</v>
      </c>
      <c r="AQ988" s="2" t="str">
        <f t="shared" si="3951"/>
        <v>&lt;/li&gt;&lt;li&gt;&lt;a href=|http://pnt.biblecommenter.com/luke/15.htm| title=|People's New Testament| target=|_top|&gt;PNT&lt;/a&gt;</v>
      </c>
      <c r="AR988" t="str">
        <f t="shared" si="3951"/>
        <v>&lt;/li&gt;&lt;li&gt;&lt;a href=|http://websterbible.com/luke/15.htm| title=|Webster's Bible Translation| target=|_top|&gt;WBS&lt;/a&gt;</v>
      </c>
      <c r="AS988" t="str">
        <f t="shared" si="3951"/>
        <v>&lt;/li&gt;&lt;li&gt;&lt;a href=|http://weymouthbible.com/luke/15.htm| title=|Weymouth New Testament| target=|_top|&gt;WEY&lt;/a&gt;</v>
      </c>
      <c r="AT988" t="str">
        <f>CONCATENATE("&lt;/li&gt;&lt;li&gt;&lt;a href=|http://",AT1191,"/luke/15-1.htm","| ","title=|",AT1190,"| target=|_top|&gt;",AT1192,"&lt;/a&gt;")</f>
        <v>&lt;/li&gt;&lt;li&gt;&lt;a href=|http://biblebrowser.com/luke/15-1.htm| title=|Split View| target=|_top|&gt;Split&lt;/a&gt;</v>
      </c>
      <c r="AU988" s="2" t="s">
        <v>1276</v>
      </c>
      <c r="AV988" t="s">
        <v>64</v>
      </c>
    </row>
    <row r="989" spans="1:48">
      <c r="A989" t="s">
        <v>622</v>
      </c>
      <c r="B989" t="s">
        <v>1030</v>
      </c>
      <c r="C989" t="s">
        <v>624</v>
      </c>
      <c r="D989" t="s">
        <v>1268</v>
      </c>
      <c r="E989" t="s">
        <v>1277</v>
      </c>
      <c r="F989" t="s">
        <v>1304</v>
      </c>
      <c r="G989" t="s">
        <v>1266</v>
      </c>
      <c r="H989" t="s">
        <v>1305</v>
      </c>
      <c r="I989" t="s">
        <v>1303</v>
      </c>
      <c r="J989" t="s">
        <v>1267</v>
      </c>
      <c r="K989" t="s">
        <v>1275</v>
      </c>
      <c r="L989" s="2" t="s">
        <v>1274</v>
      </c>
      <c r="M989" t="str">
        <f t="shared" ref="M989:AB989" si="3952">CONCATENATE("&lt;/li&gt;&lt;li&gt;&lt;a href=|http://",M1191,"/luke/16.htm","| ","title=|",M1190,"| target=|_top|&gt;",M1192,"&lt;/a&gt;")</f>
        <v>&lt;/li&gt;&lt;li&gt;&lt;a href=|http://niv.scripturetext.com/luke/16.htm| title=|New International Version| target=|_top|&gt;NIV&lt;/a&gt;</v>
      </c>
      <c r="N989" t="str">
        <f t="shared" si="3952"/>
        <v>&lt;/li&gt;&lt;li&gt;&lt;a href=|http://nlt.scripturetext.com/luke/16.htm| title=|New Living Translation| target=|_top|&gt;NLT&lt;/a&gt;</v>
      </c>
      <c r="O989" t="str">
        <f t="shared" si="3952"/>
        <v>&lt;/li&gt;&lt;li&gt;&lt;a href=|http://nasb.scripturetext.com/luke/16.htm| title=|New American Standard Bible| target=|_top|&gt;NAS&lt;/a&gt;</v>
      </c>
      <c r="P989" t="str">
        <f t="shared" si="3952"/>
        <v>&lt;/li&gt;&lt;li&gt;&lt;a href=|http://gwt.scripturetext.com/luke/16.htm| title=|God's Word Translation| target=|_top|&gt;GWT&lt;/a&gt;</v>
      </c>
      <c r="Q989" t="str">
        <f t="shared" si="3952"/>
        <v>&lt;/li&gt;&lt;li&gt;&lt;a href=|http://kingjbible.com/luke/16.htm| title=|King James Bible| target=|_top|&gt;KJV&lt;/a&gt;</v>
      </c>
      <c r="R989" t="str">
        <f t="shared" si="3952"/>
        <v>&lt;/li&gt;&lt;li&gt;&lt;a href=|http://asvbible.com/luke/16.htm| title=|American Standard Version| target=|_top|&gt;ASV&lt;/a&gt;</v>
      </c>
      <c r="S989" t="str">
        <f t="shared" si="3952"/>
        <v>&lt;/li&gt;&lt;li&gt;&lt;a href=|http://drb.scripturetext.com/luke/16.htm| title=|Douay-Rheims Bible| target=|_top|&gt;DRB&lt;/a&gt;</v>
      </c>
      <c r="T989" t="str">
        <f t="shared" si="3952"/>
        <v>&lt;/li&gt;&lt;li&gt;&lt;a href=|http://erv.scripturetext.com/luke/16.htm| title=|English Revised Version| target=|_top|&gt;ERV&lt;/a&gt;</v>
      </c>
      <c r="U989" t="str">
        <f>CONCATENATE("&lt;/li&gt;&lt;li&gt;&lt;a href=|http://",U1191,"/luke/16.htm","| ","title=|",U1190,"| target=|_top|&gt;",U1192,"&lt;/a&gt;")</f>
        <v>&lt;/li&gt;&lt;li&gt;&lt;a href=|http://study.interlinearbible.org/luke/16.htm| title=|Greek Study Bible| target=|_top|&gt;Grk Study&lt;/a&gt;</v>
      </c>
      <c r="W989" t="str">
        <f t="shared" si="3952"/>
        <v>&lt;/li&gt;&lt;li&gt;&lt;a href=|http://apostolic.interlinearbible.org/luke/16.htm| title=|Apostolic Bible Polyglot Interlinear| target=|_top|&gt;Polyglot&lt;/a&gt;</v>
      </c>
      <c r="X989" t="str">
        <f t="shared" si="3952"/>
        <v>&lt;/li&gt;&lt;li&gt;&lt;a href=|http://interlinearbible.org/luke/16.htm| title=|Interlinear Bible| target=|_top|&gt;Interlin&lt;/a&gt;</v>
      </c>
      <c r="Y989" t="str">
        <f t="shared" ref="Y989" si="3953">CONCATENATE("&lt;/li&gt;&lt;li&gt;&lt;a href=|http://",Y1191,"/luke/16.htm","| ","title=|",Y1190,"| target=|_top|&gt;",Y1192,"&lt;/a&gt;")</f>
        <v>&lt;/li&gt;&lt;li&gt;&lt;a href=|http://bibleoutline.org/luke/16.htm| title=|Outline with People and Places List| target=|_top|&gt;Outline&lt;/a&gt;</v>
      </c>
      <c r="Z989" t="str">
        <f t="shared" si="3952"/>
        <v>&lt;/li&gt;&lt;li&gt;&lt;a href=|http://kjvs.scripturetext.com/luke/16.htm| title=|King James Bible with Strong's Numbers| target=|_top|&gt;Strong's&lt;/a&gt;</v>
      </c>
      <c r="AA989" t="str">
        <f t="shared" si="3952"/>
        <v>&lt;/li&gt;&lt;li&gt;&lt;a href=|http://childrensbibleonline.com/luke/16.htm| title=|The Children's Bible| target=|_top|&gt;Children's&lt;/a&gt;</v>
      </c>
      <c r="AB989" s="2" t="str">
        <f t="shared" si="3952"/>
        <v>&lt;/li&gt;&lt;li&gt;&lt;a href=|http://tsk.scripturetext.com/luke/16.htm| title=|Treasury of Scripture Knowledge| target=|_top|&gt;TSK&lt;/a&gt;</v>
      </c>
      <c r="AC989" t="str">
        <f>CONCATENATE("&lt;a href=|http://",AC1191,"/luke/16.htm","| ","title=|",AC1190,"| target=|_top|&gt;",AC1192,"&lt;/a&gt;")</f>
        <v>&lt;a href=|http://parallelbible.com/luke/16.htm| title=|Parallel Chapters| target=|_top|&gt;PAR&lt;/a&gt;</v>
      </c>
      <c r="AD989" s="2" t="str">
        <f t="shared" ref="AD989:AI989" si="3954">CONCATENATE("&lt;/li&gt;&lt;li&gt;&lt;a href=|http://",AD1191,"/luke/16.htm","| ","title=|",AD1190,"| target=|_top|&gt;",AD1192,"&lt;/a&gt;")</f>
        <v>&lt;/li&gt;&lt;li&gt;&lt;a href=|http://gsb.biblecommenter.com/luke/16.htm| title=|Geneva Study Bible| target=|_top|&gt;GSB&lt;/a&gt;</v>
      </c>
      <c r="AE989" s="2" t="str">
        <f t="shared" si="3954"/>
        <v>&lt;/li&gt;&lt;li&gt;&lt;a href=|http://jfb.biblecommenter.com/luke/16.htm| title=|Jamieson-Fausset-Brown Bible Commentary| target=|_top|&gt;JFB&lt;/a&gt;</v>
      </c>
      <c r="AF989" s="2" t="str">
        <f t="shared" si="3954"/>
        <v>&lt;/li&gt;&lt;li&gt;&lt;a href=|http://kjt.biblecommenter.com/luke/16.htm| title=|King James Translators' Notes| target=|_top|&gt;KJT&lt;/a&gt;</v>
      </c>
      <c r="AG989" s="2" t="str">
        <f t="shared" si="3954"/>
        <v>&lt;/li&gt;&lt;li&gt;&lt;a href=|http://mhc.biblecommenter.com/luke/16.htm| title=|Matthew Henry's Concise Commentary| target=|_top|&gt;MHC&lt;/a&gt;</v>
      </c>
      <c r="AH989" s="2" t="str">
        <f t="shared" si="3954"/>
        <v>&lt;/li&gt;&lt;li&gt;&lt;a href=|http://sco.biblecommenter.com/luke/16.htm| title=|Scofield Reference Notes| target=|_top|&gt;SCO&lt;/a&gt;</v>
      </c>
      <c r="AI989" s="2" t="str">
        <f t="shared" si="3954"/>
        <v>&lt;/li&gt;&lt;li&gt;&lt;a href=|http://wes.biblecommenter.com/luke/16.htm| title=|Wesley's Notes on the Bible| target=|_top|&gt;WES&lt;/a&gt;</v>
      </c>
      <c r="AJ989" t="str">
        <f>CONCATENATE("&lt;/li&gt;&lt;li&gt;&lt;a href=|http://",AJ1191,"/luke/16.htm","| ","title=|",AJ1190,"| target=|_top|&gt;",AJ1192,"&lt;/a&gt;")</f>
        <v>&lt;/li&gt;&lt;li&gt;&lt;a href=|http://worldebible.com/luke/16.htm| title=|World English Bible| target=|_top|&gt;WEB&lt;/a&gt;</v>
      </c>
      <c r="AK989" t="str">
        <f>CONCATENATE("&lt;/li&gt;&lt;li&gt;&lt;a href=|http://",AK1191,"/luke/16.htm","| ","title=|",AK1190,"| target=|_top|&gt;",AK1192,"&lt;/a&gt;")</f>
        <v>&lt;/li&gt;&lt;li&gt;&lt;a href=|http://yltbible.com/luke/16.htm| title=|Young's Literal Translation| target=|_top|&gt;YLT&lt;/a&gt;</v>
      </c>
      <c r="AL989" t="str">
        <f>CONCATENATE("&lt;a href=|http://",AL1191,"/luke/16.htm","| ","title=|",AL1190,"| target=|_top|&gt;",AL1192,"&lt;/a&gt;")</f>
        <v>&lt;a href=|http://kjv.us/luke/16.htm| title=|American King James Version| target=|_top|&gt;AKJ&lt;/a&gt;</v>
      </c>
      <c r="AM989" t="str">
        <f t="shared" ref="AM989:AS989" si="3955">CONCATENATE("&lt;/li&gt;&lt;li&gt;&lt;a href=|http://",AM1191,"/luke/16.htm","| ","title=|",AM1190,"| target=|_top|&gt;",AM1192,"&lt;/a&gt;")</f>
        <v>&lt;/li&gt;&lt;li&gt;&lt;a href=|http://basicenglishbible.com/luke/16.htm| title=|Bible in Basic English| target=|_top|&gt;BBE&lt;/a&gt;</v>
      </c>
      <c r="AN989" t="str">
        <f t="shared" si="3955"/>
        <v>&lt;/li&gt;&lt;li&gt;&lt;a href=|http://darbybible.com/luke/16.htm| title=|Darby Bible Translation| target=|_top|&gt;DBY&lt;/a&gt;</v>
      </c>
      <c r="AO989" t="str">
        <f t="shared" si="3955"/>
        <v>&lt;/li&gt;&lt;li&gt;&lt;a href=|http://isv.scripturetext.com/luke/16.htm| title=|International Standard Version| target=|_top|&gt;ISV&lt;/a&gt;</v>
      </c>
      <c r="AP989" t="str">
        <f t="shared" si="3955"/>
        <v>&lt;/li&gt;&lt;li&gt;&lt;a href=|http://tnt.scripturetext.com/luke/16.htm| title=|Tyndale New Testament| target=|_top|&gt;TNT&lt;/a&gt;</v>
      </c>
      <c r="AQ989" s="2" t="str">
        <f t="shared" si="3955"/>
        <v>&lt;/li&gt;&lt;li&gt;&lt;a href=|http://pnt.biblecommenter.com/luke/16.htm| title=|People's New Testament| target=|_top|&gt;PNT&lt;/a&gt;</v>
      </c>
      <c r="AR989" t="str">
        <f t="shared" si="3955"/>
        <v>&lt;/li&gt;&lt;li&gt;&lt;a href=|http://websterbible.com/luke/16.htm| title=|Webster's Bible Translation| target=|_top|&gt;WBS&lt;/a&gt;</v>
      </c>
      <c r="AS989" t="str">
        <f t="shared" si="3955"/>
        <v>&lt;/li&gt;&lt;li&gt;&lt;a href=|http://weymouthbible.com/luke/16.htm| title=|Weymouth New Testament| target=|_top|&gt;WEY&lt;/a&gt;</v>
      </c>
      <c r="AT989" t="str">
        <f>CONCATENATE("&lt;/li&gt;&lt;li&gt;&lt;a href=|http://",AT1191,"/luke/16-1.htm","| ","title=|",AT1190,"| target=|_top|&gt;",AT1192,"&lt;/a&gt;")</f>
        <v>&lt;/li&gt;&lt;li&gt;&lt;a href=|http://biblebrowser.com/luke/16-1.htm| title=|Split View| target=|_top|&gt;Split&lt;/a&gt;</v>
      </c>
      <c r="AU989" s="2" t="s">
        <v>1276</v>
      </c>
      <c r="AV989" t="s">
        <v>64</v>
      </c>
    </row>
    <row r="990" spans="1:48">
      <c r="A990" t="s">
        <v>622</v>
      </c>
      <c r="B990" t="s">
        <v>1031</v>
      </c>
      <c r="C990" t="s">
        <v>624</v>
      </c>
      <c r="D990" t="s">
        <v>1268</v>
      </c>
      <c r="E990" t="s">
        <v>1277</v>
      </c>
      <c r="F990" t="s">
        <v>1304</v>
      </c>
      <c r="G990" t="s">
        <v>1266</v>
      </c>
      <c r="H990" t="s">
        <v>1305</v>
      </c>
      <c r="I990" t="s">
        <v>1303</v>
      </c>
      <c r="J990" t="s">
        <v>1267</v>
      </c>
      <c r="K990" t="s">
        <v>1275</v>
      </c>
      <c r="L990" s="2" t="s">
        <v>1274</v>
      </c>
      <c r="M990" t="str">
        <f t="shared" ref="M990:AB990" si="3956">CONCATENATE("&lt;/li&gt;&lt;li&gt;&lt;a href=|http://",M1191,"/luke/17.htm","| ","title=|",M1190,"| target=|_top|&gt;",M1192,"&lt;/a&gt;")</f>
        <v>&lt;/li&gt;&lt;li&gt;&lt;a href=|http://niv.scripturetext.com/luke/17.htm| title=|New International Version| target=|_top|&gt;NIV&lt;/a&gt;</v>
      </c>
      <c r="N990" t="str">
        <f t="shared" si="3956"/>
        <v>&lt;/li&gt;&lt;li&gt;&lt;a href=|http://nlt.scripturetext.com/luke/17.htm| title=|New Living Translation| target=|_top|&gt;NLT&lt;/a&gt;</v>
      </c>
      <c r="O990" t="str">
        <f t="shared" si="3956"/>
        <v>&lt;/li&gt;&lt;li&gt;&lt;a href=|http://nasb.scripturetext.com/luke/17.htm| title=|New American Standard Bible| target=|_top|&gt;NAS&lt;/a&gt;</v>
      </c>
      <c r="P990" t="str">
        <f t="shared" si="3956"/>
        <v>&lt;/li&gt;&lt;li&gt;&lt;a href=|http://gwt.scripturetext.com/luke/17.htm| title=|God's Word Translation| target=|_top|&gt;GWT&lt;/a&gt;</v>
      </c>
      <c r="Q990" t="str">
        <f t="shared" si="3956"/>
        <v>&lt;/li&gt;&lt;li&gt;&lt;a href=|http://kingjbible.com/luke/17.htm| title=|King James Bible| target=|_top|&gt;KJV&lt;/a&gt;</v>
      </c>
      <c r="R990" t="str">
        <f t="shared" si="3956"/>
        <v>&lt;/li&gt;&lt;li&gt;&lt;a href=|http://asvbible.com/luke/17.htm| title=|American Standard Version| target=|_top|&gt;ASV&lt;/a&gt;</v>
      </c>
      <c r="S990" t="str">
        <f t="shared" si="3956"/>
        <v>&lt;/li&gt;&lt;li&gt;&lt;a href=|http://drb.scripturetext.com/luke/17.htm| title=|Douay-Rheims Bible| target=|_top|&gt;DRB&lt;/a&gt;</v>
      </c>
      <c r="T990" t="str">
        <f t="shared" si="3956"/>
        <v>&lt;/li&gt;&lt;li&gt;&lt;a href=|http://erv.scripturetext.com/luke/17.htm| title=|English Revised Version| target=|_top|&gt;ERV&lt;/a&gt;</v>
      </c>
      <c r="U990" t="str">
        <f>CONCATENATE("&lt;/li&gt;&lt;li&gt;&lt;a href=|http://",U1191,"/luke/17.htm","| ","title=|",U1190,"| target=|_top|&gt;",U1192,"&lt;/a&gt;")</f>
        <v>&lt;/li&gt;&lt;li&gt;&lt;a href=|http://study.interlinearbible.org/luke/17.htm| title=|Greek Study Bible| target=|_top|&gt;Grk Study&lt;/a&gt;</v>
      </c>
      <c r="W990" t="str">
        <f t="shared" si="3956"/>
        <v>&lt;/li&gt;&lt;li&gt;&lt;a href=|http://apostolic.interlinearbible.org/luke/17.htm| title=|Apostolic Bible Polyglot Interlinear| target=|_top|&gt;Polyglot&lt;/a&gt;</v>
      </c>
      <c r="X990" t="str">
        <f t="shared" si="3956"/>
        <v>&lt;/li&gt;&lt;li&gt;&lt;a href=|http://interlinearbible.org/luke/17.htm| title=|Interlinear Bible| target=|_top|&gt;Interlin&lt;/a&gt;</v>
      </c>
      <c r="Y990" t="str">
        <f t="shared" ref="Y990" si="3957">CONCATENATE("&lt;/li&gt;&lt;li&gt;&lt;a href=|http://",Y1191,"/luke/17.htm","| ","title=|",Y1190,"| target=|_top|&gt;",Y1192,"&lt;/a&gt;")</f>
        <v>&lt;/li&gt;&lt;li&gt;&lt;a href=|http://bibleoutline.org/luke/17.htm| title=|Outline with People and Places List| target=|_top|&gt;Outline&lt;/a&gt;</v>
      </c>
      <c r="Z990" t="str">
        <f t="shared" si="3956"/>
        <v>&lt;/li&gt;&lt;li&gt;&lt;a href=|http://kjvs.scripturetext.com/luke/17.htm| title=|King James Bible with Strong's Numbers| target=|_top|&gt;Strong's&lt;/a&gt;</v>
      </c>
      <c r="AA990" t="str">
        <f t="shared" si="3956"/>
        <v>&lt;/li&gt;&lt;li&gt;&lt;a href=|http://childrensbibleonline.com/luke/17.htm| title=|The Children's Bible| target=|_top|&gt;Children's&lt;/a&gt;</v>
      </c>
      <c r="AB990" s="2" t="str">
        <f t="shared" si="3956"/>
        <v>&lt;/li&gt;&lt;li&gt;&lt;a href=|http://tsk.scripturetext.com/luke/17.htm| title=|Treasury of Scripture Knowledge| target=|_top|&gt;TSK&lt;/a&gt;</v>
      </c>
      <c r="AC990" t="str">
        <f>CONCATENATE("&lt;a href=|http://",AC1191,"/luke/17.htm","| ","title=|",AC1190,"| target=|_top|&gt;",AC1192,"&lt;/a&gt;")</f>
        <v>&lt;a href=|http://parallelbible.com/luke/17.htm| title=|Parallel Chapters| target=|_top|&gt;PAR&lt;/a&gt;</v>
      </c>
      <c r="AD990" s="2" t="str">
        <f t="shared" ref="AD990:AI990" si="3958">CONCATENATE("&lt;/li&gt;&lt;li&gt;&lt;a href=|http://",AD1191,"/luke/17.htm","| ","title=|",AD1190,"| target=|_top|&gt;",AD1192,"&lt;/a&gt;")</f>
        <v>&lt;/li&gt;&lt;li&gt;&lt;a href=|http://gsb.biblecommenter.com/luke/17.htm| title=|Geneva Study Bible| target=|_top|&gt;GSB&lt;/a&gt;</v>
      </c>
      <c r="AE990" s="2" t="str">
        <f t="shared" si="3958"/>
        <v>&lt;/li&gt;&lt;li&gt;&lt;a href=|http://jfb.biblecommenter.com/luke/17.htm| title=|Jamieson-Fausset-Brown Bible Commentary| target=|_top|&gt;JFB&lt;/a&gt;</v>
      </c>
      <c r="AF990" s="2" t="str">
        <f t="shared" si="3958"/>
        <v>&lt;/li&gt;&lt;li&gt;&lt;a href=|http://kjt.biblecommenter.com/luke/17.htm| title=|King James Translators' Notes| target=|_top|&gt;KJT&lt;/a&gt;</v>
      </c>
      <c r="AG990" s="2" t="str">
        <f t="shared" si="3958"/>
        <v>&lt;/li&gt;&lt;li&gt;&lt;a href=|http://mhc.biblecommenter.com/luke/17.htm| title=|Matthew Henry's Concise Commentary| target=|_top|&gt;MHC&lt;/a&gt;</v>
      </c>
      <c r="AH990" s="2" t="str">
        <f t="shared" si="3958"/>
        <v>&lt;/li&gt;&lt;li&gt;&lt;a href=|http://sco.biblecommenter.com/luke/17.htm| title=|Scofield Reference Notes| target=|_top|&gt;SCO&lt;/a&gt;</v>
      </c>
      <c r="AI990" s="2" t="str">
        <f t="shared" si="3958"/>
        <v>&lt;/li&gt;&lt;li&gt;&lt;a href=|http://wes.biblecommenter.com/luke/17.htm| title=|Wesley's Notes on the Bible| target=|_top|&gt;WES&lt;/a&gt;</v>
      </c>
      <c r="AJ990" t="str">
        <f>CONCATENATE("&lt;/li&gt;&lt;li&gt;&lt;a href=|http://",AJ1191,"/luke/17.htm","| ","title=|",AJ1190,"| target=|_top|&gt;",AJ1192,"&lt;/a&gt;")</f>
        <v>&lt;/li&gt;&lt;li&gt;&lt;a href=|http://worldebible.com/luke/17.htm| title=|World English Bible| target=|_top|&gt;WEB&lt;/a&gt;</v>
      </c>
      <c r="AK990" t="str">
        <f>CONCATENATE("&lt;/li&gt;&lt;li&gt;&lt;a href=|http://",AK1191,"/luke/17.htm","| ","title=|",AK1190,"| target=|_top|&gt;",AK1192,"&lt;/a&gt;")</f>
        <v>&lt;/li&gt;&lt;li&gt;&lt;a href=|http://yltbible.com/luke/17.htm| title=|Young's Literal Translation| target=|_top|&gt;YLT&lt;/a&gt;</v>
      </c>
      <c r="AL990" t="str">
        <f>CONCATENATE("&lt;a href=|http://",AL1191,"/luke/17.htm","| ","title=|",AL1190,"| target=|_top|&gt;",AL1192,"&lt;/a&gt;")</f>
        <v>&lt;a href=|http://kjv.us/luke/17.htm| title=|American King James Version| target=|_top|&gt;AKJ&lt;/a&gt;</v>
      </c>
      <c r="AM990" t="str">
        <f t="shared" ref="AM990:AS990" si="3959">CONCATENATE("&lt;/li&gt;&lt;li&gt;&lt;a href=|http://",AM1191,"/luke/17.htm","| ","title=|",AM1190,"| target=|_top|&gt;",AM1192,"&lt;/a&gt;")</f>
        <v>&lt;/li&gt;&lt;li&gt;&lt;a href=|http://basicenglishbible.com/luke/17.htm| title=|Bible in Basic English| target=|_top|&gt;BBE&lt;/a&gt;</v>
      </c>
      <c r="AN990" t="str">
        <f t="shared" si="3959"/>
        <v>&lt;/li&gt;&lt;li&gt;&lt;a href=|http://darbybible.com/luke/17.htm| title=|Darby Bible Translation| target=|_top|&gt;DBY&lt;/a&gt;</v>
      </c>
      <c r="AO990" t="str">
        <f t="shared" si="3959"/>
        <v>&lt;/li&gt;&lt;li&gt;&lt;a href=|http://isv.scripturetext.com/luke/17.htm| title=|International Standard Version| target=|_top|&gt;ISV&lt;/a&gt;</v>
      </c>
      <c r="AP990" t="str">
        <f t="shared" si="3959"/>
        <v>&lt;/li&gt;&lt;li&gt;&lt;a href=|http://tnt.scripturetext.com/luke/17.htm| title=|Tyndale New Testament| target=|_top|&gt;TNT&lt;/a&gt;</v>
      </c>
      <c r="AQ990" s="2" t="str">
        <f t="shared" si="3959"/>
        <v>&lt;/li&gt;&lt;li&gt;&lt;a href=|http://pnt.biblecommenter.com/luke/17.htm| title=|People's New Testament| target=|_top|&gt;PNT&lt;/a&gt;</v>
      </c>
      <c r="AR990" t="str">
        <f t="shared" si="3959"/>
        <v>&lt;/li&gt;&lt;li&gt;&lt;a href=|http://websterbible.com/luke/17.htm| title=|Webster's Bible Translation| target=|_top|&gt;WBS&lt;/a&gt;</v>
      </c>
      <c r="AS990" t="str">
        <f t="shared" si="3959"/>
        <v>&lt;/li&gt;&lt;li&gt;&lt;a href=|http://weymouthbible.com/luke/17.htm| title=|Weymouth New Testament| target=|_top|&gt;WEY&lt;/a&gt;</v>
      </c>
      <c r="AT990" t="str">
        <f>CONCATENATE("&lt;/li&gt;&lt;li&gt;&lt;a href=|http://",AT1191,"/luke/17-1.htm","| ","title=|",AT1190,"| target=|_top|&gt;",AT1192,"&lt;/a&gt;")</f>
        <v>&lt;/li&gt;&lt;li&gt;&lt;a href=|http://biblebrowser.com/luke/17-1.htm| title=|Split View| target=|_top|&gt;Split&lt;/a&gt;</v>
      </c>
      <c r="AU990" s="2" t="s">
        <v>1276</v>
      </c>
      <c r="AV990" t="s">
        <v>64</v>
      </c>
    </row>
    <row r="991" spans="1:48">
      <c r="A991" t="s">
        <v>622</v>
      </c>
      <c r="B991" t="s">
        <v>1032</v>
      </c>
      <c r="C991" t="s">
        <v>624</v>
      </c>
      <c r="D991" t="s">
        <v>1268</v>
      </c>
      <c r="E991" t="s">
        <v>1277</v>
      </c>
      <c r="F991" t="s">
        <v>1304</v>
      </c>
      <c r="G991" t="s">
        <v>1266</v>
      </c>
      <c r="H991" t="s">
        <v>1305</v>
      </c>
      <c r="I991" t="s">
        <v>1303</v>
      </c>
      <c r="J991" t="s">
        <v>1267</v>
      </c>
      <c r="K991" t="s">
        <v>1275</v>
      </c>
      <c r="L991" s="2" t="s">
        <v>1274</v>
      </c>
      <c r="M991" t="str">
        <f t="shared" ref="M991:AB991" si="3960">CONCATENATE("&lt;/li&gt;&lt;li&gt;&lt;a href=|http://",M1191,"/luke/18.htm","| ","title=|",M1190,"| target=|_top|&gt;",M1192,"&lt;/a&gt;")</f>
        <v>&lt;/li&gt;&lt;li&gt;&lt;a href=|http://niv.scripturetext.com/luke/18.htm| title=|New International Version| target=|_top|&gt;NIV&lt;/a&gt;</v>
      </c>
      <c r="N991" t="str">
        <f t="shared" si="3960"/>
        <v>&lt;/li&gt;&lt;li&gt;&lt;a href=|http://nlt.scripturetext.com/luke/18.htm| title=|New Living Translation| target=|_top|&gt;NLT&lt;/a&gt;</v>
      </c>
      <c r="O991" t="str">
        <f t="shared" si="3960"/>
        <v>&lt;/li&gt;&lt;li&gt;&lt;a href=|http://nasb.scripturetext.com/luke/18.htm| title=|New American Standard Bible| target=|_top|&gt;NAS&lt;/a&gt;</v>
      </c>
      <c r="P991" t="str">
        <f t="shared" si="3960"/>
        <v>&lt;/li&gt;&lt;li&gt;&lt;a href=|http://gwt.scripturetext.com/luke/18.htm| title=|God's Word Translation| target=|_top|&gt;GWT&lt;/a&gt;</v>
      </c>
      <c r="Q991" t="str">
        <f t="shared" si="3960"/>
        <v>&lt;/li&gt;&lt;li&gt;&lt;a href=|http://kingjbible.com/luke/18.htm| title=|King James Bible| target=|_top|&gt;KJV&lt;/a&gt;</v>
      </c>
      <c r="R991" t="str">
        <f t="shared" si="3960"/>
        <v>&lt;/li&gt;&lt;li&gt;&lt;a href=|http://asvbible.com/luke/18.htm| title=|American Standard Version| target=|_top|&gt;ASV&lt;/a&gt;</v>
      </c>
      <c r="S991" t="str">
        <f t="shared" si="3960"/>
        <v>&lt;/li&gt;&lt;li&gt;&lt;a href=|http://drb.scripturetext.com/luke/18.htm| title=|Douay-Rheims Bible| target=|_top|&gt;DRB&lt;/a&gt;</v>
      </c>
      <c r="T991" t="str">
        <f t="shared" si="3960"/>
        <v>&lt;/li&gt;&lt;li&gt;&lt;a href=|http://erv.scripturetext.com/luke/18.htm| title=|English Revised Version| target=|_top|&gt;ERV&lt;/a&gt;</v>
      </c>
      <c r="U991" t="str">
        <f>CONCATENATE("&lt;/li&gt;&lt;li&gt;&lt;a href=|http://",U1191,"/luke/18.htm","| ","title=|",U1190,"| target=|_top|&gt;",U1192,"&lt;/a&gt;")</f>
        <v>&lt;/li&gt;&lt;li&gt;&lt;a href=|http://study.interlinearbible.org/luke/18.htm| title=|Greek Study Bible| target=|_top|&gt;Grk Study&lt;/a&gt;</v>
      </c>
      <c r="W991" t="str">
        <f t="shared" si="3960"/>
        <v>&lt;/li&gt;&lt;li&gt;&lt;a href=|http://apostolic.interlinearbible.org/luke/18.htm| title=|Apostolic Bible Polyglot Interlinear| target=|_top|&gt;Polyglot&lt;/a&gt;</v>
      </c>
      <c r="X991" t="str">
        <f t="shared" si="3960"/>
        <v>&lt;/li&gt;&lt;li&gt;&lt;a href=|http://interlinearbible.org/luke/18.htm| title=|Interlinear Bible| target=|_top|&gt;Interlin&lt;/a&gt;</v>
      </c>
      <c r="Y991" t="str">
        <f t="shared" ref="Y991" si="3961">CONCATENATE("&lt;/li&gt;&lt;li&gt;&lt;a href=|http://",Y1191,"/luke/18.htm","| ","title=|",Y1190,"| target=|_top|&gt;",Y1192,"&lt;/a&gt;")</f>
        <v>&lt;/li&gt;&lt;li&gt;&lt;a href=|http://bibleoutline.org/luke/18.htm| title=|Outline with People and Places List| target=|_top|&gt;Outline&lt;/a&gt;</v>
      </c>
      <c r="Z991" t="str">
        <f t="shared" si="3960"/>
        <v>&lt;/li&gt;&lt;li&gt;&lt;a href=|http://kjvs.scripturetext.com/luke/18.htm| title=|King James Bible with Strong's Numbers| target=|_top|&gt;Strong's&lt;/a&gt;</v>
      </c>
      <c r="AA991" t="str">
        <f t="shared" si="3960"/>
        <v>&lt;/li&gt;&lt;li&gt;&lt;a href=|http://childrensbibleonline.com/luke/18.htm| title=|The Children's Bible| target=|_top|&gt;Children's&lt;/a&gt;</v>
      </c>
      <c r="AB991" s="2" t="str">
        <f t="shared" si="3960"/>
        <v>&lt;/li&gt;&lt;li&gt;&lt;a href=|http://tsk.scripturetext.com/luke/18.htm| title=|Treasury of Scripture Knowledge| target=|_top|&gt;TSK&lt;/a&gt;</v>
      </c>
      <c r="AC991" t="str">
        <f>CONCATENATE("&lt;a href=|http://",AC1191,"/luke/18.htm","| ","title=|",AC1190,"| target=|_top|&gt;",AC1192,"&lt;/a&gt;")</f>
        <v>&lt;a href=|http://parallelbible.com/luke/18.htm| title=|Parallel Chapters| target=|_top|&gt;PAR&lt;/a&gt;</v>
      </c>
      <c r="AD991" s="2" t="str">
        <f t="shared" ref="AD991:AI991" si="3962">CONCATENATE("&lt;/li&gt;&lt;li&gt;&lt;a href=|http://",AD1191,"/luke/18.htm","| ","title=|",AD1190,"| target=|_top|&gt;",AD1192,"&lt;/a&gt;")</f>
        <v>&lt;/li&gt;&lt;li&gt;&lt;a href=|http://gsb.biblecommenter.com/luke/18.htm| title=|Geneva Study Bible| target=|_top|&gt;GSB&lt;/a&gt;</v>
      </c>
      <c r="AE991" s="2" t="str">
        <f t="shared" si="3962"/>
        <v>&lt;/li&gt;&lt;li&gt;&lt;a href=|http://jfb.biblecommenter.com/luke/18.htm| title=|Jamieson-Fausset-Brown Bible Commentary| target=|_top|&gt;JFB&lt;/a&gt;</v>
      </c>
      <c r="AF991" s="2" t="str">
        <f t="shared" si="3962"/>
        <v>&lt;/li&gt;&lt;li&gt;&lt;a href=|http://kjt.biblecommenter.com/luke/18.htm| title=|King James Translators' Notes| target=|_top|&gt;KJT&lt;/a&gt;</v>
      </c>
      <c r="AG991" s="2" t="str">
        <f t="shared" si="3962"/>
        <v>&lt;/li&gt;&lt;li&gt;&lt;a href=|http://mhc.biblecommenter.com/luke/18.htm| title=|Matthew Henry's Concise Commentary| target=|_top|&gt;MHC&lt;/a&gt;</v>
      </c>
      <c r="AH991" s="2" t="str">
        <f t="shared" si="3962"/>
        <v>&lt;/li&gt;&lt;li&gt;&lt;a href=|http://sco.biblecommenter.com/luke/18.htm| title=|Scofield Reference Notes| target=|_top|&gt;SCO&lt;/a&gt;</v>
      </c>
      <c r="AI991" s="2" t="str">
        <f t="shared" si="3962"/>
        <v>&lt;/li&gt;&lt;li&gt;&lt;a href=|http://wes.biblecommenter.com/luke/18.htm| title=|Wesley's Notes on the Bible| target=|_top|&gt;WES&lt;/a&gt;</v>
      </c>
      <c r="AJ991" t="str">
        <f>CONCATENATE("&lt;/li&gt;&lt;li&gt;&lt;a href=|http://",AJ1191,"/luke/18.htm","| ","title=|",AJ1190,"| target=|_top|&gt;",AJ1192,"&lt;/a&gt;")</f>
        <v>&lt;/li&gt;&lt;li&gt;&lt;a href=|http://worldebible.com/luke/18.htm| title=|World English Bible| target=|_top|&gt;WEB&lt;/a&gt;</v>
      </c>
      <c r="AK991" t="str">
        <f>CONCATENATE("&lt;/li&gt;&lt;li&gt;&lt;a href=|http://",AK1191,"/luke/18.htm","| ","title=|",AK1190,"| target=|_top|&gt;",AK1192,"&lt;/a&gt;")</f>
        <v>&lt;/li&gt;&lt;li&gt;&lt;a href=|http://yltbible.com/luke/18.htm| title=|Young's Literal Translation| target=|_top|&gt;YLT&lt;/a&gt;</v>
      </c>
      <c r="AL991" t="str">
        <f>CONCATENATE("&lt;a href=|http://",AL1191,"/luke/18.htm","| ","title=|",AL1190,"| target=|_top|&gt;",AL1192,"&lt;/a&gt;")</f>
        <v>&lt;a href=|http://kjv.us/luke/18.htm| title=|American King James Version| target=|_top|&gt;AKJ&lt;/a&gt;</v>
      </c>
      <c r="AM991" t="str">
        <f t="shared" ref="AM991:AS991" si="3963">CONCATENATE("&lt;/li&gt;&lt;li&gt;&lt;a href=|http://",AM1191,"/luke/18.htm","| ","title=|",AM1190,"| target=|_top|&gt;",AM1192,"&lt;/a&gt;")</f>
        <v>&lt;/li&gt;&lt;li&gt;&lt;a href=|http://basicenglishbible.com/luke/18.htm| title=|Bible in Basic English| target=|_top|&gt;BBE&lt;/a&gt;</v>
      </c>
      <c r="AN991" t="str">
        <f t="shared" si="3963"/>
        <v>&lt;/li&gt;&lt;li&gt;&lt;a href=|http://darbybible.com/luke/18.htm| title=|Darby Bible Translation| target=|_top|&gt;DBY&lt;/a&gt;</v>
      </c>
      <c r="AO991" t="str">
        <f t="shared" si="3963"/>
        <v>&lt;/li&gt;&lt;li&gt;&lt;a href=|http://isv.scripturetext.com/luke/18.htm| title=|International Standard Version| target=|_top|&gt;ISV&lt;/a&gt;</v>
      </c>
      <c r="AP991" t="str">
        <f t="shared" si="3963"/>
        <v>&lt;/li&gt;&lt;li&gt;&lt;a href=|http://tnt.scripturetext.com/luke/18.htm| title=|Tyndale New Testament| target=|_top|&gt;TNT&lt;/a&gt;</v>
      </c>
      <c r="AQ991" s="2" t="str">
        <f t="shared" si="3963"/>
        <v>&lt;/li&gt;&lt;li&gt;&lt;a href=|http://pnt.biblecommenter.com/luke/18.htm| title=|People's New Testament| target=|_top|&gt;PNT&lt;/a&gt;</v>
      </c>
      <c r="AR991" t="str">
        <f t="shared" si="3963"/>
        <v>&lt;/li&gt;&lt;li&gt;&lt;a href=|http://websterbible.com/luke/18.htm| title=|Webster's Bible Translation| target=|_top|&gt;WBS&lt;/a&gt;</v>
      </c>
      <c r="AS991" t="str">
        <f t="shared" si="3963"/>
        <v>&lt;/li&gt;&lt;li&gt;&lt;a href=|http://weymouthbible.com/luke/18.htm| title=|Weymouth New Testament| target=|_top|&gt;WEY&lt;/a&gt;</v>
      </c>
      <c r="AT991" t="str">
        <f>CONCATENATE("&lt;/li&gt;&lt;li&gt;&lt;a href=|http://",AT1191,"/luke/18-1.htm","| ","title=|",AT1190,"| target=|_top|&gt;",AT1192,"&lt;/a&gt;")</f>
        <v>&lt;/li&gt;&lt;li&gt;&lt;a href=|http://biblebrowser.com/luke/18-1.htm| title=|Split View| target=|_top|&gt;Split&lt;/a&gt;</v>
      </c>
      <c r="AU991" s="2" t="s">
        <v>1276</v>
      </c>
      <c r="AV991" t="s">
        <v>64</v>
      </c>
    </row>
    <row r="992" spans="1:48">
      <c r="A992" t="s">
        <v>622</v>
      </c>
      <c r="B992" t="s">
        <v>1033</v>
      </c>
      <c r="C992" t="s">
        <v>624</v>
      </c>
      <c r="D992" t="s">
        <v>1268</v>
      </c>
      <c r="E992" t="s">
        <v>1277</v>
      </c>
      <c r="F992" t="s">
        <v>1304</v>
      </c>
      <c r="G992" t="s">
        <v>1266</v>
      </c>
      <c r="H992" t="s">
        <v>1305</v>
      </c>
      <c r="I992" t="s">
        <v>1303</v>
      </c>
      <c r="J992" t="s">
        <v>1267</v>
      </c>
      <c r="K992" t="s">
        <v>1275</v>
      </c>
      <c r="L992" s="2" t="s">
        <v>1274</v>
      </c>
      <c r="M992" t="str">
        <f t="shared" ref="M992:AB992" si="3964">CONCATENATE("&lt;/li&gt;&lt;li&gt;&lt;a href=|http://",M1191,"/luke/19.htm","| ","title=|",M1190,"| target=|_top|&gt;",M1192,"&lt;/a&gt;")</f>
        <v>&lt;/li&gt;&lt;li&gt;&lt;a href=|http://niv.scripturetext.com/luke/19.htm| title=|New International Version| target=|_top|&gt;NIV&lt;/a&gt;</v>
      </c>
      <c r="N992" t="str">
        <f t="shared" si="3964"/>
        <v>&lt;/li&gt;&lt;li&gt;&lt;a href=|http://nlt.scripturetext.com/luke/19.htm| title=|New Living Translation| target=|_top|&gt;NLT&lt;/a&gt;</v>
      </c>
      <c r="O992" t="str">
        <f t="shared" si="3964"/>
        <v>&lt;/li&gt;&lt;li&gt;&lt;a href=|http://nasb.scripturetext.com/luke/19.htm| title=|New American Standard Bible| target=|_top|&gt;NAS&lt;/a&gt;</v>
      </c>
      <c r="P992" t="str">
        <f t="shared" si="3964"/>
        <v>&lt;/li&gt;&lt;li&gt;&lt;a href=|http://gwt.scripturetext.com/luke/19.htm| title=|God's Word Translation| target=|_top|&gt;GWT&lt;/a&gt;</v>
      </c>
      <c r="Q992" t="str">
        <f t="shared" si="3964"/>
        <v>&lt;/li&gt;&lt;li&gt;&lt;a href=|http://kingjbible.com/luke/19.htm| title=|King James Bible| target=|_top|&gt;KJV&lt;/a&gt;</v>
      </c>
      <c r="R992" t="str">
        <f t="shared" si="3964"/>
        <v>&lt;/li&gt;&lt;li&gt;&lt;a href=|http://asvbible.com/luke/19.htm| title=|American Standard Version| target=|_top|&gt;ASV&lt;/a&gt;</v>
      </c>
      <c r="S992" t="str">
        <f t="shared" si="3964"/>
        <v>&lt;/li&gt;&lt;li&gt;&lt;a href=|http://drb.scripturetext.com/luke/19.htm| title=|Douay-Rheims Bible| target=|_top|&gt;DRB&lt;/a&gt;</v>
      </c>
      <c r="T992" t="str">
        <f t="shared" si="3964"/>
        <v>&lt;/li&gt;&lt;li&gt;&lt;a href=|http://erv.scripturetext.com/luke/19.htm| title=|English Revised Version| target=|_top|&gt;ERV&lt;/a&gt;</v>
      </c>
      <c r="U992" t="str">
        <f>CONCATENATE("&lt;/li&gt;&lt;li&gt;&lt;a href=|http://",U1191,"/luke/19.htm","| ","title=|",U1190,"| target=|_top|&gt;",U1192,"&lt;/a&gt;")</f>
        <v>&lt;/li&gt;&lt;li&gt;&lt;a href=|http://study.interlinearbible.org/luke/19.htm| title=|Greek Study Bible| target=|_top|&gt;Grk Study&lt;/a&gt;</v>
      </c>
      <c r="W992" t="str">
        <f t="shared" si="3964"/>
        <v>&lt;/li&gt;&lt;li&gt;&lt;a href=|http://apostolic.interlinearbible.org/luke/19.htm| title=|Apostolic Bible Polyglot Interlinear| target=|_top|&gt;Polyglot&lt;/a&gt;</v>
      </c>
      <c r="X992" t="str">
        <f t="shared" si="3964"/>
        <v>&lt;/li&gt;&lt;li&gt;&lt;a href=|http://interlinearbible.org/luke/19.htm| title=|Interlinear Bible| target=|_top|&gt;Interlin&lt;/a&gt;</v>
      </c>
      <c r="Y992" t="str">
        <f t="shared" ref="Y992" si="3965">CONCATENATE("&lt;/li&gt;&lt;li&gt;&lt;a href=|http://",Y1191,"/luke/19.htm","| ","title=|",Y1190,"| target=|_top|&gt;",Y1192,"&lt;/a&gt;")</f>
        <v>&lt;/li&gt;&lt;li&gt;&lt;a href=|http://bibleoutline.org/luke/19.htm| title=|Outline with People and Places List| target=|_top|&gt;Outline&lt;/a&gt;</v>
      </c>
      <c r="Z992" t="str">
        <f t="shared" si="3964"/>
        <v>&lt;/li&gt;&lt;li&gt;&lt;a href=|http://kjvs.scripturetext.com/luke/19.htm| title=|King James Bible with Strong's Numbers| target=|_top|&gt;Strong's&lt;/a&gt;</v>
      </c>
      <c r="AA992" t="str">
        <f t="shared" si="3964"/>
        <v>&lt;/li&gt;&lt;li&gt;&lt;a href=|http://childrensbibleonline.com/luke/19.htm| title=|The Children's Bible| target=|_top|&gt;Children's&lt;/a&gt;</v>
      </c>
      <c r="AB992" s="2" t="str">
        <f t="shared" si="3964"/>
        <v>&lt;/li&gt;&lt;li&gt;&lt;a href=|http://tsk.scripturetext.com/luke/19.htm| title=|Treasury of Scripture Knowledge| target=|_top|&gt;TSK&lt;/a&gt;</v>
      </c>
      <c r="AC992" t="str">
        <f>CONCATENATE("&lt;a href=|http://",AC1191,"/luke/19.htm","| ","title=|",AC1190,"| target=|_top|&gt;",AC1192,"&lt;/a&gt;")</f>
        <v>&lt;a href=|http://parallelbible.com/luke/19.htm| title=|Parallel Chapters| target=|_top|&gt;PAR&lt;/a&gt;</v>
      </c>
      <c r="AD992" s="2" t="str">
        <f t="shared" ref="AD992:AI992" si="3966">CONCATENATE("&lt;/li&gt;&lt;li&gt;&lt;a href=|http://",AD1191,"/luke/19.htm","| ","title=|",AD1190,"| target=|_top|&gt;",AD1192,"&lt;/a&gt;")</f>
        <v>&lt;/li&gt;&lt;li&gt;&lt;a href=|http://gsb.biblecommenter.com/luke/19.htm| title=|Geneva Study Bible| target=|_top|&gt;GSB&lt;/a&gt;</v>
      </c>
      <c r="AE992" s="2" t="str">
        <f t="shared" si="3966"/>
        <v>&lt;/li&gt;&lt;li&gt;&lt;a href=|http://jfb.biblecommenter.com/luke/19.htm| title=|Jamieson-Fausset-Brown Bible Commentary| target=|_top|&gt;JFB&lt;/a&gt;</v>
      </c>
      <c r="AF992" s="2" t="str">
        <f t="shared" si="3966"/>
        <v>&lt;/li&gt;&lt;li&gt;&lt;a href=|http://kjt.biblecommenter.com/luke/19.htm| title=|King James Translators' Notes| target=|_top|&gt;KJT&lt;/a&gt;</v>
      </c>
      <c r="AG992" s="2" t="str">
        <f t="shared" si="3966"/>
        <v>&lt;/li&gt;&lt;li&gt;&lt;a href=|http://mhc.biblecommenter.com/luke/19.htm| title=|Matthew Henry's Concise Commentary| target=|_top|&gt;MHC&lt;/a&gt;</v>
      </c>
      <c r="AH992" s="2" t="str">
        <f t="shared" si="3966"/>
        <v>&lt;/li&gt;&lt;li&gt;&lt;a href=|http://sco.biblecommenter.com/luke/19.htm| title=|Scofield Reference Notes| target=|_top|&gt;SCO&lt;/a&gt;</v>
      </c>
      <c r="AI992" s="2" t="str">
        <f t="shared" si="3966"/>
        <v>&lt;/li&gt;&lt;li&gt;&lt;a href=|http://wes.biblecommenter.com/luke/19.htm| title=|Wesley's Notes on the Bible| target=|_top|&gt;WES&lt;/a&gt;</v>
      </c>
      <c r="AJ992" t="str">
        <f>CONCATENATE("&lt;/li&gt;&lt;li&gt;&lt;a href=|http://",AJ1191,"/luke/19.htm","| ","title=|",AJ1190,"| target=|_top|&gt;",AJ1192,"&lt;/a&gt;")</f>
        <v>&lt;/li&gt;&lt;li&gt;&lt;a href=|http://worldebible.com/luke/19.htm| title=|World English Bible| target=|_top|&gt;WEB&lt;/a&gt;</v>
      </c>
      <c r="AK992" t="str">
        <f>CONCATENATE("&lt;/li&gt;&lt;li&gt;&lt;a href=|http://",AK1191,"/luke/19.htm","| ","title=|",AK1190,"| target=|_top|&gt;",AK1192,"&lt;/a&gt;")</f>
        <v>&lt;/li&gt;&lt;li&gt;&lt;a href=|http://yltbible.com/luke/19.htm| title=|Young's Literal Translation| target=|_top|&gt;YLT&lt;/a&gt;</v>
      </c>
      <c r="AL992" t="str">
        <f>CONCATENATE("&lt;a href=|http://",AL1191,"/luke/19.htm","| ","title=|",AL1190,"| target=|_top|&gt;",AL1192,"&lt;/a&gt;")</f>
        <v>&lt;a href=|http://kjv.us/luke/19.htm| title=|American King James Version| target=|_top|&gt;AKJ&lt;/a&gt;</v>
      </c>
      <c r="AM992" t="str">
        <f t="shared" ref="AM992:AS992" si="3967">CONCATENATE("&lt;/li&gt;&lt;li&gt;&lt;a href=|http://",AM1191,"/luke/19.htm","| ","title=|",AM1190,"| target=|_top|&gt;",AM1192,"&lt;/a&gt;")</f>
        <v>&lt;/li&gt;&lt;li&gt;&lt;a href=|http://basicenglishbible.com/luke/19.htm| title=|Bible in Basic English| target=|_top|&gt;BBE&lt;/a&gt;</v>
      </c>
      <c r="AN992" t="str">
        <f t="shared" si="3967"/>
        <v>&lt;/li&gt;&lt;li&gt;&lt;a href=|http://darbybible.com/luke/19.htm| title=|Darby Bible Translation| target=|_top|&gt;DBY&lt;/a&gt;</v>
      </c>
      <c r="AO992" t="str">
        <f t="shared" si="3967"/>
        <v>&lt;/li&gt;&lt;li&gt;&lt;a href=|http://isv.scripturetext.com/luke/19.htm| title=|International Standard Version| target=|_top|&gt;ISV&lt;/a&gt;</v>
      </c>
      <c r="AP992" t="str">
        <f t="shared" si="3967"/>
        <v>&lt;/li&gt;&lt;li&gt;&lt;a href=|http://tnt.scripturetext.com/luke/19.htm| title=|Tyndale New Testament| target=|_top|&gt;TNT&lt;/a&gt;</v>
      </c>
      <c r="AQ992" s="2" t="str">
        <f t="shared" si="3967"/>
        <v>&lt;/li&gt;&lt;li&gt;&lt;a href=|http://pnt.biblecommenter.com/luke/19.htm| title=|People's New Testament| target=|_top|&gt;PNT&lt;/a&gt;</v>
      </c>
      <c r="AR992" t="str">
        <f t="shared" si="3967"/>
        <v>&lt;/li&gt;&lt;li&gt;&lt;a href=|http://websterbible.com/luke/19.htm| title=|Webster's Bible Translation| target=|_top|&gt;WBS&lt;/a&gt;</v>
      </c>
      <c r="AS992" t="str">
        <f t="shared" si="3967"/>
        <v>&lt;/li&gt;&lt;li&gt;&lt;a href=|http://weymouthbible.com/luke/19.htm| title=|Weymouth New Testament| target=|_top|&gt;WEY&lt;/a&gt;</v>
      </c>
      <c r="AT992" t="str">
        <f>CONCATENATE("&lt;/li&gt;&lt;li&gt;&lt;a href=|http://",AT1191,"/luke/19-1.htm","| ","title=|",AT1190,"| target=|_top|&gt;",AT1192,"&lt;/a&gt;")</f>
        <v>&lt;/li&gt;&lt;li&gt;&lt;a href=|http://biblebrowser.com/luke/19-1.htm| title=|Split View| target=|_top|&gt;Split&lt;/a&gt;</v>
      </c>
      <c r="AU992" s="2" t="s">
        <v>1276</v>
      </c>
      <c r="AV992" t="s">
        <v>64</v>
      </c>
    </row>
    <row r="993" spans="1:48">
      <c r="A993" t="s">
        <v>622</v>
      </c>
      <c r="B993" t="s">
        <v>1034</v>
      </c>
      <c r="C993" t="s">
        <v>624</v>
      </c>
      <c r="D993" t="s">
        <v>1268</v>
      </c>
      <c r="E993" t="s">
        <v>1277</v>
      </c>
      <c r="F993" t="s">
        <v>1304</v>
      </c>
      <c r="G993" t="s">
        <v>1266</v>
      </c>
      <c r="H993" t="s">
        <v>1305</v>
      </c>
      <c r="I993" t="s">
        <v>1303</v>
      </c>
      <c r="J993" t="s">
        <v>1267</v>
      </c>
      <c r="K993" t="s">
        <v>1275</v>
      </c>
      <c r="L993" s="2" t="s">
        <v>1274</v>
      </c>
      <c r="M993" t="str">
        <f t="shared" ref="M993:AB993" si="3968">CONCATENATE("&lt;/li&gt;&lt;li&gt;&lt;a href=|http://",M1191,"/luke/20.htm","| ","title=|",M1190,"| target=|_top|&gt;",M1192,"&lt;/a&gt;")</f>
        <v>&lt;/li&gt;&lt;li&gt;&lt;a href=|http://niv.scripturetext.com/luke/20.htm| title=|New International Version| target=|_top|&gt;NIV&lt;/a&gt;</v>
      </c>
      <c r="N993" t="str">
        <f t="shared" si="3968"/>
        <v>&lt;/li&gt;&lt;li&gt;&lt;a href=|http://nlt.scripturetext.com/luke/20.htm| title=|New Living Translation| target=|_top|&gt;NLT&lt;/a&gt;</v>
      </c>
      <c r="O993" t="str">
        <f t="shared" si="3968"/>
        <v>&lt;/li&gt;&lt;li&gt;&lt;a href=|http://nasb.scripturetext.com/luke/20.htm| title=|New American Standard Bible| target=|_top|&gt;NAS&lt;/a&gt;</v>
      </c>
      <c r="P993" t="str">
        <f t="shared" si="3968"/>
        <v>&lt;/li&gt;&lt;li&gt;&lt;a href=|http://gwt.scripturetext.com/luke/20.htm| title=|God's Word Translation| target=|_top|&gt;GWT&lt;/a&gt;</v>
      </c>
      <c r="Q993" t="str">
        <f t="shared" si="3968"/>
        <v>&lt;/li&gt;&lt;li&gt;&lt;a href=|http://kingjbible.com/luke/20.htm| title=|King James Bible| target=|_top|&gt;KJV&lt;/a&gt;</v>
      </c>
      <c r="R993" t="str">
        <f t="shared" si="3968"/>
        <v>&lt;/li&gt;&lt;li&gt;&lt;a href=|http://asvbible.com/luke/20.htm| title=|American Standard Version| target=|_top|&gt;ASV&lt;/a&gt;</v>
      </c>
      <c r="S993" t="str">
        <f t="shared" si="3968"/>
        <v>&lt;/li&gt;&lt;li&gt;&lt;a href=|http://drb.scripturetext.com/luke/20.htm| title=|Douay-Rheims Bible| target=|_top|&gt;DRB&lt;/a&gt;</v>
      </c>
      <c r="T993" t="str">
        <f t="shared" si="3968"/>
        <v>&lt;/li&gt;&lt;li&gt;&lt;a href=|http://erv.scripturetext.com/luke/20.htm| title=|English Revised Version| target=|_top|&gt;ERV&lt;/a&gt;</v>
      </c>
      <c r="U993" t="str">
        <f>CONCATENATE("&lt;/li&gt;&lt;li&gt;&lt;a href=|http://",U1191,"/luke/20.htm","| ","title=|",U1190,"| target=|_top|&gt;",U1192,"&lt;/a&gt;")</f>
        <v>&lt;/li&gt;&lt;li&gt;&lt;a href=|http://study.interlinearbible.org/luke/20.htm| title=|Greek Study Bible| target=|_top|&gt;Grk Study&lt;/a&gt;</v>
      </c>
      <c r="W993" t="str">
        <f t="shared" si="3968"/>
        <v>&lt;/li&gt;&lt;li&gt;&lt;a href=|http://apostolic.interlinearbible.org/luke/20.htm| title=|Apostolic Bible Polyglot Interlinear| target=|_top|&gt;Polyglot&lt;/a&gt;</v>
      </c>
      <c r="X993" t="str">
        <f t="shared" si="3968"/>
        <v>&lt;/li&gt;&lt;li&gt;&lt;a href=|http://interlinearbible.org/luke/20.htm| title=|Interlinear Bible| target=|_top|&gt;Interlin&lt;/a&gt;</v>
      </c>
      <c r="Y993" t="str">
        <f t="shared" ref="Y993" si="3969">CONCATENATE("&lt;/li&gt;&lt;li&gt;&lt;a href=|http://",Y1191,"/luke/20.htm","| ","title=|",Y1190,"| target=|_top|&gt;",Y1192,"&lt;/a&gt;")</f>
        <v>&lt;/li&gt;&lt;li&gt;&lt;a href=|http://bibleoutline.org/luke/20.htm| title=|Outline with People and Places List| target=|_top|&gt;Outline&lt;/a&gt;</v>
      </c>
      <c r="Z993" t="str">
        <f t="shared" si="3968"/>
        <v>&lt;/li&gt;&lt;li&gt;&lt;a href=|http://kjvs.scripturetext.com/luke/20.htm| title=|King James Bible with Strong's Numbers| target=|_top|&gt;Strong's&lt;/a&gt;</v>
      </c>
      <c r="AA993" t="str">
        <f t="shared" si="3968"/>
        <v>&lt;/li&gt;&lt;li&gt;&lt;a href=|http://childrensbibleonline.com/luke/20.htm| title=|The Children's Bible| target=|_top|&gt;Children's&lt;/a&gt;</v>
      </c>
      <c r="AB993" s="2" t="str">
        <f t="shared" si="3968"/>
        <v>&lt;/li&gt;&lt;li&gt;&lt;a href=|http://tsk.scripturetext.com/luke/20.htm| title=|Treasury of Scripture Knowledge| target=|_top|&gt;TSK&lt;/a&gt;</v>
      </c>
      <c r="AC993" t="str">
        <f>CONCATENATE("&lt;a href=|http://",AC1191,"/luke/20.htm","| ","title=|",AC1190,"| target=|_top|&gt;",AC1192,"&lt;/a&gt;")</f>
        <v>&lt;a href=|http://parallelbible.com/luke/20.htm| title=|Parallel Chapters| target=|_top|&gt;PAR&lt;/a&gt;</v>
      </c>
      <c r="AD993" s="2" t="str">
        <f t="shared" ref="AD993:AI993" si="3970">CONCATENATE("&lt;/li&gt;&lt;li&gt;&lt;a href=|http://",AD1191,"/luke/20.htm","| ","title=|",AD1190,"| target=|_top|&gt;",AD1192,"&lt;/a&gt;")</f>
        <v>&lt;/li&gt;&lt;li&gt;&lt;a href=|http://gsb.biblecommenter.com/luke/20.htm| title=|Geneva Study Bible| target=|_top|&gt;GSB&lt;/a&gt;</v>
      </c>
      <c r="AE993" s="2" t="str">
        <f t="shared" si="3970"/>
        <v>&lt;/li&gt;&lt;li&gt;&lt;a href=|http://jfb.biblecommenter.com/luke/20.htm| title=|Jamieson-Fausset-Brown Bible Commentary| target=|_top|&gt;JFB&lt;/a&gt;</v>
      </c>
      <c r="AF993" s="2" t="str">
        <f t="shared" si="3970"/>
        <v>&lt;/li&gt;&lt;li&gt;&lt;a href=|http://kjt.biblecommenter.com/luke/20.htm| title=|King James Translators' Notes| target=|_top|&gt;KJT&lt;/a&gt;</v>
      </c>
      <c r="AG993" s="2" t="str">
        <f t="shared" si="3970"/>
        <v>&lt;/li&gt;&lt;li&gt;&lt;a href=|http://mhc.biblecommenter.com/luke/20.htm| title=|Matthew Henry's Concise Commentary| target=|_top|&gt;MHC&lt;/a&gt;</v>
      </c>
      <c r="AH993" s="2" t="str">
        <f t="shared" si="3970"/>
        <v>&lt;/li&gt;&lt;li&gt;&lt;a href=|http://sco.biblecommenter.com/luke/20.htm| title=|Scofield Reference Notes| target=|_top|&gt;SCO&lt;/a&gt;</v>
      </c>
      <c r="AI993" s="2" t="str">
        <f t="shared" si="3970"/>
        <v>&lt;/li&gt;&lt;li&gt;&lt;a href=|http://wes.biblecommenter.com/luke/20.htm| title=|Wesley's Notes on the Bible| target=|_top|&gt;WES&lt;/a&gt;</v>
      </c>
      <c r="AJ993" t="str">
        <f>CONCATENATE("&lt;/li&gt;&lt;li&gt;&lt;a href=|http://",AJ1191,"/luke/20.htm","| ","title=|",AJ1190,"| target=|_top|&gt;",AJ1192,"&lt;/a&gt;")</f>
        <v>&lt;/li&gt;&lt;li&gt;&lt;a href=|http://worldebible.com/luke/20.htm| title=|World English Bible| target=|_top|&gt;WEB&lt;/a&gt;</v>
      </c>
      <c r="AK993" t="str">
        <f>CONCATENATE("&lt;/li&gt;&lt;li&gt;&lt;a href=|http://",AK1191,"/luke/20.htm","| ","title=|",AK1190,"| target=|_top|&gt;",AK1192,"&lt;/a&gt;")</f>
        <v>&lt;/li&gt;&lt;li&gt;&lt;a href=|http://yltbible.com/luke/20.htm| title=|Young's Literal Translation| target=|_top|&gt;YLT&lt;/a&gt;</v>
      </c>
      <c r="AL993" t="str">
        <f>CONCATENATE("&lt;a href=|http://",AL1191,"/luke/20.htm","| ","title=|",AL1190,"| target=|_top|&gt;",AL1192,"&lt;/a&gt;")</f>
        <v>&lt;a href=|http://kjv.us/luke/20.htm| title=|American King James Version| target=|_top|&gt;AKJ&lt;/a&gt;</v>
      </c>
      <c r="AM993" t="str">
        <f t="shared" ref="AM993:AS993" si="3971">CONCATENATE("&lt;/li&gt;&lt;li&gt;&lt;a href=|http://",AM1191,"/luke/20.htm","| ","title=|",AM1190,"| target=|_top|&gt;",AM1192,"&lt;/a&gt;")</f>
        <v>&lt;/li&gt;&lt;li&gt;&lt;a href=|http://basicenglishbible.com/luke/20.htm| title=|Bible in Basic English| target=|_top|&gt;BBE&lt;/a&gt;</v>
      </c>
      <c r="AN993" t="str">
        <f t="shared" si="3971"/>
        <v>&lt;/li&gt;&lt;li&gt;&lt;a href=|http://darbybible.com/luke/20.htm| title=|Darby Bible Translation| target=|_top|&gt;DBY&lt;/a&gt;</v>
      </c>
      <c r="AO993" t="str">
        <f t="shared" si="3971"/>
        <v>&lt;/li&gt;&lt;li&gt;&lt;a href=|http://isv.scripturetext.com/luke/20.htm| title=|International Standard Version| target=|_top|&gt;ISV&lt;/a&gt;</v>
      </c>
      <c r="AP993" t="str">
        <f t="shared" si="3971"/>
        <v>&lt;/li&gt;&lt;li&gt;&lt;a href=|http://tnt.scripturetext.com/luke/20.htm| title=|Tyndale New Testament| target=|_top|&gt;TNT&lt;/a&gt;</v>
      </c>
      <c r="AQ993" s="2" t="str">
        <f t="shared" si="3971"/>
        <v>&lt;/li&gt;&lt;li&gt;&lt;a href=|http://pnt.biblecommenter.com/luke/20.htm| title=|People's New Testament| target=|_top|&gt;PNT&lt;/a&gt;</v>
      </c>
      <c r="AR993" t="str">
        <f t="shared" si="3971"/>
        <v>&lt;/li&gt;&lt;li&gt;&lt;a href=|http://websterbible.com/luke/20.htm| title=|Webster's Bible Translation| target=|_top|&gt;WBS&lt;/a&gt;</v>
      </c>
      <c r="AS993" t="str">
        <f t="shared" si="3971"/>
        <v>&lt;/li&gt;&lt;li&gt;&lt;a href=|http://weymouthbible.com/luke/20.htm| title=|Weymouth New Testament| target=|_top|&gt;WEY&lt;/a&gt;</v>
      </c>
      <c r="AT993" t="str">
        <f>CONCATENATE("&lt;/li&gt;&lt;li&gt;&lt;a href=|http://",AT1191,"/luke/20-1.htm","| ","title=|",AT1190,"| target=|_top|&gt;",AT1192,"&lt;/a&gt;")</f>
        <v>&lt;/li&gt;&lt;li&gt;&lt;a href=|http://biblebrowser.com/luke/20-1.htm| title=|Split View| target=|_top|&gt;Split&lt;/a&gt;</v>
      </c>
      <c r="AU993" s="2" t="s">
        <v>1276</v>
      </c>
      <c r="AV993" t="s">
        <v>64</v>
      </c>
    </row>
    <row r="994" spans="1:48">
      <c r="A994" t="s">
        <v>622</v>
      </c>
      <c r="B994" t="s">
        <v>1035</v>
      </c>
      <c r="C994" t="s">
        <v>624</v>
      </c>
      <c r="D994" t="s">
        <v>1268</v>
      </c>
      <c r="E994" t="s">
        <v>1277</v>
      </c>
      <c r="F994" t="s">
        <v>1304</v>
      </c>
      <c r="G994" t="s">
        <v>1266</v>
      </c>
      <c r="H994" t="s">
        <v>1305</v>
      </c>
      <c r="I994" t="s">
        <v>1303</v>
      </c>
      <c r="J994" t="s">
        <v>1267</v>
      </c>
      <c r="K994" t="s">
        <v>1275</v>
      </c>
      <c r="L994" s="2" t="s">
        <v>1274</v>
      </c>
      <c r="M994" t="str">
        <f t="shared" ref="M994:AB994" si="3972">CONCATENATE("&lt;/li&gt;&lt;li&gt;&lt;a href=|http://",M1191,"/luke/21.htm","| ","title=|",M1190,"| target=|_top|&gt;",M1192,"&lt;/a&gt;")</f>
        <v>&lt;/li&gt;&lt;li&gt;&lt;a href=|http://niv.scripturetext.com/luke/21.htm| title=|New International Version| target=|_top|&gt;NIV&lt;/a&gt;</v>
      </c>
      <c r="N994" t="str">
        <f t="shared" si="3972"/>
        <v>&lt;/li&gt;&lt;li&gt;&lt;a href=|http://nlt.scripturetext.com/luke/21.htm| title=|New Living Translation| target=|_top|&gt;NLT&lt;/a&gt;</v>
      </c>
      <c r="O994" t="str">
        <f t="shared" si="3972"/>
        <v>&lt;/li&gt;&lt;li&gt;&lt;a href=|http://nasb.scripturetext.com/luke/21.htm| title=|New American Standard Bible| target=|_top|&gt;NAS&lt;/a&gt;</v>
      </c>
      <c r="P994" t="str">
        <f t="shared" si="3972"/>
        <v>&lt;/li&gt;&lt;li&gt;&lt;a href=|http://gwt.scripturetext.com/luke/21.htm| title=|God's Word Translation| target=|_top|&gt;GWT&lt;/a&gt;</v>
      </c>
      <c r="Q994" t="str">
        <f t="shared" si="3972"/>
        <v>&lt;/li&gt;&lt;li&gt;&lt;a href=|http://kingjbible.com/luke/21.htm| title=|King James Bible| target=|_top|&gt;KJV&lt;/a&gt;</v>
      </c>
      <c r="R994" t="str">
        <f t="shared" si="3972"/>
        <v>&lt;/li&gt;&lt;li&gt;&lt;a href=|http://asvbible.com/luke/21.htm| title=|American Standard Version| target=|_top|&gt;ASV&lt;/a&gt;</v>
      </c>
      <c r="S994" t="str">
        <f t="shared" si="3972"/>
        <v>&lt;/li&gt;&lt;li&gt;&lt;a href=|http://drb.scripturetext.com/luke/21.htm| title=|Douay-Rheims Bible| target=|_top|&gt;DRB&lt;/a&gt;</v>
      </c>
      <c r="T994" t="str">
        <f t="shared" si="3972"/>
        <v>&lt;/li&gt;&lt;li&gt;&lt;a href=|http://erv.scripturetext.com/luke/21.htm| title=|English Revised Version| target=|_top|&gt;ERV&lt;/a&gt;</v>
      </c>
      <c r="U994" t="str">
        <f>CONCATENATE("&lt;/li&gt;&lt;li&gt;&lt;a href=|http://",U1191,"/luke/21.htm","| ","title=|",U1190,"| target=|_top|&gt;",U1192,"&lt;/a&gt;")</f>
        <v>&lt;/li&gt;&lt;li&gt;&lt;a href=|http://study.interlinearbible.org/luke/21.htm| title=|Greek Study Bible| target=|_top|&gt;Grk Study&lt;/a&gt;</v>
      </c>
      <c r="W994" t="str">
        <f t="shared" si="3972"/>
        <v>&lt;/li&gt;&lt;li&gt;&lt;a href=|http://apostolic.interlinearbible.org/luke/21.htm| title=|Apostolic Bible Polyglot Interlinear| target=|_top|&gt;Polyglot&lt;/a&gt;</v>
      </c>
      <c r="X994" t="str">
        <f t="shared" si="3972"/>
        <v>&lt;/li&gt;&lt;li&gt;&lt;a href=|http://interlinearbible.org/luke/21.htm| title=|Interlinear Bible| target=|_top|&gt;Interlin&lt;/a&gt;</v>
      </c>
      <c r="Y994" t="str">
        <f t="shared" ref="Y994" si="3973">CONCATENATE("&lt;/li&gt;&lt;li&gt;&lt;a href=|http://",Y1191,"/luke/21.htm","| ","title=|",Y1190,"| target=|_top|&gt;",Y1192,"&lt;/a&gt;")</f>
        <v>&lt;/li&gt;&lt;li&gt;&lt;a href=|http://bibleoutline.org/luke/21.htm| title=|Outline with People and Places List| target=|_top|&gt;Outline&lt;/a&gt;</v>
      </c>
      <c r="Z994" t="str">
        <f t="shared" si="3972"/>
        <v>&lt;/li&gt;&lt;li&gt;&lt;a href=|http://kjvs.scripturetext.com/luke/21.htm| title=|King James Bible with Strong's Numbers| target=|_top|&gt;Strong's&lt;/a&gt;</v>
      </c>
      <c r="AA994" t="str">
        <f t="shared" si="3972"/>
        <v>&lt;/li&gt;&lt;li&gt;&lt;a href=|http://childrensbibleonline.com/luke/21.htm| title=|The Children's Bible| target=|_top|&gt;Children's&lt;/a&gt;</v>
      </c>
      <c r="AB994" s="2" t="str">
        <f t="shared" si="3972"/>
        <v>&lt;/li&gt;&lt;li&gt;&lt;a href=|http://tsk.scripturetext.com/luke/21.htm| title=|Treasury of Scripture Knowledge| target=|_top|&gt;TSK&lt;/a&gt;</v>
      </c>
      <c r="AC994" t="str">
        <f>CONCATENATE("&lt;a href=|http://",AC1191,"/luke/21.htm","| ","title=|",AC1190,"| target=|_top|&gt;",AC1192,"&lt;/a&gt;")</f>
        <v>&lt;a href=|http://parallelbible.com/luke/21.htm| title=|Parallel Chapters| target=|_top|&gt;PAR&lt;/a&gt;</v>
      </c>
      <c r="AD994" s="2" t="str">
        <f t="shared" ref="AD994:AI994" si="3974">CONCATENATE("&lt;/li&gt;&lt;li&gt;&lt;a href=|http://",AD1191,"/luke/21.htm","| ","title=|",AD1190,"| target=|_top|&gt;",AD1192,"&lt;/a&gt;")</f>
        <v>&lt;/li&gt;&lt;li&gt;&lt;a href=|http://gsb.biblecommenter.com/luke/21.htm| title=|Geneva Study Bible| target=|_top|&gt;GSB&lt;/a&gt;</v>
      </c>
      <c r="AE994" s="2" t="str">
        <f t="shared" si="3974"/>
        <v>&lt;/li&gt;&lt;li&gt;&lt;a href=|http://jfb.biblecommenter.com/luke/21.htm| title=|Jamieson-Fausset-Brown Bible Commentary| target=|_top|&gt;JFB&lt;/a&gt;</v>
      </c>
      <c r="AF994" s="2" t="str">
        <f t="shared" si="3974"/>
        <v>&lt;/li&gt;&lt;li&gt;&lt;a href=|http://kjt.biblecommenter.com/luke/21.htm| title=|King James Translators' Notes| target=|_top|&gt;KJT&lt;/a&gt;</v>
      </c>
      <c r="AG994" s="2" t="str">
        <f t="shared" si="3974"/>
        <v>&lt;/li&gt;&lt;li&gt;&lt;a href=|http://mhc.biblecommenter.com/luke/21.htm| title=|Matthew Henry's Concise Commentary| target=|_top|&gt;MHC&lt;/a&gt;</v>
      </c>
      <c r="AH994" s="2" t="str">
        <f t="shared" si="3974"/>
        <v>&lt;/li&gt;&lt;li&gt;&lt;a href=|http://sco.biblecommenter.com/luke/21.htm| title=|Scofield Reference Notes| target=|_top|&gt;SCO&lt;/a&gt;</v>
      </c>
      <c r="AI994" s="2" t="str">
        <f t="shared" si="3974"/>
        <v>&lt;/li&gt;&lt;li&gt;&lt;a href=|http://wes.biblecommenter.com/luke/21.htm| title=|Wesley's Notes on the Bible| target=|_top|&gt;WES&lt;/a&gt;</v>
      </c>
      <c r="AJ994" t="str">
        <f>CONCATENATE("&lt;/li&gt;&lt;li&gt;&lt;a href=|http://",AJ1191,"/luke/21.htm","| ","title=|",AJ1190,"| target=|_top|&gt;",AJ1192,"&lt;/a&gt;")</f>
        <v>&lt;/li&gt;&lt;li&gt;&lt;a href=|http://worldebible.com/luke/21.htm| title=|World English Bible| target=|_top|&gt;WEB&lt;/a&gt;</v>
      </c>
      <c r="AK994" t="str">
        <f>CONCATENATE("&lt;/li&gt;&lt;li&gt;&lt;a href=|http://",AK1191,"/luke/21.htm","| ","title=|",AK1190,"| target=|_top|&gt;",AK1192,"&lt;/a&gt;")</f>
        <v>&lt;/li&gt;&lt;li&gt;&lt;a href=|http://yltbible.com/luke/21.htm| title=|Young's Literal Translation| target=|_top|&gt;YLT&lt;/a&gt;</v>
      </c>
      <c r="AL994" t="str">
        <f>CONCATENATE("&lt;a href=|http://",AL1191,"/luke/21.htm","| ","title=|",AL1190,"| target=|_top|&gt;",AL1192,"&lt;/a&gt;")</f>
        <v>&lt;a href=|http://kjv.us/luke/21.htm| title=|American King James Version| target=|_top|&gt;AKJ&lt;/a&gt;</v>
      </c>
      <c r="AM994" t="str">
        <f t="shared" ref="AM994:AS994" si="3975">CONCATENATE("&lt;/li&gt;&lt;li&gt;&lt;a href=|http://",AM1191,"/luke/21.htm","| ","title=|",AM1190,"| target=|_top|&gt;",AM1192,"&lt;/a&gt;")</f>
        <v>&lt;/li&gt;&lt;li&gt;&lt;a href=|http://basicenglishbible.com/luke/21.htm| title=|Bible in Basic English| target=|_top|&gt;BBE&lt;/a&gt;</v>
      </c>
      <c r="AN994" t="str">
        <f t="shared" si="3975"/>
        <v>&lt;/li&gt;&lt;li&gt;&lt;a href=|http://darbybible.com/luke/21.htm| title=|Darby Bible Translation| target=|_top|&gt;DBY&lt;/a&gt;</v>
      </c>
      <c r="AO994" t="str">
        <f t="shared" si="3975"/>
        <v>&lt;/li&gt;&lt;li&gt;&lt;a href=|http://isv.scripturetext.com/luke/21.htm| title=|International Standard Version| target=|_top|&gt;ISV&lt;/a&gt;</v>
      </c>
      <c r="AP994" t="str">
        <f t="shared" si="3975"/>
        <v>&lt;/li&gt;&lt;li&gt;&lt;a href=|http://tnt.scripturetext.com/luke/21.htm| title=|Tyndale New Testament| target=|_top|&gt;TNT&lt;/a&gt;</v>
      </c>
      <c r="AQ994" s="2" t="str">
        <f t="shared" si="3975"/>
        <v>&lt;/li&gt;&lt;li&gt;&lt;a href=|http://pnt.biblecommenter.com/luke/21.htm| title=|People's New Testament| target=|_top|&gt;PNT&lt;/a&gt;</v>
      </c>
      <c r="AR994" t="str">
        <f t="shared" si="3975"/>
        <v>&lt;/li&gt;&lt;li&gt;&lt;a href=|http://websterbible.com/luke/21.htm| title=|Webster's Bible Translation| target=|_top|&gt;WBS&lt;/a&gt;</v>
      </c>
      <c r="AS994" t="str">
        <f t="shared" si="3975"/>
        <v>&lt;/li&gt;&lt;li&gt;&lt;a href=|http://weymouthbible.com/luke/21.htm| title=|Weymouth New Testament| target=|_top|&gt;WEY&lt;/a&gt;</v>
      </c>
      <c r="AT994" t="str">
        <f>CONCATENATE("&lt;/li&gt;&lt;li&gt;&lt;a href=|http://",AT1191,"/luke/21-1.htm","| ","title=|",AT1190,"| target=|_top|&gt;",AT1192,"&lt;/a&gt;")</f>
        <v>&lt;/li&gt;&lt;li&gt;&lt;a href=|http://biblebrowser.com/luke/21-1.htm| title=|Split View| target=|_top|&gt;Split&lt;/a&gt;</v>
      </c>
      <c r="AU994" s="2" t="s">
        <v>1276</v>
      </c>
      <c r="AV994" t="s">
        <v>64</v>
      </c>
    </row>
    <row r="995" spans="1:48">
      <c r="A995" t="s">
        <v>622</v>
      </c>
      <c r="B995" t="s">
        <v>1036</v>
      </c>
      <c r="C995" t="s">
        <v>624</v>
      </c>
      <c r="D995" t="s">
        <v>1268</v>
      </c>
      <c r="E995" t="s">
        <v>1277</v>
      </c>
      <c r="F995" t="s">
        <v>1304</v>
      </c>
      <c r="G995" t="s">
        <v>1266</v>
      </c>
      <c r="H995" t="s">
        <v>1305</v>
      </c>
      <c r="I995" t="s">
        <v>1303</v>
      </c>
      <c r="J995" t="s">
        <v>1267</v>
      </c>
      <c r="K995" t="s">
        <v>1275</v>
      </c>
      <c r="L995" s="2" t="s">
        <v>1274</v>
      </c>
      <c r="M995" t="str">
        <f t="shared" ref="M995:AB995" si="3976">CONCATENATE("&lt;/li&gt;&lt;li&gt;&lt;a href=|http://",M1191,"/luke/22.htm","| ","title=|",M1190,"| target=|_top|&gt;",M1192,"&lt;/a&gt;")</f>
        <v>&lt;/li&gt;&lt;li&gt;&lt;a href=|http://niv.scripturetext.com/luke/22.htm| title=|New International Version| target=|_top|&gt;NIV&lt;/a&gt;</v>
      </c>
      <c r="N995" t="str">
        <f t="shared" si="3976"/>
        <v>&lt;/li&gt;&lt;li&gt;&lt;a href=|http://nlt.scripturetext.com/luke/22.htm| title=|New Living Translation| target=|_top|&gt;NLT&lt;/a&gt;</v>
      </c>
      <c r="O995" t="str">
        <f t="shared" si="3976"/>
        <v>&lt;/li&gt;&lt;li&gt;&lt;a href=|http://nasb.scripturetext.com/luke/22.htm| title=|New American Standard Bible| target=|_top|&gt;NAS&lt;/a&gt;</v>
      </c>
      <c r="P995" t="str">
        <f t="shared" si="3976"/>
        <v>&lt;/li&gt;&lt;li&gt;&lt;a href=|http://gwt.scripturetext.com/luke/22.htm| title=|God's Word Translation| target=|_top|&gt;GWT&lt;/a&gt;</v>
      </c>
      <c r="Q995" t="str">
        <f t="shared" si="3976"/>
        <v>&lt;/li&gt;&lt;li&gt;&lt;a href=|http://kingjbible.com/luke/22.htm| title=|King James Bible| target=|_top|&gt;KJV&lt;/a&gt;</v>
      </c>
      <c r="R995" t="str">
        <f t="shared" si="3976"/>
        <v>&lt;/li&gt;&lt;li&gt;&lt;a href=|http://asvbible.com/luke/22.htm| title=|American Standard Version| target=|_top|&gt;ASV&lt;/a&gt;</v>
      </c>
      <c r="S995" t="str">
        <f t="shared" si="3976"/>
        <v>&lt;/li&gt;&lt;li&gt;&lt;a href=|http://drb.scripturetext.com/luke/22.htm| title=|Douay-Rheims Bible| target=|_top|&gt;DRB&lt;/a&gt;</v>
      </c>
      <c r="T995" t="str">
        <f t="shared" si="3976"/>
        <v>&lt;/li&gt;&lt;li&gt;&lt;a href=|http://erv.scripturetext.com/luke/22.htm| title=|English Revised Version| target=|_top|&gt;ERV&lt;/a&gt;</v>
      </c>
      <c r="U995" t="str">
        <f>CONCATENATE("&lt;/li&gt;&lt;li&gt;&lt;a href=|http://",U1191,"/luke/22.htm","| ","title=|",U1190,"| target=|_top|&gt;",U1192,"&lt;/a&gt;")</f>
        <v>&lt;/li&gt;&lt;li&gt;&lt;a href=|http://study.interlinearbible.org/luke/22.htm| title=|Greek Study Bible| target=|_top|&gt;Grk Study&lt;/a&gt;</v>
      </c>
      <c r="W995" t="str">
        <f t="shared" si="3976"/>
        <v>&lt;/li&gt;&lt;li&gt;&lt;a href=|http://apostolic.interlinearbible.org/luke/22.htm| title=|Apostolic Bible Polyglot Interlinear| target=|_top|&gt;Polyglot&lt;/a&gt;</v>
      </c>
      <c r="X995" t="str">
        <f t="shared" si="3976"/>
        <v>&lt;/li&gt;&lt;li&gt;&lt;a href=|http://interlinearbible.org/luke/22.htm| title=|Interlinear Bible| target=|_top|&gt;Interlin&lt;/a&gt;</v>
      </c>
      <c r="Y995" t="str">
        <f t="shared" ref="Y995" si="3977">CONCATENATE("&lt;/li&gt;&lt;li&gt;&lt;a href=|http://",Y1191,"/luke/22.htm","| ","title=|",Y1190,"| target=|_top|&gt;",Y1192,"&lt;/a&gt;")</f>
        <v>&lt;/li&gt;&lt;li&gt;&lt;a href=|http://bibleoutline.org/luke/22.htm| title=|Outline with People and Places List| target=|_top|&gt;Outline&lt;/a&gt;</v>
      </c>
      <c r="Z995" t="str">
        <f t="shared" si="3976"/>
        <v>&lt;/li&gt;&lt;li&gt;&lt;a href=|http://kjvs.scripturetext.com/luke/22.htm| title=|King James Bible with Strong's Numbers| target=|_top|&gt;Strong's&lt;/a&gt;</v>
      </c>
      <c r="AA995" t="str">
        <f t="shared" si="3976"/>
        <v>&lt;/li&gt;&lt;li&gt;&lt;a href=|http://childrensbibleonline.com/luke/22.htm| title=|The Children's Bible| target=|_top|&gt;Children's&lt;/a&gt;</v>
      </c>
      <c r="AB995" s="2" t="str">
        <f t="shared" si="3976"/>
        <v>&lt;/li&gt;&lt;li&gt;&lt;a href=|http://tsk.scripturetext.com/luke/22.htm| title=|Treasury of Scripture Knowledge| target=|_top|&gt;TSK&lt;/a&gt;</v>
      </c>
      <c r="AC995" t="str">
        <f>CONCATENATE("&lt;a href=|http://",AC1191,"/luke/22.htm","| ","title=|",AC1190,"| target=|_top|&gt;",AC1192,"&lt;/a&gt;")</f>
        <v>&lt;a href=|http://parallelbible.com/luke/22.htm| title=|Parallel Chapters| target=|_top|&gt;PAR&lt;/a&gt;</v>
      </c>
      <c r="AD995" s="2" t="str">
        <f t="shared" ref="AD995:AI995" si="3978">CONCATENATE("&lt;/li&gt;&lt;li&gt;&lt;a href=|http://",AD1191,"/luke/22.htm","| ","title=|",AD1190,"| target=|_top|&gt;",AD1192,"&lt;/a&gt;")</f>
        <v>&lt;/li&gt;&lt;li&gt;&lt;a href=|http://gsb.biblecommenter.com/luke/22.htm| title=|Geneva Study Bible| target=|_top|&gt;GSB&lt;/a&gt;</v>
      </c>
      <c r="AE995" s="2" t="str">
        <f t="shared" si="3978"/>
        <v>&lt;/li&gt;&lt;li&gt;&lt;a href=|http://jfb.biblecommenter.com/luke/22.htm| title=|Jamieson-Fausset-Brown Bible Commentary| target=|_top|&gt;JFB&lt;/a&gt;</v>
      </c>
      <c r="AF995" s="2" t="str">
        <f t="shared" si="3978"/>
        <v>&lt;/li&gt;&lt;li&gt;&lt;a href=|http://kjt.biblecommenter.com/luke/22.htm| title=|King James Translators' Notes| target=|_top|&gt;KJT&lt;/a&gt;</v>
      </c>
      <c r="AG995" s="2" t="str">
        <f t="shared" si="3978"/>
        <v>&lt;/li&gt;&lt;li&gt;&lt;a href=|http://mhc.biblecommenter.com/luke/22.htm| title=|Matthew Henry's Concise Commentary| target=|_top|&gt;MHC&lt;/a&gt;</v>
      </c>
      <c r="AH995" s="2" t="str">
        <f t="shared" si="3978"/>
        <v>&lt;/li&gt;&lt;li&gt;&lt;a href=|http://sco.biblecommenter.com/luke/22.htm| title=|Scofield Reference Notes| target=|_top|&gt;SCO&lt;/a&gt;</v>
      </c>
      <c r="AI995" s="2" t="str">
        <f t="shared" si="3978"/>
        <v>&lt;/li&gt;&lt;li&gt;&lt;a href=|http://wes.biblecommenter.com/luke/22.htm| title=|Wesley's Notes on the Bible| target=|_top|&gt;WES&lt;/a&gt;</v>
      </c>
      <c r="AJ995" t="str">
        <f>CONCATENATE("&lt;/li&gt;&lt;li&gt;&lt;a href=|http://",AJ1191,"/luke/22.htm","| ","title=|",AJ1190,"| target=|_top|&gt;",AJ1192,"&lt;/a&gt;")</f>
        <v>&lt;/li&gt;&lt;li&gt;&lt;a href=|http://worldebible.com/luke/22.htm| title=|World English Bible| target=|_top|&gt;WEB&lt;/a&gt;</v>
      </c>
      <c r="AK995" t="str">
        <f>CONCATENATE("&lt;/li&gt;&lt;li&gt;&lt;a href=|http://",AK1191,"/luke/22.htm","| ","title=|",AK1190,"| target=|_top|&gt;",AK1192,"&lt;/a&gt;")</f>
        <v>&lt;/li&gt;&lt;li&gt;&lt;a href=|http://yltbible.com/luke/22.htm| title=|Young's Literal Translation| target=|_top|&gt;YLT&lt;/a&gt;</v>
      </c>
      <c r="AL995" t="str">
        <f>CONCATENATE("&lt;a href=|http://",AL1191,"/luke/22.htm","| ","title=|",AL1190,"| target=|_top|&gt;",AL1192,"&lt;/a&gt;")</f>
        <v>&lt;a href=|http://kjv.us/luke/22.htm| title=|American King James Version| target=|_top|&gt;AKJ&lt;/a&gt;</v>
      </c>
      <c r="AM995" t="str">
        <f t="shared" ref="AM995:AS995" si="3979">CONCATENATE("&lt;/li&gt;&lt;li&gt;&lt;a href=|http://",AM1191,"/luke/22.htm","| ","title=|",AM1190,"| target=|_top|&gt;",AM1192,"&lt;/a&gt;")</f>
        <v>&lt;/li&gt;&lt;li&gt;&lt;a href=|http://basicenglishbible.com/luke/22.htm| title=|Bible in Basic English| target=|_top|&gt;BBE&lt;/a&gt;</v>
      </c>
      <c r="AN995" t="str">
        <f t="shared" si="3979"/>
        <v>&lt;/li&gt;&lt;li&gt;&lt;a href=|http://darbybible.com/luke/22.htm| title=|Darby Bible Translation| target=|_top|&gt;DBY&lt;/a&gt;</v>
      </c>
      <c r="AO995" t="str">
        <f t="shared" si="3979"/>
        <v>&lt;/li&gt;&lt;li&gt;&lt;a href=|http://isv.scripturetext.com/luke/22.htm| title=|International Standard Version| target=|_top|&gt;ISV&lt;/a&gt;</v>
      </c>
      <c r="AP995" t="str">
        <f t="shared" si="3979"/>
        <v>&lt;/li&gt;&lt;li&gt;&lt;a href=|http://tnt.scripturetext.com/luke/22.htm| title=|Tyndale New Testament| target=|_top|&gt;TNT&lt;/a&gt;</v>
      </c>
      <c r="AQ995" s="2" t="str">
        <f t="shared" si="3979"/>
        <v>&lt;/li&gt;&lt;li&gt;&lt;a href=|http://pnt.biblecommenter.com/luke/22.htm| title=|People's New Testament| target=|_top|&gt;PNT&lt;/a&gt;</v>
      </c>
      <c r="AR995" t="str">
        <f t="shared" si="3979"/>
        <v>&lt;/li&gt;&lt;li&gt;&lt;a href=|http://websterbible.com/luke/22.htm| title=|Webster's Bible Translation| target=|_top|&gt;WBS&lt;/a&gt;</v>
      </c>
      <c r="AS995" t="str">
        <f t="shared" si="3979"/>
        <v>&lt;/li&gt;&lt;li&gt;&lt;a href=|http://weymouthbible.com/luke/22.htm| title=|Weymouth New Testament| target=|_top|&gt;WEY&lt;/a&gt;</v>
      </c>
      <c r="AT995" t="str">
        <f>CONCATENATE("&lt;/li&gt;&lt;li&gt;&lt;a href=|http://",AT1191,"/luke/22-1.htm","| ","title=|",AT1190,"| target=|_top|&gt;",AT1192,"&lt;/a&gt;")</f>
        <v>&lt;/li&gt;&lt;li&gt;&lt;a href=|http://biblebrowser.com/luke/22-1.htm| title=|Split View| target=|_top|&gt;Split&lt;/a&gt;</v>
      </c>
      <c r="AU995" s="2" t="s">
        <v>1276</v>
      </c>
      <c r="AV995" t="s">
        <v>64</v>
      </c>
    </row>
    <row r="996" spans="1:48">
      <c r="A996" t="s">
        <v>622</v>
      </c>
      <c r="B996" t="s">
        <v>1037</v>
      </c>
      <c r="C996" t="s">
        <v>624</v>
      </c>
      <c r="D996" t="s">
        <v>1268</v>
      </c>
      <c r="E996" t="s">
        <v>1277</v>
      </c>
      <c r="F996" t="s">
        <v>1304</v>
      </c>
      <c r="G996" t="s">
        <v>1266</v>
      </c>
      <c r="H996" t="s">
        <v>1305</v>
      </c>
      <c r="I996" t="s">
        <v>1303</v>
      </c>
      <c r="J996" t="s">
        <v>1267</v>
      </c>
      <c r="K996" t="s">
        <v>1275</v>
      </c>
      <c r="L996" s="2" t="s">
        <v>1274</v>
      </c>
      <c r="M996" t="str">
        <f t="shared" ref="M996:AB996" si="3980">CONCATENATE("&lt;/li&gt;&lt;li&gt;&lt;a href=|http://",M1191,"/luke/23.htm","| ","title=|",M1190,"| target=|_top|&gt;",M1192,"&lt;/a&gt;")</f>
        <v>&lt;/li&gt;&lt;li&gt;&lt;a href=|http://niv.scripturetext.com/luke/23.htm| title=|New International Version| target=|_top|&gt;NIV&lt;/a&gt;</v>
      </c>
      <c r="N996" t="str">
        <f t="shared" si="3980"/>
        <v>&lt;/li&gt;&lt;li&gt;&lt;a href=|http://nlt.scripturetext.com/luke/23.htm| title=|New Living Translation| target=|_top|&gt;NLT&lt;/a&gt;</v>
      </c>
      <c r="O996" t="str">
        <f t="shared" si="3980"/>
        <v>&lt;/li&gt;&lt;li&gt;&lt;a href=|http://nasb.scripturetext.com/luke/23.htm| title=|New American Standard Bible| target=|_top|&gt;NAS&lt;/a&gt;</v>
      </c>
      <c r="P996" t="str">
        <f t="shared" si="3980"/>
        <v>&lt;/li&gt;&lt;li&gt;&lt;a href=|http://gwt.scripturetext.com/luke/23.htm| title=|God's Word Translation| target=|_top|&gt;GWT&lt;/a&gt;</v>
      </c>
      <c r="Q996" t="str">
        <f t="shared" si="3980"/>
        <v>&lt;/li&gt;&lt;li&gt;&lt;a href=|http://kingjbible.com/luke/23.htm| title=|King James Bible| target=|_top|&gt;KJV&lt;/a&gt;</v>
      </c>
      <c r="R996" t="str">
        <f t="shared" si="3980"/>
        <v>&lt;/li&gt;&lt;li&gt;&lt;a href=|http://asvbible.com/luke/23.htm| title=|American Standard Version| target=|_top|&gt;ASV&lt;/a&gt;</v>
      </c>
      <c r="S996" t="str">
        <f t="shared" si="3980"/>
        <v>&lt;/li&gt;&lt;li&gt;&lt;a href=|http://drb.scripturetext.com/luke/23.htm| title=|Douay-Rheims Bible| target=|_top|&gt;DRB&lt;/a&gt;</v>
      </c>
      <c r="T996" t="str">
        <f t="shared" si="3980"/>
        <v>&lt;/li&gt;&lt;li&gt;&lt;a href=|http://erv.scripturetext.com/luke/23.htm| title=|English Revised Version| target=|_top|&gt;ERV&lt;/a&gt;</v>
      </c>
      <c r="U996" t="str">
        <f>CONCATENATE("&lt;/li&gt;&lt;li&gt;&lt;a href=|http://",U1191,"/luke/23.htm","| ","title=|",U1190,"| target=|_top|&gt;",U1192,"&lt;/a&gt;")</f>
        <v>&lt;/li&gt;&lt;li&gt;&lt;a href=|http://study.interlinearbible.org/luke/23.htm| title=|Greek Study Bible| target=|_top|&gt;Grk Study&lt;/a&gt;</v>
      </c>
      <c r="W996" t="str">
        <f t="shared" si="3980"/>
        <v>&lt;/li&gt;&lt;li&gt;&lt;a href=|http://apostolic.interlinearbible.org/luke/23.htm| title=|Apostolic Bible Polyglot Interlinear| target=|_top|&gt;Polyglot&lt;/a&gt;</v>
      </c>
      <c r="X996" t="str">
        <f t="shared" si="3980"/>
        <v>&lt;/li&gt;&lt;li&gt;&lt;a href=|http://interlinearbible.org/luke/23.htm| title=|Interlinear Bible| target=|_top|&gt;Interlin&lt;/a&gt;</v>
      </c>
      <c r="Y996" t="str">
        <f t="shared" ref="Y996" si="3981">CONCATENATE("&lt;/li&gt;&lt;li&gt;&lt;a href=|http://",Y1191,"/luke/23.htm","| ","title=|",Y1190,"| target=|_top|&gt;",Y1192,"&lt;/a&gt;")</f>
        <v>&lt;/li&gt;&lt;li&gt;&lt;a href=|http://bibleoutline.org/luke/23.htm| title=|Outline with People and Places List| target=|_top|&gt;Outline&lt;/a&gt;</v>
      </c>
      <c r="Z996" t="str">
        <f t="shared" si="3980"/>
        <v>&lt;/li&gt;&lt;li&gt;&lt;a href=|http://kjvs.scripturetext.com/luke/23.htm| title=|King James Bible with Strong's Numbers| target=|_top|&gt;Strong's&lt;/a&gt;</v>
      </c>
      <c r="AA996" t="str">
        <f t="shared" si="3980"/>
        <v>&lt;/li&gt;&lt;li&gt;&lt;a href=|http://childrensbibleonline.com/luke/23.htm| title=|The Children's Bible| target=|_top|&gt;Children's&lt;/a&gt;</v>
      </c>
      <c r="AB996" s="2" t="str">
        <f t="shared" si="3980"/>
        <v>&lt;/li&gt;&lt;li&gt;&lt;a href=|http://tsk.scripturetext.com/luke/23.htm| title=|Treasury of Scripture Knowledge| target=|_top|&gt;TSK&lt;/a&gt;</v>
      </c>
      <c r="AC996" t="str">
        <f>CONCATENATE("&lt;a href=|http://",AC1191,"/luke/23.htm","| ","title=|",AC1190,"| target=|_top|&gt;",AC1192,"&lt;/a&gt;")</f>
        <v>&lt;a href=|http://parallelbible.com/luke/23.htm| title=|Parallel Chapters| target=|_top|&gt;PAR&lt;/a&gt;</v>
      </c>
      <c r="AD996" s="2" t="str">
        <f t="shared" ref="AD996:AI996" si="3982">CONCATENATE("&lt;/li&gt;&lt;li&gt;&lt;a href=|http://",AD1191,"/luke/23.htm","| ","title=|",AD1190,"| target=|_top|&gt;",AD1192,"&lt;/a&gt;")</f>
        <v>&lt;/li&gt;&lt;li&gt;&lt;a href=|http://gsb.biblecommenter.com/luke/23.htm| title=|Geneva Study Bible| target=|_top|&gt;GSB&lt;/a&gt;</v>
      </c>
      <c r="AE996" s="2" t="str">
        <f t="shared" si="3982"/>
        <v>&lt;/li&gt;&lt;li&gt;&lt;a href=|http://jfb.biblecommenter.com/luke/23.htm| title=|Jamieson-Fausset-Brown Bible Commentary| target=|_top|&gt;JFB&lt;/a&gt;</v>
      </c>
      <c r="AF996" s="2" t="str">
        <f t="shared" si="3982"/>
        <v>&lt;/li&gt;&lt;li&gt;&lt;a href=|http://kjt.biblecommenter.com/luke/23.htm| title=|King James Translators' Notes| target=|_top|&gt;KJT&lt;/a&gt;</v>
      </c>
      <c r="AG996" s="2" t="str">
        <f t="shared" si="3982"/>
        <v>&lt;/li&gt;&lt;li&gt;&lt;a href=|http://mhc.biblecommenter.com/luke/23.htm| title=|Matthew Henry's Concise Commentary| target=|_top|&gt;MHC&lt;/a&gt;</v>
      </c>
      <c r="AH996" s="2" t="str">
        <f t="shared" si="3982"/>
        <v>&lt;/li&gt;&lt;li&gt;&lt;a href=|http://sco.biblecommenter.com/luke/23.htm| title=|Scofield Reference Notes| target=|_top|&gt;SCO&lt;/a&gt;</v>
      </c>
      <c r="AI996" s="2" t="str">
        <f t="shared" si="3982"/>
        <v>&lt;/li&gt;&lt;li&gt;&lt;a href=|http://wes.biblecommenter.com/luke/23.htm| title=|Wesley's Notes on the Bible| target=|_top|&gt;WES&lt;/a&gt;</v>
      </c>
      <c r="AJ996" t="str">
        <f>CONCATENATE("&lt;/li&gt;&lt;li&gt;&lt;a href=|http://",AJ1191,"/luke/23.htm","| ","title=|",AJ1190,"| target=|_top|&gt;",AJ1192,"&lt;/a&gt;")</f>
        <v>&lt;/li&gt;&lt;li&gt;&lt;a href=|http://worldebible.com/luke/23.htm| title=|World English Bible| target=|_top|&gt;WEB&lt;/a&gt;</v>
      </c>
      <c r="AK996" t="str">
        <f>CONCATENATE("&lt;/li&gt;&lt;li&gt;&lt;a href=|http://",AK1191,"/luke/23.htm","| ","title=|",AK1190,"| target=|_top|&gt;",AK1192,"&lt;/a&gt;")</f>
        <v>&lt;/li&gt;&lt;li&gt;&lt;a href=|http://yltbible.com/luke/23.htm| title=|Young's Literal Translation| target=|_top|&gt;YLT&lt;/a&gt;</v>
      </c>
      <c r="AL996" t="str">
        <f>CONCATENATE("&lt;a href=|http://",AL1191,"/luke/23.htm","| ","title=|",AL1190,"| target=|_top|&gt;",AL1192,"&lt;/a&gt;")</f>
        <v>&lt;a href=|http://kjv.us/luke/23.htm| title=|American King James Version| target=|_top|&gt;AKJ&lt;/a&gt;</v>
      </c>
      <c r="AM996" t="str">
        <f t="shared" ref="AM996:AS996" si="3983">CONCATENATE("&lt;/li&gt;&lt;li&gt;&lt;a href=|http://",AM1191,"/luke/23.htm","| ","title=|",AM1190,"| target=|_top|&gt;",AM1192,"&lt;/a&gt;")</f>
        <v>&lt;/li&gt;&lt;li&gt;&lt;a href=|http://basicenglishbible.com/luke/23.htm| title=|Bible in Basic English| target=|_top|&gt;BBE&lt;/a&gt;</v>
      </c>
      <c r="AN996" t="str">
        <f t="shared" si="3983"/>
        <v>&lt;/li&gt;&lt;li&gt;&lt;a href=|http://darbybible.com/luke/23.htm| title=|Darby Bible Translation| target=|_top|&gt;DBY&lt;/a&gt;</v>
      </c>
      <c r="AO996" t="str">
        <f t="shared" si="3983"/>
        <v>&lt;/li&gt;&lt;li&gt;&lt;a href=|http://isv.scripturetext.com/luke/23.htm| title=|International Standard Version| target=|_top|&gt;ISV&lt;/a&gt;</v>
      </c>
      <c r="AP996" t="str">
        <f t="shared" si="3983"/>
        <v>&lt;/li&gt;&lt;li&gt;&lt;a href=|http://tnt.scripturetext.com/luke/23.htm| title=|Tyndale New Testament| target=|_top|&gt;TNT&lt;/a&gt;</v>
      </c>
      <c r="AQ996" s="2" t="str">
        <f t="shared" si="3983"/>
        <v>&lt;/li&gt;&lt;li&gt;&lt;a href=|http://pnt.biblecommenter.com/luke/23.htm| title=|People's New Testament| target=|_top|&gt;PNT&lt;/a&gt;</v>
      </c>
      <c r="AR996" t="str">
        <f t="shared" si="3983"/>
        <v>&lt;/li&gt;&lt;li&gt;&lt;a href=|http://websterbible.com/luke/23.htm| title=|Webster's Bible Translation| target=|_top|&gt;WBS&lt;/a&gt;</v>
      </c>
      <c r="AS996" t="str">
        <f t="shared" si="3983"/>
        <v>&lt;/li&gt;&lt;li&gt;&lt;a href=|http://weymouthbible.com/luke/23.htm| title=|Weymouth New Testament| target=|_top|&gt;WEY&lt;/a&gt;</v>
      </c>
      <c r="AT996" t="str">
        <f>CONCATENATE("&lt;/li&gt;&lt;li&gt;&lt;a href=|http://",AT1191,"/luke/23-1.htm","| ","title=|",AT1190,"| target=|_top|&gt;",AT1192,"&lt;/a&gt;")</f>
        <v>&lt;/li&gt;&lt;li&gt;&lt;a href=|http://biblebrowser.com/luke/23-1.htm| title=|Split View| target=|_top|&gt;Split&lt;/a&gt;</v>
      </c>
      <c r="AU996" s="2" t="s">
        <v>1276</v>
      </c>
      <c r="AV996" t="s">
        <v>64</v>
      </c>
    </row>
    <row r="997" spans="1:48">
      <c r="A997" t="s">
        <v>622</v>
      </c>
      <c r="B997" t="s">
        <v>1038</v>
      </c>
      <c r="C997" t="s">
        <v>624</v>
      </c>
      <c r="D997" t="s">
        <v>1268</v>
      </c>
      <c r="E997" t="s">
        <v>1277</v>
      </c>
      <c r="F997" t="s">
        <v>1304</v>
      </c>
      <c r="G997" t="s">
        <v>1266</v>
      </c>
      <c r="H997" t="s">
        <v>1305</v>
      </c>
      <c r="I997" t="s">
        <v>1303</v>
      </c>
      <c r="J997" t="s">
        <v>1267</v>
      </c>
      <c r="K997" t="s">
        <v>1275</v>
      </c>
      <c r="L997" s="2" t="s">
        <v>1274</v>
      </c>
      <c r="M997" t="str">
        <f t="shared" ref="M997:AB997" si="3984">CONCATENATE("&lt;/li&gt;&lt;li&gt;&lt;a href=|http://",M1191,"/luke/24.htm","| ","title=|",M1190,"| target=|_top|&gt;",M1192,"&lt;/a&gt;")</f>
        <v>&lt;/li&gt;&lt;li&gt;&lt;a href=|http://niv.scripturetext.com/luke/24.htm| title=|New International Version| target=|_top|&gt;NIV&lt;/a&gt;</v>
      </c>
      <c r="N997" t="str">
        <f t="shared" si="3984"/>
        <v>&lt;/li&gt;&lt;li&gt;&lt;a href=|http://nlt.scripturetext.com/luke/24.htm| title=|New Living Translation| target=|_top|&gt;NLT&lt;/a&gt;</v>
      </c>
      <c r="O997" t="str">
        <f t="shared" si="3984"/>
        <v>&lt;/li&gt;&lt;li&gt;&lt;a href=|http://nasb.scripturetext.com/luke/24.htm| title=|New American Standard Bible| target=|_top|&gt;NAS&lt;/a&gt;</v>
      </c>
      <c r="P997" t="str">
        <f t="shared" si="3984"/>
        <v>&lt;/li&gt;&lt;li&gt;&lt;a href=|http://gwt.scripturetext.com/luke/24.htm| title=|God's Word Translation| target=|_top|&gt;GWT&lt;/a&gt;</v>
      </c>
      <c r="Q997" t="str">
        <f t="shared" si="3984"/>
        <v>&lt;/li&gt;&lt;li&gt;&lt;a href=|http://kingjbible.com/luke/24.htm| title=|King James Bible| target=|_top|&gt;KJV&lt;/a&gt;</v>
      </c>
      <c r="R997" t="str">
        <f t="shared" si="3984"/>
        <v>&lt;/li&gt;&lt;li&gt;&lt;a href=|http://asvbible.com/luke/24.htm| title=|American Standard Version| target=|_top|&gt;ASV&lt;/a&gt;</v>
      </c>
      <c r="S997" t="str">
        <f t="shared" si="3984"/>
        <v>&lt;/li&gt;&lt;li&gt;&lt;a href=|http://drb.scripturetext.com/luke/24.htm| title=|Douay-Rheims Bible| target=|_top|&gt;DRB&lt;/a&gt;</v>
      </c>
      <c r="T997" t="str">
        <f t="shared" si="3984"/>
        <v>&lt;/li&gt;&lt;li&gt;&lt;a href=|http://erv.scripturetext.com/luke/24.htm| title=|English Revised Version| target=|_top|&gt;ERV&lt;/a&gt;</v>
      </c>
      <c r="U997" t="str">
        <f>CONCATENATE("&lt;/li&gt;&lt;li&gt;&lt;a href=|http://",U1191,"/luke/24.htm","| ","title=|",U1190,"| target=|_top|&gt;",U1192,"&lt;/a&gt;")</f>
        <v>&lt;/li&gt;&lt;li&gt;&lt;a href=|http://study.interlinearbible.org/luke/24.htm| title=|Greek Study Bible| target=|_top|&gt;Grk Study&lt;/a&gt;</v>
      </c>
      <c r="W997" t="str">
        <f t="shared" si="3984"/>
        <v>&lt;/li&gt;&lt;li&gt;&lt;a href=|http://apostolic.interlinearbible.org/luke/24.htm| title=|Apostolic Bible Polyglot Interlinear| target=|_top|&gt;Polyglot&lt;/a&gt;</v>
      </c>
      <c r="X997" t="str">
        <f t="shared" si="3984"/>
        <v>&lt;/li&gt;&lt;li&gt;&lt;a href=|http://interlinearbible.org/luke/24.htm| title=|Interlinear Bible| target=|_top|&gt;Interlin&lt;/a&gt;</v>
      </c>
      <c r="Y997" t="str">
        <f t="shared" ref="Y997" si="3985">CONCATENATE("&lt;/li&gt;&lt;li&gt;&lt;a href=|http://",Y1191,"/luke/24.htm","| ","title=|",Y1190,"| target=|_top|&gt;",Y1192,"&lt;/a&gt;")</f>
        <v>&lt;/li&gt;&lt;li&gt;&lt;a href=|http://bibleoutline.org/luke/24.htm| title=|Outline with People and Places List| target=|_top|&gt;Outline&lt;/a&gt;</v>
      </c>
      <c r="Z997" t="str">
        <f t="shared" si="3984"/>
        <v>&lt;/li&gt;&lt;li&gt;&lt;a href=|http://kjvs.scripturetext.com/luke/24.htm| title=|King James Bible with Strong's Numbers| target=|_top|&gt;Strong's&lt;/a&gt;</v>
      </c>
      <c r="AA997" t="str">
        <f t="shared" si="3984"/>
        <v>&lt;/li&gt;&lt;li&gt;&lt;a href=|http://childrensbibleonline.com/luke/24.htm| title=|The Children's Bible| target=|_top|&gt;Children's&lt;/a&gt;</v>
      </c>
      <c r="AB997" s="2" t="str">
        <f t="shared" si="3984"/>
        <v>&lt;/li&gt;&lt;li&gt;&lt;a href=|http://tsk.scripturetext.com/luke/24.htm| title=|Treasury of Scripture Knowledge| target=|_top|&gt;TSK&lt;/a&gt;</v>
      </c>
      <c r="AC997" t="str">
        <f>CONCATENATE("&lt;a href=|http://",AC1191,"/luke/24.htm","| ","title=|",AC1190,"| target=|_top|&gt;",AC1192,"&lt;/a&gt;")</f>
        <v>&lt;a href=|http://parallelbible.com/luke/24.htm| title=|Parallel Chapters| target=|_top|&gt;PAR&lt;/a&gt;</v>
      </c>
      <c r="AD997" s="2" t="str">
        <f t="shared" ref="AD997:AI997" si="3986">CONCATENATE("&lt;/li&gt;&lt;li&gt;&lt;a href=|http://",AD1191,"/luke/24.htm","| ","title=|",AD1190,"| target=|_top|&gt;",AD1192,"&lt;/a&gt;")</f>
        <v>&lt;/li&gt;&lt;li&gt;&lt;a href=|http://gsb.biblecommenter.com/luke/24.htm| title=|Geneva Study Bible| target=|_top|&gt;GSB&lt;/a&gt;</v>
      </c>
      <c r="AE997" s="2" t="str">
        <f t="shared" si="3986"/>
        <v>&lt;/li&gt;&lt;li&gt;&lt;a href=|http://jfb.biblecommenter.com/luke/24.htm| title=|Jamieson-Fausset-Brown Bible Commentary| target=|_top|&gt;JFB&lt;/a&gt;</v>
      </c>
      <c r="AF997" s="2" t="str">
        <f t="shared" si="3986"/>
        <v>&lt;/li&gt;&lt;li&gt;&lt;a href=|http://kjt.biblecommenter.com/luke/24.htm| title=|King James Translators' Notes| target=|_top|&gt;KJT&lt;/a&gt;</v>
      </c>
      <c r="AG997" s="2" t="str">
        <f t="shared" si="3986"/>
        <v>&lt;/li&gt;&lt;li&gt;&lt;a href=|http://mhc.biblecommenter.com/luke/24.htm| title=|Matthew Henry's Concise Commentary| target=|_top|&gt;MHC&lt;/a&gt;</v>
      </c>
      <c r="AH997" s="2" t="str">
        <f t="shared" si="3986"/>
        <v>&lt;/li&gt;&lt;li&gt;&lt;a href=|http://sco.biblecommenter.com/luke/24.htm| title=|Scofield Reference Notes| target=|_top|&gt;SCO&lt;/a&gt;</v>
      </c>
      <c r="AI997" s="2" t="str">
        <f t="shared" si="3986"/>
        <v>&lt;/li&gt;&lt;li&gt;&lt;a href=|http://wes.biblecommenter.com/luke/24.htm| title=|Wesley's Notes on the Bible| target=|_top|&gt;WES&lt;/a&gt;</v>
      </c>
      <c r="AJ997" t="str">
        <f>CONCATENATE("&lt;/li&gt;&lt;li&gt;&lt;a href=|http://",AJ1191,"/luke/24.htm","| ","title=|",AJ1190,"| target=|_top|&gt;",AJ1192,"&lt;/a&gt;")</f>
        <v>&lt;/li&gt;&lt;li&gt;&lt;a href=|http://worldebible.com/luke/24.htm| title=|World English Bible| target=|_top|&gt;WEB&lt;/a&gt;</v>
      </c>
      <c r="AK997" t="str">
        <f>CONCATENATE("&lt;/li&gt;&lt;li&gt;&lt;a href=|http://",AK1191,"/luke/24.htm","| ","title=|",AK1190,"| target=|_top|&gt;",AK1192,"&lt;/a&gt;")</f>
        <v>&lt;/li&gt;&lt;li&gt;&lt;a href=|http://yltbible.com/luke/24.htm| title=|Young's Literal Translation| target=|_top|&gt;YLT&lt;/a&gt;</v>
      </c>
      <c r="AL997" t="str">
        <f>CONCATENATE("&lt;a href=|http://",AL1191,"/luke/24.htm","| ","title=|",AL1190,"| target=|_top|&gt;",AL1192,"&lt;/a&gt;")</f>
        <v>&lt;a href=|http://kjv.us/luke/24.htm| title=|American King James Version| target=|_top|&gt;AKJ&lt;/a&gt;</v>
      </c>
      <c r="AM997" t="str">
        <f t="shared" ref="AM997:AS997" si="3987">CONCATENATE("&lt;/li&gt;&lt;li&gt;&lt;a href=|http://",AM1191,"/luke/24.htm","| ","title=|",AM1190,"| target=|_top|&gt;",AM1192,"&lt;/a&gt;")</f>
        <v>&lt;/li&gt;&lt;li&gt;&lt;a href=|http://basicenglishbible.com/luke/24.htm| title=|Bible in Basic English| target=|_top|&gt;BBE&lt;/a&gt;</v>
      </c>
      <c r="AN997" t="str">
        <f t="shared" si="3987"/>
        <v>&lt;/li&gt;&lt;li&gt;&lt;a href=|http://darbybible.com/luke/24.htm| title=|Darby Bible Translation| target=|_top|&gt;DBY&lt;/a&gt;</v>
      </c>
      <c r="AO997" t="str">
        <f t="shared" si="3987"/>
        <v>&lt;/li&gt;&lt;li&gt;&lt;a href=|http://isv.scripturetext.com/luke/24.htm| title=|International Standard Version| target=|_top|&gt;ISV&lt;/a&gt;</v>
      </c>
      <c r="AP997" t="str">
        <f t="shared" si="3987"/>
        <v>&lt;/li&gt;&lt;li&gt;&lt;a href=|http://tnt.scripturetext.com/luke/24.htm| title=|Tyndale New Testament| target=|_top|&gt;TNT&lt;/a&gt;</v>
      </c>
      <c r="AQ997" s="2" t="str">
        <f t="shared" si="3987"/>
        <v>&lt;/li&gt;&lt;li&gt;&lt;a href=|http://pnt.biblecommenter.com/luke/24.htm| title=|People's New Testament| target=|_top|&gt;PNT&lt;/a&gt;</v>
      </c>
      <c r="AR997" t="str">
        <f t="shared" si="3987"/>
        <v>&lt;/li&gt;&lt;li&gt;&lt;a href=|http://websterbible.com/luke/24.htm| title=|Webster's Bible Translation| target=|_top|&gt;WBS&lt;/a&gt;</v>
      </c>
      <c r="AS997" t="str">
        <f t="shared" si="3987"/>
        <v>&lt;/li&gt;&lt;li&gt;&lt;a href=|http://weymouthbible.com/luke/24.htm| title=|Weymouth New Testament| target=|_top|&gt;WEY&lt;/a&gt;</v>
      </c>
      <c r="AT997" t="str">
        <f>CONCATENATE("&lt;/li&gt;&lt;li&gt;&lt;a href=|http://",AT1191,"/luke/24-1.htm","| ","title=|",AT1190,"| target=|_top|&gt;",AT1192,"&lt;/a&gt;")</f>
        <v>&lt;/li&gt;&lt;li&gt;&lt;a href=|http://biblebrowser.com/luke/24-1.htm| title=|Split View| target=|_top|&gt;Split&lt;/a&gt;</v>
      </c>
      <c r="AU997" s="2" t="s">
        <v>1276</v>
      </c>
      <c r="AV997" t="s">
        <v>64</v>
      </c>
    </row>
    <row r="998" spans="1:48">
      <c r="A998" t="s">
        <v>622</v>
      </c>
      <c r="B998" t="s">
        <v>1039</v>
      </c>
      <c r="C998" t="s">
        <v>624</v>
      </c>
      <c r="D998" t="s">
        <v>1268</v>
      </c>
      <c r="E998" t="s">
        <v>1277</v>
      </c>
      <c r="F998" t="s">
        <v>1304</v>
      </c>
      <c r="G998" t="s">
        <v>1266</v>
      </c>
      <c r="H998" t="s">
        <v>1305</v>
      </c>
      <c r="I998" t="s">
        <v>1303</v>
      </c>
      <c r="J998" t="s">
        <v>1267</v>
      </c>
      <c r="K998" t="s">
        <v>1275</v>
      </c>
      <c r="L998" s="2" t="s">
        <v>1274</v>
      </c>
      <c r="M998" t="str">
        <f t="shared" ref="M998:AB998" si="3988">CONCATENATE("&lt;/li&gt;&lt;li&gt;&lt;a href=|http://",M1191,"/john/1.htm","| ","title=|",M1190,"| target=|_top|&gt;",M1192,"&lt;/a&gt;")</f>
        <v>&lt;/li&gt;&lt;li&gt;&lt;a href=|http://niv.scripturetext.com/john/1.htm| title=|New International Version| target=|_top|&gt;NIV&lt;/a&gt;</v>
      </c>
      <c r="N998" t="str">
        <f t="shared" si="3988"/>
        <v>&lt;/li&gt;&lt;li&gt;&lt;a href=|http://nlt.scripturetext.com/john/1.htm| title=|New Living Translation| target=|_top|&gt;NLT&lt;/a&gt;</v>
      </c>
      <c r="O998" t="str">
        <f t="shared" si="3988"/>
        <v>&lt;/li&gt;&lt;li&gt;&lt;a href=|http://nasb.scripturetext.com/john/1.htm| title=|New American Standard Bible| target=|_top|&gt;NAS&lt;/a&gt;</v>
      </c>
      <c r="P998" t="str">
        <f t="shared" si="3988"/>
        <v>&lt;/li&gt;&lt;li&gt;&lt;a href=|http://gwt.scripturetext.com/john/1.htm| title=|God's Word Translation| target=|_top|&gt;GWT&lt;/a&gt;</v>
      </c>
      <c r="Q998" t="str">
        <f t="shared" si="3988"/>
        <v>&lt;/li&gt;&lt;li&gt;&lt;a href=|http://kingjbible.com/john/1.htm| title=|King James Bible| target=|_top|&gt;KJV&lt;/a&gt;</v>
      </c>
      <c r="R998" t="str">
        <f t="shared" si="3988"/>
        <v>&lt;/li&gt;&lt;li&gt;&lt;a href=|http://asvbible.com/john/1.htm| title=|American Standard Version| target=|_top|&gt;ASV&lt;/a&gt;</v>
      </c>
      <c r="S998" t="str">
        <f t="shared" si="3988"/>
        <v>&lt;/li&gt;&lt;li&gt;&lt;a href=|http://drb.scripturetext.com/john/1.htm| title=|Douay-Rheims Bible| target=|_top|&gt;DRB&lt;/a&gt;</v>
      </c>
      <c r="T998" t="str">
        <f t="shared" si="3988"/>
        <v>&lt;/li&gt;&lt;li&gt;&lt;a href=|http://erv.scripturetext.com/john/1.htm| title=|English Revised Version| target=|_top|&gt;ERV&lt;/a&gt;</v>
      </c>
      <c r="U998" t="str">
        <f>CONCATENATE("&lt;/li&gt;&lt;li&gt;&lt;a href=|http://",U1191,"/john/1.htm","| ","title=|",U1190,"| target=|_top|&gt;",U1192,"&lt;/a&gt;")</f>
        <v>&lt;/li&gt;&lt;li&gt;&lt;a href=|http://study.interlinearbible.org/john/1.htm| title=|Greek Study Bible| target=|_top|&gt;Grk Study&lt;/a&gt;</v>
      </c>
      <c r="W998" t="str">
        <f t="shared" si="3988"/>
        <v>&lt;/li&gt;&lt;li&gt;&lt;a href=|http://apostolic.interlinearbible.org/john/1.htm| title=|Apostolic Bible Polyglot Interlinear| target=|_top|&gt;Polyglot&lt;/a&gt;</v>
      </c>
      <c r="X998" t="str">
        <f t="shared" si="3988"/>
        <v>&lt;/li&gt;&lt;li&gt;&lt;a href=|http://interlinearbible.org/john/1.htm| title=|Interlinear Bible| target=|_top|&gt;Interlin&lt;/a&gt;</v>
      </c>
      <c r="Y998" t="str">
        <f t="shared" ref="Y998" si="3989">CONCATENATE("&lt;/li&gt;&lt;li&gt;&lt;a href=|http://",Y1191,"/john/1.htm","| ","title=|",Y1190,"| target=|_top|&gt;",Y1192,"&lt;/a&gt;")</f>
        <v>&lt;/li&gt;&lt;li&gt;&lt;a href=|http://bibleoutline.org/john/1.htm| title=|Outline with People and Places List| target=|_top|&gt;Outline&lt;/a&gt;</v>
      </c>
      <c r="Z998" t="str">
        <f t="shared" si="3988"/>
        <v>&lt;/li&gt;&lt;li&gt;&lt;a href=|http://kjvs.scripturetext.com/john/1.htm| title=|King James Bible with Strong's Numbers| target=|_top|&gt;Strong's&lt;/a&gt;</v>
      </c>
      <c r="AA998" t="str">
        <f t="shared" si="3988"/>
        <v>&lt;/li&gt;&lt;li&gt;&lt;a href=|http://childrensbibleonline.com/john/1.htm| title=|The Children's Bible| target=|_top|&gt;Children's&lt;/a&gt;</v>
      </c>
      <c r="AB998" s="2" t="str">
        <f t="shared" si="3988"/>
        <v>&lt;/li&gt;&lt;li&gt;&lt;a href=|http://tsk.scripturetext.com/john/1.htm| title=|Treasury of Scripture Knowledge| target=|_top|&gt;TSK&lt;/a&gt;</v>
      </c>
      <c r="AC998" t="str">
        <f>CONCATENATE("&lt;a href=|http://",AC1191,"/john/1.htm","| ","title=|",AC1190,"| target=|_top|&gt;",AC1192,"&lt;/a&gt;")</f>
        <v>&lt;a href=|http://parallelbible.com/john/1.htm| title=|Parallel Chapters| target=|_top|&gt;PAR&lt;/a&gt;</v>
      </c>
      <c r="AD998" s="2" t="str">
        <f t="shared" ref="AD998:AI998" si="3990">CONCATENATE("&lt;/li&gt;&lt;li&gt;&lt;a href=|http://",AD1191,"/john/1.htm","| ","title=|",AD1190,"| target=|_top|&gt;",AD1192,"&lt;/a&gt;")</f>
        <v>&lt;/li&gt;&lt;li&gt;&lt;a href=|http://gsb.biblecommenter.com/john/1.htm| title=|Geneva Study Bible| target=|_top|&gt;GSB&lt;/a&gt;</v>
      </c>
      <c r="AE998" s="2" t="str">
        <f t="shared" si="3990"/>
        <v>&lt;/li&gt;&lt;li&gt;&lt;a href=|http://jfb.biblecommenter.com/john/1.htm| title=|Jamieson-Fausset-Brown Bible Commentary| target=|_top|&gt;JFB&lt;/a&gt;</v>
      </c>
      <c r="AF998" s="2" t="str">
        <f t="shared" si="3990"/>
        <v>&lt;/li&gt;&lt;li&gt;&lt;a href=|http://kjt.biblecommenter.com/john/1.htm| title=|King James Translators' Notes| target=|_top|&gt;KJT&lt;/a&gt;</v>
      </c>
      <c r="AG998" s="2" t="str">
        <f t="shared" si="3990"/>
        <v>&lt;/li&gt;&lt;li&gt;&lt;a href=|http://mhc.biblecommenter.com/john/1.htm| title=|Matthew Henry's Concise Commentary| target=|_top|&gt;MHC&lt;/a&gt;</v>
      </c>
      <c r="AH998" s="2" t="str">
        <f t="shared" si="3990"/>
        <v>&lt;/li&gt;&lt;li&gt;&lt;a href=|http://sco.biblecommenter.com/john/1.htm| title=|Scofield Reference Notes| target=|_top|&gt;SCO&lt;/a&gt;</v>
      </c>
      <c r="AI998" s="2" t="str">
        <f t="shared" si="3990"/>
        <v>&lt;/li&gt;&lt;li&gt;&lt;a href=|http://wes.biblecommenter.com/john/1.htm| title=|Wesley's Notes on the Bible| target=|_top|&gt;WES&lt;/a&gt;</v>
      </c>
      <c r="AJ998" t="str">
        <f>CONCATENATE("&lt;/li&gt;&lt;li&gt;&lt;a href=|http://",AJ1191,"/john/1.htm","| ","title=|",AJ1190,"| target=|_top|&gt;",AJ1192,"&lt;/a&gt;")</f>
        <v>&lt;/li&gt;&lt;li&gt;&lt;a href=|http://worldebible.com/john/1.htm| title=|World English Bible| target=|_top|&gt;WEB&lt;/a&gt;</v>
      </c>
      <c r="AK998" t="str">
        <f>CONCATENATE("&lt;/li&gt;&lt;li&gt;&lt;a href=|http://",AK1191,"/john/1.htm","| ","title=|",AK1190,"| target=|_top|&gt;",AK1192,"&lt;/a&gt;")</f>
        <v>&lt;/li&gt;&lt;li&gt;&lt;a href=|http://yltbible.com/john/1.htm| title=|Young's Literal Translation| target=|_top|&gt;YLT&lt;/a&gt;</v>
      </c>
      <c r="AL998" t="str">
        <f>CONCATENATE("&lt;a href=|http://",AL1191,"/john/1.htm","| ","title=|",AL1190,"| target=|_top|&gt;",AL1192,"&lt;/a&gt;")</f>
        <v>&lt;a href=|http://kjv.us/john/1.htm| title=|American King James Version| target=|_top|&gt;AKJ&lt;/a&gt;</v>
      </c>
      <c r="AM998" t="str">
        <f t="shared" ref="AM998:AS998" si="3991">CONCATENATE("&lt;/li&gt;&lt;li&gt;&lt;a href=|http://",AM1191,"/john/1.htm","| ","title=|",AM1190,"| target=|_top|&gt;",AM1192,"&lt;/a&gt;")</f>
        <v>&lt;/li&gt;&lt;li&gt;&lt;a href=|http://basicenglishbible.com/john/1.htm| title=|Bible in Basic English| target=|_top|&gt;BBE&lt;/a&gt;</v>
      </c>
      <c r="AN998" t="str">
        <f t="shared" si="3991"/>
        <v>&lt;/li&gt;&lt;li&gt;&lt;a href=|http://darbybible.com/john/1.htm| title=|Darby Bible Translation| target=|_top|&gt;DBY&lt;/a&gt;</v>
      </c>
      <c r="AO998" t="str">
        <f t="shared" si="3991"/>
        <v>&lt;/li&gt;&lt;li&gt;&lt;a href=|http://isv.scripturetext.com/john/1.htm| title=|International Standard Version| target=|_top|&gt;ISV&lt;/a&gt;</v>
      </c>
      <c r="AP998" t="str">
        <f t="shared" si="3991"/>
        <v>&lt;/li&gt;&lt;li&gt;&lt;a href=|http://tnt.scripturetext.com/john/1.htm| title=|Tyndale New Testament| target=|_top|&gt;TNT&lt;/a&gt;</v>
      </c>
      <c r="AQ998" s="2" t="str">
        <f t="shared" si="3991"/>
        <v>&lt;/li&gt;&lt;li&gt;&lt;a href=|http://pnt.biblecommenter.com/john/1.htm| title=|People's New Testament| target=|_top|&gt;PNT&lt;/a&gt;</v>
      </c>
      <c r="AR998" t="str">
        <f t="shared" si="3991"/>
        <v>&lt;/li&gt;&lt;li&gt;&lt;a href=|http://websterbible.com/john/1.htm| title=|Webster's Bible Translation| target=|_top|&gt;WBS&lt;/a&gt;</v>
      </c>
      <c r="AS998" t="str">
        <f t="shared" si="3991"/>
        <v>&lt;/li&gt;&lt;li&gt;&lt;a href=|http://weymouthbible.com/john/1.htm| title=|Weymouth New Testament| target=|_top|&gt;WEY&lt;/a&gt;</v>
      </c>
      <c r="AT998" t="str">
        <f>CONCATENATE("&lt;/li&gt;&lt;li&gt;&lt;a href=|http://",AT1191,"/john/1-1.htm","| ","title=|",AT1190,"| target=|_top|&gt;",AT1192,"&lt;/a&gt;")</f>
        <v>&lt;/li&gt;&lt;li&gt;&lt;a href=|http://biblebrowser.com/john/1-1.htm| title=|Split View| target=|_top|&gt;Split&lt;/a&gt;</v>
      </c>
      <c r="AU998" s="2" t="s">
        <v>1276</v>
      </c>
      <c r="AV998" t="s">
        <v>64</v>
      </c>
    </row>
    <row r="999" spans="1:48">
      <c r="A999" t="s">
        <v>622</v>
      </c>
      <c r="B999" t="s">
        <v>1040</v>
      </c>
      <c r="C999" t="s">
        <v>624</v>
      </c>
      <c r="D999" t="s">
        <v>1268</v>
      </c>
      <c r="E999" t="s">
        <v>1277</v>
      </c>
      <c r="F999" t="s">
        <v>1304</v>
      </c>
      <c r="G999" t="s">
        <v>1266</v>
      </c>
      <c r="H999" t="s">
        <v>1305</v>
      </c>
      <c r="I999" t="s">
        <v>1303</v>
      </c>
      <c r="J999" t="s">
        <v>1267</v>
      </c>
      <c r="K999" t="s">
        <v>1275</v>
      </c>
      <c r="L999" s="2" t="s">
        <v>1274</v>
      </c>
      <c r="M999" t="str">
        <f t="shared" ref="M999:AB999" si="3992">CONCATENATE("&lt;/li&gt;&lt;li&gt;&lt;a href=|http://",M1191,"/john/2.htm","| ","title=|",M1190,"| target=|_top|&gt;",M1192,"&lt;/a&gt;")</f>
        <v>&lt;/li&gt;&lt;li&gt;&lt;a href=|http://niv.scripturetext.com/john/2.htm| title=|New International Version| target=|_top|&gt;NIV&lt;/a&gt;</v>
      </c>
      <c r="N999" t="str">
        <f t="shared" si="3992"/>
        <v>&lt;/li&gt;&lt;li&gt;&lt;a href=|http://nlt.scripturetext.com/john/2.htm| title=|New Living Translation| target=|_top|&gt;NLT&lt;/a&gt;</v>
      </c>
      <c r="O999" t="str">
        <f t="shared" si="3992"/>
        <v>&lt;/li&gt;&lt;li&gt;&lt;a href=|http://nasb.scripturetext.com/john/2.htm| title=|New American Standard Bible| target=|_top|&gt;NAS&lt;/a&gt;</v>
      </c>
      <c r="P999" t="str">
        <f t="shared" si="3992"/>
        <v>&lt;/li&gt;&lt;li&gt;&lt;a href=|http://gwt.scripturetext.com/john/2.htm| title=|God's Word Translation| target=|_top|&gt;GWT&lt;/a&gt;</v>
      </c>
      <c r="Q999" t="str">
        <f t="shared" si="3992"/>
        <v>&lt;/li&gt;&lt;li&gt;&lt;a href=|http://kingjbible.com/john/2.htm| title=|King James Bible| target=|_top|&gt;KJV&lt;/a&gt;</v>
      </c>
      <c r="R999" t="str">
        <f t="shared" si="3992"/>
        <v>&lt;/li&gt;&lt;li&gt;&lt;a href=|http://asvbible.com/john/2.htm| title=|American Standard Version| target=|_top|&gt;ASV&lt;/a&gt;</v>
      </c>
      <c r="S999" t="str">
        <f t="shared" si="3992"/>
        <v>&lt;/li&gt;&lt;li&gt;&lt;a href=|http://drb.scripturetext.com/john/2.htm| title=|Douay-Rheims Bible| target=|_top|&gt;DRB&lt;/a&gt;</v>
      </c>
      <c r="T999" t="str">
        <f t="shared" si="3992"/>
        <v>&lt;/li&gt;&lt;li&gt;&lt;a href=|http://erv.scripturetext.com/john/2.htm| title=|English Revised Version| target=|_top|&gt;ERV&lt;/a&gt;</v>
      </c>
      <c r="U999" t="str">
        <f>CONCATENATE("&lt;/li&gt;&lt;li&gt;&lt;a href=|http://",U1191,"/john/2.htm","| ","title=|",U1190,"| target=|_top|&gt;",U1192,"&lt;/a&gt;")</f>
        <v>&lt;/li&gt;&lt;li&gt;&lt;a href=|http://study.interlinearbible.org/john/2.htm| title=|Greek Study Bible| target=|_top|&gt;Grk Study&lt;/a&gt;</v>
      </c>
      <c r="W999" t="str">
        <f t="shared" si="3992"/>
        <v>&lt;/li&gt;&lt;li&gt;&lt;a href=|http://apostolic.interlinearbible.org/john/2.htm| title=|Apostolic Bible Polyglot Interlinear| target=|_top|&gt;Polyglot&lt;/a&gt;</v>
      </c>
      <c r="X999" t="str">
        <f t="shared" si="3992"/>
        <v>&lt;/li&gt;&lt;li&gt;&lt;a href=|http://interlinearbible.org/john/2.htm| title=|Interlinear Bible| target=|_top|&gt;Interlin&lt;/a&gt;</v>
      </c>
      <c r="Y999" t="str">
        <f t="shared" ref="Y999" si="3993">CONCATENATE("&lt;/li&gt;&lt;li&gt;&lt;a href=|http://",Y1191,"/john/2.htm","| ","title=|",Y1190,"| target=|_top|&gt;",Y1192,"&lt;/a&gt;")</f>
        <v>&lt;/li&gt;&lt;li&gt;&lt;a href=|http://bibleoutline.org/john/2.htm| title=|Outline with People and Places List| target=|_top|&gt;Outline&lt;/a&gt;</v>
      </c>
      <c r="Z999" t="str">
        <f t="shared" si="3992"/>
        <v>&lt;/li&gt;&lt;li&gt;&lt;a href=|http://kjvs.scripturetext.com/john/2.htm| title=|King James Bible with Strong's Numbers| target=|_top|&gt;Strong's&lt;/a&gt;</v>
      </c>
      <c r="AA999" t="str">
        <f t="shared" si="3992"/>
        <v>&lt;/li&gt;&lt;li&gt;&lt;a href=|http://childrensbibleonline.com/john/2.htm| title=|The Children's Bible| target=|_top|&gt;Children's&lt;/a&gt;</v>
      </c>
      <c r="AB999" s="2" t="str">
        <f t="shared" si="3992"/>
        <v>&lt;/li&gt;&lt;li&gt;&lt;a href=|http://tsk.scripturetext.com/john/2.htm| title=|Treasury of Scripture Knowledge| target=|_top|&gt;TSK&lt;/a&gt;</v>
      </c>
      <c r="AC999" t="str">
        <f>CONCATENATE("&lt;a href=|http://",AC1191,"/john/2.htm","| ","title=|",AC1190,"| target=|_top|&gt;",AC1192,"&lt;/a&gt;")</f>
        <v>&lt;a href=|http://parallelbible.com/john/2.htm| title=|Parallel Chapters| target=|_top|&gt;PAR&lt;/a&gt;</v>
      </c>
      <c r="AD999" s="2" t="str">
        <f t="shared" ref="AD999:AI999" si="3994">CONCATENATE("&lt;/li&gt;&lt;li&gt;&lt;a href=|http://",AD1191,"/john/2.htm","| ","title=|",AD1190,"| target=|_top|&gt;",AD1192,"&lt;/a&gt;")</f>
        <v>&lt;/li&gt;&lt;li&gt;&lt;a href=|http://gsb.biblecommenter.com/john/2.htm| title=|Geneva Study Bible| target=|_top|&gt;GSB&lt;/a&gt;</v>
      </c>
      <c r="AE999" s="2" t="str">
        <f t="shared" si="3994"/>
        <v>&lt;/li&gt;&lt;li&gt;&lt;a href=|http://jfb.biblecommenter.com/john/2.htm| title=|Jamieson-Fausset-Brown Bible Commentary| target=|_top|&gt;JFB&lt;/a&gt;</v>
      </c>
      <c r="AF999" s="2" t="str">
        <f t="shared" si="3994"/>
        <v>&lt;/li&gt;&lt;li&gt;&lt;a href=|http://kjt.biblecommenter.com/john/2.htm| title=|King James Translators' Notes| target=|_top|&gt;KJT&lt;/a&gt;</v>
      </c>
      <c r="AG999" s="2" t="str">
        <f t="shared" si="3994"/>
        <v>&lt;/li&gt;&lt;li&gt;&lt;a href=|http://mhc.biblecommenter.com/john/2.htm| title=|Matthew Henry's Concise Commentary| target=|_top|&gt;MHC&lt;/a&gt;</v>
      </c>
      <c r="AH999" s="2" t="str">
        <f t="shared" si="3994"/>
        <v>&lt;/li&gt;&lt;li&gt;&lt;a href=|http://sco.biblecommenter.com/john/2.htm| title=|Scofield Reference Notes| target=|_top|&gt;SCO&lt;/a&gt;</v>
      </c>
      <c r="AI999" s="2" t="str">
        <f t="shared" si="3994"/>
        <v>&lt;/li&gt;&lt;li&gt;&lt;a href=|http://wes.biblecommenter.com/john/2.htm| title=|Wesley's Notes on the Bible| target=|_top|&gt;WES&lt;/a&gt;</v>
      </c>
      <c r="AJ999" t="str">
        <f>CONCATENATE("&lt;/li&gt;&lt;li&gt;&lt;a href=|http://",AJ1191,"/john/2.htm","| ","title=|",AJ1190,"| target=|_top|&gt;",AJ1192,"&lt;/a&gt;")</f>
        <v>&lt;/li&gt;&lt;li&gt;&lt;a href=|http://worldebible.com/john/2.htm| title=|World English Bible| target=|_top|&gt;WEB&lt;/a&gt;</v>
      </c>
      <c r="AK999" t="str">
        <f>CONCATENATE("&lt;/li&gt;&lt;li&gt;&lt;a href=|http://",AK1191,"/john/2.htm","| ","title=|",AK1190,"| target=|_top|&gt;",AK1192,"&lt;/a&gt;")</f>
        <v>&lt;/li&gt;&lt;li&gt;&lt;a href=|http://yltbible.com/john/2.htm| title=|Young's Literal Translation| target=|_top|&gt;YLT&lt;/a&gt;</v>
      </c>
      <c r="AL999" t="str">
        <f>CONCATENATE("&lt;a href=|http://",AL1191,"/john/2.htm","| ","title=|",AL1190,"| target=|_top|&gt;",AL1192,"&lt;/a&gt;")</f>
        <v>&lt;a href=|http://kjv.us/john/2.htm| title=|American King James Version| target=|_top|&gt;AKJ&lt;/a&gt;</v>
      </c>
      <c r="AM999" t="str">
        <f t="shared" ref="AM999:AS999" si="3995">CONCATENATE("&lt;/li&gt;&lt;li&gt;&lt;a href=|http://",AM1191,"/john/2.htm","| ","title=|",AM1190,"| target=|_top|&gt;",AM1192,"&lt;/a&gt;")</f>
        <v>&lt;/li&gt;&lt;li&gt;&lt;a href=|http://basicenglishbible.com/john/2.htm| title=|Bible in Basic English| target=|_top|&gt;BBE&lt;/a&gt;</v>
      </c>
      <c r="AN999" t="str">
        <f t="shared" si="3995"/>
        <v>&lt;/li&gt;&lt;li&gt;&lt;a href=|http://darbybible.com/john/2.htm| title=|Darby Bible Translation| target=|_top|&gt;DBY&lt;/a&gt;</v>
      </c>
      <c r="AO999" t="str">
        <f t="shared" si="3995"/>
        <v>&lt;/li&gt;&lt;li&gt;&lt;a href=|http://isv.scripturetext.com/john/2.htm| title=|International Standard Version| target=|_top|&gt;ISV&lt;/a&gt;</v>
      </c>
      <c r="AP999" t="str">
        <f t="shared" si="3995"/>
        <v>&lt;/li&gt;&lt;li&gt;&lt;a href=|http://tnt.scripturetext.com/john/2.htm| title=|Tyndale New Testament| target=|_top|&gt;TNT&lt;/a&gt;</v>
      </c>
      <c r="AQ999" s="2" t="str">
        <f t="shared" si="3995"/>
        <v>&lt;/li&gt;&lt;li&gt;&lt;a href=|http://pnt.biblecommenter.com/john/2.htm| title=|People's New Testament| target=|_top|&gt;PNT&lt;/a&gt;</v>
      </c>
      <c r="AR999" t="str">
        <f t="shared" si="3995"/>
        <v>&lt;/li&gt;&lt;li&gt;&lt;a href=|http://websterbible.com/john/2.htm| title=|Webster's Bible Translation| target=|_top|&gt;WBS&lt;/a&gt;</v>
      </c>
      <c r="AS999" t="str">
        <f t="shared" si="3995"/>
        <v>&lt;/li&gt;&lt;li&gt;&lt;a href=|http://weymouthbible.com/john/2.htm| title=|Weymouth New Testament| target=|_top|&gt;WEY&lt;/a&gt;</v>
      </c>
      <c r="AT999" t="str">
        <f>CONCATENATE("&lt;/li&gt;&lt;li&gt;&lt;a href=|http://",AT1191,"/john/2-1.htm","| ","title=|",AT1190,"| target=|_top|&gt;",AT1192,"&lt;/a&gt;")</f>
        <v>&lt;/li&gt;&lt;li&gt;&lt;a href=|http://biblebrowser.com/john/2-1.htm| title=|Split View| target=|_top|&gt;Split&lt;/a&gt;</v>
      </c>
      <c r="AU999" s="2" t="s">
        <v>1276</v>
      </c>
      <c r="AV999" t="s">
        <v>64</v>
      </c>
    </row>
    <row r="1000" spans="1:48">
      <c r="A1000" t="s">
        <v>622</v>
      </c>
      <c r="B1000" t="s">
        <v>1041</v>
      </c>
      <c r="C1000" t="s">
        <v>624</v>
      </c>
      <c r="D1000" t="s">
        <v>1268</v>
      </c>
      <c r="E1000" t="s">
        <v>1277</v>
      </c>
      <c r="F1000" t="s">
        <v>1304</v>
      </c>
      <c r="G1000" t="s">
        <v>1266</v>
      </c>
      <c r="H1000" t="s">
        <v>1305</v>
      </c>
      <c r="I1000" t="s">
        <v>1303</v>
      </c>
      <c r="J1000" t="s">
        <v>1267</v>
      </c>
      <c r="K1000" t="s">
        <v>1275</v>
      </c>
      <c r="L1000" s="2" t="s">
        <v>1274</v>
      </c>
      <c r="M1000" t="str">
        <f t="shared" ref="M1000:AB1000" si="3996">CONCATENATE("&lt;/li&gt;&lt;li&gt;&lt;a href=|http://",M1191,"/john/3.htm","| ","title=|",M1190,"| target=|_top|&gt;",M1192,"&lt;/a&gt;")</f>
        <v>&lt;/li&gt;&lt;li&gt;&lt;a href=|http://niv.scripturetext.com/john/3.htm| title=|New International Version| target=|_top|&gt;NIV&lt;/a&gt;</v>
      </c>
      <c r="N1000" t="str">
        <f t="shared" si="3996"/>
        <v>&lt;/li&gt;&lt;li&gt;&lt;a href=|http://nlt.scripturetext.com/john/3.htm| title=|New Living Translation| target=|_top|&gt;NLT&lt;/a&gt;</v>
      </c>
      <c r="O1000" t="str">
        <f t="shared" si="3996"/>
        <v>&lt;/li&gt;&lt;li&gt;&lt;a href=|http://nasb.scripturetext.com/john/3.htm| title=|New American Standard Bible| target=|_top|&gt;NAS&lt;/a&gt;</v>
      </c>
      <c r="P1000" t="str">
        <f t="shared" si="3996"/>
        <v>&lt;/li&gt;&lt;li&gt;&lt;a href=|http://gwt.scripturetext.com/john/3.htm| title=|God's Word Translation| target=|_top|&gt;GWT&lt;/a&gt;</v>
      </c>
      <c r="Q1000" t="str">
        <f t="shared" si="3996"/>
        <v>&lt;/li&gt;&lt;li&gt;&lt;a href=|http://kingjbible.com/john/3.htm| title=|King James Bible| target=|_top|&gt;KJV&lt;/a&gt;</v>
      </c>
      <c r="R1000" t="str">
        <f t="shared" si="3996"/>
        <v>&lt;/li&gt;&lt;li&gt;&lt;a href=|http://asvbible.com/john/3.htm| title=|American Standard Version| target=|_top|&gt;ASV&lt;/a&gt;</v>
      </c>
      <c r="S1000" t="str">
        <f t="shared" si="3996"/>
        <v>&lt;/li&gt;&lt;li&gt;&lt;a href=|http://drb.scripturetext.com/john/3.htm| title=|Douay-Rheims Bible| target=|_top|&gt;DRB&lt;/a&gt;</v>
      </c>
      <c r="T1000" t="str">
        <f t="shared" si="3996"/>
        <v>&lt;/li&gt;&lt;li&gt;&lt;a href=|http://erv.scripturetext.com/john/3.htm| title=|English Revised Version| target=|_top|&gt;ERV&lt;/a&gt;</v>
      </c>
      <c r="U1000" t="str">
        <f>CONCATENATE("&lt;/li&gt;&lt;li&gt;&lt;a href=|http://",U1191,"/john/3.htm","| ","title=|",U1190,"| target=|_top|&gt;",U1192,"&lt;/a&gt;")</f>
        <v>&lt;/li&gt;&lt;li&gt;&lt;a href=|http://study.interlinearbible.org/john/3.htm| title=|Greek Study Bible| target=|_top|&gt;Grk Study&lt;/a&gt;</v>
      </c>
      <c r="W1000" t="str">
        <f t="shared" si="3996"/>
        <v>&lt;/li&gt;&lt;li&gt;&lt;a href=|http://apostolic.interlinearbible.org/john/3.htm| title=|Apostolic Bible Polyglot Interlinear| target=|_top|&gt;Polyglot&lt;/a&gt;</v>
      </c>
      <c r="X1000" t="str">
        <f t="shared" si="3996"/>
        <v>&lt;/li&gt;&lt;li&gt;&lt;a href=|http://interlinearbible.org/john/3.htm| title=|Interlinear Bible| target=|_top|&gt;Interlin&lt;/a&gt;</v>
      </c>
      <c r="Y1000" t="str">
        <f t="shared" ref="Y1000" si="3997">CONCATENATE("&lt;/li&gt;&lt;li&gt;&lt;a href=|http://",Y1191,"/john/3.htm","| ","title=|",Y1190,"| target=|_top|&gt;",Y1192,"&lt;/a&gt;")</f>
        <v>&lt;/li&gt;&lt;li&gt;&lt;a href=|http://bibleoutline.org/john/3.htm| title=|Outline with People and Places List| target=|_top|&gt;Outline&lt;/a&gt;</v>
      </c>
      <c r="Z1000" t="str">
        <f t="shared" si="3996"/>
        <v>&lt;/li&gt;&lt;li&gt;&lt;a href=|http://kjvs.scripturetext.com/john/3.htm| title=|King James Bible with Strong's Numbers| target=|_top|&gt;Strong's&lt;/a&gt;</v>
      </c>
      <c r="AA1000" t="str">
        <f t="shared" si="3996"/>
        <v>&lt;/li&gt;&lt;li&gt;&lt;a href=|http://childrensbibleonline.com/john/3.htm| title=|The Children's Bible| target=|_top|&gt;Children's&lt;/a&gt;</v>
      </c>
      <c r="AB1000" s="2" t="str">
        <f t="shared" si="3996"/>
        <v>&lt;/li&gt;&lt;li&gt;&lt;a href=|http://tsk.scripturetext.com/john/3.htm| title=|Treasury of Scripture Knowledge| target=|_top|&gt;TSK&lt;/a&gt;</v>
      </c>
      <c r="AC1000" t="str">
        <f>CONCATENATE("&lt;a href=|http://",AC1191,"/john/3.htm","| ","title=|",AC1190,"| target=|_top|&gt;",AC1192,"&lt;/a&gt;")</f>
        <v>&lt;a href=|http://parallelbible.com/john/3.htm| title=|Parallel Chapters| target=|_top|&gt;PAR&lt;/a&gt;</v>
      </c>
      <c r="AD1000" s="2" t="str">
        <f t="shared" ref="AD1000:AI1000" si="3998">CONCATENATE("&lt;/li&gt;&lt;li&gt;&lt;a href=|http://",AD1191,"/john/3.htm","| ","title=|",AD1190,"| target=|_top|&gt;",AD1192,"&lt;/a&gt;")</f>
        <v>&lt;/li&gt;&lt;li&gt;&lt;a href=|http://gsb.biblecommenter.com/john/3.htm| title=|Geneva Study Bible| target=|_top|&gt;GSB&lt;/a&gt;</v>
      </c>
      <c r="AE1000" s="2" t="str">
        <f t="shared" si="3998"/>
        <v>&lt;/li&gt;&lt;li&gt;&lt;a href=|http://jfb.biblecommenter.com/john/3.htm| title=|Jamieson-Fausset-Brown Bible Commentary| target=|_top|&gt;JFB&lt;/a&gt;</v>
      </c>
      <c r="AF1000" s="2" t="str">
        <f t="shared" si="3998"/>
        <v>&lt;/li&gt;&lt;li&gt;&lt;a href=|http://kjt.biblecommenter.com/john/3.htm| title=|King James Translators' Notes| target=|_top|&gt;KJT&lt;/a&gt;</v>
      </c>
      <c r="AG1000" s="2" t="str">
        <f t="shared" si="3998"/>
        <v>&lt;/li&gt;&lt;li&gt;&lt;a href=|http://mhc.biblecommenter.com/john/3.htm| title=|Matthew Henry's Concise Commentary| target=|_top|&gt;MHC&lt;/a&gt;</v>
      </c>
      <c r="AH1000" s="2" t="str">
        <f t="shared" si="3998"/>
        <v>&lt;/li&gt;&lt;li&gt;&lt;a href=|http://sco.biblecommenter.com/john/3.htm| title=|Scofield Reference Notes| target=|_top|&gt;SCO&lt;/a&gt;</v>
      </c>
      <c r="AI1000" s="2" t="str">
        <f t="shared" si="3998"/>
        <v>&lt;/li&gt;&lt;li&gt;&lt;a href=|http://wes.biblecommenter.com/john/3.htm| title=|Wesley's Notes on the Bible| target=|_top|&gt;WES&lt;/a&gt;</v>
      </c>
      <c r="AJ1000" t="str">
        <f>CONCATENATE("&lt;/li&gt;&lt;li&gt;&lt;a href=|http://",AJ1191,"/john/3.htm","| ","title=|",AJ1190,"| target=|_top|&gt;",AJ1192,"&lt;/a&gt;")</f>
        <v>&lt;/li&gt;&lt;li&gt;&lt;a href=|http://worldebible.com/john/3.htm| title=|World English Bible| target=|_top|&gt;WEB&lt;/a&gt;</v>
      </c>
      <c r="AK1000" t="str">
        <f>CONCATENATE("&lt;/li&gt;&lt;li&gt;&lt;a href=|http://",AK1191,"/john/3.htm","| ","title=|",AK1190,"| target=|_top|&gt;",AK1192,"&lt;/a&gt;")</f>
        <v>&lt;/li&gt;&lt;li&gt;&lt;a href=|http://yltbible.com/john/3.htm| title=|Young's Literal Translation| target=|_top|&gt;YLT&lt;/a&gt;</v>
      </c>
      <c r="AL1000" t="str">
        <f>CONCATENATE("&lt;a href=|http://",AL1191,"/john/3.htm","| ","title=|",AL1190,"| target=|_top|&gt;",AL1192,"&lt;/a&gt;")</f>
        <v>&lt;a href=|http://kjv.us/john/3.htm| title=|American King James Version| target=|_top|&gt;AKJ&lt;/a&gt;</v>
      </c>
      <c r="AM1000" t="str">
        <f t="shared" ref="AM1000:AS1000" si="3999">CONCATENATE("&lt;/li&gt;&lt;li&gt;&lt;a href=|http://",AM1191,"/john/3.htm","| ","title=|",AM1190,"| target=|_top|&gt;",AM1192,"&lt;/a&gt;")</f>
        <v>&lt;/li&gt;&lt;li&gt;&lt;a href=|http://basicenglishbible.com/john/3.htm| title=|Bible in Basic English| target=|_top|&gt;BBE&lt;/a&gt;</v>
      </c>
      <c r="AN1000" t="str">
        <f t="shared" si="3999"/>
        <v>&lt;/li&gt;&lt;li&gt;&lt;a href=|http://darbybible.com/john/3.htm| title=|Darby Bible Translation| target=|_top|&gt;DBY&lt;/a&gt;</v>
      </c>
      <c r="AO1000" t="str">
        <f t="shared" si="3999"/>
        <v>&lt;/li&gt;&lt;li&gt;&lt;a href=|http://isv.scripturetext.com/john/3.htm| title=|International Standard Version| target=|_top|&gt;ISV&lt;/a&gt;</v>
      </c>
      <c r="AP1000" t="str">
        <f t="shared" si="3999"/>
        <v>&lt;/li&gt;&lt;li&gt;&lt;a href=|http://tnt.scripturetext.com/john/3.htm| title=|Tyndale New Testament| target=|_top|&gt;TNT&lt;/a&gt;</v>
      </c>
      <c r="AQ1000" s="2" t="str">
        <f t="shared" si="3999"/>
        <v>&lt;/li&gt;&lt;li&gt;&lt;a href=|http://pnt.biblecommenter.com/john/3.htm| title=|People's New Testament| target=|_top|&gt;PNT&lt;/a&gt;</v>
      </c>
      <c r="AR1000" t="str">
        <f t="shared" si="3999"/>
        <v>&lt;/li&gt;&lt;li&gt;&lt;a href=|http://websterbible.com/john/3.htm| title=|Webster's Bible Translation| target=|_top|&gt;WBS&lt;/a&gt;</v>
      </c>
      <c r="AS1000" t="str">
        <f t="shared" si="3999"/>
        <v>&lt;/li&gt;&lt;li&gt;&lt;a href=|http://weymouthbible.com/john/3.htm| title=|Weymouth New Testament| target=|_top|&gt;WEY&lt;/a&gt;</v>
      </c>
      <c r="AT1000" t="str">
        <f>CONCATENATE("&lt;/li&gt;&lt;li&gt;&lt;a href=|http://",AT1191,"/john/3-1.htm","| ","title=|",AT1190,"| target=|_top|&gt;",AT1192,"&lt;/a&gt;")</f>
        <v>&lt;/li&gt;&lt;li&gt;&lt;a href=|http://biblebrowser.com/john/3-1.htm| title=|Split View| target=|_top|&gt;Split&lt;/a&gt;</v>
      </c>
      <c r="AU1000" s="2" t="s">
        <v>1276</v>
      </c>
      <c r="AV1000" t="s">
        <v>64</v>
      </c>
    </row>
    <row r="1001" spans="1:48">
      <c r="A1001" t="s">
        <v>622</v>
      </c>
      <c r="B1001" t="s">
        <v>1042</v>
      </c>
      <c r="C1001" t="s">
        <v>624</v>
      </c>
      <c r="D1001" t="s">
        <v>1268</v>
      </c>
      <c r="E1001" t="s">
        <v>1277</v>
      </c>
      <c r="F1001" t="s">
        <v>1304</v>
      </c>
      <c r="G1001" t="s">
        <v>1266</v>
      </c>
      <c r="H1001" t="s">
        <v>1305</v>
      </c>
      <c r="I1001" t="s">
        <v>1303</v>
      </c>
      <c r="J1001" t="s">
        <v>1267</v>
      </c>
      <c r="K1001" t="s">
        <v>1275</v>
      </c>
      <c r="L1001" s="2" t="s">
        <v>1274</v>
      </c>
      <c r="M1001" t="str">
        <f t="shared" ref="M1001:AB1001" si="4000">CONCATENATE("&lt;/li&gt;&lt;li&gt;&lt;a href=|http://",M1191,"/john/4.htm","| ","title=|",M1190,"| target=|_top|&gt;",M1192,"&lt;/a&gt;")</f>
        <v>&lt;/li&gt;&lt;li&gt;&lt;a href=|http://niv.scripturetext.com/john/4.htm| title=|New International Version| target=|_top|&gt;NIV&lt;/a&gt;</v>
      </c>
      <c r="N1001" t="str">
        <f t="shared" si="4000"/>
        <v>&lt;/li&gt;&lt;li&gt;&lt;a href=|http://nlt.scripturetext.com/john/4.htm| title=|New Living Translation| target=|_top|&gt;NLT&lt;/a&gt;</v>
      </c>
      <c r="O1001" t="str">
        <f t="shared" si="4000"/>
        <v>&lt;/li&gt;&lt;li&gt;&lt;a href=|http://nasb.scripturetext.com/john/4.htm| title=|New American Standard Bible| target=|_top|&gt;NAS&lt;/a&gt;</v>
      </c>
      <c r="P1001" t="str">
        <f t="shared" si="4000"/>
        <v>&lt;/li&gt;&lt;li&gt;&lt;a href=|http://gwt.scripturetext.com/john/4.htm| title=|God's Word Translation| target=|_top|&gt;GWT&lt;/a&gt;</v>
      </c>
      <c r="Q1001" t="str">
        <f t="shared" si="4000"/>
        <v>&lt;/li&gt;&lt;li&gt;&lt;a href=|http://kingjbible.com/john/4.htm| title=|King James Bible| target=|_top|&gt;KJV&lt;/a&gt;</v>
      </c>
      <c r="R1001" t="str">
        <f t="shared" si="4000"/>
        <v>&lt;/li&gt;&lt;li&gt;&lt;a href=|http://asvbible.com/john/4.htm| title=|American Standard Version| target=|_top|&gt;ASV&lt;/a&gt;</v>
      </c>
      <c r="S1001" t="str">
        <f t="shared" si="4000"/>
        <v>&lt;/li&gt;&lt;li&gt;&lt;a href=|http://drb.scripturetext.com/john/4.htm| title=|Douay-Rheims Bible| target=|_top|&gt;DRB&lt;/a&gt;</v>
      </c>
      <c r="T1001" t="str">
        <f t="shared" si="4000"/>
        <v>&lt;/li&gt;&lt;li&gt;&lt;a href=|http://erv.scripturetext.com/john/4.htm| title=|English Revised Version| target=|_top|&gt;ERV&lt;/a&gt;</v>
      </c>
      <c r="U1001" t="str">
        <f>CONCATENATE("&lt;/li&gt;&lt;li&gt;&lt;a href=|http://",U1191,"/john/4.htm","| ","title=|",U1190,"| target=|_top|&gt;",U1192,"&lt;/a&gt;")</f>
        <v>&lt;/li&gt;&lt;li&gt;&lt;a href=|http://study.interlinearbible.org/john/4.htm| title=|Greek Study Bible| target=|_top|&gt;Grk Study&lt;/a&gt;</v>
      </c>
      <c r="W1001" t="str">
        <f t="shared" si="4000"/>
        <v>&lt;/li&gt;&lt;li&gt;&lt;a href=|http://apostolic.interlinearbible.org/john/4.htm| title=|Apostolic Bible Polyglot Interlinear| target=|_top|&gt;Polyglot&lt;/a&gt;</v>
      </c>
      <c r="X1001" t="str">
        <f t="shared" si="4000"/>
        <v>&lt;/li&gt;&lt;li&gt;&lt;a href=|http://interlinearbible.org/john/4.htm| title=|Interlinear Bible| target=|_top|&gt;Interlin&lt;/a&gt;</v>
      </c>
      <c r="Y1001" t="str">
        <f t="shared" ref="Y1001" si="4001">CONCATENATE("&lt;/li&gt;&lt;li&gt;&lt;a href=|http://",Y1191,"/john/4.htm","| ","title=|",Y1190,"| target=|_top|&gt;",Y1192,"&lt;/a&gt;")</f>
        <v>&lt;/li&gt;&lt;li&gt;&lt;a href=|http://bibleoutline.org/john/4.htm| title=|Outline with People and Places List| target=|_top|&gt;Outline&lt;/a&gt;</v>
      </c>
      <c r="Z1001" t="str">
        <f t="shared" si="4000"/>
        <v>&lt;/li&gt;&lt;li&gt;&lt;a href=|http://kjvs.scripturetext.com/john/4.htm| title=|King James Bible with Strong's Numbers| target=|_top|&gt;Strong's&lt;/a&gt;</v>
      </c>
      <c r="AA1001" t="str">
        <f t="shared" si="4000"/>
        <v>&lt;/li&gt;&lt;li&gt;&lt;a href=|http://childrensbibleonline.com/john/4.htm| title=|The Children's Bible| target=|_top|&gt;Children's&lt;/a&gt;</v>
      </c>
      <c r="AB1001" s="2" t="str">
        <f t="shared" si="4000"/>
        <v>&lt;/li&gt;&lt;li&gt;&lt;a href=|http://tsk.scripturetext.com/john/4.htm| title=|Treasury of Scripture Knowledge| target=|_top|&gt;TSK&lt;/a&gt;</v>
      </c>
      <c r="AC1001" t="str">
        <f>CONCATENATE("&lt;a href=|http://",AC1191,"/john/4.htm","| ","title=|",AC1190,"| target=|_top|&gt;",AC1192,"&lt;/a&gt;")</f>
        <v>&lt;a href=|http://parallelbible.com/john/4.htm| title=|Parallel Chapters| target=|_top|&gt;PAR&lt;/a&gt;</v>
      </c>
      <c r="AD1001" s="2" t="str">
        <f t="shared" ref="AD1001:AI1001" si="4002">CONCATENATE("&lt;/li&gt;&lt;li&gt;&lt;a href=|http://",AD1191,"/john/4.htm","| ","title=|",AD1190,"| target=|_top|&gt;",AD1192,"&lt;/a&gt;")</f>
        <v>&lt;/li&gt;&lt;li&gt;&lt;a href=|http://gsb.biblecommenter.com/john/4.htm| title=|Geneva Study Bible| target=|_top|&gt;GSB&lt;/a&gt;</v>
      </c>
      <c r="AE1001" s="2" t="str">
        <f t="shared" si="4002"/>
        <v>&lt;/li&gt;&lt;li&gt;&lt;a href=|http://jfb.biblecommenter.com/john/4.htm| title=|Jamieson-Fausset-Brown Bible Commentary| target=|_top|&gt;JFB&lt;/a&gt;</v>
      </c>
      <c r="AF1001" s="2" t="str">
        <f t="shared" si="4002"/>
        <v>&lt;/li&gt;&lt;li&gt;&lt;a href=|http://kjt.biblecommenter.com/john/4.htm| title=|King James Translators' Notes| target=|_top|&gt;KJT&lt;/a&gt;</v>
      </c>
      <c r="AG1001" s="2" t="str">
        <f t="shared" si="4002"/>
        <v>&lt;/li&gt;&lt;li&gt;&lt;a href=|http://mhc.biblecommenter.com/john/4.htm| title=|Matthew Henry's Concise Commentary| target=|_top|&gt;MHC&lt;/a&gt;</v>
      </c>
      <c r="AH1001" s="2" t="str">
        <f t="shared" si="4002"/>
        <v>&lt;/li&gt;&lt;li&gt;&lt;a href=|http://sco.biblecommenter.com/john/4.htm| title=|Scofield Reference Notes| target=|_top|&gt;SCO&lt;/a&gt;</v>
      </c>
      <c r="AI1001" s="2" t="str">
        <f t="shared" si="4002"/>
        <v>&lt;/li&gt;&lt;li&gt;&lt;a href=|http://wes.biblecommenter.com/john/4.htm| title=|Wesley's Notes on the Bible| target=|_top|&gt;WES&lt;/a&gt;</v>
      </c>
      <c r="AJ1001" t="str">
        <f>CONCATENATE("&lt;/li&gt;&lt;li&gt;&lt;a href=|http://",AJ1191,"/john/4.htm","| ","title=|",AJ1190,"| target=|_top|&gt;",AJ1192,"&lt;/a&gt;")</f>
        <v>&lt;/li&gt;&lt;li&gt;&lt;a href=|http://worldebible.com/john/4.htm| title=|World English Bible| target=|_top|&gt;WEB&lt;/a&gt;</v>
      </c>
      <c r="AK1001" t="str">
        <f>CONCATENATE("&lt;/li&gt;&lt;li&gt;&lt;a href=|http://",AK1191,"/john/4.htm","| ","title=|",AK1190,"| target=|_top|&gt;",AK1192,"&lt;/a&gt;")</f>
        <v>&lt;/li&gt;&lt;li&gt;&lt;a href=|http://yltbible.com/john/4.htm| title=|Young's Literal Translation| target=|_top|&gt;YLT&lt;/a&gt;</v>
      </c>
      <c r="AL1001" t="str">
        <f>CONCATENATE("&lt;a href=|http://",AL1191,"/john/4.htm","| ","title=|",AL1190,"| target=|_top|&gt;",AL1192,"&lt;/a&gt;")</f>
        <v>&lt;a href=|http://kjv.us/john/4.htm| title=|American King James Version| target=|_top|&gt;AKJ&lt;/a&gt;</v>
      </c>
      <c r="AM1001" t="str">
        <f t="shared" ref="AM1001:AS1001" si="4003">CONCATENATE("&lt;/li&gt;&lt;li&gt;&lt;a href=|http://",AM1191,"/john/4.htm","| ","title=|",AM1190,"| target=|_top|&gt;",AM1192,"&lt;/a&gt;")</f>
        <v>&lt;/li&gt;&lt;li&gt;&lt;a href=|http://basicenglishbible.com/john/4.htm| title=|Bible in Basic English| target=|_top|&gt;BBE&lt;/a&gt;</v>
      </c>
      <c r="AN1001" t="str">
        <f t="shared" si="4003"/>
        <v>&lt;/li&gt;&lt;li&gt;&lt;a href=|http://darbybible.com/john/4.htm| title=|Darby Bible Translation| target=|_top|&gt;DBY&lt;/a&gt;</v>
      </c>
      <c r="AO1001" t="str">
        <f t="shared" si="4003"/>
        <v>&lt;/li&gt;&lt;li&gt;&lt;a href=|http://isv.scripturetext.com/john/4.htm| title=|International Standard Version| target=|_top|&gt;ISV&lt;/a&gt;</v>
      </c>
      <c r="AP1001" t="str">
        <f t="shared" si="4003"/>
        <v>&lt;/li&gt;&lt;li&gt;&lt;a href=|http://tnt.scripturetext.com/john/4.htm| title=|Tyndale New Testament| target=|_top|&gt;TNT&lt;/a&gt;</v>
      </c>
      <c r="AQ1001" s="2" t="str">
        <f t="shared" si="4003"/>
        <v>&lt;/li&gt;&lt;li&gt;&lt;a href=|http://pnt.biblecommenter.com/john/4.htm| title=|People's New Testament| target=|_top|&gt;PNT&lt;/a&gt;</v>
      </c>
      <c r="AR1001" t="str">
        <f t="shared" si="4003"/>
        <v>&lt;/li&gt;&lt;li&gt;&lt;a href=|http://websterbible.com/john/4.htm| title=|Webster's Bible Translation| target=|_top|&gt;WBS&lt;/a&gt;</v>
      </c>
      <c r="AS1001" t="str">
        <f t="shared" si="4003"/>
        <v>&lt;/li&gt;&lt;li&gt;&lt;a href=|http://weymouthbible.com/john/4.htm| title=|Weymouth New Testament| target=|_top|&gt;WEY&lt;/a&gt;</v>
      </c>
      <c r="AT1001" t="str">
        <f>CONCATENATE("&lt;/li&gt;&lt;li&gt;&lt;a href=|http://",AT1191,"/john/4-1.htm","| ","title=|",AT1190,"| target=|_top|&gt;",AT1192,"&lt;/a&gt;")</f>
        <v>&lt;/li&gt;&lt;li&gt;&lt;a href=|http://biblebrowser.com/john/4-1.htm| title=|Split View| target=|_top|&gt;Split&lt;/a&gt;</v>
      </c>
      <c r="AU1001" s="2" t="s">
        <v>1276</v>
      </c>
      <c r="AV1001" t="s">
        <v>64</v>
      </c>
    </row>
    <row r="1002" spans="1:48">
      <c r="A1002" t="s">
        <v>622</v>
      </c>
      <c r="B1002" t="s">
        <v>1043</v>
      </c>
      <c r="C1002" t="s">
        <v>624</v>
      </c>
      <c r="D1002" t="s">
        <v>1268</v>
      </c>
      <c r="E1002" t="s">
        <v>1277</v>
      </c>
      <c r="F1002" t="s">
        <v>1304</v>
      </c>
      <c r="G1002" t="s">
        <v>1266</v>
      </c>
      <c r="H1002" t="s">
        <v>1305</v>
      </c>
      <c r="I1002" t="s">
        <v>1303</v>
      </c>
      <c r="J1002" t="s">
        <v>1267</v>
      </c>
      <c r="K1002" t="s">
        <v>1275</v>
      </c>
      <c r="L1002" s="2" t="s">
        <v>1274</v>
      </c>
      <c r="M1002" t="str">
        <f t="shared" ref="M1002:AB1002" si="4004">CONCATENATE("&lt;/li&gt;&lt;li&gt;&lt;a href=|http://",M1191,"/john/5.htm","| ","title=|",M1190,"| target=|_top|&gt;",M1192,"&lt;/a&gt;")</f>
        <v>&lt;/li&gt;&lt;li&gt;&lt;a href=|http://niv.scripturetext.com/john/5.htm| title=|New International Version| target=|_top|&gt;NIV&lt;/a&gt;</v>
      </c>
      <c r="N1002" t="str">
        <f t="shared" si="4004"/>
        <v>&lt;/li&gt;&lt;li&gt;&lt;a href=|http://nlt.scripturetext.com/john/5.htm| title=|New Living Translation| target=|_top|&gt;NLT&lt;/a&gt;</v>
      </c>
      <c r="O1002" t="str">
        <f t="shared" si="4004"/>
        <v>&lt;/li&gt;&lt;li&gt;&lt;a href=|http://nasb.scripturetext.com/john/5.htm| title=|New American Standard Bible| target=|_top|&gt;NAS&lt;/a&gt;</v>
      </c>
      <c r="P1002" t="str">
        <f t="shared" si="4004"/>
        <v>&lt;/li&gt;&lt;li&gt;&lt;a href=|http://gwt.scripturetext.com/john/5.htm| title=|God's Word Translation| target=|_top|&gt;GWT&lt;/a&gt;</v>
      </c>
      <c r="Q1002" t="str">
        <f t="shared" si="4004"/>
        <v>&lt;/li&gt;&lt;li&gt;&lt;a href=|http://kingjbible.com/john/5.htm| title=|King James Bible| target=|_top|&gt;KJV&lt;/a&gt;</v>
      </c>
      <c r="R1002" t="str">
        <f t="shared" si="4004"/>
        <v>&lt;/li&gt;&lt;li&gt;&lt;a href=|http://asvbible.com/john/5.htm| title=|American Standard Version| target=|_top|&gt;ASV&lt;/a&gt;</v>
      </c>
      <c r="S1002" t="str">
        <f t="shared" si="4004"/>
        <v>&lt;/li&gt;&lt;li&gt;&lt;a href=|http://drb.scripturetext.com/john/5.htm| title=|Douay-Rheims Bible| target=|_top|&gt;DRB&lt;/a&gt;</v>
      </c>
      <c r="T1002" t="str">
        <f t="shared" si="4004"/>
        <v>&lt;/li&gt;&lt;li&gt;&lt;a href=|http://erv.scripturetext.com/john/5.htm| title=|English Revised Version| target=|_top|&gt;ERV&lt;/a&gt;</v>
      </c>
      <c r="U1002" t="str">
        <f>CONCATENATE("&lt;/li&gt;&lt;li&gt;&lt;a href=|http://",U1191,"/john/5.htm","| ","title=|",U1190,"| target=|_top|&gt;",U1192,"&lt;/a&gt;")</f>
        <v>&lt;/li&gt;&lt;li&gt;&lt;a href=|http://study.interlinearbible.org/john/5.htm| title=|Greek Study Bible| target=|_top|&gt;Grk Study&lt;/a&gt;</v>
      </c>
      <c r="W1002" t="str">
        <f t="shared" si="4004"/>
        <v>&lt;/li&gt;&lt;li&gt;&lt;a href=|http://apostolic.interlinearbible.org/john/5.htm| title=|Apostolic Bible Polyglot Interlinear| target=|_top|&gt;Polyglot&lt;/a&gt;</v>
      </c>
      <c r="X1002" t="str">
        <f t="shared" si="4004"/>
        <v>&lt;/li&gt;&lt;li&gt;&lt;a href=|http://interlinearbible.org/john/5.htm| title=|Interlinear Bible| target=|_top|&gt;Interlin&lt;/a&gt;</v>
      </c>
      <c r="Y1002" t="str">
        <f t="shared" ref="Y1002" si="4005">CONCATENATE("&lt;/li&gt;&lt;li&gt;&lt;a href=|http://",Y1191,"/john/5.htm","| ","title=|",Y1190,"| target=|_top|&gt;",Y1192,"&lt;/a&gt;")</f>
        <v>&lt;/li&gt;&lt;li&gt;&lt;a href=|http://bibleoutline.org/john/5.htm| title=|Outline with People and Places List| target=|_top|&gt;Outline&lt;/a&gt;</v>
      </c>
      <c r="Z1002" t="str">
        <f t="shared" si="4004"/>
        <v>&lt;/li&gt;&lt;li&gt;&lt;a href=|http://kjvs.scripturetext.com/john/5.htm| title=|King James Bible with Strong's Numbers| target=|_top|&gt;Strong's&lt;/a&gt;</v>
      </c>
      <c r="AA1002" t="str">
        <f t="shared" si="4004"/>
        <v>&lt;/li&gt;&lt;li&gt;&lt;a href=|http://childrensbibleonline.com/john/5.htm| title=|The Children's Bible| target=|_top|&gt;Children's&lt;/a&gt;</v>
      </c>
      <c r="AB1002" s="2" t="str">
        <f t="shared" si="4004"/>
        <v>&lt;/li&gt;&lt;li&gt;&lt;a href=|http://tsk.scripturetext.com/john/5.htm| title=|Treasury of Scripture Knowledge| target=|_top|&gt;TSK&lt;/a&gt;</v>
      </c>
      <c r="AC1002" t="str">
        <f>CONCATENATE("&lt;a href=|http://",AC1191,"/john/5.htm","| ","title=|",AC1190,"| target=|_top|&gt;",AC1192,"&lt;/a&gt;")</f>
        <v>&lt;a href=|http://parallelbible.com/john/5.htm| title=|Parallel Chapters| target=|_top|&gt;PAR&lt;/a&gt;</v>
      </c>
      <c r="AD1002" s="2" t="str">
        <f t="shared" ref="AD1002:AI1002" si="4006">CONCATENATE("&lt;/li&gt;&lt;li&gt;&lt;a href=|http://",AD1191,"/john/5.htm","| ","title=|",AD1190,"| target=|_top|&gt;",AD1192,"&lt;/a&gt;")</f>
        <v>&lt;/li&gt;&lt;li&gt;&lt;a href=|http://gsb.biblecommenter.com/john/5.htm| title=|Geneva Study Bible| target=|_top|&gt;GSB&lt;/a&gt;</v>
      </c>
      <c r="AE1002" s="2" t="str">
        <f t="shared" si="4006"/>
        <v>&lt;/li&gt;&lt;li&gt;&lt;a href=|http://jfb.biblecommenter.com/john/5.htm| title=|Jamieson-Fausset-Brown Bible Commentary| target=|_top|&gt;JFB&lt;/a&gt;</v>
      </c>
      <c r="AF1002" s="2" t="str">
        <f t="shared" si="4006"/>
        <v>&lt;/li&gt;&lt;li&gt;&lt;a href=|http://kjt.biblecommenter.com/john/5.htm| title=|King James Translators' Notes| target=|_top|&gt;KJT&lt;/a&gt;</v>
      </c>
      <c r="AG1002" s="2" t="str">
        <f t="shared" si="4006"/>
        <v>&lt;/li&gt;&lt;li&gt;&lt;a href=|http://mhc.biblecommenter.com/john/5.htm| title=|Matthew Henry's Concise Commentary| target=|_top|&gt;MHC&lt;/a&gt;</v>
      </c>
      <c r="AH1002" s="2" t="str">
        <f t="shared" si="4006"/>
        <v>&lt;/li&gt;&lt;li&gt;&lt;a href=|http://sco.biblecommenter.com/john/5.htm| title=|Scofield Reference Notes| target=|_top|&gt;SCO&lt;/a&gt;</v>
      </c>
      <c r="AI1002" s="2" t="str">
        <f t="shared" si="4006"/>
        <v>&lt;/li&gt;&lt;li&gt;&lt;a href=|http://wes.biblecommenter.com/john/5.htm| title=|Wesley's Notes on the Bible| target=|_top|&gt;WES&lt;/a&gt;</v>
      </c>
      <c r="AJ1002" t="str">
        <f>CONCATENATE("&lt;/li&gt;&lt;li&gt;&lt;a href=|http://",AJ1191,"/john/5.htm","| ","title=|",AJ1190,"| target=|_top|&gt;",AJ1192,"&lt;/a&gt;")</f>
        <v>&lt;/li&gt;&lt;li&gt;&lt;a href=|http://worldebible.com/john/5.htm| title=|World English Bible| target=|_top|&gt;WEB&lt;/a&gt;</v>
      </c>
      <c r="AK1002" t="str">
        <f>CONCATENATE("&lt;/li&gt;&lt;li&gt;&lt;a href=|http://",AK1191,"/john/5.htm","| ","title=|",AK1190,"| target=|_top|&gt;",AK1192,"&lt;/a&gt;")</f>
        <v>&lt;/li&gt;&lt;li&gt;&lt;a href=|http://yltbible.com/john/5.htm| title=|Young's Literal Translation| target=|_top|&gt;YLT&lt;/a&gt;</v>
      </c>
      <c r="AL1002" t="str">
        <f>CONCATENATE("&lt;a href=|http://",AL1191,"/john/5.htm","| ","title=|",AL1190,"| target=|_top|&gt;",AL1192,"&lt;/a&gt;")</f>
        <v>&lt;a href=|http://kjv.us/john/5.htm| title=|American King James Version| target=|_top|&gt;AKJ&lt;/a&gt;</v>
      </c>
      <c r="AM1002" t="str">
        <f t="shared" ref="AM1002:AS1002" si="4007">CONCATENATE("&lt;/li&gt;&lt;li&gt;&lt;a href=|http://",AM1191,"/john/5.htm","| ","title=|",AM1190,"| target=|_top|&gt;",AM1192,"&lt;/a&gt;")</f>
        <v>&lt;/li&gt;&lt;li&gt;&lt;a href=|http://basicenglishbible.com/john/5.htm| title=|Bible in Basic English| target=|_top|&gt;BBE&lt;/a&gt;</v>
      </c>
      <c r="AN1002" t="str">
        <f t="shared" si="4007"/>
        <v>&lt;/li&gt;&lt;li&gt;&lt;a href=|http://darbybible.com/john/5.htm| title=|Darby Bible Translation| target=|_top|&gt;DBY&lt;/a&gt;</v>
      </c>
      <c r="AO1002" t="str">
        <f t="shared" si="4007"/>
        <v>&lt;/li&gt;&lt;li&gt;&lt;a href=|http://isv.scripturetext.com/john/5.htm| title=|International Standard Version| target=|_top|&gt;ISV&lt;/a&gt;</v>
      </c>
      <c r="AP1002" t="str">
        <f t="shared" si="4007"/>
        <v>&lt;/li&gt;&lt;li&gt;&lt;a href=|http://tnt.scripturetext.com/john/5.htm| title=|Tyndale New Testament| target=|_top|&gt;TNT&lt;/a&gt;</v>
      </c>
      <c r="AQ1002" s="2" t="str">
        <f t="shared" si="4007"/>
        <v>&lt;/li&gt;&lt;li&gt;&lt;a href=|http://pnt.biblecommenter.com/john/5.htm| title=|People's New Testament| target=|_top|&gt;PNT&lt;/a&gt;</v>
      </c>
      <c r="AR1002" t="str">
        <f t="shared" si="4007"/>
        <v>&lt;/li&gt;&lt;li&gt;&lt;a href=|http://websterbible.com/john/5.htm| title=|Webster's Bible Translation| target=|_top|&gt;WBS&lt;/a&gt;</v>
      </c>
      <c r="AS1002" t="str">
        <f t="shared" si="4007"/>
        <v>&lt;/li&gt;&lt;li&gt;&lt;a href=|http://weymouthbible.com/john/5.htm| title=|Weymouth New Testament| target=|_top|&gt;WEY&lt;/a&gt;</v>
      </c>
      <c r="AT1002" t="str">
        <f>CONCATENATE("&lt;/li&gt;&lt;li&gt;&lt;a href=|http://",AT1191,"/john/5-1.htm","| ","title=|",AT1190,"| target=|_top|&gt;",AT1192,"&lt;/a&gt;")</f>
        <v>&lt;/li&gt;&lt;li&gt;&lt;a href=|http://biblebrowser.com/john/5-1.htm| title=|Split View| target=|_top|&gt;Split&lt;/a&gt;</v>
      </c>
      <c r="AU1002" s="2" t="s">
        <v>1276</v>
      </c>
      <c r="AV1002" t="s">
        <v>64</v>
      </c>
    </row>
    <row r="1003" spans="1:48">
      <c r="A1003" t="s">
        <v>622</v>
      </c>
      <c r="B1003" t="s">
        <v>1044</v>
      </c>
      <c r="C1003" t="s">
        <v>624</v>
      </c>
      <c r="D1003" t="s">
        <v>1268</v>
      </c>
      <c r="E1003" t="s">
        <v>1277</v>
      </c>
      <c r="F1003" t="s">
        <v>1304</v>
      </c>
      <c r="G1003" t="s">
        <v>1266</v>
      </c>
      <c r="H1003" t="s">
        <v>1305</v>
      </c>
      <c r="I1003" t="s">
        <v>1303</v>
      </c>
      <c r="J1003" t="s">
        <v>1267</v>
      </c>
      <c r="K1003" t="s">
        <v>1275</v>
      </c>
      <c r="L1003" s="2" t="s">
        <v>1274</v>
      </c>
      <c r="M1003" t="str">
        <f t="shared" ref="M1003:AB1003" si="4008">CONCATENATE("&lt;/li&gt;&lt;li&gt;&lt;a href=|http://",M1191,"/john/6.htm","| ","title=|",M1190,"| target=|_top|&gt;",M1192,"&lt;/a&gt;")</f>
        <v>&lt;/li&gt;&lt;li&gt;&lt;a href=|http://niv.scripturetext.com/john/6.htm| title=|New International Version| target=|_top|&gt;NIV&lt;/a&gt;</v>
      </c>
      <c r="N1003" t="str">
        <f t="shared" si="4008"/>
        <v>&lt;/li&gt;&lt;li&gt;&lt;a href=|http://nlt.scripturetext.com/john/6.htm| title=|New Living Translation| target=|_top|&gt;NLT&lt;/a&gt;</v>
      </c>
      <c r="O1003" t="str">
        <f t="shared" si="4008"/>
        <v>&lt;/li&gt;&lt;li&gt;&lt;a href=|http://nasb.scripturetext.com/john/6.htm| title=|New American Standard Bible| target=|_top|&gt;NAS&lt;/a&gt;</v>
      </c>
      <c r="P1003" t="str">
        <f t="shared" si="4008"/>
        <v>&lt;/li&gt;&lt;li&gt;&lt;a href=|http://gwt.scripturetext.com/john/6.htm| title=|God's Word Translation| target=|_top|&gt;GWT&lt;/a&gt;</v>
      </c>
      <c r="Q1003" t="str">
        <f t="shared" si="4008"/>
        <v>&lt;/li&gt;&lt;li&gt;&lt;a href=|http://kingjbible.com/john/6.htm| title=|King James Bible| target=|_top|&gt;KJV&lt;/a&gt;</v>
      </c>
      <c r="R1003" t="str">
        <f t="shared" si="4008"/>
        <v>&lt;/li&gt;&lt;li&gt;&lt;a href=|http://asvbible.com/john/6.htm| title=|American Standard Version| target=|_top|&gt;ASV&lt;/a&gt;</v>
      </c>
      <c r="S1003" t="str">
        <f t="shared" si="4008"/>
        <v>&lt;/li&gt;&lt;li&gt;&lt;a href=|http://drb.scripturetext.com/john/6.htm| title=|Douay-Rheims Bible| target=|_top|&gt;DRB&lt;/a&gt;</v>
      </c>
      <c r="T1003" t="str">
        <f t="shared" si="4008"/>
        <v>&lt;/li&gt;&lt;li&gt;&lt;a href=|http://erv.scripturetext.com/john/6.htm| title=|English Revised Version| target=|_top|&gt;ERV&lt;/a&gt;</v>
      </c>
      <c r="U1003" t="str">
        <f>CONCATENATE("&lt;/li&gt;&lt;li&gt;&lt;a href=|http://",U1191,"/john/6.htm","| ","title=|",U1190,"| target=|_top|&gt;",U1192,"&lt;/a&gt;")</f>
        <v>&lt;/li&gt;&lt;li&gt;&lt;a href=|http://study.interlinearbible.org/john/6.htm| title=|Greek Study Bible| target=|_top|&gt;Grk Study&lt;/a&gt;</v>
      </c>
      <c r="W1003" t="str">
        <f t="shared" si="4008"/>
        <v>&lt;/li&gt;&lt;li&gt;&lt;a href=|http://apostolic.interlinearbible.org/john/6.htm| title=|Apostolic Bible Polyglot Interlinear| target=|_top|&gt;Polyglot&lt;/a&gt;</v>
      </c>
      <c r="X1003" t="str">
        <f t="shared" si="4008"/>
        <v>&lt;/li&gt;&lt;li&gt;&lt;a href=|http://interlinearbible.org/john/6.htm| title=|Interlinear Bible| target=|_top|&gt;Interlin&lt;/a&gt;</v>
      </c>
      <c r="Y1003" t="str">
        <f t="shared" ref="Y1003" si="4009">CONCATENATE("&lt;/li&gt;&lt;li&gt;&lt;a href=|http://",Y1191,"/john/6.htm","| ","title=|",Y1190,"| target=|_top|&gt;",Y1192,"&lt;/a&gt;")</f>
        <v>&lt;/li&gt;&lt;li&gt;&lt;a href=|http://bibleoutline.org/john/6.htm| title=|Outline with People and Places List| target=|_top|&gt;Outline&lt;/a&gt;</v>
      </c>
      <c r="Z1003" t="str">
        <f t="shared" si="4008"/>
        <v>&lt;/li&gt;&lt;li&gt;&lt;a href=|http://kjvs.scripturetext.com/john/6.htm| title=|King James Bible with Strong's Numbers| target=|_top|&gt;Strong's&lt;/a&gt;</v>
      </c>
      <c r="AA1003" t="str">
        <f t="shared" si="4008"/>
        <v>&lt;/li&gt;&lt;li&gt;&lt;a href=|http://childrensbibleonline.com/john/6.htm| title=|The Children's Bible| target=|_top|&gt;Children's&lt;/a&gt;</v>
      </c>
      <c r="AB1003" s="2" t="str">
        <f t="shared" si="4008"/>
        <v>&lt;/li&gt;&lt;li&gt;&lt;a href=|http://tsk.scripturetext.com/john/6.htm| title=|Treasury of Scripture Knowledge| target=|_top|&gt;TSK&lt;/a&gt;</v>
      </c>
      <c r="AC1003" t="str">
        <f>CONCATENATE("&lt;a href=|http://",AC1191,"/john/6.htm","| ","title=|",AC1190,"| target=|_top|&gt;",AC1192,"&lt;/a&gt;")</f>
        <v>&lt;a href=|http://parallelbible.com/john/6.htm| title=|Parallel Chapters| target=|_top|&gt;PAR&lt;/a&gt;</v>
      </c>
      <c r="AD1003" s="2" t="str">
        <f t="shared" ref="AD1003:AI1003" si="4010">CONCATENATE("&lt;/li&gt;&lt;li&gt;&lt;a href=|http://",AD1191,"/john/6.htm","| ","title=|",AD1190,"| target=|_top|&gt;",AD1192,"&lt;/a&gt;")</f>
        <v>&lt;/li&gt;&lt;li&gt;&lt;a href=|http://gsb.biblecommenter.com/john/6.htm| title=|Geneva Study Bible| target=|_top|&gt;GSB&lt;/a&gt;</v>
      </c>
      <c r="AE1003" s="2" t="str">
        <f t="shared" si="4010"/>
        <v>&lt;/li&gt;&lt;li&gt;&lt;a href=|http://jfb.biblecommenter.com/john/6.htm| title=|Jamieson-Fausset-Brown Bible Commentary| target=|_top|&gt;JFB&lt;/a&gt;</v>
      </c>
      <c r="AF1003" s="2" t="str">
        <f t="shared" si="4010"/>
        <v>&lt;/li&gt;&lt;li&gt;&lt;a href=|http://kjt.biblecommenter.com/john/6.htm| title=|King James Translators' Notes| target=|_top|&gt;KJT&lt;/a&gt;</v>
      </c>
      <c r="AG1003" s="2" t="str">
        <f t="shared" si="4010"/>
        <v>&lt;/li&gt;&lt;li&gt;&lt;a href=|http://mhc.biblecommenter.com/john/6.htm| title=|Matthew Henry's Concise Commentary| target=|_top|&gt;MHC&lt;/a&gt;</v>
      </c>
      <c r="AH1003" s="2" t="str">
        <f t="shared" si="4010"/>
        <v>&lt;/li&gt;&lt;li&gt;&lt;a href=|http://sco.biblecommenter.com/john/6.htm| title=|Scofield Reference Notes| target=|_top|&gt;SCO&lt;/a&gt;</v>
      </c>
      <c r="AI1003" s="2" t="str">
        <f t="shared" si="4010"/>
        <v>&lt;/li&gt;&lt;li&gt;&lt;a href=|http://wes.biblecommenter.com/john/6.htm| title=|Wesley's Notes on the Bible| target=|_top|&gt;WES&lt;/a&gt;</v>
      </c>
      <c r="AJ1003" t="str">
        <f>CONCATENATE("&lt;/li&gt;&lt;li&gt;&lt;a href=|http://",AJ1191,"/john/6.htm","| ","title=|",AJ1190,"| target=|_top|&gt;",AJ1192,"&lt;/a&gt;")</f>
        <v>&lt;/li&gt;&lt;li&gt;&lt;a href=|http://worldebible.com/john/6.htm| title=|World English Bible| target=|_top|&gt;WEB&lt;/a&gt;</v>
      </c>
      <c r="AK1003" t="str">
        <f>CONCATENATE("&lt;/li&gt;&lt;li&gt;&lt;a href=|http://",AK1191,"/john/6.htm","| ","title=|",AK1190,"| target=|_top|&gt;",AK1192,"&lt;/a&gt;")</f>
        <v>&lt;/li&gt;&lt;li&gt;&lt;a href=|http://yltbible.com/john/6.htm| title=|Young's Literal Translation| target=|_top|&gt;YLT&lt;/a&gt;</v>
      </c>
      <c r="AL1003" t="str">
        <f>CONCATENATE("&lt;a href=|http://",AL1191,"/john/6.htm","| ","title=|",AL1190,"| target=|_top|&gt;",AL1192,"&lt;/a&gt;")</f>
        <v>&lt;a href=|http://kjv.us/john/6.htm| title=|American King James Version| target=|_top|&gt;AKJ&lt;/a&gt;</v>
      </c>
      <c r="AM1003" t="str">
        <f t="shared" ref="AM1003:AS1003" si="4011">CONCATENATE("&lt;/li&gt;&lt;li&gt;&lt;a href=|http://",AM1191,"/john/6.htm","| ","title=|",AM1190,"| target=|_top|&gt;",AM1192,"&lt;/a&gt;")</f>
        <v>&lt;/li&gt;&lt;li&gt;&lt;a href=|http://basicenglishbible.com/john/6.htm| title=|Bible in Basic English| target=|_top|&gt;BBE&lt;/a&gt;</v>
      </c>
      <c r="AN1003" t="str">
        <f t="shared" si="4011"/>
        <v>&lt;/li&gt;&lt;li&gt;&lt;a href=|http://darbybible.com/john/6.htm| title=|Darby Bible Translation| target=|_top|&gt;DBY&lt;/a&gt;</v>
      </c>
      <c r="AO1003" t="str">
        <f t="shared" si="4011"/>
        <v>&lt;/li&gt;&lt;li&gt;&lt;a href=|http://isv.scripturetext.com/john/6.htm| title=|International Standard Version| target=|_top|&gt;ISV&lt;/a&gt;</v>
      </c>
      <c r="AP1003" t="str">
        <f t="shared" si="4011"/>
        <v>&lt;/li&gt;&lt;li&gt;&lt;a href=|http://tnt.scripturetext.com/john/6.htm| title=|Tyndale New Testament| target=|_top|&gt;TNT&lt;/a&gt;</v>
      </c>
      <c r="AQ1003" s="2" t="str">
        <f t="shared" si="4011"/>
        <v>&lt;/li&gt;&lt;li&gt;&lt;a href=|http://pnt.biblecommenter.com/john/6.htm| title=|People's New Testament| target=|_top|&gt;PNT&lt;/a&gt;</v>
      </c>
      <c r="AR1003" t="str">
        <f t="shared" si="4011"/>
        <v>&lt;/li&gt;&lt;li&gt;&lt;a href=|http://websterbible.com/john/6.htm| title=|Webster's Bible Translation| target=|_top|&gt;WBS&lt;/a&gt;</v>
      </c>
      <c r="AS1003" t="str">
        <f t="shared" si="4011"/>
        <v>&lt;/li&gt;&lt;li&gt;&lt;a href=|http://weymouthbible.com/john/6.htm| title=|Weymouth New Testament| target=|_top|&gt;WEY&lt;/a&gt;</v>
      </c>
      <c r="AT1003" t="str">
        <f>CONCATENATE("&lt;/li&gt;&lt;li&gt;&lt;a href=|http://",AT1191,"/john/6-1.htm","| ","title=|",AT1190,"| target=|_top|&gt;",AT1192,"&lt;/a&gt;")</f>
        <v>&lt;/li&gt;&lt;li&gt;&lt;a href=|http://biblebrowser.com/john/6-1.htm| title=|Split View| target=|_top|&gt;Split&lt;/a&gt;</v>
      </c>
      <c r="AU1003" s="2" t="s">
        <v>1276</v>
      </c>
      <c r="AV1003" t="s">
        <v>64</v>
      </c>
    </row>
    <row r="1004" spans="1:48">
      <c r="A1004" t="s">
        <v>622</v>
      </c>
      <c r="B1004" t="s">
        <v>1045</v>
      </c>
      <c r="C1004" t="s">
        <v>624</v>
      </c>
      <c r="D1004" t="s">
        <v>1268</v>
      </c>
      <c r="E1004" t="s">
        <v>1277</v>
      </c>
      <c r="F1004" t="s">
        <v>1304</v>
      </c>
      <c r="G1004" t="s">
        <v>1266</v>
      </c>
      <c r="H1004" t="s">
        <v>1305</v>
      </c>
      <c r="I1004" t="s">
        <v>1303</v>
      </c>
      <c r="J1004" t="s">
        <v>1267</v>
      </c>
      <c r="K1004" t="s">
        <v>1275</v>
      </c>
      <c r="L1004" s="2" t="s">
        <v>1274</v>
      </c>
      <c r="M1004" t="str">
        <f t="shared" ref="M1004:AB1004" si="4012">CONCATENATE("&lt;/li&gt;&lt;li&gt;&lt;a href=|http://",M1191,"/john/7.htm","| ","title=|",M1190,"| target=|_top|&gt;",M1192,"&lt;/a&gt;")</f>
        <v>&lt;/li&gt;&lt;li&gt;&lt;a href=|http://niv.scripturetext.com/john/7.htm| title=|New International Version| target=|_top|&gt;NIV&lt;/a&gt;</v>
      </c>
      <c r="N1004" t="str">
        <f t="shared" si="4012"/>
        <v>&lt;/li&gt;&lt;li&gt;&lt;a href=|http://nlt.scripturetext.com/john/7.htm| title=|New Living Translation| target=|_top|&gt;NLT&lt;/a&gt;</v>
      </c>
      <c r="O1004" t="str">
        <f t="shared" si="4012"/>
        <v>&lt;/li&gt;&lt;li&gt;&lt;a href=|http://nasb.scripturetext.com/john/7.htm| title=|New American Standard Bible| target=|_top|&gt;NAS&lt;/a&gt;</v>
      </c>
      <c r="P1004" t="str">
        <f t="shared" si="4012"/>
        <v>&lt;/li&gt;&lt;li&gt;&lt;a href=|http://gwt.scripturetext.com/john/7.htm| title=|God's Word Translation| target=|_top|&gt;GWT&lt;/a&gt;</v>
      </c>
      <c r="Q1004" t="str">
        <f t="shared" si="4012"/>
        <v>&lt;/li&gt;&lt;li&gt;&lt;a href=|http://kingjbible.com/john/7.htm| title=|King James Bible| target=|_top|&gt;KJV&lt;/a&gt;</v>
      </c>
      <c r="R1004" t="str">
        <f t="shared" si="4012"/>
        <v>&lt;/li&gt;&lt;li&gt;&lt;a href=|http://asvbible.com/john/7.htm| title=|American Standard Version| target=|_top|&gt;ASV&lt;/a&gt;</v>
      </c>
      <c r="S1004" t="str">
        <f t="shared" si="4012"/>
        <v>&lt;/li&gt;&lt;li&gt;&lt;a href=|http://drb.scripturetext.com/john/7.htm| title=|Douay-Rheims Bible| target=|_top|&gt;DRB&lt;/a&gt;</v>
      </c>
      <c r="T1004" t="str">
        <f t="shared" si="4012"/>
        <v>&lt;/li&gt;&lt;li&gt;&lt;a href=|http://erv.scripturetext.com/john/7.htm| title=|English Revised Version| target=|_top|&gt;ERV&lt;/a&gt;</v>
      </c>
      <c r="U1004" t="str">
        <f>CONCATENATE("&lt;/li&gt;&lt;li&gt;&lt;a href=|http://",U1191,"/john/7.htm","| ","title=|",U1190,"| target=|_top|&gt;",U1192,"&lt;/a&gt;")</f>
        <v>&lt;/li&gt;&lt;li&gt;&lt;a href=|http://study.interlinearbible.org/john/7.htm| title=|Greek Study Bible| target=|_top|&gt;Grk Study&lt;/a&gt;</v>
      </c>
      <c r="W1004" t="str">
        <f t="shared" si="4012"/>
        <v>&lt;/li&gt;&lt;li&gt;&lt;a href=|http://apostolic.interlinearbible.org/john/7.htm| title=|Apostolic Bible Polyglot Interlinear| target=|_top|&gt;Polyglot&lt;/a&gt;</v>
      </c>
      <c r="X1004" t="str">
        <f t="shared" si="4012"/>
        <v>&lt;/li&gt;&lt;li&gt;&lt;a href=|http://interlinearbible.org/john/7.htm| title=|Interlinear Bible| target=|_top|&gt;Interlin&lt;/a&gt;</v>
      </c>
      <c r="Y1004" t="str">
        <f t="shared" ref="Y1004" si="4013">CONCATENATE("&lt;/li&gt;&lt;li&gt;&lt;a href=|http://",Y1191,"/john/7.htm","| ","title=|",Y1190,"| target=|_top|&gt;",Y1192,"&lt;/a&gt;")</f>
        <v>&lt;/li&gt;&lt;li&gt;&lt;a href=|http://bibleoutline.org/john/7.htm| title=|Outline with People and Places List| target=|_top|&gt;Outline&lt;/a&gt;</v>
      </c>
      <c r="Z1004" t="str">
        <f t="shared" si="4012"/>
        <v>&lt;/li&gt;&lt;li&gt;&lt;a href=|http://kjvs.scripturetext.com/john/7.htm| title=|King James Bible with Strong's Numbers| target=|_top|&gt;Strong's&lt;/a&gt;</v>
      </c>
      <c r="AA1004" t="str">
        <f t="shared" si="4012"/>
        <v>&lt;/li&gt;&lt;li&gt;&lt;a href=|http://childrensbibleonline.com/john/7.htm| title=|The Children's Bible| target=|_top|&gt;Children's&lt;/a&gt;</v>
      </c>
      <c r="AB1004" s="2" t="str">
        <f t="shared" si="4012"/>
        <v>&lt;/li&gt;&lt;li&gt;&lt;a href=|http://tsk.scripturetext.com/john/7.htm| title=|Treasury of Scripture Knowledge| target=|_top|&gt;TSK&lt;/a&gt;</v>
      </c>
      <c r="AC1004" t="str">
        <f>CONCATENATE("&lt;a href=|http://",AC1191,"/john/7.htm","| ","title=|",AC1190,"| target=|_top|&gt;",AC1192,"&lt;/a&gt;")</f>
        <v>&lt;a href=|http://parallelbible.com/john/7.htm| title=|Parallel Chapters| target=|_top|&gt;PAR&lt;/a&gt;</v>
      </c>
      <c r="AD1004" s="2" t="str">
        <f t="shared" ref="AD1004:AI1004" si="4014">CONCATENATE("&lt;/li&gt;&lt;li&gt;&lt;a href=|http://",AD1191,"/john/7.htm","| ","title=|",AD1190,"| target=|_top|&gt;",AD1192,"&lt;/a&gt;")</f>
        <v>&lt;/li&gt;&lt;li&gt;&lt;a href=|http://gsb.biblecommenter.com/john/7.htm| title=|Geneva Study Bible| target=|_top|&gt;GSB&lt;/a&gt;</v>
      </c>
      <c r="AE1004" s="2" t="str">
        <f t="shared" si="4014"/>
        <v>&lt;/li&gt;&lt;li&gt;&lt;a href=|http://jfb.biblecommenter.com/john/7.htm| title=|Jamieson-Fausset-Brown Bible Commentary| target=|_top|&gt;JFB&lt;/a&gt;</v>
      </c>
      <c r="AF1004" s="2" t="str">
        <f t="shared" si="4014"/>
        <v>&lt;/li&gt;&lt;li&gt;&lt;a href=|http://kjt.biblecommenter.com/john/7.htm| title=|King James Translators' Notes| target=|_top|&gt;KJT&lt;/a&gt;</v>
      </c>
      <c r="AG1004" s="2" t="str">
        <f t="shared" si="4014"/>
        <v>&lt;/li&gt;&lt;li&gt;&lt;a href=|http://mhc.biblecommenter.com/john/7.htm| title=|Matthew Henry's Concise Commentary| target=|_top|&gt;MHC&lt;/a&gt;</v>
      </c>
      <c r="AH1004" s="2" t="str">
        <f t="shared" si="4014"/>
        <v>&lt;/li&gt;&lt;li&gt;&lt;a href=|http://sco.biblecommenter.com/john/7.htm| title=|Scofield Reference Notes| target=|_top|&gt;SCO&lt;/a&gt;</v>
      </c>
      <c r="AI1004" s="2" t="str">
        <f t="shared" si="4014"/>
        <v>&lt;/li&gt;&lt;li&gt;&lt;a href=|http://wes.biblecommenter.com/john/7.htm| title=|Wesley's Notes on the Bible| target=|_top|&gt;WES&lt;/a&gt;</v>
      </c>
      <c r="AJ1004" t="str">
        <f>CONCATENATE("&lt;/li&gt;&lt;li&gt;&lt;a href=|http://",AJ1191,"/john/7.htm","| ","title=|",AJ1190,"| target=|_top|&gt;",AJ1192,"&lt;/a&gt;")</f>
        <v>&lt;/li&gt;&lt;li&gt;&lt;a href=|http://worldebible.com/john/7.htm| title=|World English Bible| target=|_top|&gt;WEB&lt;/a&gt;</v>
      </c>
      <c r="AK1004" t="str">
        <f>CONCATENATE("&lt;/li&gt;&lt;li&gt;&lt;a href=|http://",AK1191,"/john/7.htm","| ","title=|",AK1190,"| target=|_top|&gt;",AK1192,"&lt;/a&gt;")</f>
        <v>&lt;/li&gt;&lt;li&gt;&lt;a href=|http://yltbible.com/john/7.htm| title=|Young's Literal Translation| target=|_top|&gt;YLT&lt;/a&gt;</v>
      </c>
      <c r="AL1004" t="str">
        <f>CONCATENATE("&lt;a href=|http://",AL1191,"/john/7.htm","| ","title=|",AL1190,"| target=|_top|&gt;",AL1192,"&lt;/a&gt;")</f>
        <v>&lt;a href=|http://kjv.us/john/7.htm| title=|American King James Version| target=|_top|&gt;AKJ&lt;/a&gt;</v>
      </c>
      <c r="AM1004" t="str">
        <f t="shared" ref="AM1004:AS1004" si="4015">CONCATENATE("&lt;/li&gt;&lt;li&gt;&lt;a href=|http://",AM1191,"/john/7.htm","| ","title=|",AM1190,"| target=|_top|&gt;",AM1192,"&lt;/a&gt;")</f>
        <v>&lt;/li&gt;&lt;li&gt;&lt;a href=|http://basicenglishbible.com/john/7.htm| title=|Bible in Basic English| target=|_top|&gt;BBE&lt;/a&gt;</v>
      </c>
      <c r="AN1004" t="str">
        <f t="shared" si="4015"/>
        <v>&lt;/li&gt;&lt;li&gt;&lt;a href=|http://darbybible.com/john/7.htm| title=|Darby Bible Translation| target=|_top|&gt;DBY&lt;/a&gt;</v>
      </c>
      <c r="AO1004" t="str">
        <f t="shared" si="4015"/>
        <v>&lt;/li&gt;&lt;li&gt;&lt;a href=|http://isv.scripturetext.com/john/7.htm| title=|International Standard Version| target=|_top|&gt;ISV&lt;/a&gt;</v>
      </c>
      <c r="AP1004" t="str">
        <f t="shared" si="4015"/>
        <v>&lt;/li&gt;&lt;li&gt;&lt;a href=|http://tnt.scripturetext.com/john/7.htm| title=|Tyndale New Testament| target=|_top|&gt;TNT&lt;/a&gt;</v>
      </c>
      <c r="AQ1004" s="2" t="str">
        <f t="shared" si="4015"/>
        <v>&lt;/li&gt;&lt;li&gt;&lt;a href=|http://pnt.biblecommenter.com/john/7.htm| title=|People's New Testament| target=|_top|&gt;PNT&lt;/a&gt;</v>
      </c>
      <c r="AR1004" t="str">
        <f t="shared" si="4015"/>
        <v>&lt;/li&gt;&lt;li&gt;&lt;a href=|http://websterbible.com/john/7.htm| title=|Webster's Bible Translation| target=|_top|&gt;WBS&lt;/a&gt;</v>
      </c>
      <c r="AS1004" t="str">
        <f t="shared" si="4015"/>
        <v>&lt;/li&gt;&lt;li&gt;&lt;a href=|http://weymouthbible.com/john/7.htm| title=|Weymouth New Testament| target=|_top|&gt;WEY&lt;/a&gt;</v>
      </c>
      <c r="AT1004" t="str">
        <f>CONCATENATE("&lt;/li&gt;&lt;li&gt;&lt;a href=|http://",AT1191,"/john/7-1.htm","| ","title=|",AT1190,"| target=|_top|&gt;",AT1192,"&lt;/a&gt;")</f>
        <v>&lt;/li&gt;&lt;li&gt;&lt;a href=|http://biblebrowser.com/john/7-1.htm| title=|Split View| target=|_top|&gt;Split&lt;/a&gt;</v>
      </c>
      <c r="AU1004" s="2" t="s">
        <v>1276</v>
      </c>
      <c r="AV1004" t="s">
        <v>64</v>
      </c>
    </row>
    <row r="1005" spans="1:48">
      <c r="A1005" t="s">
        <v>622</v>
      </c>
      <c r="B1005" t="s">
        <v>1046</v>
      </c>
      <c r="C1005" t="s">
        <v>624</v>
      </c>
      <c r="D1005" t="s">
        <v>1268</v>
      </c>
      <c r="E1005" t="s">
        <v>1277</v>
      </c>
      <c r="F1005" t="s">
        <v>1304</v>
      </c>
      <c r="G1005" t="s">
        <v>1266</v>
      </c>
      <c r="H1005" t="s">
        <v>1305</v>
      </c>
      <c r="I1005" t="s">
        <v>1303</v>
      </c>
      <c r="J1005" t="s">
        <v>1267</v>
      </c>
      <c r="K1005" t="s">
        <v>1275</v>
      </c>
      <c r="L1005" s="2" t="s">
        <v>1274</v>
      </c>
      <c r="M1005" t="str">
        <f t="shared" ref="M1005:AB1005" si="4016">CONCATENATE("&lt;/li&gt;&lt;li&gt;&lt;a href=|http://",M1191,"/john/8.htm","| ","title=|",M1190,"| target=|_top|&gt;",M1192,"&lt;/a&gt;")</f>
        <v>&lt;/li&gt;&lt;li&gt;&lt;a href=|http://niv.scripturetext.com/john/8.htm| title=|New International Version| target=|_top|&gt;NIV&lt;/a&gt;</v>
      </c>
      <c r="N1005" t="str">
        <f t="shared" si="4016"/>
        <v>&lt;/li&gt;&lt;li&gt;&lt;a href=|http://nlt.scripturetext.com/john/8.htm| title=|New Living Translation| target=|_top|&gt;NLT&lt;/a&gt;</v>
      </c>
      <c r="O1005" t="str">
        <f t="shared" si="4016"/>
        <v>&lt;/li&gt;&lt;li&gt;&lt;a href=|http://nasb.scripturetext.com/john/8.htm| title=|New American Standard Bible| target=|_top|&gt;NAS&lt;/a&gt;</v>
      </c>
      <c r="P1005" t="str">
        <f t="shared" si="4016"/>
        <v>&lt;/li&gt;&lt;li&gt;&lt;a href=|http://gwt.scripturetext.com/john/8.htm| title=|God's Word Translation| target=|_top|&gt;GWT&lt;/a&gt;</v>
      </c>
      <c r="Q1005" t="str">
        <f t="shared" si="4016"/>
        <v>&lt;/li&gt;&lt;li&gt;&lt;a href=|http://kingjbible.com/john/8.htm| title=|King James Bible| target=|_top|&gt;KJV&lt;/a&gt;</v>
      </c>
      <c r="R1005" t="str">
        <f t="shared" si="4016"/>
        <v>&lt;/li&gt;&lt;li&gt;&lt;a href=|http://asvbible.com/john/8.htm| title=|American Standard Version| target=|_top|&gt;ASV&lt;/a&gt;</v>
      </c>
      <c r="S1005" t="str">
        <f t="shared" si="4016"/>
        <v>&lt;/li&gt;&lt;li&gt;&lt;a href=|http://drb.scripturetext.com/john/8.htm| title=|Douay-Rheims Bible| target=|_top|&gt;DRB&lt;/a&gt;</v>
      </c>
      <c r="T1005" t="str">
        <f t="shared" si="4016"/>
        <v>&lt;/li&gt;&lt;li&gt;&lt;a href=|http://erv.scripturetext.com/john/8.htm| title=|English Revised Version| target=|_top|&gt;ERV&lt;/a&gt;</v>
      </c>
      <c r="U1005" t="str">
        <f>CONCATENATE("&lt;/li&gt;&lt;li&gt;&lt;a href=|http://",U1191,"/john/8.htm","| ","title=|",U1190,"| target=|_top|&gt;",U1192,"&lt;/a&gt;")</f>
        <v>&lt;/li&gt;&lt;li&gt;&lt;a href=|http://study.interlinearbible.org/john/8.htm| title=|Greek Study Bible| target=|_top|&gt;Grk Study&lt;/a&gt;</v>
      </c>
      <c r="W1005" t="str">
        <f t="shared" si="4016"/>
        <v>&lt;/li&gt;&lt;li&gt;&lt;a href=|http://apostolic.interlinearbible.org/john/8.htm| title=|Apostolic Bible Polyglot Interlinear| target=|_top|&gt;Polyglot&lt;/a&gt;</v>
      </c>
      <c r="X1005" t="str">
        <f t="shared" si="4016"/>
        <v>&lt;/li&gt;&lt;li&gt;&lt;a href=|http://interlinearbible.org/john/8.htm| title=|Interlinear Bible| target=|_top|&gt;Interlin&lt;/a&gt;</v>
      </c>
      <c r="Y1005" t="str">
        <f t="shared" ref="Y1005" si="4017">CONCATENATE("&lt;/li&gt;&lt;li&gt;&lt;a href=|http://",Y1191,"/john/8.htm","| ","title=|",Y1190,"| target=|_top|&gt;",Y1192,"&lt;/a&gt;")</f>
        <v>&lt;/li&gt;&lt;li&gt;&lt;a href=|http://bibleoutline.org/john/8.htm| title=|Outline with People and Places List| target=|_top|&gt;Outline&lt;/a&gt;</v>
      </c>
      <c r="Z1005" t="str">
        <f t="shared" si="4016"/>
        <v>&lt;/li&gt;&lt;li&gt;&lt;a href=|http://kjvs.scripturetext.com/john/8.htm| title=|King James Bible with Strong's Numbers| target=|_top|&gt;Strong's&lt;/a&gt;</v>
      </c>
      <c r="AA1005" t="str">
        <f t="shared" si="4016"/>
        <v>&lt;/li&gt;&lt;li&gt;&lt;a href=|http://childrensbibleonline.com/john/8.htm| title=|The Children's Bible| target=|_top|&gt;Children's&lt;/a&gt;</v>
      </c>
      <c r="AB1005" s="2" t="str">
        <f t="shared" si="4016"/>
        <v>&lt;/li&gt;&lt;li&gt;&lt;a href=|http://tsk.scripturetext.com/john/8.htm| title=|Treasury of Scripture Knowledge| target=|_top|&gt;TSK&lt;/a&gt;</v>
      </c>
      <c r="AC1005" t="str">
        <f>CONCATENATE("&lt;a href=|http://",AC1191,"/john/8.htm","| ","title=|",AC1190,"| target=|_top|&gt;",AC1192,"&lt;/a&gt;")</f>
        <v>&lt;a href=|http://parallelbible.com/john/8.htm| title=|Parallel Chapters| target=|_top|&gt;PAR&lt;/a&gt;</v>
      </c>
      <c r="AD1005" s="2" t="str">
        <f t="shared" ref="AD1005:AI1005" si="4018">CONCATENATE("&lt;/li&gt;&lt;li&gt;&lt;a href=|http://",AD1191,"/john/8.htm","| ","title=|",AD1190,"| target=|_top|&gt;",AD1192,"&lt;/a&gt;")</f>
        <v>&lt;/li&gt;&lt;li&gt;&lt;a href=|http://gsb.biblecommenter.com/john/8.htm| title=|Geneva Study Bible| target=|_top|&gt;GSB&lt;/a&gt;</v>
      </c>
      <c r="AE1005" s="2" t="str">
        <f t="shared" si="4018"/>
        <v>&lt;/li&gt;&lt;li&gt;&lt;a href=|http://jfb.biblecommenter.com/john/8.htm| title=|Jamieson-Fausset-Brown Bible Commentary| target=|_top|&gt;JFB&lt;/a&gt;</v>
      </c>
      <c r="AF1005" s="2" t="str">
        <f t="shared" si="4018"/>
        <v>&lt;/li&gt;&lt;li&gt;&lt;a href=|http://kjt.biblecommenter.com/john/8.htm| title=|King James Translators' Notes| target=|_top|&gt;KJT&lt;/a&gt;</v>
      </c>
      <c r="AG1005" s="2" t="str">
        <f t="shared" si="4018"/>
        <v>&lt;/li&gt;&lt;li&gt;&lt;a href=|http://mhc.biblecommenter.com/john/8.htm| title=|Matthew Henry's Concise Commentary| target=|_top|&gt;MHC&lt;/a&gt;</v>
      </c>
      <c r="AH1005" s="2" t="str">
        <f t="shared" si="4018"/>
        <v>&lt;/li&gt;&lt;li&gt;&lt;a href=|http://sco.biblecommenter.com/john/8.htm| title=|Scofield Reference Notes| target=|_top|&gt;SCO&lt;/a&gt;</v>
      </c>
      <c r="AI1005" s="2" t="str">
        <f t="shared" si="4018"/>
        <v>&lt;/li&gt;&lt;li&gt;&lt;a href=|http://wes.biblecommenter.com/john/8.htm| title=|Wesley's Notes on the Bible| target=|_top|&gt;WES&lt;/a&gt;</v>
      </c>
      <c r="AJ1005" t="str">
        <f>CONCATENATE("&lt;/li&gt;&lt;li&gt;&lt;a href=|http://",AJ1191,"/john/8.htm","| ","title=|",AJ1190,"| target=|_top|&gt;",AJ1192,"&lt;/a&gt;")</f>
        <v>&lt;/li&gt;&lt;li&gt;&lt;a href=|http://worldebible.com/john/8.htm| title=|World English Bible| target=|_top|&gt;WEB&lt;/a&gt;</v>
      </c>
      <c r="AK1005" t="str">
        <f>CONCATENATE("&lt;/li&gt;&lt;li&gt;&lt;a href=|http://",AK1191,"/john/8.htm","| ","title=|",AK1190,"| target=|_top|&gt;",AK1192,"&lt;/a&gt;")</f>
        <v>&lt;/li&gt;&lt;li&gt;&lt;a href=|http://yltbible.com/john/8.htm| title=|Young's Literal Translation| target=|_top|&gt;YLT&lt;/a&gt;</v>
      </c>
      <c r="AL1005" t="str">
        <f>CONCATENATE("&lt;a href=|http://",AL1191,"/john/8.htm","| ","title=|",AL1190,"| target=|_top|&gt;",AL1192,"&lt;/a&gt;")</f>
        <v>&lt;a href=|http://kjv.us/john/8.htm| title=|American King James Version| target=|_top|&gt;AKJ&lt;/a&gt;</v>
      </c>
      <c r="AM1005" t="str">
        <f t="shared" ref="AM1005:AS1005" si="4019">CONCATENATE("&lt;/li&gt;&lt;li&gt;&lt;a href=|http://",AM1191,"/john/8.htm","| ","title=|",AM1190,"| target=|_top|&gt;",AM1192,"&lt;/a&gt;")</f>
        <v>&lt;/li&gt;&lt;li&gt;&lt;a href=|http://basicenglishbible.com/john/8.htm| title=|Bible in Basic English| target=|_top|&gt;BBE&lt;/a&gt;</v>
      </c>
      <c r="AN1005" t="str">
        <f t="shared" si="4019"/>
        <v>&lt;/li&gt;&lt;li&gt;&lt;a href=|http://darbybible.com/john/8.htm| title=|Darby Bible Translation| target=|_top|&gt;DBY&lt;/a&gt;</v>
      </c>
      <c r="AO1005" t="str">
        <f t="shared" si="4019"/>
        <v>&lt;/li&gt;&lt;li&gt;&lt;a href=|http://isv.scripturetext.com/john/8.htm| title=|International Standard Version| target=|_top|&gt;ISV&lt;/a&gt;</v>
      </c>
      <c r="AP1005" t="str">
        <f t="shared" si="4019"/>
        <v>&lt;/li&gt;&lt;li&gt;&lt;a href=|http://tnt.scripturetext.com/john/8.htm| title=|Tyndale New Testament| target=|_top|&gt;TNT&lt;/a&gt;</v>
      </c>
      <c r="AQ1005" s="2" t="str">
        <f t="shared" si="4019"/>
        <v>&lt;/li&gt;&lt;li&gt;&lt;a href=|http://pnt.biblecommenter.com/john/8.htm| title=|People's New Testament| target=|_top|&gt;PNT&lt;/a&gt;</v>
      </c>
      <c r="AR1005" t="str">
        <f t="shared" si="4019"/>
        <v>&lt;/li&gt;&lt;li&gt;&lt;a href=|http://websterbible.com/john/8.htm| title=|Webster's Bible Translation| target=|_top|&gt;WBS&lt;/a&gt;</v>
      </c>
      <c r="AS1005" t="str">
        <f t="shared" si="4019"/>
        <v>&lt;/li&gt;&lt;li&gt;&lt;a href=|http://weymouthbible.com/john/8.htm| title=|Weymouth New Testament| target=|_top|&gt;WEY&lt;/a&gt;</v>
      </c>
      <c r="AT1005" t="str">
        <f>CONCATENATE("&lt;/li&gt;&lt;li&gt;&lt;a href=|http://",AT1191,"/john/8-1.htm","| ","title=|",AT1190,"| target=|_top|&gt;",AT1192,"&lt;/a&gt;")</f>
        <v>&lt;/li&gt;&lt;li&gt;&lt;a href=|http://biblebrowser.com/john/8-1.htm| title=|Split View| target=|_top|&gt;Split&lt;/a&gt;</v>
      </c>
      <c r="AU1005" s="2" t="s">
        <v>1276</v>
      </c>
      <c r="AV1005" t="s">
        <v>64</v>
      </c>
    </row>
    <row r="1006" spans="1:48">
      <c r="A1006" t="s">
        <v>622</v>
      </c>
      <c r="B1006" t="s">
        <v>1047</v>
      </c>
      <c r="C1006" t="s">
        <v>624</v>
      </c>
      <c r="D1006" t="s">
        <v>1268</v>
      </c>
      <c r="E1006" t="s">
        <v>1277</v>
      </c>
      <c r="F1006" t="s">
        <v>1304</v>
      </c>
      <c r="G1006" t="s">
        <v>1266</v>
      </c>
      <c r="H1006" t="s">
        <v>1305</v>
      </c>
      <c r="I1006" t="s">
        <v>1303</v>
      </c>
      <c r="J1006" t="s">
        <v>1267</v>
      </c>
      <c r="K1006" t="s">
        <v>1275</v>
      </c>
      <c r="L1006" s="2" t="s">
        <v>1274</v>
      </c>
      <c r="M1006" t="str">
        <f t="shared" ref="M1006:AB1006" si="4020">CONCATENATE("&lt;/li&gt;&lt;li&gt;&lt;a href=|http://",M1191,"/john/9.htm","| ","title=|",M1190,"| target=|_top|&gt;",M1192,"&lt;/a&gt;")</f>
        <v>&lt;/li&gt;&lt;li&gt;&lt;a href=|http://niv.scripturetext.com/john/9.htm| title=|New International Version| target=|_top|&gt;NIV&lt;/a&gt;</v>
      </c>
      <c r="N1006" t="str">
        <f t="shared" si="4020"/>
        <v>&lt;/li&gt;&lt;li&gt;&lt;a href=|http://nlt.scripturetext.com/john/9.htm| title=|New Living Translation| target=|_top|&gt;NLT&lt;/a&gt;</v>
      </c>
      <c r="O1006" t="str">
        <f t="shared" si="4020"/>
        <v>&lt;/li&gt;&lt;li&gt;&lt;a href=|http://nasb.scripturetext.com/john/9.htm| title=|New American Standard Bible| target=|_top|&gt;NAS&lt;/a&gt;</v>
      </c>
      <c r="P1006" t="str">
        <f t="shared" si="4020"/>
        <v>&lt;/li&gt;&lt;li&gt;&lt;a href=|http://gwt.scripturetext.com/john/9.htm| title=|God's Word Translation| target=|_top|&gt;GWT&lt;/a&gt;</v>
      </c>
      <c r="Q1006" t="str">
        <f t="shared" si="4020"/>
        <v>&lt;/li&gt;&lt;li&gt;&lt;a href=|http://kingjbible.com/john/9.htm| title=|King James Bible| target=|_top|&gt;KJV&lt;/a&gt;</v>
      </c>
      <c r="R1006" t="str">
        <f t="shared" si="4020"/>
        <v>&lt;/li&gt;&lt;li&gt;&lt;a href=|http://asvbible.com/john/9.htm| title=|American Standard Version| target=|_top|&gt;ASV&lt;/a&gt;</v>
      </c>
      <c r="S1006" t="str">
        <f t="shared" si="4020"/>
        <v>&lt;/li&gt;&lt;li&gt;&lt;a href=|http://drb.scripturetext.com/john/9.htm| title=|Douay-Rheims Bible| target=|_top|&gt;DRB&lt;/a&gt;</v>
      </c>
      <c r="T1006" t="str">
        <f t="shared" si="4020"/>
        <v>&lt;/li&gt;&lt;li&gt;&lt;a href=|http://erv.scripturetext.com/john/9.htm| title=|English Revised Version| target=|_top|&gt;ERV&lt;/a&gt;</v>
      </c>
      <c r="U1006" t="str">
        <f>CONCATENATE("&lt;/li&gt;&lt;li&gt;&lt;a href=|http://",U1191,"/john/9.htm","| ","title=|",U1190,"| target=|_top|&gt;",U1192,"&lt;/a&gt;")</f>
        <v>&lt;/li&gt;&lt;li&gt;&lt;a href=|http://study.interlinearbible.org/john/9.htm| title=|Greek Study Bible| target=|_top|&gt;Grk Study&lt;/a&gt;</v>
      </c>
      <c r="W1006" t="str">
        <f t="shared" si="4020"/>
        <v>&lt;/li&gt;&lt;li&gt;&lt;a href=|http://apostolic.interlinearbible.org/john/9.htm| title=|Apostolic Bible Polyglot Interlinear| target=|_top|&gt;Polyglot&lt;/a&gt;</v>
      </c>
      <c r="X1006" t="str">
        <f t="shared" si="4020"/>
        <v>&lt;/li&gt;&lt;li&gt;&lt;a href=|http://interlinearbible.org/john/9.htm| title=|Interlinear Bible| target=|_top|&gt;Interlin&lt;/a&gt;</v>
      </c>
      <c r="Y1006" t="str">
        <f t="shared" ref="Y1006" si="4021">CONCATENATE("&lt;/li&gt;&lt;li&gt;&lt;a href=|http://",Y1191,"/john/9.htm","| ","title=|",Y1190,"| target=|_top|&gt;",Y1192,"&lt;/a&gt;")</f>
        <v>&lt;/li&gt;&lt;li&gt;&lt;a href=|http://bibleoutline.org/john/9.htm| title=|Outline with People and Places List| target=|_top|&gt;Outline&lt;/a&gt;</v>
      </c>
      <c r="Z1006" t="str">
        <f t="shared" si="4020"/>
        <v>&lt;/li&gt;&lt;li&gt;&lt;a href=|http://kjvs.scripturetext.com/john/9.htm| title=|King James Bible with Strong's Numbers| target=|_top|&gt;Strong's&lt;/a&gt;</v>
      </c>
      <c r="AA1006" t="str">
        <f t="shared" si="4020"/>
        <v>&lt;/li&gt;&lt;li&gt;&lt;a href=|http://childrensbibleonline.com/john/9.htm| title=|The Children's Bible| target=|_top|&gt;Children's&lt;/a&gt;</v>
      </c>
      <c r="AB1006" s="2" t="str">
        <f t="shared" si="4020"/>
        <v>&lt;/li&gt;&lt;li&gt;&lt;a href=|http://tsk.scripturetext.com/john/9.htm| title=|Treasury of Scripture Knowledge| target=|_top|&gt;TSK&lt;/a&gt;</v>
      </c>
      <c r="AC1006" t="str">
        <f>CONCATENATE("&lt;a href=|http://",AC1191,"/john/9.htm","| ","title=|",AC1190,"| target=|_top|&gt;",AC1192,"&lt;/a&gt;")</f>
        <v>&lt;a href=|http://parallelbible.com/john/9.htm| title=|Parallel Chapters| target=|_top|&gt;PAR&lt;/a&gt;</v>
      </c>
      <c r="AD1006" s="2" t="str">
        <f t="shared" ref="AD1006:AI1006" si="4022">CONCATENATE("&lt;/li&gt;&lt;li&gt;&lt;a href=|http://",AD1191,"/john/9.htm","| ","title=|",AD1190,"| target=|_top|&gt;",AD1192,"&lt;/a&gt;")</f>
        <v>&lt;/li&gt;&lt;li&gt;&lt;a href=|http://gsb.biblecommenter.com/john/9.htm| title=|Geneva Study Bible| target=|_top|&gt;GSB&lt;/a&gt;</v>
      </c>
      <c r="AE1006" s="2" t="str">
        <f t="shared" si="4022"/>
        <v>&lt;/li&gt;&lt;li&gt;&lt;a href=|http://jfb.biblecommenter.com/john/9.htm| title=|Jamieson-Fausset-Brown Bible Commentary| target=|_top|&gt;JFB&lt;/a&gt;</v>
      </c>
      <c r="AF1006" s="2" t="str">
        <f t="shared" si="4022"/>
        <v>&lt;/li&gt;&lt;li&gt;&lt;a href=|http://kjt.biblecommenter.com/john/9.htm| title=|King James Translators' Notes| target=|_top|&gt;KJT&lt;/a&gt;</v>
      </c>
      <c r="AG1006" s="2" t="str">
        <f t="shared" si="4022"/>
        <v>&lt;/li&gt;&lt;li&gt;&lt;a href=|http://mhc.biblecommenter.com/john/9.htm| title=|Matthew Henry's Concise Commentary| target=|_top|&gt;MHC&lt;/a&gt;</v>
      </c>
      <c r="AH1006" s="2" t="str">
        <f t="shared" si="4022"/>
        <v>&lt;/li&gt;&lt;li&gt;&lt;a href=|http://sco.biblecommenter.com/john/9.htm| title=|Scofield Reference Notes| target=|_top|&gt;SCO&lt;/a&gt;</v>
      </c>
      <c r="AI1006" s="2" t="str">
        <f t="shared" si="4022"/>
        <v>&lt;/li&gt;&lt;li&gt;&lt;a href=|http://wes.biblecommenter.com/john/9.htm| title=|Wesley's Notes on the Bible| target=|_top|&gt;WES&lt;/a&gt;</v>
      </c>
      <c r="AJ1006" t="str">
        <f>CONCATENATE("&lt;/li&gt;&lt;li&gt;&lt;a href=|http://",AJ1191,"/john/9.htm","| ","title=|",AJ1190,"| target=|_top|&gt;",AJ1192,"&lt;/a&gt;")</f>
        <v>&lt;/li&gt;&lt;li&gt;&lt;a href=|http://worldebible.com/john/9.htm| title=|World English Bible| target=|_top|&gt;WEB&lt;/a&gt;</v>
      </c>
      <c r="AK1006" t="str">
        <f>CONCATENATE("&lt;/li&gt;&lt;li&gt;&lt;a href=|http://",AK1191,"/john/9.htm","| ","title=|",AK1190,"| target=|_top|&gt;",AK1192,"&lt;/a&gt;")</f>
        <v>&lt;/li&gt;&lt;li&gt;&lt;a href=|http://yltbible.com/john/9.htm| title=|Young's Literal Translation| target=|_top|&gt;YLT&lt;/a&gt;</v>
      </c>
      <c r="AL1006" t="str">
        <f>CONCATENATE("&lt;a href=|http://",AL1191,"/john/9.htm","| ","title=|",AL1190,"| target=|_top|&gt;",AL1192,"&lt;/a&gt;")</f>
        <v>&lt;a href=|http://kjv.us/john/9.htm| title=|American King James Version| target=|_top|&gt;AKJ&lt;/a&gt;</v>
      </c>
      <c r="AM1006" t="str">
        <f t="shared" ref="AM1006:AS1006" si="4023">CONCATENATE("&lt;/li&gt;&lt;li&gt;&lt;a href=|http://",AM1191,"/john/9.htm","| ","title=|",AM1190,"| target=|_top|&gt;",AM1192,"&lt;/a&gt;")</f>
        <v>&lt;/li&gt;&lt;li&gt;&lt;a href=|http://basicenglishbible.com/john/9.htm| title=|Bible in Basic English| target=|_top|&gt;BBE&lt;/a&gt;</v>
      </c>
      <c r="AN1006" t="str">
        <f t="shared" si="4023"/>
        <v>&lt;/li&gt;&lt;li&gt;&lt;a href=|http://darbybible.com/john/9.htm| title=|Darby Bible Translation| target=|_top|&gt;DBY&lt;/a&gt;</v>
      </c>
      <c r="AO1006" t="str">
        <f t="shared" si="4023"/>
        <v>&lt;/li&gt;&lt;li&gt;&lt;a href=|http://isv.scripturetext.com/john/9.htm| title=|International Standard Version| target=|_top|&gt;ISV&lt;/a&gt;</v>
      </c>
      <c r="AP1006" t="str">
        <f t="shared" si="4023"/>
        <v>&lt;/li&gt;&lt;li&gt;&lt;a href=|http://tnt.scripturetext.com/john/9.htm| title=|Tyndale New Testament| target=|_top|&gt;TNT&lt;/a&gt;</v>
      </c>
      <c r="AQ1006" s="2" t="str">
        <f t="shared" si="4023"/>
        <v>&lt;/li&gt;&lt;li&gt;&lt;a href=|http://pnt.biblecommenter.com/john/9.htm| title=|People's New Testament| target=|_top|&gt;PNT&lt;/a&gt;</v>
      </c>
      <c r="AR1006" t="str">
        <f t="shared" si="4023"/>
        <v>&lt;/li&gt;&lt;li&gt;&lt;a href=|http://websterbible.com/john/9.htm| title=|Webster's Bible Translation| target=|_top|&gt;WBS&lt;/a&gt;</v>
      </c>
      <c r="AS1006" t="str">
        <f t="shared" si="4023"/>
        <v>&lt;/li&gt;&lt;li&gt;&lt;a href=|http://weymouthbible.com/john/9.htm| title=|Weymouth New Testament| target=|_top|&gt;WEY&lt;/a&gt;</v>
      </c>
      <c r="AT1006" t="str">
        <f>CONCATENATE("&lt;/li&gt;&lt;li&gt;&lt;a href=|http://",AT1191,"/john/9-1.htm","| ","title=|",AT1190,"| target=|_top|&gt;",AT1192,"&lt;/a&gt;")</f>
        <v>&lt;/li&gt;&lt;li&gt;&lt;a href=|http://biblebrowser.com/john/9-1.htm| title=|Split View| target=|_top|&gt;Split&lt;/a&gt;</v>
      </c>
      <c r="AU1006" s="2" t="s">
        <v>1276</v>
      </c>
      <c r="AV1006" t="s">
        <v>64</v>
      </c>
    </row>
    <row r="1007" spans="1:48">
      <c r="A1007" t="s">
        <v>622</v>
      </c>
      <c r="B1007" t="s">
        <v>1048</v>
      </c>
      <c r="C1007" t="s">
        <v>624</v>
      </c>
      <c r="D1007" t="s">
        <v>1268</v>
      </c>
      <c r="E1007" t="s">
        <v>1277</v>
      </c>
      <c r="F1007" t="s">
        <v>1304</v>
      </c>
      <c r="G1007" t="s">
        <v>1266</v>
      </c>
      <c r="H1007" t="s">
        <v>1305</v>
      </c>
      <c r="I1007" t="s">
        <v>1303</v>
      </c>
      <c r="J1007" t="s">
        <v>1267</v>
      </c>
      <c r="K1007" t="s">
        <v>1275</v>
      </c>
      <c r="L1007" s="2" t="s">
        <v>1274</v>
      </c>
      <c r="M1007" t="str">
        <f t="shared" ref="M1007:AB1007" si="4024">CONCATENATE("&lt;/li&gt;&lt;li&gt;&lt;a href=|http://",M1191,"/john/10.htm","| ","title=|",M1190,"| target=|_top|&gt;",M1192,"&lt;/a&gt;")</f>
        <v>&lt;/li&gt;&lt;li&gt;&lt;a href=|http://niv.scripturetext.com/john/10.htm| title=|New International Version| target=|_top|&gt;NIV&lt;/a&gt;</v>
      </c>
      <c r="N1007" t="str">
        <f t="shared" si="4024"/>
        <v>&lt;/li&gt;&lt;li&gt;&lt;a href=|http://nlt.scripturetext.com/john/10.htm| title=|New Living Translation| target=|_top|&gt;NLT&lt;/a&gt;</v>
      </c>
      <c r="O1007" t="str">
        <f t="shared" si="4024"/>
        <v>&lt;/li&gt;&lt;li&gt;&lt;a href=|http://nasb.scripturetext.com/john/10.htm| title=|New American Standard Bible| target=|_top|&gt;NAS&lt;/a&gt;</v>
      </c>
      <c r="P1007" t="str">
        <f t="shared" si="4024"/>
        <v>&lt;/li&gt;&lt;li&gt;&lt;a href=|http://gwt.scripturetext.com/john/10.htm| title=|God's Word Translation| target=|_top|&gt;GWT&lt;/a&gt;</v>
      </c>
      <c r="Q1007" t="str">
        <f t="shared" si="4024"/>
        <v>&lt;/li&gt;&lt;li&gt;&lt;a href=|http://kingjbible.com/john/10.htm| title=|King James Bible| target=|_top|&gt;KJV&lt;/a&gt;</v>
      </c>
      <c r="R1007" t="str">
        <f t="shared" si="4024"/>
        <v>&lt;/li&gt;&lt;li&gt;&lt;a href=|http://asvbible.com/john/10.htm| title=|American Standard Version| target=|_top|&gt;ASV&lt;/a&gt;</v>
      </c>
      <c r="S1007" t="str">
        <f t="shared" si="4024"/>
        <v>&lt;/li&gt;&lt;li&gt;&lt;a href=|http://drb.scripturetext.com/john/10.htm| title=|Douay-Rheims Bible| target=|_top|&gt;DRB&lt;/a&gt;</v>
      </c>
      <c r="T1007" t="str">
        <f t="shared" si="4024"/>
        <v>&lt;/li&gt;&lt;li&gt;&lt;a href=|http://erv.scripturetext.com/john/10.htm| title=|English Revised Version| target=|_top|&gt;ERV&lt;/a&gt;</v>
      </c>
      <c r="U1007" t="str">
        <f>CONCATENATE("&lt;/li&gt;&lt;li&gt;&lt;a href=|http://",U1191,"/john/10.htm","| ","title=|",U1190,"| target=|_top|&gt;",U1192,"&lt;/a&gt;")</f>
        <v>&lt;/li&gt;&lt;li&gt;&lt;a href=|http://study.interlinearbible.org/john/10.htm| title=|Greek Study Bible| target=|_top|&gt;Grk Study&lt;/a&gt;</v>
      </c>
      <c r="W1007" t="str">
        <f t="shared" si="4024"/>
        <v>&lt;/li&gt;&lt;li&gt;&lt;a href=|http://apostolic.interlinearbible.org/john/10.htm| title=|Apostolic Bible Polyglot Interlinear| target=|_top|&gt;Polyglot&lt;/a&gt;</v>
      </c>
      <c r="X1007" t="str">
        <f t="shared" si="4024"/>
        <v>&lt;/li&gt;&lt;li&gt;&lt;a href=|http://interlinearbible.org/john/10.htm| title=|Interlinear Bible| target=|_top|&gt;Interlin&lt;/a&gt;</v>
      </c>
      <c r="Y1007" t="str">
        <f t="shared" ref="Y1007" si="4025">CONCATENATE("&lt;/li&gt;&lt;li&gt;&lt;a href=|http://",Y1191,"/john/10.htm","| ","title=|",Y1190,"| target=|_top|&gt;",Y1192,"&lt;/a&gt;")</f>
        <v>&lt;/li&gt;&lt;li&gt;&lt;a href=|http://bibleoutline.org/john/10.htm| title=|Outline with People and Places List| target=|_top|&gt;Outline&lt;/a&gt;</v>
      </c>
      <c r="Z1007" t="str">
        <f t="shared" si="4024"/>
        <v>&lt;/li&gt;&lt;li&gt;&lt;a href=|http://kjvs.scripturetext.com/john/10.htm| title=|King James Bible with Strong's Numbers| target=|_top|&gt;Strong's&lt;/a&gt;</v>
      </c>
      <c r="AA1007" t="str">
        <f t="shared" si="4024"/>
        <v>&lt;/li&gt;&lt;li&gt;&lt;a href=|http://childrensbibleonline.com/john/10.htm| title=|The Children's Bible| target=|_top|&gt;Children's&lt;/a&gt;</v>
      </c>
      <c r="AB1007" s="2" t="str">
        <f t="shared" si="4024"/>
        <v>&lt;/li&gt;&lt;li&gt;&lt;a href=|http://tsk.scripturetext.com/john/10.htm| title=|Treasury of Scripture Knowledge| target=|_top|&gt;TSK&lt;/a&gt;</v>
      </c>
      <c r="AC1007" t="str">
        <f>CONCATENATE("&lt;a href=|http://",AC1191,"/john/10.htm","| ","title=|",AC1190,"| target=|_top|&gt;",AC1192,"&lt;/a&gt;")</f>
        <v>&lt;a href=|http://parallelbible.com/john/10.htm| title=|Parallel Chapters| target=|_top|&gt;PAR&lt;/a&gt;</v>
      </c>
      <c r="AD1007" s="2" t="str">
        <f t="shared" ref="AD1007:AI1007" si="4026">CONCATENATE("&lt;/li&gt;&lt;li&gt;&lt;a href=|http://",AD1191,"/john/10.htm","| ","title=|",AD1190,"| target=|_top|&gt;",AD1192,"&lt;/a&gt;")</f>
        <v>&lt;/li&gt;&lt;li&gt;&lt;a href=|http://gsb.biblecommenter.com/john/10.htm| title=|Geneva Study Bible| target=|_top|&gt;GSB&lt;/a&gt;</v>
      </c>
      <c r="AE1007" s="2" t="str">
        <f t="shared" si="4026"/>
        <v>&lt;/li&gt;&lt;li&gt;&lt;a href=|http://jfb.biblecommenter.com/john/10.htm| title=|Jamieson-Fausset-Brown Bible Commentary| target=|_top|&gt;JFB&lt;/a&gt;</v>
      </c>
      <c r="AF1007" s="2" t="str">
        <f t="shared" si="4026"/>
        <v>&lt;/li&gt;&lt;li&gt;&lt;a href=|http://kjt.biblecommenter.com/john/10.htm| title=|King James Translators' Notes| target=|_top|&gt;KJT&lt;/a&gt;</v>
      </c>
      <c r="AG1007" s="2" t="str">
        <f t="shared" si="4026"/>
        <v>&lt;/li&gt;&lt;li&gt;&lt;a href=|http://mhc.biblecommenter.com/john/10.htm| title=|Matthew Henry's Concise Commentary| target=|_top|&gt;MHC&lt;/a&gt;</v>
      </c>
      <c r="AH1007" s="2" t="str">
        <f t="shared" si="4026"/>
        <v>&lt;/li&gt;&lt;li&gt;&lt;a href=|http://sco.biblecommenter.com/john/10.htm| title=|Scofield Reference Notes| target=|_top|&gt;SCO&lt;/a&gt;</v>
      </c>
      <c r="AI1007" s="2" t="str">
        <f t="shared" si="4026"/>
        <v>&lt;/li&gt;&lt;li&gt;&lt;a href=|http://wes.biblecommenter.com/john/10.htm| title=|Wesley's Notes on the Bible| target=|_top|&gt;WES&lt;/a&gt;</v>
      </c>
      <c r="AJ1007" t="str">
        <f>CONCATENATE("&lt;/li&gt;&lt;li&gt;&lt;a href=|http://",AJ1191,"/john/10.htm","| ","title=|",AJ1190,"| target=|_top|&gt;",AJ1192,"&lt;/a&gt;")</f>
        <v>&lt;/li&gt;&lt;li&gt;&lt;a href=|http://worldebible.com/john/10.htm| title=|World English Bible| target=|_top|&gt;WEB&lt;/a&gt;</v>
      </c>
      <c r="AK1007" t="str">
        <f>CONCATENATE("&lt;/li&gt;&lt;li&gt;&lt;a href=|http://",AK1191,"/john/10.htm","| ","title=|",AK1190,"| target=|_top|&gt;",AK1192,"&lt;/a&gt;")</f>
        <v>&lt;/li&gt;&lt;li&gt;&lt;a href=|http://yltbible.com/john/10.htm| title=|Young's Literal Translation| target=|_top|&gt;YLT&lt;/a&gt;</v>
      </c>
      <c r="AL1007" t="str">
        <f>CONCATENATE("&lt;a href=|http://",AL1191,"/john/10.htm","| ","title=|",AL1190,"| target=|_top|&gt;",AL1192,"&lt;/a&gt;")</f>
        <v>&lt;a href=|http://kjv.us/john/10.htm| title=|American King James Version| target=|_top|&gt;AKJ&lt;/a&gt;</v>
      </c>
      <c r="AM1007" t="str">
        <f t="shared" ref="AM1007:AS1007" si="4027">CONCATENATE("&lt;/li&gt;&lt;li&gt;&lt;a href=|http://",AM1191,"/john/10.htm","| ","title=|",AM1190,"| target=|_top|&gt;",AM1192,"&lt;/a&gt;")</f>
        <v>&lt;/li&gt;&lt;li&gt;&lt;a href=|http://basicenglishbible.com/john/10.htm| title=|Bible in Basic English| target=|_top|&gt;BBE&lt;/a&gt;</v>
      </c>
      <c r="AN1007" t="str">
        <f t="shared" si="4027"/>
        <v>&lt;/li&gt;&lt;li&gt;&lt;a href=|http://darbybible.com/john/10.htm| title=|Darby Bible Translation| target=|_top|&gt;DBY&lt;/a&gt;</v>
      </c>
      <c r="AO1007" t="str">
        <f t="shared" si="4027"/>
        <v>&lt;/li&gt;&lt;li&gt;&lt;a href=|http://isv.scripturetext.com/john/10.htm| title=|International Standard Version| target=|_top|&gt;ISV&lt;/a&gt;</v>
      </c>
      <c r="AP1007" t="str">
        <f t="shared" si="4027"/>
        <v>&lt;/li&gt;&lt;li&gt;&lt;a href=|http://tnt.scripturetext.com/john/10.htm| title=|Tyndale New Testament| target=|_top|&gt;TNT&lt;/a&gt;</v>
      </c>
      <c r="AQ1007" s="2" t="str">
        <f t="shared" si="4027"/>
        <v>&lt;/li&gt;&lt;li&gt;&lt;a href=|http://pnt.biblecommenter.com/john/10.htm| title=|People's New Testament| target=|_top|&gt;PNT&lt;/a&gt;</v>
      </c>
      <c r="AR1007" t="str">
        <f t="shared" si="4027"/>
        <v>&lt;/li&gt;&lt;li&gt;&lt;a href=|http://websterbible.com/john/10.htm| title=|Webster's Bible Translation| target=|_top|&gt;WBS&lt;/a&gt;</v>
      </c>
      <c r="AS1007" t="str">
        <f t="shared" si="4027"/>
        <v>&lt;/li&gt;&lt;li&gt;&lt;a href=|http://weymouthbible.com/john/10.htm| title=|Weymouth New Testament| target=|_top|&gt;WEY&lt;/a&gt;</v>
      </c>
      <c r="AT1007" t="str">
        <f>CONCATENATE("&lt;/li&gt;&lt;li&gt;&lt;a href=|http://",AT1191,"/john/10-1.htm","| ","title=|",AT1190,"| target=|_top|&gt;",AT1192,"&lt;/a&gt;")</f>
        <v>&lt;/li&gt;&lt;li&gt;&lt;a href=|http://biblebrowser.com/john/10-1.htm| title=|Split View| target=|_top|&gt;Split&lt;/a&gt;</v>
      </c>
      <c r="AU1007" s="2" t="s">
        <v>1276</v>
      </c>
      <c r="AV1007" t="s">
        <v>64</v>
      </c>
    </row>
    <row r="1008" spans="1:48">
      <c r="A1008" t="s">
        <v>622</v>
      </c>
      <c r="B1008" t="s">
        <v>1049</v>
      </c>
      <c r="C1008" t="s">
        <v>624</v>
      </c>
      <c r="D1008" t="s">
        <v>1268</v>
      </c>
      <c r="E1008" t="s">
        <v>1277</v>
      </c>
      <c r="F1008" t="s">
        <v>1304</v>
      </c>
      <c r="G1008" t="s">
        <v>1266</v>
      </c>
      <c r="H1008" t="s">
        <v>1305</v>
      </c>
      <c r="I1008" t="s">
        <v>1303</v>
      </c>
      <c r="J1008" t="s">
        <v>1267</v>
      </c>
      <c r="K1008" t="s">
        <v>1275</v>
      </c>
      <c r="L1008" s="2" t="s">
        <v>1274</v>
      </c>
      <c r="M1008" t="str">
        <f t="shared" ref="M1008:AB1008" si="4028">CONCATENATE("&lt;/li&gt;&lt;li&gt;&lt;a href=|http://",M1191,"/john/11.htm","| ","title=|",M1190,"| target=|_top|&gt;",M1192,"&lt;/a&gt;")</f>
        <v>&lt;/li&gt;&lt;li&gt;&lt;a href=|http://niv.scripturetext.com/john/11.htm| title=|New International Version| target=|_top|&gt;NIV&lt;/a&gt;</v>
      </c>
      <c r="N1008" t="str">
        <f t="shared" si="4028"/>
        <v>&lt;/li&gt;&lt;li&gt;&lt;a href=|http://nlt.scripturetext.com/john/11.htm| title=|New Living Translation| target=|_top|&gt;NLT&lt;/a&gt;</v>
      </c>
      <c r="O1008" t="str">
        <f t="shared" si="4028"/>
        <v>&lt;/li&gt;&lt;li&gt;&lt;a href=|http://nasb.scripturetext.com/john/11.htm| title=|New American Standard Bible| target=|_top|&gt;NAS&lt;/a&gt;</v>
      </c>
      <c r="P1008" t="str">
        <f t="shared" si="4028"/>
        <v>&lt;/li&gt;&lt;li&gt;&lt;a href=|http://gwt.scripturetext.com/john/11.htm| title=|God's Word Translation| target=|_top|&gt;GWT&lt;/a&gt;</v>
      </c>
      <c r="Q1008" t="str">
        <f t="shared" si="4028"/>
        <v>&lt;/li&gt;&lt;li&gt;&lt;a href=|http://kingjbible.com/john/11.htm| title=|King James Bible| target=|_top|&gt;KJV&lt;/a&gt;</v>
      </c>
      <c r="R1008" t="str">
        <f t="shared" si="4028"/>
        <v>&lt;/li&gt;&lt;li&gt;&lt;a href=|http://asvbible.com/john/11.htm| title=|American Standard Version| target=|_top|&gt;ASV&lt;/a&gt;</v>
      </c>
      <c r="S1008" t="str">
        <f t="shared" si="4028"/>
        <v>&lt;/li&gt;&lt;li&gt;&lt;a href=|http://drb.scripturetext.com/john/11.htm| title=|Douay-Rheims Bible| target=|_top|&gt;DRB&lt;/a&gt;</v>
      </c>
      <c r="T1008" t="str">
        <f t="shared" si="4028"/>
        <v>&lt;/li&gt;&lt;li&gt;&lt;a href=|http://erv.scripturetext.com/john/11.htm| title=|English Revised Version| target=|_top|&gt;ERV&lt;/a&gt;</v>
      </c>
      <c r="U1008" t="str">
        <f>CONCATENATE("&lt;/li&gt;&lt;li&gt;&lt;a href=|http://",U1191,"/john/11.htm","| ","title=|",U1190,"| target=|_top|&gt;",U1192,"&lt;/a&gt;")</f>
        <v>&lt;/li&gt;&lt;li&gt;&lt;a href=|http://study.interlinearbible.org/john/11.htm| title=|Greek Study Bible| target=|_top|&gt;Grk Study&lt;/a&gt;</v>
      </c>
      <c r="W1008" t="str">
        <f t="shared" si="4028"/>
        <v>&lt;/li&gt;&lt;li&gt;&lt;a href=|http://apostolic.interlinearbible.org/john/11.htm| title=|Apostolic Bible Polyglot Interlinear| target=|_top|&gt;Polyglot&lt;/a&gt;</v>
      </c>
      <c r="X1008" t="str">
        <f t="shared" si="4028"/>
        <v>&lt;/li&gt;&lt;li&gt;&lt;a href=|http://interlinearbible.org/john/11.htm| title=|Interlinear Bible| target=|_top|&gt;Interlin&lt;/a&gt;</v>
      </c>
      <c r="Y1008" t="str">
        <f t="shared" ref="Y1008" si="4029">CONCATENATE("&lt;/li&gt;&lt;li&gt;&lt;a href=|http://",Y1191,"/john/11.htm","| ","title=|",Y1190,"| target=|_top|&gt;",Y1192,"&lt;/a&gt;")</f>
        <v>&lt;/li&gt;&lt;li&gt;&lt;a href=|http://bibleoutline.org/john/11.htm| title=|Outline with People and Places List| target=|_top|&gt;Outline&lt;/a&gt;</v>
      </c>
      <c r="Z1008" t="str">
        <f t="shared" si="4028"/>
        <v>&lt;/li&gt;&lt;li&gt;&lt;a href=|http://kjvs.scripturetext.com/john/11.htm| title=|King James Bible with Strong's Numbers| target=|_top|&gt;Strong's&lt;/a&gt;</v>
      </c>
      <c r="AA1008" t="str">
        <f t="shared" si="4028"/>
        <v>&lt;/li&gt;&lt;li&gt;&lt;a href=|http://childrensbibleonline.com/john/11.htm| title=|The Children's Bible| target=|_top|&gt;Children's&lt;/a&gt;</v>
      </c>
      <c r="AB1008" s="2" t="str">
        <f t="shared" si="4028"/>
        <v>&lt;/li&gt;&lt;li&gt;&lt;a href=|http://tsk.scripturetext.com/john/11.htm| title=|Treasury of Scripture Knowledge| target=|_top|&gt;TSK&lt;/a&gt;</v>
      </c>
      <c r="AC1008" t="str">
        <f>CONCATENATE("&lt;a href=|http://",AC1191,"/john/11.htm","| ","title=|",AC1190,"| target=|_top|&gt;",AC1192,"&lt;/a&gt;")</f>
        <v>&lt;a href=|http://parallelbible.com/john/11.htm| title=|Parallel Chapters| target=|_top|&gt;PAR&lt;/a&gt;</v>
      </c>
      <c r="AD1008" s="2" t="str">
        <f t="shared" ref="AD1008:AI1008" si="4030">CONCATENATE("&lt;/li&gt;&lt;li&gt;&lt;a href=|http://",AD1191,"/john/11.htm","| ","title=|",AD1190,"| target=|_top|&gt;",AD1192,"&lt;/a&gt;")</f>
        <v>&lt;/li&gt;&lt;li&gt;&lt;a href=|http://gsb.biblecommenter.com/john/11.htm| title=|Geneva Study Bible| target=|_top|&gt;GSB&lt;/a&gt;</v>
      </c>
      <c r="AE1008" s="2" t="str">
        <f t="shared" si="4030"/>
        <v>&lt;/li&gt;&lt;li&gt;&lt;a href=|http://jfb.biblecommenter.com/john/11.htm| title=|Jamieson-Fausset-Brown Bible Commentary| target=|_top|&gt;JFB&lt;/a&gt;</v>
      </c>
      <c r="AF1008" s="2" t="str">
        <f t="shared" si="4030"/>
        <v>&lt;/li&gt;&lt;li&gt;&lt;a href=|http://kjt.biblecommenter.com/john/11.htm| title=|King James Translators' Notes| target=|_top|&gt;KJT&lt;/a&gt;</v>
      </c>
      <c r="AG1008" s="2" t="str">
        <f t="shared" si="4030"/>
        <v>&lt;/li&gt;&lt;li&gt;&lt;a href=|http://mhc.biblecommenter.com/john/11.htm| title=|Matthew Henry's Concise Commentary| target=|_top|&gt;MHC&lt;/a&gt;</v>
      </c>
      <c r="AH1008" s="2" t="str">
        <f t="shared" si="4030"/>
        <v>&lt;/li&gt;&lt;li&gt;&lt;a href=|http://sco.biblecommenter.com/john/11.htm| title=|Scofield Reference Notes| target=|_top|&gt;SCO&lt;/a&gt;</v>
      </c>
      <c r="AI1008" s="2" t="str">
        <f t="shared" si="4030"/>
        <v>&lt;/li&gt;&lt;li&gt;&lt;a href=|http://wes.biblecommenter.com/john/11.htm| title=|Wesley's Notes on the Bible| target=|_top|&gt;WES&lt;/a&gt;</v>
      </c>
      <c r="AJ1008" t="str">
        <f>CONCATENATE("&lt;/li&gt;&lt;li&gt;&lt;a href=|http://",AJ1191,"/john/11.htm","| ","title=|",AJ1190,"| target=|_top|&gt;",AJ1192,"&lt;/a&gt;")</f>
        <v>&lt;/li&gt;&lt;li&gt;&lt;a href=|http://worldebible.com/john/11.htm| title=|World English Bible| target=|_top|&gt;WEB&lt;/a&gt;</v>
      </c>
      <c r="AK1008" t="str">
        <f>CONCATENATE("&lt;/li&gt;&lt;li&gt;&lt;a href=|http://",AK1191,"/john/11.htm","| ","title=|",AK1190,"| target=|_top|&gt;",AK1192,"&lt;/a&gt;")</f>
        <v>&lt;/li&gt;&lt;li&gt;&lt;a href=|http://yltbible.com/john/11.htm| title=|Young's Literal Translation| target=|_top|&gt;YLT&lt;/a&gt;</v>
      </c>
      <c r="AL1008" t="str">
        <f>CONCATENATE("&lt;a href=|http://",AL1191,"/john/11.htm","| ","title=|",AL1190,"| target=|_top|&gt;",AL1192,"&lt;/a&gt;")</f>
        <v>&lt;a href=|http://kjv.us/john/11.htm| title=|American King James Version| target=|_top|&gt;AKJ&lt;/a&gt;</v>
      </c>
      <c r="AM1008" t="str">
        <f t="shared" ref="AM1008:AS1008" si="4031">CONCATENATE("&lt;/li&gt;&lt;li&gt;&lt;a href=|http://",AM1191,"/john/11.htm","| ","title=|",AM1190,"| target=|_top|&gt;",AM1192,"&lt;/a&gt;")</f>
        <v>&lt;/li&gt;&lt;li&gt;&lt;a href=|http://basicenglishbible.com/john/11.htm| title=|Bible in Basic English| target=|_top|&gt;BBE&lt;/a&gt;</v>
      </c>
      <c r="AN1008" t="str">
        <f t="shared" si="4031"/>
        <v>&lt;/li&gt;&lt;li&gt;&lt;a href=|http://darbybible.com/john/11.htm| title=|Darby Bible Translation| target=|_top|&gt;DBY&lt;/a&gt;</v>
      </c>
      <c r="AO1008" t="str">
        <f t="shared" si="4031"/>
        <v>&lt;/li&gt;&lt;li&gt;&lt;a href=|http://isv.scripturetext.com/john/11.htm| title=|International Standard Version| target=|_top|&gt;ISV&lt;/a&gt;</v>
      </c>
      <c r="AP1008" t="str">
        <f t="shared" si="4031"/>
        <v>&lt;/li&gt;&lt;li&gt;&lt;a href=|http://tnt.scripturetext.com/john/11.htm| title=|Tyndale New Testament| target=|_top|&gt;TNT&lt;/a&gt;</v>
      </c>
      <c r="AQ1008" s="2" t="str">
        <f t="shared" si="4031"/>
        <v>&lt;/li&gt;&lt;li&gt;&lt;a href=|http://pnt.biblecommenter.com/john/11.htm| title=|People's New Testament| target=|_top|&gt;PNT&lt;/a&gt;</v>
      </c>
      <c r="AR1008" t="str">
        <f t="shared" si="4031"/>
        <v>&lt;/li&gt;&lt;li&gt;&lt;a href=|http://websterbible.com/john/11.htm| title=|Webster's Bible Translation| target=|_top|&gt;WBS&lt;/a&gt;</v>
      </c>
      <c r="AS1008" t="str">
        <f t="shared" si="4031"/>
        <v>&lt;/li&gt;&lt;li&gt;&lt;a href=|http://weymouthbible.com/john/11.htm| title=|Weymouth New Testament| target=|_top|&gt;WEY&lt;/a&gt;</v>
      </c>
      <c r="AT1008" t="str">
        <f>CONCATENATE("&lt;/li&gt;&lt;li&gt;&lt;a href=|http://",AT1191,"/john/11-1.htm","| ","title=|",AT1190,"| target=|_top|&gt;",AT1192,"&lt;/a&gt;")</f>
        <v>&lt;/li&gt;&lt;li&gt;&lt;a href=|http://biblebrowser.com/john/11-1.htm| title=|Split View| target=|_top|&gt;Split&lt;/a&gt;</v>
      </c>
      <c r="AU1008" s="2" t="s">
        <v>1276</v>
      </c>
      <c r="AV1008" t="s">
        <v>64</v>
      </c>
    </row>
    <row r="1009" spans="1:48">
      <c r="A1009" t="s">
        <v>622</v>
      </c>
      <c r="B1009" t="s">
        <v>1050</v>
      </c>
      <c r="C1009" t="s">
        <v>624</v>
      </c>
      <c r="D1009" t="s">
        <v>1268</v>
      </c>
      <c r="E1009" t="s">
        <v>1277</v>
      </c>
      <c r="F1009" t="s">
        <v>1304</v>
      </c>
      <c r="G1009" t="s">
        <v>1266</v>
      </c>
      <c r="H1009" t="s">
        <v>1305</v>
      </c>
      <c r="I1009" t="s">
        <v>1303</v>
      </c>
      <c r="J1009" t="s">
        <v>1267</v>
      </c>
      <c r="K1009" t="s">
        <v>1275</v>
      </c>
      <c r="L1009" s="2" t="s">
        <v>1274</v>
      </c>
      <c r="M1009" t="str">
        <f t="shared" ref="M1009:AB1009" si="4032">CONCATENATE("&lt;/li&gt;&lt;li&gt;&lt;a href=|http://",M1191,"/john/12.htm","| ","title=|",M1190,"| target=|_top|&gt;",M1192,"&lt;/a&gt;")</f>
        <v>&lt;/li&gt;&lt;li&gt;&lt;a href=|http://niv.scripturetext.com/john/12.htm| title=|New International Version| target=|_top|&gt;NIV&lt;/a&gt;</v>
      </c>
      <c r="N1009" t="str">
        <f t="shared" si="4032"/>
        <v>&lt;/li&gt;&lt;li&gt;&lt;a href=|http://nlt.scripturetext.com/john/12.htm| title=|New Living Translation| target=|_top|&gt;NLT&lt;/a&gt;</v>
      </c>
      <c r="O1009" t="str">
        <f t="shared" si="4032"/>
        <v>&lt;/li&gt;&lt;li&gt;&lt;a href=|http://nasb.scripturetext.com/john/12.htm| title=|New American Standard Bible| target=|_top|&gt;NAS&lt;/a&gt;</v>
      </c>
      <c r="P1009" t="str">
        <f t="shared" si="4032"/>
        <v>&lt;/li&gt;&lt;li&gt;&lt;a href=|http://gwt.scripturetext.com/john/12.htm| title=|God's Word Translation| target=|_top|&gt;GWT&lt;/a&gt;</v>
      </c>
      <c r="Q1009" t="str">
        <f t="shared" si="4032"/>
        <v>&lt;/li&gt;&lt;li&gt;&lt;a href=|http://kingjbible.com/john/12.htm| title=|King James Bible| target=|_top|&gt;KJV&lt;/a&gt;</v>
      </c>
      <c r="R1009" t="str">
        <f t="shared" si="4032"/>
        <v>&lt;/li&gt;&lt;li&gt;&lt;a href=|http://asvbible.com/john/12.htm| title=|American Standard Version| target=|_top|&gt;ASV&lt;/a&gt;</v>
      </c>
      <c r="S1009" t="str">
        <f t="shared" si="4032"/>
        <v>&lt;/li&gt;&lt;li&gt;&lt;a href=|http://drb.scripturetext.com/john/12.htm| title=|Douay-Rheims Bible| target=|_top|&gt;DRB&lt;/a&gt;</v>
      </c>
      <c r="T1009" t="str">
        <f t="shared" si="4032"/>
        <v>&lt;/li&gt;&lt;li&gt;&lt;a href=|http://erv.scripturetext.com/john/12.htm| title=|English Revised Version| target=|_top|&gt;ERV&lt;/a&gt;</v>
      </c>
      <c r="U1009" t="str">
        <f>CONCATENATE("&lt;/li&gt;&lt;li&gt;&lt;a href=|http://",U1191,"/john/12.htm","| ","title=|",U1190,"| target=|_top|&gt;",U1192,"&lt;/a&gt;")</f>
        <v>&lt;/li&gt;&lt;li&gt;&lt;a href=|http://study.interlinearbible.org/john/12.htm| title=|Greek Study Bible| target=|_top|&gt;Grk Study&lt;/a&gt;</v>
      </c>
      <c r="W1009" t="str">
        <f t="shared" si="4032"/>
        <v>&lt;/li&gt;&lt;li&gt;&lt;a href=|http://apostolic.interlinearbible.org/john/12.htm| title=|Apostolic Bible Polyglot Interlinear| target=|_top|&gt;Polyglot&lt;/a&gt;</v>
      </c>
      <c r="X1009" t="str">
        <f t="shared" si="4032"/>
        <v>&lt;/li&gt;&lt;li&gt;&lt;a href=|http://interlinearbible.org/john/12.htm| title=|Interlinear Bible| target=|_top|&gt;Interlin&lt;/a&gt;</v>
      </c>
      <c r="Y1009" t="str">
        <f t="shared" ref="Y1009" si="4033">CONCATENATE("&lt;/li&gt;&lt;li&gt;&lt;a href=|http://",Y1191,"/john/12.htm","| ","title=|",Y1190,"| target=|_top|&gt;",Y1192,"&lt;/a&gt;")</f>
        <v>&lt;/li&gt;&lt;li&gt;&lt;a href=|http://bibleoutline.org/john/12.htm| title=|Outline with People and Places List| target=|_top|&gt;Outline&lt;/a&gt;</v>
      </c>
      <c r="Z1009" t="str">
        <f t="shared" si="4032"/>
        <v>&lt;/li&gt;&lt;li&gt;&lt;a href=|http://kjvs.scripturetext.com/john/12.htm| title=|King James Bible with Strong's Numbers| target=|_top|&gt;Strong's&lt;/a&gt;</v>
      </c>
      <c r="AA1009" t="str">
        <f t="shared" si="4032"/>
        <v>&lt;/li&gt;&lt;li&gt;&lt;a href=|http://childrensbibleonline.com/john/12.htm| title=|The Children's Bible| target=|_top|&gt;Children's&lt;/a&gt;</v>
      </c>
      <c r="AB1009" s="2" t="str">
        <f t="shared" si="4032"/>
        <v>&lt;/li&gt;&lt;li&gt;&lt;a href=|http://tsk.scripturetext.com/john/12.htm| title=|Treasury of Scripture Knowledge| target=|_top|&gt;TSK&lt;/a&gt;</v>
      </c>
      <c r="AC1009" t="str">
        <f>CONCATENATE("&lt;a href=|http://",AC1191,"/john/12.htm","| ","title=|",AC1190,"| target=|_top|&gt;",AC1192,"&lt;/a&gt;")</f>
        <v>&lt;a href=|http://parallelbible.com/john/12.htm| title=|Parallel Chapters| target=|_top|&gt;PAR&lt;/a&gt;</v>
      </c>
      <c r="AD1009" s="2" t="str">
        <f t="shared" ref="AD1009:AI1009" si="4034">CONCATENATE("&lt;/li&gt;&lt;li&gt;&lt;a href=|http://",AD1191,"/john/12.htm","| ","title=|",AD1190,"| target=|_top|&gt;",AD1192,"&lt;/a&gt;")</f>
        <v>&lt;/li&gt;&lt;li&gt;&lt;a href=|http://gsb.biblecommenter.com/john/12.htm| title=|Geneva Study Bible| target=|_top|&gt;GSB&lt;/a&gt;</v>
      </c>
      <c r="AE1009" s="2" t="str">
        <f t="shared" si="4034"/>
        <v>&lt;/li&gt;&lt;li&gt;&lt;a href=|http://jfb.biblecommenter.com/john/12.htm| title=|Jamieson-Fausset-Brown Bible Commentary| target=|_top|&gt;JFB&lt;/a&gt;</v>
      </c>
      <c r="AF1009" s="2" t="str">
        <f t="shared" si="4034"/>
        <v>&lt;/li&gt;&lt;li&gt;&lt;a href=|http://kjt.biblecommenter.com/john/12.htm| title=|King James Translators' Notes| target=|_top|&gt;KJT&lt;/a&gt;</v>
      </c>
      <c r="AG1009" s="2" t="str">
        <f t="shared" si="4034"/>
        <v>&lt;/li&gt;&lt;li&gt;&lt;a href=|http://mhc.biblecommenter.com/john/12.htm| title=|Matthew Henry's Concise Commentary| target=|_top|&gt;MHC&lt;/a&gt;</v>
      </c>
      <c r="AH1009" s="2" t="str">
        <f t="shared" si="4034"/>
        <v>&lt;/li&gt;&lt;li&gt;&lt;a href=|http://sco.biblecommenter.com/john/12.htm| title=|Scofield Reference Notes| target=|_top|&gt;SCO&lt;/a&gt;</v>
      </c>
      <c r="AI1009" s="2" t="str">
        <f t="shared" si="4034"/>
        <v>&lt;/li&gt;&lt;li&gt;&lt;a href=|http://wes.biblecommenter.com/john/12.htm| title=|Wesley's Notes on the Bible| target=|_top|&gt;WES&lt;/a&gt;</v>
      </c>
      <c r="AJ1009" t="str">
        <f>CONCATENATE("&lt;/li&gt;&lt;li&gt;&lt;a href=|http://",AJ1191,"/john/12.htm","| ","title=|",AJ1190,"| target=|_top|&gt;",AJ1192,"&lt;/a&gt;")</f>
        <v>&lt;/li&gt;&lt;li&gt;&lt;a href=|http://worldebible.com/john/12.htm| title=|World English Bible| target=|_top|&gt;WEB&lt;/a&gt;</v>
      </c>
      <c r="AK1009" t="str">
        <f>CONCATENATE("&lt;/li&gt;&lt;li&gt;&lt;a href=|http://",AK1191,"/john/12.htm","| ","title=|",AK1190,"| target=|_top|&gt;",AK1192,"&lt;/a&gt;")</f>
        <v>&lt;/li&gt;&lt;li&gt;&lt;a href=|http://yltbible.com/john/12.htm| title=|Young's Literal Translation| target=|_top|&gt;YLT&lt;/a&gt;</v>
      </c>
      <c r="AL1009" t="str">
        <f>CONCATENATE("&lt;a href=|http://",AL1191,"/john/12.htm","| ","title=|",AL1190,"| target=|_top|&gt;",AL1192,"&lt;/a&gt;")</f>
        <v>&lt;a href=|http://kjv.us/john/12.htm| title=|American King James Version| target=|_top|&gt;AKJ&lt;/a&gt;</v>
      </c>
      <c r="AM1009" t="str">
        <f t="shared" ref="AM1009:AS1009" si="4035">CONCATENATE("&lt;/li&gt;&lt;li&gt;&lt;a href=|http://",AM1191,"/john/12.htm","| ","title=|",AM1190,"| target=|_top|&gt;",AM1192,"&lt;/a&gt;")</f>
        <v>&lt;/li&gt;&lt;li&gt;&lt;a href=|http://basicenglishbible.com/john/12.htm| title=|Bible in Basic English| target=|_top|&gt;BBE&lt;/a&gt;</v>
      </c>
      <c r="AN1009" t="str">
        <f t="shared" si="4035"/>
        <v>&lt;/li&gt;&lt;li&gt;&lt;a href=|http://darbybible.com/john/12.htm| title=|Darby Bible Translation| target=|_top|&gt;DBY&lt;/a&gt;</v>
      </c>
      <c r="AO1009" t="str">
        <f t="shared" si="4035"/>
        <v>&lt;/li&gt;&lt;li&gt;&lt;a href=|http://isv.scripturetext.com/john/12.htm| title=|International Standard Version| target=|_top|&gt;ISV&lt;/a&gt;</v>
      </c>
      <c r="AP1009" t="str">
        <f t="shared" si="4035"/>
        <v>&lt;/li&gt;&lt;li&gt;&lt;a href=|http://tnt.scripturetext.com/john/12.htm| title=|Tyndale New Testament| target=|_top|&gt;TNT&lt;/a&gt;</v>
      </c>
      <c r="AQ1009" s="2" t="str">
        <f t="shared" si="4035"/>
        <v>&lt;/li&gt;&lt;li&gt;&lt;a href=|http://pnt.biblecommenter.com/john/12.htm| title=|People's New Testament| target=|_top|&gt;PNT&lt;/a&gt;</v>
      </c>
      <c r="AR1009" t="str">
        <f t="shared" si="4035"/>
        <v>&lt;/li&gt;&lt;li&gt;&lt;a href=|http://websterbible.com/john/12.htm| title=|Webster's Bible Translation| target=|_top|&gt;WBS&lt;/a&gt;</v>
      </c>
      <c r="AS1009" t="str">
        <f t="shared" si="4035"/>
        <v>&lt;/li&gt;&lt;li&gt;&lt;a href=|http://weymouthbible.com/john/12.htm| title=|Weymouth New Testament| target=|_top|&gt;WEY&lt;/a&gt;</v>
      </c>
      <c r="AT1009" t="str">
        <f>CONCATENATE("&lt;/li&gt;&lt;li&gt;&lt;a href=|http://",AT1191,"/john/12-1.htm","| ","title=|",AT1190,"| target=|_top|&gt;",AT1192,"&lt;/a&gt;")</f>
        <v>&lt;/li&gt;&lt;li&gt;&lt;a href=|http://biblebrowser.com/john/12-1.htm| title=|Split View| target=|_top|&gt;Split&lt;/a&gt;</v>
      </c>
      <c r="AU1009" s="2" t="s">
        <v>1276</v>
      </c>
      <c r="AV1009" t="s">
        <v>64</v>
      </c>
    </row>
    <row r="1010" spans="1:48">
      <c r="A1010" t="s">
        <v>622</v>
      </c>
      <c r="B1010" t="s">
        <v>1051</v>
      </c>
      <c r="C1010" t="s">
        <v>624</v>
      </c>
      <c r="D1010" t="s">
        <v>1268</v>
      </c>
      <c r="E1010" t="s">
        <v>1277</v>
      </c>
      <c r="F1010" t="s">
        <v>1304</v>
      </c>
      <c r="G1010" t="s">
        <v>1266</v>
      </c>
      <c r="H1010" t="s">
        <v>1305</v>
      </c>
      <c r="I1010" t="s">
        <v>1303</v>
      </c>
      <c r="J1010" t="s">
        <v>1267</v>
      </c>
      <c r="K1010" t="s">
        <v>1275</v>
      </c>
      <c r="L1010" s="2" t="s">
        <v>1274</v>
      </c>
      <c r="M1010" t="str">
        <f t="shared" ref="M1010:AB1010" si="4036">CONCATENATE("&lt;/li&gt;&lt;li&gt;&lt;a href=|http://",M1191,"/john/13.htm","| ","title=|",M1190,"| target=|_top|&gt;",M1192,"&lt;/a&gt;")</f>
        <v>&lt;/li&gt;&lt;li&gt;&lt;a href=|http://niv.scripturetext.com/john/13.htm| title=|New International Version| target=|_top|&gt;NIV&lt;/a&gt;</v>
      </c>
      <c r="N1010" t="str">
        <f t="shared" si="4036"/>
        <v>&lt;/li&gt;&lt;li&gt;&lt;a href=|http://nlt.scripturetext.com/john/13.htm| title=|New Living Translation| target=|_top|&gt;NLT&lt;/a&gt;</v>
      </c>
      <c r="O1010" t="str">
        <f t="shared" si="4036"/>
        <v>&lt;/li&gt;&lt;li&gt;&lt;a href=|http://nasb.scripturetext.com/john/13.htm| title=|New American Standard Bible| target=|_top|&gt;NAS&lt;/a&gt;</v>
      </c>
      <c r="P1010" t="str">
        <f t="shared" si="4036"/>
        <v>&lt;/li&gt;&lt;li&gt;&lt;a href=|http://gwt.scripturetext.com/john/13.htm| title=|God's Word Translation| target=|_top|&gt;GWT&lt;/a&gt;</v>
      </c>
      <c r="Q1010" t="str">
        <f t="shared" si="4036"/>
        <v>&lt;/li&gt;&lt;li&gt;&lt;a href=|http://kingjbible.com/john/13.htm| title=|King James Bible| target=|_top|&gt;KJV&lt;/a&gt;</v>
      </c>
      <c r="R1010" t="str">
        <f t="shared" si="4036"/>
        <v>&lt;/li&gt;&lt;li&gt;&lt;a href=|http://asvbible.com/john/13.htm| title=|American Standard Version| target=|_top|&gt;ASV&lt;/a&gt;</v>
      </c>
      <c r="S1010" t="str">
        <f t="shared" si="4036"/>
        <v>&lt;/li&gt;&lt;li&gt;&lt;a href=|http://drb.scripturetext.com/john/13.htm| title=|Douay-Rheims Bible| target=|_top|&gt;DRB&lt;/a&gt;</v>
      </c>
      <c r="T1010" t="str">
        <f t="shared" si="4036"/>
        <v>&lt;/li&gt;&lt;li&gt;&lt;a href=|http://erv.scripturetext.com/john/13.htm| title=|English Revised Version| target=|_top|&gt;ERV&lt;/a&gt;</v>
      </c>
      <c r="U1010" t="str">
        <f>CONCATENATE("&lt;/li&gt;&lt;li&gt;&lt;a href=|http://",U1191,"/john/13.htm","| ","title=|",U1190,"| target=|_top|&gt;",U1192,"&lt;/a&gt;")</f>
        <v>&lt;/li&gt;&lt;li&gt;&lt;a href=|http://study.interlinearbible.org/john/13.htm| title=|Greek Study Bible| target=|_top|&gt;Grk Study&lt;/a&gt;</v>
      </c>
      <c r="W1010" t="str">
        <f t="shared" si="4036"/>
        <v>&lt;/li&gt;&lt;li&gt;&lt;a href=|http://apostolic.interlinearbible.org/john/13.htm| title=|Apostolic Bible Polyglot Interlinear| target=|_top|&gt;Polyglot&lt;/a&gt;</v>
      </c>
      <c r="X1010" t="str">
        <f t="shared" si="4036"/>
        <v>&lt;/li&gt;&lt;li&gt;&lt;a href=|http://interlinearbible.org/john/13.htm| title=|Interlinear Bible| target=|_top|&gt;Interlin&lt;/a&gt;</v>
      </c>
      <c r="Y1010" t="str">
        <f t="shared" ref="Y1010" si="4037">CONCATENATE("&lt;/li&gt;&lt;li&gt;&lt;a href=|http://",Y1191,"/john/13.htm","| ","title=|",Y1190,"| target=|_top|&gt;",Y1192,"&lt;/a&gt;")</f>
        <v>&lt;/li&gt;&lt;li&gt;&lt;a href=|http://bibleoutline.org/john/13.htm| title=|Outline with People and Places List| target=|_top|&gt;Outline&lt;/a&gt;</v>
      </c>
      <c r="Z1010" t="str">
        <f t="shared" si="4036"/>
        <v>&lt;/li&gt;&lt;li&gt;&lt;a href=|http://kjvs.scripturetext.com/john/13.htm| title=|King James Bible with Strong's Numbers| target=|_top|&gt;Strong's&lt;/a&gt;</v>
      </c>
      <c r="AA1010" t="str">
        <f t="shared" si="4036"/>
        <v>&lt;/li&gt;&lt;li&gt;&lt;a href=|http://childrensbibleonline.com/john/13.htm| title=|The Children's Bible| target=|_top|&gt;Children's&lt;/a&gt;</v>
      </c>
      <c r="AB1010" s="2" t="str">
        <f t="shared" si="4036"/>
        <v>&lt;/li&gt;&lt;li&gt;&lt;a href=|http://tsk.scripturetext.com/john/13.htm| title=|Treasury of Scripture Knowledge| target=|_top|&gt;TSK&lt;/a&gt;</v>
      </c>
      <c r="AC1010" t="str">
        <f>CONCATENATE("&lt;a href=|http://",AC1191,"/john/13.htm","| ","title=|",AC1190,"| target=|_top|&gt;",AC1192,"&lt;/a&gt;")</f>
        <v>&lt;a href=|http://parallelbible.com/john/13.htm| title=|Parallel Chapters| target=|_top|&gt;PAR&lt;/a&gt;</v>
      </c>
      <c r="AD1010" s="2" t="str">
        <f t="shared" ref="AD1010:AI1010" si="4038">CONCATENATE("&lt;/li&gt;&lt;li&gt;&lt;a href=|http://",AD1191,"/john/13.htm","| ","title=|",AD1190,"| target=|_top|&gt;",AD1192,"&lt;/a&gt;")</f>
        <v>&lt;/li&gt;&lt;li&gt;&lt;a href=|http://gsb.biblecommenter.com/john/13.htm| title=|Geneva Study Bible| target=|_top|&gt;GSB&lt;/a&gt;</v>
      </c>
      <c r="AE1010" s="2" t="str">
        <f t="shared" si="4038"/>
        <v>&lt;/li&gt;&lt;li&gt;&lt;a href=|http://jfb.biblecommenter.com/john/13.htm| title=|Jamieson-Fausset-Brown Bible Commentary| target=|_top|&gt;JFB&lt;/a&gt;</v>
      </c>
      <c r="AF1010" s="2" t="str">
        <f t="shared" si="4038"/>
        <v>&lt;/li&gt;&lt;li&gt;&lt;a href=|http://kjt.biblecommenter.com/john/13.htm| title=|King James Translators' Notes| target=|_top|&gt;KJT&lt;/a&gt;</v>
      </c>
      <c r="AG1010" s="2" t="str">
        <f t="shared" si="4038"/>
        <v>&lt;/li&gt;&lt;li&gt;&lt;a href=|http://mhc.biblecommenter.com/john/13.htm| title=|Matthew Henry's Concise Commentary| target=|_top|&gt;MHC&lt;/a&gt;</v>
      </c>
      <c r="AH1010" s="2" t="str">
        <f t="shared" si="4038"/>
        <v>&lt;/li&gt;&lt;li&gt;&lt;a href=|http://sco.biblecommenter.com/john/13.htm| title=|Scofield Reference Notes| target=|_top|&gt;SCO&lt;/a&gt;</v>
      </c>
      <c r="AI1010" s="2" t="str">
        <f t="shared" si="4038"/>
        <v>&lt;/li&gt;&lt;li&gt;&lt;a href=|http://wes.biblecommenter.com/john/13.htm| title=|Wesley's Notes on the Bible| target=|_top|&gt;WES&lt;/a&gt;</v>
      </c>
      <c r="AJ1010" t="str">
        <f>CONCATENATE("&lt;/li&gt;&lt;li&gt;&lt;a href=|http://",AJ1191,"/john/13.htm","| ","title=|",AJ1190,"| target=|_top|&gt;",AJ1192,"&lt;/a&gt;")</f>
        <v>&lt;/li&gt;&lt;li&gt;&lt;a href=|http://worldebible.com/john/13.htm| title=|World English Bible| target=|_top|&gt;WEB&lt;/a&gt;</v>
      </c>
      <c r="AK1010" t="str">
        <f>CONCATENATE("&lt;/li&gt;&lt;li&gt;&lt;a href=|http://",AK1191,"/john/13.htm","| ","title=|",AK1190,"| target=|_top|&gt;",AK1192,"&lt;/a&gt;")</f>
        <v>&lt;/li&gt;&lt;li&gt;&lt;a href=|http://yltbible.com/john/13.htm| title=|Young's Literal Translation| target=|_top|&gt;YLT&lt;/a&gt;</v>
      </c>
      <c r="AL1010" t="str">
        <f>CONCATENATE("&lt;a href=|http://",AL1191,"/john/13.htm","| ","title=|",AL1190,"| target=|_top|&gt;",AL1192,"&lt;/a&gt;")</f>
        <v>&lt;a href=|http://kjv.us/john/13.htm| title=|American King James Version| target=|_top|&gt;AKJ&lt;/a&gt;</v>
      </c>
      <c r="AM1010" t="str">
        <f t="shared" ref="AM1010:AS1010" si="4039">CONCATENATE("&lt;/li&gt;&lt;li&gt;&lt;a href=|http://",AM1191,"/john/13.htm","| ","title=|",AM1190,"| target=|_top|&gt;",AM1192,"&lt;/a&gt;")</f>
        <v>&lt;/li&gt;&lt;li&gt;&lt;a href=|http://basicenglishbible.com/john/13.htm| title=|Bible in Basic English| target=|_top|&gt;BBE&lt;/a&gt;</v>
      </c>
      <c r="AN1010" t="str">
        <f t="shared" si="4039"/>
        <v>&lt;/li&gt;&lt;li&gt;&lt;a href=|http://darbybible.com/john/13.htm| title=|Darby Bible Translation| target=|_top|&gt;DBY&lt;/a&gt;</v>
      </c>
      <c r="AO1010" t="str">
        <f t="shared" si="4039"/>
        <v>&lt;/li&gt;&lt;li&gt;&lt;a href=|http://isv.scripturetext.com/john/13.htm| title=|International Standard Version| target=|_top|&gt;ISV&lt;/a&gt;</v>
      </c>
      <c r="AP1010" t="str">
        <f t="shared" si="4039"/>
        <v>&lt;/li&gt;&lt;li&gt;&lt;a href=|http://tnt.scripturetext.com/john/13.htm| title=|Tyndale New Testament| target=|_top|&gt;TNT&lt;/a&gt;</v>
      </c>
      <c r="AQ1010" s="2" t="str">
        <f t="shared" si="4039"/>
        <v>&lt;/li&gt;&lt;li&gt;&lt;a href=|http://pnt.biblecommenter.com/john/13.htm| title=|People's New Testament| target=|_top|&gt;PNT&lt;/a&gt;</v>
      </c>
      <c r="AR1010" t="str">
        <f t="shared" si="4039"/>
        <v>&lt;/li&gt;&lt;li&gt;&lt;a href=|http://websterbible.com/john/13.htm| title=|Webster's Bible Translation| target=|_top|&gt;WBS&lt;/a&gt;</v>
      </c>
      <c r="AS1010" t="str">
        <f t="shared" si="4039"/>
        <v>&lt;/li&gt;&lt;li&gt;&lt;a href=|http://weymouthbible.com/john/13.htm| title=|Weymouth New Testament| target=|_top|&gt;WEY&lt;/a&gt;</v>
      </c>
      <c r="AT1010" t="str">
        <f>CONCATENATE("&lt;/li&gt;&lt;li&gt;&lt;a href=|http://",AT1191,"/john/13-1.htm","| ","title=|",AT1190,"| target=|_top|&gt;",AT1192,"&lt;/a&gt;")</f>
        <v>&lt;/li&gt;&lt;li&gt;&lt;a href=|http://biblebrowser.com/john/13-1.htm| title=|Split View| target=|_top|&gt;Split&lt;/a&gt;</v>
      </c>
      <c r="AU1010" s="2" t="s">
        <v>1276</v>
      </c>
      <c r="AV1010" t="s">
        <v>64</v>
      </c>
    </row>
    <row r="1011" spans="1:48">
      <c r="A1011" t="s">
        <v>622</v>
      </c>
      <c r="B1011" t="s">
        <v>1052</v>
      </c>
      <c r="C1011" t="s">
        <v>624</v>
      </c>
      <c r="D1011" t="s">
        <v>1268</v>
      </c>
      <c r="E1011" t="s">
        <v>1277</v>
      </c>
      <c r="F1011" t="s">
        <v>1304</v>
      </c>
      <c r="G1011" t="s">
        <v>1266</v>
      </c>
      <c r="H1011" t="s">
        <v>1305</v>
      </c>
      <c r="I1011" t="s">
        <v>1303</v>
      </c>
      <c r="J1011" t="s">
        <v>1267</v>
      </c>
      <c r="K1011" t="s">
        <v>1275</v>
      </c>
      <c r="L1011" s="2" t="s">
        <v>1274</v>
      </c>
      <c r="M1011" t="str">
        <f t="shared" ref="M1011:AB1011" si="4040">CONCATENATE("&lt;/li&gt;&lt;li&gt;&lt;a href=|http://",M1191,"/john/14.htm","| ","title=|",M1190,"| target=|_top|&gt;",M1192,"&lt;/a&gt;")</f>
        <v>&lt;/li&gt;&lt;li&gt;&lt;a href=|http://niv.scripturetext.com/john/14.htm| title=|New International Version| target=|_top|&gt;NIV&lt;/a&gt;</v>
      </c>
      <c r="N1011" t="str">
        <f t="shared" si="4040"/>
        <v>&lt;/li&gt;&lt;li&gt;&lt;a href=|http://nlt.scripturetext.com/john/14.htm| title=|New Living Translation| target=|_top|&gt;NLT&lt;/a&gt;</v>
      </c>
      <c r="O1011" t="str">
        <f t="shared" si="4040"/>
        <v>&lt;/li&gt;&lt;li&gt;&lt;a href=|http://nasb.scripturetext.com/john/14.htm| title=|New American Standard Bible| target=|_top|&gt;NAS&lt;/a&gt;</v>
      </c>
      <c r="P1011" t="str">
        <f t="shared" si="4040"/>
        <v>&lt;/li&gt;&lt;li&gt;&lt;a href=|http://gwt.scripturetext.com/john/14.htm| title=|God's Word Translation| target=|_top|&gt;GWT&lt;/a&gt;</v>
      </c>
      <c r="Q1011" t="str">
        <f t="shared" si="4040"/>
        <v>&lt;/li&gt;&lt;li&gt;&lt;a href=|http://kingjbible.com/john/14.htm| title=|King James Bible| target=|_top|&gt;KJV&lt;/a&gt;</v>
      </c>
      <c r="R1011" t="str">
        <f t="shared" si="4040"/>
        <v>&lt;/li&gt;&lt;li&gt;&lt;a href=|http://asvbible.com/john/14.htm| title=|American Standard Version| target=|_top|&gt;ASV&lt;/a&gt;</v>
      </c>
      <c r="S1011" t="str">
        <f t="shared" si="4040"/>
        <v>&lt;/li&gt;&lt;li&gt;&lt;a href=|http://drb.scripturetext.com/john/14.htm| title=|Douay-Rheims Bible| target=|_top|&gt;DRB&lt;/a&gt;</v>
      </c>
      <c r="T1011" t="str">
        <f t="shared" si="4040"/>
        <v>&lt;/li&gt;&lt;li&gt;&lt;a href=|http://erv.scripturetext.com/john/14.htm| title=|English Revised Version| target=|_top|&gt;ERV&lt;/a&gt;</v>
      </c>
      <c r="U1011" t="str">
        <f>CONCATENATE("&lt;/li&gt;&lt;li&gt;&lt;a href=|http://",U1191,"/john/14.htm","| ","title=|",U1190,"| target=|_top|&gt;",U1192,"&lt;/a&gt;")</f>
        <v>&lt;/li&gt;&lt;li&gt;&lt;a href=|http://study.interlinearbible.org/john/14.htm| title=|Greek Study Bible| target=|_top|&gt;Grk Study&lt;/a&gt;</v>
      </c>
      <c r="W1011" t="str">
        <f t="shared" si="4040"/>
        <v>&lt;/li&gt;&lt;li&gt;&lt;a href=|http://apostolic.interlinearbible.org/john/14.htm| title=|Apostolic Bible Polyglot Interlinear| target=|_top|&gt;Polyglot&lt;/a&gt;</v>
      </c>
      <c r="X1011" t="str">
        <f t="shared" si="4040"/>
        <v>&lt;/li&gt;&lt;li&gt;&lt;a href=|http://interlinearbible.org/john/14.htm| title=|Interlinear Bible| target=|_top|&gt;Interlin&lt;/a&gt;</v>
      </c>
      <c r="Y1011" t="str">
        <f t="shared" ref="Y1011" si="4041">CONCATENATE("&lt;/li&gt;&lt;li&gt;&lt;a href=|http://",Y1191,"/john/14.htm","| ","title=|",Y1190,"| target=|_top|&gt;",Y1192,"&lt;/a&gt;")</f>
        <v>&lt;/li&gt;&lt;li&gt;&lt;a href=|http://bibleoutline.org/john/14.htm| title=|Outline with People and Places List| target=|_top|&gt;Outline&lt;/a&gt;</v>
      </c>
      <c r="Z1011" t="str">
        <f t="shared" si="4040"/>
        <v>&lt;/li&gt;&lt;li&gt;&lt;a href=|http://kjvs.scripturetext.com/john/14.htm| title=|King James Bible with Strong's Numbers| target=|_top|&gt;Strong's&lt;/a&gt;</v>
      </c>
      <c r="AA1011" t="str">
        <f t="shared" si="4040"/>
        <v>&lt;/li&gt;&lt;li&gt;&lt;a href=|http://childrensbibleonline.com/john/14.htm| title=|The Children's Bible| target=|_top|&gt;Children's&lt;/a&gt;</v>
      </c>
      <c r="AB1011" s="2" t="str">
        <f t="shared" si="4040"/>
        <v>&lt;/li&gt;&lt;li&gt;&lt;a href=|http://tsk.scripturetext.com/john/14.htm| title=|Treasury of Scripture Knowledge| target=|_top|&gt;TSK&lt;/a&gt;</v>
      </c>
      <c r="AC1011" t="str">
        <f>CONCATENATE("&lt;a href=|http://",AC1191,"/john/14.htm","| ","title=|",AC1190,"| target=|_top|&gt;",AC1192,"&lt;/a&gt;")</f>
        <v>&lt;a href=|http://parallelbible.com/john/14.htm| title=|Parallel Chapters| target=|_top|&gt;PAR&lt;/a&gt;</v>
      </c>
      <c r="AD1011" s="2" t="str">
        <f t="shared" ref="AD1011:AI1011" si="4042">CONCATENATE("&lt;/li&gt;&lt;li&gt;&lt;a href=|http://",AD1191,"/john/14.htm","| ","title=|",AD1190,"| target=|_top|&gt;",AD1192,"&lt;/a&gt;")</f>
        <v>&lt;/li&gt;&lt;li&gt;&lt;a href=|http://gsb.biblecommenter.com/john/14.htm| title=|Geneva Study Bible| target=|_top|&gt;GSB&lt;/a&gt;</v>
      </c>
      <c r="AE1011" s="2" t="str">
        <f t="shared" si="4042"/>
        <v>&lt;/li&gt;&lt;li&gt;&lt;a href=|http://jfb.biblecommenter.com/john/14.htm| title=|Jamieson-Fausset-Brown Bible Commentary| target=|_top|&gt;JFB&lt;/a&gt;</v>
      </c>
      <c r="AF1011" s="2" t="str">
        <f t="shared" si="4042"/>
        <v>&lt;/li&gt;&lt;li&gt;&lt;a href=|http://kjt.biblecommenter.com/john/14.htm| title=|King James Translators' Notes| target=|_top|&gt;KJT&lt;/a&gt;</v>
      </c>
      <c r="AG1011" s="2" t="str">
        <f t="shared" si="4042"/>
        <v>&lt;/li&gt;&lt;li&gt;&lt;a href=|http://mhc.biblecommenter.com/john/14.htm| title=|Matthew Henry's Concise Commentary| target=|_top|&gt;MHC&lt;/a&gt;</v>
      </c>
      <c r="AH1011" s="2" t="str">
        <f t="shared" si="4042"/>
        <v>&lt;/li&gt;&lt;li&gt;&lt;a href=|http://sco.biblecommenter.com/john/14.htm| title=|Scofield Reference Notes| target=|_top|&gt;SCO&lt;/a&gt;</v>
      </c>
      <c r="AI1011" s="2" t="str">
        <f t="shared" si="4042"/>
        <v>&lt;/li&gt;&lt;li&gt;&lt;a href=|http://wes.biblecommenter.com/john/14.htm| title=|Wesley's Notes on the Bible| target=|_top|&gt;WES&lt;/a&gt;</v>
      </c>
      <c r="AJ1011" t="str">
        <f>CONCATENATE("&lt;/li&gt;&lt;li&gt;&lt;a href=|http://",AJ1191,"/john/14.htm","| ","title=|",AJ1190,"| target=|_top|&gt;",AJ1192,"&lt;/a&gt;")</f>
        <v>&lt;/li&gt;&lt;li&gt;&lt;a href=|http://worldebible.com/john/14.htm| title=|World English Bible| target=|_top|&gt;WEB&lt;/a&gt;</v>
      </c>
      <c r="AK1011" t="str">
        <f>CONCATENATE("&lt;/li&gt;&lt;li&gt;&lt;a href=|http://",AK1191,"/john/14.htm","| ","title=|",AK1190,"| target=|_top|&gt;",AK1192,"&lt;/a&gt;")</f>
        <v>&lt;/li&gt;&lt;li&gt;&lt;a href=|http://yltbible.com/john/14.htm| title=|Young's Literal Translation| target=|_top|&gt;YLT&lt;/a&gt;</v>
      </c>
      <c r="AL1011" t="str">
        <f>CONCATENATE("&lt;a href=|http://",AL1191,"/john/14.htm","| ","title=|",AL1190,"| target=|_top|&gt;",AL1192,"&lt;/a&gt;")</f>
        <v>&lt;a href=|http://kjv.us/john/14.htm| title=|American King James Version| target=|_top|&gt;AKJ&lt;/a&gt;</v>
      </c>
      <c r="AM1011" t="str">
        <f t="shared" ref="AM1011:AS1011" si="4043">CONCATENATE("&lt;/li&gt;&lt;li&gt;&lt;a href=|http://",AM1191,"/john/14.htm","| ","title=|",AM1190,"| target=|_top|&gt;",AM1192,"&lt;/a&gt;")</f>
        <v>&lt;/li&gt;&lt;li&gt;&lt;a href=|http://basicenglishbible.com/john/14.htm| title=|Bible in Basic English| target=|_top|&gt;BBE&lt;/a&gt;</v>
      </c>
      <c r="AN1011" t="str">
        <f t="shared" si="4043"/>
        <v>&lt;/li&gt;&lt;li&gt;&lt;a href=|http://darbybible.com/john/14.htm| title=|Darby Bible Translation| target=|_top|&gt;DBY&lt;/a&gt;</v>
      </c>
      <c r="AO1011" t="str">
        <f t="shared" si="4043"/>
        <v>&lt;/li&gt;&lt;li&gt;&lt;a href=|http://isv.scripturetext.com/john/14.htm| title=|International Standard Version| target=|_top|&gt;ISV&lt;/a&gt;</v>
      </c>
      <c r="AP1011" t="str">
        <f t="shared" si="4043"/>
        <v>&lt;/li&gt;&lt;li&gt;&lt;a href=|http://tnt.scripturetext.com/john/14.htm| title=|Tyndale New Testament| target=|_top|&gt;TNT&lt;/a&gt;</v>
      </c>
      <c r="AQ1011" s="2" t="str">
        <f t="shared" si="4043"/>
        <v>&lt;/li&gt;&lt;li&gt;&lt;a href=|http://pnt.biblecommenter.com/john/14.htm| title=|People's New Testament| target=|_top|&gt;PNT&lt;/a&gt;</v>
      </c>
      <c r="AR1011" t="str">
        <f t="shared" si="4043"/>
        <v>&lt;/li&gt;&lt;li&gt;&lt;a href=|http://websterbible.com/john/14.htm| title=|Webster's Bible Translation| target=|_top|&gt;WBS&lt;/a&gt;</v>
      </c>
      <c r="AS1011" t="str">
        <f t="shared" si="4043"/>
        <v>&lt;/li&gt;&lt;li&gt;&lt;a href=|http://weymouthbible.com/john/14.htm| title=|Weymouth New Testament| target=|_top|&gt;WEY&lt;/a&gt;</v>
      </c>
      <c r="AT1011" t="str">
        <f>CONCATENATE("&lt;/li&gt;&lt;li&gt;&lt;a href=|http://",AT1191,"/john/14-1.htm","| ","title=|",AT1190,"| target=|_top|&gt;",AT1192,"&lt;/a&gt;")</f>
        <v>&lt;/li&gt;&lt;li&gt;&lt;a href=|http://biblebrowser.com/john/14-1.htm| title=|Split View| target=|_top|&gt;Split&lt;/a&gt;</v>
      </c>
      <c r="AU1011" s="2" t="s">
        <v>1276</v>
      </c>
      <c r="AV1011" t="s">
        <v>64</v>
      </c>
    </row>
    <row r="1012" spans="1:48">
      <c r="A1012" t="s">
        <v>622</v>
      </c>
      <c r="B1012" t="s">
        <v>1053</v>
      </c>
      <c r="C1012" t="s">
        <v>624</v>
      </c>
      <c r="D1012" t="s">
        <v>1268</v>
      </c>
      <c r="E1012" t="s">
        <v>1277</v>
      </c>
      <c r="F1012" t="s">
        <v>1304</v>
      </c>
      <c r="G1012" t="s">
        <v>1266</v>
      </c>
      <c r="H1012" t="s">
        <v>1305</v>
      </c>
      <c r="I1012" t="s">
        <v>1303</v>
      </c>
      <c r="J1012" t="s">
        <v>1267</v>
      </c>
      <c r="K1012" t="s">
        <v>1275</v>
      </c>
      <c r="L1012" s="2" t="s">
        <v>1274</v>
      </c>
      <c r="M1012" t="str">
        <f t="shared" ref="M1012:AB1012" si="4044">CONCATENATE("&lt;/li&gt;&lt;li&gt;&lt;a href=|http://",M1191,"/john/15.htm","| ","title=|",M1190,"| target=|_top|&gt;",M1192,"&lt;/a&gt;")</f>
        <v>&lt;/li&gt;&lt;li&gt;&lt;a href=|http://niv.scripturetext.com/john/15.htm| title=|New International Version| target=|_top|&gt;NIV&lt;/a&gt;</v>
      </c>
      <c r="N1012" t="str">
        <f t="shared" si="4044"/>
        <v>&lt;/li&gt;&lt;li&gt;&lt;a href=|http://nlt.scripturetext.com/john/15.htm| title=|New Living Translation| target=|_top|&gt;NLT&lt;/a&gt;</v>
      </c>
      <c r="O1012" t="str">
        <f t="shared" si="4044"/>
        <v>&lt;/li&gt;&lt;li&gt;&lt;a href=|http://nasb.scripturetext.com/john/15.htm| title=|New American Standard Bible| target=|_top|&gt;NAS&lt;/a&gt;</v>
      </c>
      <c r="P1012" t="str">
        <f t="shared" si="4044"/>
        <v>&lt;/li&gt;&lt;li&gt;&lt;a href=|http://gwt.scripturetext.com/john/15.htm| title=|God's Word Translation| target=|_top|&gt;GWT&lt;/a&gt;</v>
      </c>
      <c r="Q1012" t="str">
        <f t="shared" si="4044"/>
        <v>&lt;/li&gt;&lt;li&gt;&lt;a href=|http://kingjbible.com/john/15.htm| title=|King James Bible| target=|_top|&gt;KJV&lt;/a&gt;</v>
      </c>
      <c r="R1012" t="str">
        <f t="shared" si="4044"/>
        <v>&lt;/li&gt;&lt;li&gt;&lt;a href=|http://asvbible.com/john/15.htm| title=|American Standard Version| target=|_top|&gt;ASV&lt;/a&gt;</v>
      </c>
      <c r="S1012" t="str">
        <f t="shared" si="4044"/>
        <v>&lt;/li&gt;&lt;li&gt;&lt;a href=|http://drb.scripturetext.com/john/15.htm| title=|Douay-Rheims Bible| target=|_top|&gt;DRB&lt;/a&gt;</v>
      </c>
      <c r="T1012" t="str">
        <f t="shared" si="4044"/>
        <v>&lt;/li&gt;&lt;li&gt;&lt;a href=|http://erv.scripturetext.com/john/15.htm| title=|English Revised Version| target=|_top|&gt;ERV&lt;/a&gt;</v>
      </c>
      <c r="U1012" t="str">
        <f>CONCATENATE("&lt;/li&gt;&lt;li&gt;&lt;a href=|http://",U1191,"/john/15.htm","| ","title=|",U1190,"| target=|_top|&gt;",U1192,"&lt;/a&gt;")</f>
        <v>&lt;/li&gt;&lt;li&gt;&lt;a href=|http://study.interlinearbible.org/john/15.htm| title=|Greek Study Bible| target=|_top|&gt;Grk Study&lt;/a&gt;</v>
      </c>
      <c r="W1012" t="str">
        <f t="shared" si="4044"/>
        <v>&lt;/li&gt;&lt;li&gt;&lt;a href=|http://apostolic.interlinearbible.org/john/15.htm| title=|Apostolic Bible Polyglot Interlinear| target=|_top|&gt;Polyglot&lt;/a&gt;</v>
      </c>
      <c r="X1012" t="str">
        <f t="shared" si="4044"/>
        <v>&lt;/li&gt;&lt;li&gt;&lt;a href=|http://interlinearbible.org/john/15.htm| title=|Interlinear Bible| target=|_top|&gt;Interlin&lt;/a&gt;</v>
      </c>
      <c r="Y1012" t="str">
        <f t="shared" ref="Y1012" si="4045">CONCATENATE("&lt;/li&gt;&lt;li&gt;&lt;a href=|http://",Y1191,"/john/15.htm","| ","title=|",Y1190,"| target=|_top|&gt;",Y1192,"&lt;/a&gt;")</f>
        <v>&lt;/li&gt;&lt;li&gt;&lt;a href=|http://bibleoutline.org/john/15.htm| title=|Outline with People and Places List| target=|_top|&gt;Outline&lt;/a&gt;</v>
      </c>
      <c r="Z1012" t="str">
        <f t="shared" si="4044"/>
        <v>&lt;/li&gt;&lt;li&gt;&lt;a href=|http://kjvs.scripturetext.com/john/15.htm| title=|King James Bible with Strong's Numbers| target=|_top|&gt;Strong's&lt;/a&gt;</v>
      </c>
      <c r="AA1012" t="str">
        <f t="shared" si="4044"/>
        <v>&lt;/li&gt;&lt;li&gt;&lt;a href=|http://childrensbibleonline.com/john/15.htm| title=|The Children's Bible| target=|_top|&gt;Children's&lt;/a&gt;</v>
      </c>
      <c r="AB1012" s="2" t="str">
        <f t="shared" si="4044"/>
        <v>&lt;/li&gt;&lt;li&gt;&lt;a href=|http://tsk.scripturetext.com/john/15.htm| title=|Treasury of Scripture Knowledge| target=|_top|&gt;TSK&lt;/a&gt;</v>
      </c>
      <c r="AC1012" t="str">
        <f>CONCATENATE("&lt;a href=|http://",AC1191,"/john/15.htm","| ","title=|",AC1190,"| target=|_top|&gt;",AC1192,"&lt;/a&gt;")</f>
        <v>&lt;a href=|http://parallelbible.com/john/15.htm| title=|Parallel Chapters| target=|_top|&gt;PAR&lt;/a&gt;</v>
      </c>
      <c r="AD1012" s="2" t="str">
        <f t="shared" ref="AD1012:AI1012" si="4046">CONCATENATE("&lt;/li&gt;&lt;li&gt;&lt;a href=|http://",AD1191,"/john/15.htm","| ","title=|",AD1190,"| target=|_top|&gt;",AD1192,"&lt;/a&gt;")</f>
        <v>&lt;/li&gt;&lt;li&gt;&lt;a href=|http://gsb.biblecommenter.com/john/15.htm| title=|Geneva Study Bible| target=|_top|&gt;GSB&lt;/a&gt;</v>
      </c>
      <c r="AE1012" s="2" t="str">
        <f t="shared" si="4046"/>
        <v>&lt;/li&gt;&lt;li&gt;&lt;a href=|http://jfb.biblecommenter.com/john/15.htm| title=|Jamieson-Fausset-Brown Bible Commentary| target=|_top|&gt;JFB&lt;/a&gt;</v>
      </c>
      <c r="AF1012" s="2" t="str">
        <f t="shared" si="4046"/>
        <v>&lt;/li&gt;&lt;li&gt;&lt;a href=|http://kjt.biblecommenter.com/john/15.htm| title=|King James Translators' Notes| target=|_top|&gt;KJT&lt;/a&gt;</v>
      </c>
      <c r="AG1012" s="2" t="str">
        <f t="shared" si="4046"/>
        <v>&lt;/li&gt;&lt;li&gt;&lt;a href=|http://mhc.biblecommenter.com/john/15.htm| title=|Matthew Henry's Concise Commentary| target=|_top|&gt;MHC&lt;/a&gt;</v>
      </c>
      <c r="AH1012" s="2" t="str">
        <f t="shared" si="4046"/>
        <v>&lt;/li&gt;&lt;li&gt;&lt;a href=|http://sco.biblecommenter.com/john/15.htm| title=|Scofield Reference Notes| target=|_top|&gt;SCO&lt;/a&gt;</v>
      </c>
      <c r="AI1012" s="2" t="str">
        <f t="shared" si="4046"/>
        <v>&lt;/li&gt;&lt;li&gt;&lt;a href=|http://wes.biblecommenter.com/john/15.htm| title=|Wesley's Notes on the Bible| target=|_top|&gt;WES&lt;/a&gt;</v>
      </c>
      <c r="AJ1012" t="str">
        <f>CONCATENATE("&lt;/li&gt;&lt;li&gt;&lt;a href=|http://",AJ1191,"/john/15.htm","| ","title=|",AJ1190,"| target=|_top|&gt;",AJ1192,"&lt;/a&gt;")</f>
        <v>&lt;/li&gt;&lt;li&gt;&lt;a href=|http://worldebible.com/john/15.htm| title=|World English Bible| target=|_top|&gt;WEB&lt;/a&gt;</v>
      </c>
      <c r="AK1012" t="str">
        <f>CONCATENATE("&lt;/li&gt;&lt;li&gt;&lt;a href=|http://",AK1191,"/john/15.htm","| ","title=|",AK1190,"| target=|_top|&gt;",AK1192,"&lt;/a&gt;")</f>
        <v>&lt;/li&gt;&lt;li&gt;&lt;a href=|http://yltbible.com/john/15.htm| title=|Young's Literal Translation| target=|_top|&gt;YLT&lt;/a&gt;</v>
      </c>
      <c r="AL1012" t="str">
        <f>CONCATENATE("&lt;a href=|http://",AL1191,"/john/15.htm","| ","title=|",AL1190,"| target=|_top|&gt;",AL1192,"&lt;/a&gt;")</f>
        <v>&lt;a href=|http://kjv.us/john/15.htm| title=|American King James Version| target=|_top|&gt;AKJ&lt;/a&gt;</v>
      </c>
      <c r="AM1012" t="str">
        <f t="shared" ref="AM1012:AS1012" si="4047">CONCATENATE("&lt;/li&gt;&lt;li&gt;&lt;a href=|http://",AM1191,"/john/15.htm","| ","title=|",AM1190,"| target=|_top|&gt;",AM1192,"&lt;/a&gt;")</f>
        <v>&lt;/li&gt;&lt;li&gt;&lt;a href=|http://basicenglishbible.com/john/15.htm| title=|Bible in Basic English| target=|_top|&gt;BBE&lt;/a&gt;</v>
      </c>
      <c r="AN1012" t="str">
        <f t="shared" si="4047"/>
        <v>&lt;/li&gt;&lt;li&gt;&lt;a href=|http://darbybible.com/john/15.htm| title=|Darby Bible Translation| target=|_top|&gt;DBY&lt;/a&gt;</v>
      </c>
      <c r="AO1012" t="str">
        <f t="shared" si="4047"/>
        <v>&lt;/li&gt;&lt;li&gt;&lt;a href=|http://isv.scripturetext.com/john/15.htm| title=|International Standard Version| target=|_top|&gt;ISV&lt;/a&gt;</v>
      </c>
      <c r="AP1012" t="str">
        <f t="shared" si="4047"/>
        <v>&lt;/li&gt;&lt;li&gt;&lt;a href=|http://tnt.scripturetext.com/john/15.htm| title=|Tyndale New Testament| target=|_top|&gt;TNT&lt;/a&gt;</v>
      </c>
      <c r="AQ1012" s="2" t="str">
        <f t="shared" si="4047"/>
        <v>&lt;/li&gt;&lt;li&gt;&lt;a href=|http://pnt.biblecommenter.com/john/15.htm| title=|People's New Testament| target=|_top|&gt;PNT&lt;/a&gt;</v>
      </c>
      <c r="AR1012" t="str">
        <f t="shared" si="4047"/>
        <v>&lt;/li&gt;&lt;li&gt;&lt;a href=|http://websterbible.com/john/15.htm| title=|Webster's Bible Translation| target=|_top|&gt;WBS&lt;/a&gt;</v>
      </c>
      <c r="AS1012" t="str">
        <f t="shared" si="4047"/>
        <v>&lt;/li&gt;&lt;li&gt;&lt;a href=|http://weymouthbible.com/john/15.htm| title=|Weymouth New Testament| target=|_top|&gt;WEY&lt;/a&gt;</v>
      </c>
      <c r="AT1012" t="str">
        <f>CONCATENATE("&lt;/li&gt;&lt;li&gt;&lt;a href=|http://",AT1191,"/john/15-1.htm","| ","title=|",AT1190,"| target=|_top|&gt;",AT1192,"&lt;/a&gt;")</f>
        <v>&lt;/li&gt;&lt;li&gt;&lt;a href=|http://biblebrowser.com/john/15-1.htm| title=|Split View| target=|_top|&gt;Split&lt;/a&gt;</v>
      </c>
      <c r="AU1012" s="2" t="s">
        <v>1276</v>
      </c>
      <c r="AV1012" t="s">
        <v>64</v>
      </c>
    </row>
    <row r="1013" spans="1:48">
      <c r="A1013" t="s">
        <v>622</v>
      </c>
      <c r="B1013" t="s">
        <v>1054</v>
      </c>
      <c r="C1013" t="s">
        <v>624</v>
      </c>
      <c r="D1013" t="s">
        <v>1268</v>
      </c>
      <c r="E1013" t="s">
        <v>1277</v>
      </c>
      <c r="F1013" t="s">
        <v>1304</v>
      </c>
      <c r="G1013" t="s">
        <v>1266</v>
      </c>
      <c r="H1013" t="s">
        <v>1305</v>
      </c>
      <c r="I1013" t="s">
        <v>1303</v>
      </c>
      <c r="J1013" t="s">
        <v>1267</v>
      </c>
      <c r="K1013" t="s">
        <v>1275</v>
      </c>
      <c r="L1013" s="2" t="s">
        <v>1274</v>
      </c>
      <c r="M1013" t="str">
        <f t="shared" ref="M1013:AB1013" si="4048">CONCATENATE("&lt;/li&gt;&lt;li&gt;&lt;a href=|http://",M1191,"/john/16.htm","| ","title=|",M1190,"| target=|_top|&gt;",M1192,"&lt;/a&gt;")</f>
        <v>&lt;/li&gt;&lt;li&gt;&lt;a href=|http://niv.scripturetext.com/john/16.htm| title=|New International Version| target=|_top|&gt;NIV&lt;/a&gt;</v>
      </c>
      <c r="N1013" t="str">
        <f t="shared" si="4048"/>
        <v>&lt;/li&gt;&lt;li&gt;&lt;a href=|http://nlt.scripturetext.com/john/16.htm| title=|New Living Translation| target=|_top|&gt;NLT&lt;/a&gt;</v>
      </c>
      <c r="O1013" t="str">
        <f t="shared" si="4048"/>
        <v>&lt;/li&gt;&lt;li&gt;&lt;a href=|http://nasb.scripturetext.com/john/16.htm| title=|New American Standard Bible| target=|_top|&gt;NAS&lt;/a&gt;</v>
      </c>
      <c r="P1013" t="str">
        <f t="shared" si="4048"/>
        <v>&lt;/li&gt;&lt;li&gt;&lt;a href=|http://gwt.scripturetext.com/john/16.htm| title=|God's Word Translation| target=|_top|&gt;GWT&lt;/a&gt;</v>
      </c>
      <c r="Q1013" t="str">
        <f t="shared" si="4048"/>
        <v>&lt;/li&gt;&lt;li&gt;&lt;a href=|http://kingjbible.com/john/16.htm| title=|King James Bible| target=|_top|&gt;KJV&lt;/a&gt;</v>
      </c>
      <c r="R1013" t="str">
        <f t="shared" si="4048"/>
        <v>&lt;/li&gt;&lt;li&gt;&lt;a href=|http://asvbible.com/john/16.htm| title=|American Standard Version| target=|_top|&gt;ASV&lt;/a&gt;</v>
      </c>
      <c r="S1013" t="str">
        <f t="shared" si="4048"/>
        <v>&lt;/li&gt;&lt;li&gt;&lt;a href=|http://drb.scripturetext.com/john/16.htm| title=|Douay-Rheims Bible| target=|_top|&gt;DRB&lt;/a&gt;</v>
      </c>
      <c r="T1013" t="str">
        <f t="shared" si="4048"/>
        <v>&lt;/li&gt;&lt;li&gt;&lt;a href=|http://erv.scripturetext.com/john/16.htm| title=|English Revised Version| target=|_top|&gt;ERV&lt;/a&gt;</v>
      </c>
      <c r="U1013" t="str">
        <f>CONCATENATE("&lt;/li&gt;&lt;li&gt;&lt;a href=|http://",U1191,"/john/16.htm","| ","title=|",U1190,"| target=|_top|&gt;",U1192,"&lt;/a&gt;")</f>
        <v>&lt;/li&gt;&lt;li&gt;&lt;a href=|http://study.interlinearbible.org/john/16.htm| title=|Greek Study Bible| target=|_top|&gt;Grk Study&lt;/a&gt;</v>
      </c>
      <c r="W1013" t="str">
        <f t="shared" si="4048"/>
        <v>&lt;/li&gt;&lt;li&gt;&lt;a href=|http://apostolic.interlinearbible.org/john/16.htm| title=|Apostolic Bible Polyglot Interlinear| target=|_top|&gt;Polyglot&lt;/a&gt;</v>
      </c>
      <c r="X1013" t="str">
        <f t="shared" si="4048"/>
        <v>&lt;/li&gt;&lt;li&gt;&lt;a href=|http://interlinearbible.org/john/16.htm| title=|Interlinear Bible| target=|_top|&gt;Interlin&lt;/a&gt;</v>
      </c>
      <c r="Y1013" t="str">
        <f t="shared" ref="Y1013" si="4049">CONCATENATE("&lt;/li&gt;&lt;li&gt;&lt;a href=|http://",Y1191,"/john/16.htm","| ","title=|",Y1190,"| target=|_top|&gt;",Y1192,"&lt;/a&gt;")</f>
        <v>&lt;/li&gt;&lt;li&gt;&lt;a href=|http://bibleoutline.org/john/16.htm| title=|Outline with People and Places List| target=|_top|&gt;Outline&lt;/a&gt;</v>
      </c>
      <c r="Z1013" t="str">
        <f t="shared" si="4048"/>
        <v>&lt;/li&gt;&lt;li&gt;&lt;a href=|http://kjvs.scripturetext.com/john/16.htm| title=|King James Bible with Strong's Numbers| target=|_top|&gt;Strong's&lt;/a&gt;</v>
      </c>
      <c r="AA1013" t="str">
        <f t="shared" si="4048"/>
        <v>&lt;/li&gt;&lt;li&gt;&lt;a href=|http://childrensbibleonline.com/john/16.htm| title=|The Children's Bible| target=|_top|&gt;Children's&lt;/a&gt;</v>
      </c>
      <c r="AB1013" s="2" t="str">
        <f t="shared" si="4048"/>
        <v>&lt;/li&gt;&lt;li&gt;&lt;a href=|http://tsk.scripturetext.com/john/16.htm| title=|Treasury of Scripture Knowledge| target=|_top|&gt;TSK&lt;/a&gt;</v>
      </c>
      <c r="AC1013" t="str">
        <f>CONCATENATE("&lt;a href=|http://",AC1191,"/john/16.htm","| ","title=|",AC1190,"| target=|_top|&gt;",AC1192,"&lt;/a&gt;")</f>
        <v>&lt;a href=|http://parallelbible.com/john/16.htm| title=|Parallel Chapters| target=|_top|&gt;PAR&lt;/a&gt;</v>
      </c>
      <c r="AD1013" s="2" t="str">
        <f t="shared" ref="AD1013:AI1013" si="4050">CONCATENATE("&lt;/li&gt;&lt;li&gt;&lt;a href=|http://",AD1191,"/john/16.htm","| ","title=|",AD1190,"| target=|_top|&gt;",AD1192,"&lt;/a&gt;")</f>
        <v>&lt;/li&gt;&lt;li&gt;&lt;a href=|http://gsb.biblecommenter.com/john/16.htm| title=|Geneva Study Bible| target=|_top|&gt;GSB&lt;/a&gt;</v>
      </c>
      <c r="AE1013" s="2" t="str">
        <f t="shared" si="4050"/>
        <v>&lt;/li&gt;&lt;li&gt;&lt;a href=|http://jfb.biblecommenter.com/john/16.htm| title=|Jamieson-Fausset-Brown Bible Commentary| target=|_top|&gt;JFB&lt;/a&gt;</v>
      </c>
      <c r="AF1013" s="2" t="str">
        <f t="shared" si="4050"/>
        <v>&lt;/li&gt;&lt;li&gt;&lt;a href=|http://kjt.biblecommenter.com/john/16.htm| title=|King James Translators' Notes| target=|_top|&gt;KJT&lt;/a&gt;</v>
      </c>
      <c r="AG1013" s="2" t="str">
        <f t="shared" si="4050"/>
        <v>&lt;/li&gt;&lt;li&gt;&lt;a href=|http://mhc.biblecommenter.com/john/16.htm| title=|Matthew Henry's Concise Commentary| target=|_top|&gt;MHC&lt;/a&gt;</v>
      </c>
      <c r="AH1013" s="2" t="str">
        <f t="shared" si="4050"/>
        <v>&lt;/li&gt;&lt;li&gt;&lt;a href=|http://sco.biblecommenter.com/john/16.htm| title=|Scofield Reference Notes| target=|_top|&gt;SCO&lt;/a&gt;</v>
      </c>
      <c r="AI1013" s="2" t="str">
        <f t="shared" si="4050"/>
        <v>&lt;/li&gt;&lt;li&gt;&lt;a href=|http://wes.biblecommenter.com/john/16.htm| title=|Wesley's Notes on the Bible| target=|_top|&gt;WES&lt;/a&gt;</v>
      </c>
      <c r="AJ1013" t="str">
        <f>CONCATENATE("&lt;/li&gt;&lt;li&gt;&lt;a href=|http://",AJ1191,"/john/16.htm","| ","title=|",AJ1190,"| target=|_top|&gt;",AJ1192,"&lt;/a&gt;")</f>
        <v>&lt;/li&gt;&lt;li&gt;&lt;a href=|http://worldebible.com/john/16.htm| title=|World English Bible| target=|_top|&gt;WEB&lt;/a&gt;</v>
      </c>
      <c r="AK1013" t="str">
        <f>CONCATENATE("&lt;/li&gt;&lt;li&gt;&lt;a href=|http://",AK1191,"/john/16.htm","| ","title=|",AK1190,"| target=|_top|&gt;",AK1192,"&lt;/a&gt;")</f>
        <v>&lt;/li&gt;&lt;li&gt;&lt;a href=|http://yltbible.com/john/16.htm| title=|Young's Literal Translation| target=|_top|&gt;YLT&lt;/a&gt;</v>
      </c>
      <c r="AL1013" t="str">
        <f>CONCATENATE("&lt;a href=|http://",AL1191,"/john/16.htm","| ","title=|",AL1190,"| target=|_top|&gt;",AL1192,"&lt;/a&gt;")</f>
        <v>&lt;a href=|http://kjv.us/john/16.htm| title=|American King James Version| target=|_top|&gt;AKJ&lt;/a&gt;</v>
      </c>
      <c r="AM1013" t="str">
        <f t="shared" ref="AM1013:AS1013" si="4051">CONCATENATE("&lt;/li&gt;&lt;li&gt;&lt;a href=|http://",AM1191,"/john/16.htm","| ","title=|",AM1190,"| target=|_top|&gt;",AM1192,"&lt;/a&gt;")</f>
        <v>&lt;/li&gt;&lt;li&gt;&lt;a href=|http://basicenglishbible.com/john/16.htm| title=|Bible in Basic English| target=|_top|&gt;BBE&lt;/a&gt;</v>
      </c>
      <c r="AN1013" t="str">
        <f t="shared" si="4051"/>
        <v>&lt;/li&gt;&lt;li&gt;&lt;a href=|http://darbybible.com/john/16.htm| title=|Darby Bible Translation| target=|_top|&gt;DBY&lt;/a&gt;</v>
      </c>
      <c r="AO1013" t="str">
        <f t="shared" si="4051"/>
        <v>&lt;/li&gt;&lt;li&gt;&lt;a href=|http://isv.scripturetext.com/john/16.htm| title=|International Standard Version| target=|_top|&gt;ISV&lt;/a&gt;</v>
      </c>
      <c r="AP1013" t="str">
        <f t="shared" si="4051"/>
        <v>&lt;/li&gt;&lt;li&gt;&lt;a href=|http://tnt.scripturetext.com/john/16.htm| title=|Tyndale New Testament| target=|_top|&gt;TNT&lt;/a&gt;</v>
      </c>
      <c r="AQ1013" s="2" t="str">
        <f t="shared" si="4051"/>
        <v>&lt;/li&gt;&lt;li&gt;&lt;a href=|http://pnt.biblecommenter.com/john/16.htm| title=|People's New Testament| target=|_top|&gt;PNT&lt;/a&gt;</v>
      </c>
      <c r="AR1013" t="str">
        <f t="shared" si="4051"/>
        <v>&lt;/li&gt;&lt;li&gt;&lt;a href=|http://websterbible.com/john/16.htm| title=|Webster's Bible Translation| target=|_top|&gt;WBS&lt;/a&gt;</v>
      </c>
      <c r="AS1013" t="str">
        <f t="shared" si="4051"/>
        <v>&lt;/li&gt;&lt;li&gt;&lt;a href=|http://weymouthbible.com/john/16.htm| title=|Weymouth New Testament| target=|_top|&gt;WEY&lt;/a&gt;</v>
      </c>
      <c r="AT1013" t="str">
        <f>CONCATENATE("&lt;/li&gt;&lt;li&gt;&lt;a href=|http://",AT1191,"/john/16-1.htm","| ","title=|",AT1190,"| target=|_top|&gt;",AT1192,"&lt;/a&gt;")</f>
        <v>&lt;/li&gt;&lt;li&gt;&lt;a href=|http://biblebrowser.com/john/16-1.htm| title=|Split View| target=|_top|&gt;Split&lt;/a&gt;</v>
      </c>
      <c r="AU1013" s="2" t="s">
        <v>1276</v>
      </c>
      <c r="AV1013" t="s">
        <v>64</v>
      </c>
    </row>
    <row r="1014" spans="1:48">
      <c r="A1014" t="s">
        <v>622</v>
      </c>
      <c r="B1014" t="s">
        <v>1055</v>
      </c>
      <c r="C1014" t="s">
        <v>624</v>
      </c>
      <c r="D1014" t="s">
        <v>1268</v>
      </c>
      <c r="E1014" t="s">
        <v>1277</v>
      </c>
      <c r="F1014" t="s">
        <v>1304</v>
      </c>
      <c r="G1014" t="s">
        <v>1266</v>
      </c>
      <c r="H1014" t="s">
        <v>1305</v>
      </c>
      <c r="I1014" t="s">
        <v>1303</v>
      </c>
      <c r="J1014" t="s">
        <v>1267</v>
      </c>
      <c r="K1014" t="s">
        <v>1275</v>
      </c>
      <c r="L1014" s="2" t="s">
        <v>1274</v>
      </c>
      <c r="M1014" t="str">
        <f t="shared" ref="M1014:AB1014" si="4052">CONCATENATE("&lt;/li&gt;&lt;li&gt;&lt;a href=|http://",M1191,"/john/17.htm","| ","title=|",M1190,"| target=|_top|&gt;",M1192,"&lt;/a&gt;")</f>
        <v>&lt;/li&gt;&lt;li&gt;&lt;a href=|http://niv.scripturetext.com/john/17.htm| title=|New International Version| target=|_top|&gt;NIV&lt;/a&gt;</v>
      </c>
      <c r="N1014" t="str">
        <f t="shared" si="4052"/>
        <v>&lt;/li&gt;&lt;li&gt;&lt;a href=|http://nlt.scripturetext.com/john/17.htm| title=|New Living Translation| target=|_top|&gt;NLT&lt;/a&gt;</v>
      </c>
      <c r="O1014" t="str">
        <f t="shared" si="4052"/>
        <v>&lt;/li&gt;&lt;li&gt;&lt;a href=|http://nasb.scripturetext.com/john/17.htm| title=|New American Standard Bible| target=|_top|&gt;NAS&lt;/a&gt;</v>
      </c>
      <c r="P1014" t="str">
        <f t="shared" si="4052"/>
        <v>&lt;/li&gt;&lt;li&gt;&lt;a href=|http://gwt.scripturetext.com/john/17.htm| title=|God's Word Translation| target=|_top|&gt;GWT&lt;/a&gt;</v>
      </c>
      <c r="Q1014" t="str">
        <f t="shared" si="4052"/>
        <v>&lt;/li&gt;&lt;li&gt;&lt;a href=|http://kingjbible.com/john/17.htm| title=|King James Bible| target=|_top|&gt;KJV&lt;/a&gt;</v>
      </c>
      <c r="R1014" t="str">
        <f t="shared" si="4052"/>
        <v>&lt;/li&gt;&lt;li&gt;&lt;a href=|http://asvbible.com/john/17.htm| title=|American Standard Version| target=|_top|&gt;ASV&lt;/a&gt;</v>
      </c>
      <c r="S1014" t="str">
        <f t="shared" si="4052"/>
        <v>&lt;/li&gt;&lt;li&gt;&lt;a href=|http://drb.scripturetext.com/john/17.htm| title=|Douay-Rheims Bible| target=|_top|&gt;DRB&lt;/a&gt;</v>
      </c>
      <c r="T1014" t="str">
        <f t="shared" si="4052"/>
        <v>&lt;/li&gt;&lt;li&gt;&lt;a href=|http://erv.scripturetext.com/john/17.htm| title=|English Revised Version| target=|_top|&gt;ERV&lt;/a&gt;</v>
      </c>
      <c r="U1014" t="str">
        <f>CONCATENATE("&lt;/li&gt;&lt;li&gt;&lt;a href=|http://",U1191,"/john/17.htm","| ","title=|",U1190,"| target=|_top|&gt;",U1192,"&lt;/a&gt;")</f>
        <v>&lt;/li&gt;&lt;li&gt;&lt;a href=|http://study.interlinearbible.org/john/17.htm| title=|Greek Study Bible| target=|_top|&gt;Grk Study&lt;/a&gt;</v>
      </c>
      <c r="W1014" t="str">
        <f t="shared" si="4052"/>
        <v>&lt;/li&gt;&lt;li&gt;&lt;a href=|http://apostolic.interlinearbible.org/john/17.htm| title=|Apostolic Bible Polyglot Interlinear| target=|_top|&gt;Polyglot&lt;/a&gt;</v>
      </c>
      <c r="X1014" t="str">
        <f t="shared" si="4052"/>
        <v>&lt;/li&gt;&lt;li&gt;&lt;a href=|http://interlinearbible.org/john/17.htm| title=|Interlinear Bible| target=|_top|&gt;Interlin&lt;/a&gt;</v>
      </c>
      <c r="Y1014" t="str">
        <f t="shared" ref="Y1014" si="4053">CONCATENATE("&lt;/li&gt;&lt;li&gt;&lt;a href=|http://",Y1191,"/john/17.htm","| ","title=|",Y1190,"| target=|_top|&gt;",Y1192,"&lt;/a&gt;")</f>
        <v>&lt;/li&gt;&lt;li&gt;&lt;a href=|http://bibleoutline.org/john/17.htm| title=|Outline with People and Places List| target=|_top|&gt;Outline&lt;/a&gt;</v>
      </c>
      <c r="Z1014" t="str">
        <f t="shared" si="4052"/>
        <v>&lt;/li&gt;&lt;li&gt;&lt;a href=|http://kjvs.scripturetext.com/john/17.htm| title=|King James Bible with Strong's Numbers| target=|_top|&gt;Strong's&lt;/a&gt;</v>
      </c>
      <c r="AA1014" t="str">
        <f t="shared" si="4052"/>
        <v>&lt;/li&gt;&lt;li&gt;&lt;a href=|http://childrensbibleonline.com/john/17.htm| title=|The Children's Bible| target=|_top|&gt;Children's&lt;/a&gt;</v>
      </c>
      <c r="AB1014" s="2" t="str">
        <f t="shared" si="4052"/>
        <v>&lt;/li&gt;&lt;li&gt;&lt;a href=|http://tsk.scripturetext.com/john/17.htm| title=|Treasury of Scripture Knowledge| target=|_top|&gt;TSK&lt;/a&gt;</v>
      </c>
      <c r="AC1014" t="str">
        <f>CONCATENATE("&lt;a href=|http://",AC1191,"/john/17.htm","| ","title=|",AC1190,"| target=|_top|&gt;",AC1192,"&lt;/a&gt;")</f>
        <v>&lt;a href=|http://parallelbible.com/john/17.htm| title=|Parallel Chapters| target=|_top|&gt;PAR&lt;/a&gt;</v>
      </c>
      <c r="AD1014" s="2" t="str">
        <f t="shared" ref="AD1014:AI1014" si="4054">CONCATENATE("&lt;/li&gt;&lt;li&gt;&lt;a href=|http://",AD1191,"/john/17.htm","| ","title=|",AD1190,"| target=|_top|&gt;",AD1192,"&lt;/a&gt;")</f>
        <v>&lt;/li&gt;&lt;li&gt;&lt;a href=|http://gsb.biblecommenter.com/john/17.htm| title=|Geneva Study Bible| target=|_top|&gt;GSB&lt;/a&gt;</v>
      </c>
      <c r="AE1014" s="2" t="str">
        <f t="shared" si="4054"/>
        <v>&lt;/li&gt;&lt;li&gt;&lt;a href=|http://jfb.biblecommenter.com/john/17.htm| title=|Jamieson-Fausset-Brown Bible Commentary| target=|_top|&gt;JFB&lt;/a&gt;</v>
      </c>
      <c r="AF1014" s="2" t="str">
        <f t="shared" si="4054"/>
        <v>&lt;/li&gt;&lt;li&gt;&lt;a href=|http://kjt.biblecommenter.com/john/17.htm| title=|King James Translators' Notes| target=|_top|&gt;KJT&lt;/a&gt;</v>
      </c>
      <c r="AG1014" s="2" t="str">
        <f t="shared" si="4054"/>
        <v>&lt;/li&gt;&lt;li&gt;&lt;a href=|http://mhc.biblecommenter.com/john/17.htm| title=|Matthew Henry's Concise Commentary| target=|_top|&gt;MHC&lt;/a&gt;</v>
      </c>
      <c r="AH1014" s="2" t="str">
        <f t="shared" si="4054"/>
        <v>&lt;/li&gt;&lt;li&gt;&lt;a href=|http://sco.biblecommenter.com/john/17.htm| title=|Scofield Reference Notes| target=|_top|&gt;SCO&lt;/a&gt;</v>
      </c>
      <c r="AI1014" s="2" t="str">
        <f t="shared" si="4054"/>
        <v>&lt;/li&gt;&lt;li&gt;&lt;a href=|http://wes.biblecommenter.com/john/17.htm| title=|Wesley's Notes on the Bible| target=|_top|&gt;WES&lt;/a&gt;</v>
      </c>
      <c r="AJ1014" t="str">
        <f>CONCATENATE("&lt;/li&gt;&lt;li&gt;&lt;a href=|http://",AJ1191,"/john/17.htm","| ","title=|",AJ1190,"| target=|_top|&gt;",AJ1192,"&lt;/a&gt;")</f>
        <v>&lt;/li&gt;&lt;li&gt;&lt;a href=|http://worldebible.com/john/17.htm| title=|World English Bible| target=|_top|&gt;WEB&lt;/a&gt;</v>
      </c>
      <c r="AK1014" t="str">
        <f>CONCATENATE("&lt;/li&gt;&lt;li&gt;&lt;a href=|http://",AK1191,"/john/17.htm","| ","title=|",AK1190,"| target=|_top|&gt;",AK1192,"&lt;/a&gt;")</f>
        <v>&lt;/li&gt;&lt;li&gt;&lt;a href=|http://yltbible.com/john/17.htm| title=|Young's Literal Translation| target=|_top|&gt;YLT&lt;/a&gt;</v>
      </c>
      <c r="AL1014" t="str">
        <f>CONCATENATE("&lt;a href=|http://",AL1191,"/john/17.htm","| ","title=|",AL1190,"| target=|_top|&gt;",AL1192,"&lt;/a&gt;")</f>
        <v>&lt;a href=|http://kjv.us/john/17.htm| title=|American King James Version| target=|_top|&gt;AKJ&lt;/a&gt;</v>
      </c>
      <c r="AM1014" t="str">
        <f t="shared" ref="AM1014:AS1014" si="4055">CONCATENATE("&lt;/li&gt;&lt;li&gt;&lt;a href=|http://",AM1191,"/john/17.htm","| ","title=|",AM1190,"| target=|_top|&gt;",AM1192,"&lt;/a&gt;")</f>
        <v>&lt;/li&gt;&lt;li&gt;&lt;a href=|http://basicenglishbible.com/john/17.htm| title=|Bible in Basic English| target=|_top|&gt;BBE&lt;/a&gt;</v>
      </c>
      <c r="AN1014" t="str">
        <f t="shared" si="4055"/>
        <v>&lt;/li&gt;&lt;li&gt;&lt;a href=|http://darbybible.com/john/17.htm| title=|Darby Bible Translation| target=|_top|&gt;DBY&lt;/a&gt;</v>
      </c>
      <c r="AO1014" t="str">
        <f t="shared" si="4055"/>
        <v>&lt;/li&gt;&lt;li&gt;&lt;a href=|http://isv.scripturetext.com/john/17.htm| title=|International Standard Version| target=|_top|&gt;ISV&lt;/a&gt;</v>
      </c>
      <c r="AP1014" t="str">
        <f t="shared" si="4055"/>
        <v>&lt;/li&gt;&lt;li&gt;&lt;a href=|http://tnt.scripturetext.com/john/17.htm| title=|Tyndale New Testament| target=|_top|&gt;TNT&lt;/a&gt;</v>
      </c>
      <c r="AQ1014" s="2" t="str">
        <f t="shared" si="4055"/>
        <v>&lt;/li&gt;&lt;li&gt;&lt;a href=|http://pnt.biblecommenter.com/john/17.htm| title=|People's New Testament| target=|_top|&gt;PNT&lt;/a&gt;</v>
      </c>
      <c r="AR1014" t="str">
        <f t="shared" si="4055"/>
        <v>&lt;/li&gt;&lt;li&gt;&lt;a href=|http://websterbible.com/john/17.htm| title=|Webster's Bible Translation| target=|_top|&gt;WBS&lt;/a&gt;</v>
      </c>
      <c r="AS1014" t="str">
        <f t="shared" si="4055"/>
        <v>&lt;/li&gt;&lt;li&gt;&lt;a href=|http://weymouthbible.com/john/17.htm| title=|Weymouth New Testament| target=|_top|&gt;WEY&lt;/a&gt;</v>
      </c>
      <c r="AT1014" t="str">
        <f>CONCATENATE("&lt;/li&gt;&lt;li&gt;&lt;a href=|http://",AT1191,"/john/17-1.htm","| ","title=|",AT1190,"| target=|_top|&gt;",AT1192,"&lt;/a&gt;")</f>
        <v>&lt;/li&gt;&lt;li&gt;&lt;a href=|http://biblebrowser.com/john/17-1.htm| title=|Split View| target=|_top|&gt;Split&lt;/a&gt;</v>
      </c>
      <c r="AU1014" s="2" t="s">
        <v>1276</v>
      </c>
      <c r="AV1014" t="s">
        <v>64</v>
      </c>
    </row>
    <row r="1015" spans="1:48">
      <c r="A1015" t="s">
        <v>622</v>
      </c>
      <c r="B1015" t="s">
        <v>1056</v>
      </c>
      <c r="C1015" t="s">
        <v>624</v>
      </c>
      <c r="D1015" t="s">
        <v>1268</v>
      </c>
      <c r="E1015" t="s">
        <v>1277</v>
      </c>
      <c r="F1015" t="s">
        <v>1304</v>
      </c>
      <c r="G1015" t="s">
        <v>1266</v>
      </c>
      <c r="H1015" t="s">
        <v>1305</v>
      </c>
      <c r="I1015" t="s">
        <v>1303</v>
      </c>
      <c r="J1015" t="s">
        <v>1267</v>
      </c>
      <c r="K1015" t="s">
        <v>1275</v>
      </c>
      <c r="L1015" s="2" t="s">
        <v>1274</v>
      </c>
      <c r="M1015" t="str">
        <f t="shared" ref="M1015:AB1015" si="4056">CONCATENATE("&lt;/li&gt;&lt;li&gt;&lt;a href=|http://",M1191,"/john/18.htm","| ","title=|",M1190,"| target=|_top|&gt;",M1192,"&lt;/a&gt;")</f>
        <v>&lt;/li&gt;&lt;li&gt;&lt;a href=|http://niv.scripturetext.com/john/18.htm| title=|New International Version| target=|_top|&gt;NIV&lt;/a&gt;</v>
      </c>
      <c r="N1015" t="str">
        <f t="shared" si="4056"/>
        <v>&lt;/li&gt;&lt;li&gt;&lt;a href=|http://nlt.scripturetext.com/john/18.htm| title=|New Living Translation| target=|_top|&gt;NLT&lt;/a&gt;</v>
      </c>
      <c r="O1015" t="str">
        <f t="shared" si="4056"/>
        <v>&lt;/li&gt;&lt;li&gt;&lt;a href=|http://nasb.scripturetext.com/john/18.htm| title=|New American Standard Bible| target=|_top|&gt;NAS&lt;/a&gt;</v>
      </c>
      <c r="P1015" t="str">
        <f t="shared" si="4056"/>
        <v>&lt;/li&gt;&lt;li&gt;&lt;a href=|http://gwt.scripturetext.com/john/18.htm| title=|God's Word Translation| target=|_top|&gt;GWT&lt;/a&gt;</v>
      </c>
      <c r="Q1015" t="str">
        <f t="shared" si="4056"/>
        <v>&lt;/li&gt;&lt;li&gt;&lt;a href=|http://kingjbible.com/john/18.htm| title=|King James Bible| target=|_top|&gt;KJV&lt;/a&gt;</v>
      </c>
      <c r="R1015" t="str">
        <f t="shared" si="4056"/>
        <v>&lt;/li&gt;&lt;li&gt;&lt;a href=|http://asvbible.com/john/18.htm| title=|American Standard Version| target=|_top|&gt;ASV&lt;/a&gt;</v>
      </c>
      <c r="S1015" t="str">
        <f t="shared" si="4056"/>
        <v>&lt;/li&gt;&lt;li&gt;&lt;a href=|http://drb.scripturetext.com/john/18.htm| title=|Douay-Rheims Bible| target=|_top|&gt;DRB&lt;/a&gt;</v>
      </c>
      <c r="T1015" t="str">
        <f t="shared" si="4056"/>
        <v>&lt;/li&gt;&lt;li&gt;&lt;a href=|http://erv.scripturetext.com/john/18.htm| title=|English Revised Version| target=|_top|&gt;ERV&lt;/a&gt;</v>
      </c>
      <c r="U1015" t="str">
        <f>CONCATENATE("&lt;/li&gt;&lt;li&gt;&lt;a href=|http://",U1191,"/john/18.htm","| ","title=|",U1190,"| target=|_top|&gt;",U1192,"&lt;/a&gt;")</f>
        <v>&lt;/li&gt;&lt;li&gt;&lt;a href=|http://study.interlinearbible.org/john/18.htm| title=|Greek Study Bible| target=|_top|&gt;Grk Study&lt;/a&gt;</v>
      </c>
      <c r="W1015" t="str">
        <f t="shared" si="4056"/>
        <v>&lt;/li&gt;&lt;li&gt;&lt;a href=|http://apostolic.interlinearbible.org/john/18.htm| title=|Apostolic Bible Polyglot Interlinear| target=|_top|&gt;Polyglot&lt;/a&gt;</v>
      </c>
      <c r="X1015" t="str">
        <f t="shared" si="4056"/>
        <v>&lt;/li&gt;&lt;li&gt;&lt;a href=|http://interlinearbible.org/john/18.htm| title=|Interlinear Bible| target=|_top|&gt;Interlin&lt;/a&gt;</v>
      </c>
      <c r="Y1015" t="str">
        <f t="shared" ref="Y1015" si="4057">CONCATENATE("&lt;/li&gt;&lt;li&gt;&lt;a href=|http://",Y1191,"/john/18.htm","| ","title=|",Y1190,"| target=|_top|&gt;",Y1192,"&lt;/a&gt;")</f>
        <v>&lt;/li&gt;&lt;li&gt;&lt;a href=|http://bibleoutline.org/john/18.htm| title=|Outline with People and Places List| target=|_top|&gt;Outline&lt;/a&gt;</v>
      </c>
      <c r="Z1015" t="str">
        <f t="shared" si="4056"/>
        <v>&lt;/li&gt;&lt;li&gt;&lt;a href=|http://kjvs.scripturetext.com/john/18.htm| title=|King James Bible with Strong's Numbers| target=|_top|&gt;Strong's&lt;/a&gt;</v>
      </c>
      <c r="AA1015" t="str">
        <f t="shared" si="4056"/>
        <v>&lt;/li&gt;&lt;li&gt;&lt;a href=|http://childrensbibleonline.com/john/18.htm| title=|The Children's Bible| target=|_top|&gt;Children's&lt;/a&gt;</v>
      </c>
      <c r="AB1015" s="2" t="str">
        <f t="shared" si="4056"/>
        <v>&lt;/li&gt;&lt;li&gt;&lt;a href=|http://tsk.scripturetext.com/john/18.htm| title=|Treasury of Scripture Knowledge| target=|_top|&gt;TSK&lt;/a&gt;</v>
      </c>
      <c r="AC1015" t="str">
        <f>CONCATENATE("&lt;a href=|http://",AC1191,"/john/18.htm","| ","title=|",AC1190,"| target=|_top|&gt;",AC1192,"&lt;/a&gt;")</f>
        <v>&lt;a href=|http://parallelbible.com/john/18.htm| title=|Parallel Chapters| target=|_top|&gt;PAR&lt;/a&gt;</v>
      </c>
      <c r="AD1015" s="2" t="str">
        <f t="shared" ref="AD1015:AI1015" si="4058">CONCATENATE("&lt;/li&gt;&lt;li&gt;&lt;a href=|http://",AD1191,"/john/18.htm","| ","title=|",AD1190,"| target=|_top|&gt;",AD1192,"&lt;/a&gt;")</f>
        <v>&lt;/li&gt;&lt;li&gt;&lt;a href=|http://gsb.biblecommenter.com/john/18.htm| title=|Geneva Study Bible| target=|_top|&gt;GSB&lt;/a&gt;</v>
      </c>
      <c r="AE1015" s="2" t="str">
        <f t="shared" si="4058"/>
        <v>&lt;/li&gt;&lt;li&gt;&lt;a href=|http://jfb.biblecommenter.com/john/18.htm| title=|Jamieson-Fausset-Brown Bible Commentary| target=|_top|&gt;JFB&lt;/a&gt;</v>
      </c>
      <c r="AF1015" s="2" t="str">
        <f t="shared" si="4058"/>
        <v>&lt;/li&gt;&lt;li&gt;&lt;a href=|http://kjt.biblecommenter.com/john/18.htm| title=|King James Translators' Notes| target=|_top|&gt;KJT&lt;/a&gt;</v>
      </c>
      <c r="AG1015" s="2" t="str">
        <f t="shared" si="4058"/>
        <v>&lt;/li&gt;&lt;li&gt;&lt;a href=|http://mhc.biblecommenter.com/john/18.htm| title=|Matthew Henry's Concise Commentary| target=|_top|&gt;MHC&lt;/a&gt;</v>
      </c>
      <c r="AH1015" s="2" t="str">
        <f t="shared" si="4058"/>
        <v>&lt;/li&gt;&lt;li&gt;&lt;a href=|http://sco.biblecommenter.com/john/18.htm| title=|Scofield Reference Notes| target=|_top|&gt;SCO&lt;/a&gt;</v>
      </c>
      <c r="AI1015" s="2" t="str">
        <f t="shared" si="4058"/>
        <v>&lt;/li&gt;&lt;li&gt;&lt;a href=|http://wes.biblecommenter.com/john/18.htm| title=|Wesley's Notes on the Bible| target=|_top|&gt;WES&lt;/a&gt;</v>
      </c>
      <c r="AJ1015" t="str">
        <f>CONCATENATE("&lt;/li&gt;&lt;li&gt;&lt;a href=|http://",AJ1191,"/john/18.htm","| ","title=|",AJ1190,"| target=|_top|&gt;",AJ1192,"&lt;/a&gt;")</f>
        <v>&lt;/li&gt;&lt;li&gt;&lt;a href=|http://worldebible.com/john/18.htm| title=|World English Bible| target=|_top|&gt;WEB&lt;/a&gt;</v>
      </c>
      <c r="AK1015" t="str">
        <f>CONCATENATE("&lt;/li&gt;&lt;li&gt;&lt;a href=|http://",AK1191,"/john/18.htm","| ","title=|",AK1190,"| target=|_top|&gt;",AK1192,"&lt;/a&gt;")</f>
        <v>&lt;/li&gt;&lt;li&gt;&lt;a href=|http://yltbible.com/john/18.htm| title=|Young's Literal Translation| target=|_top|&gt;YLT&lt;/a&gt;</v>
      </c>
      <c r="AL1015" t="str">
        <f>CONCATENATE("&lt;a href=|http://",AL1191,"/john/18.htm","| ","title=|",AL1190,"| target=|_top|&gt;",AL1192,"&lt;/a&gt;")</f>
        <v>&lt;a href=|http://kjv.us/john/18.htm| title=|American King James Version| target=|_top|&gt;AKJ&lt;/a&gt;</v>
      </c>
      <c r="AM1015" t="str">
        <f t="shared" ref="AM1015:AS1015" si="4059">CONCATENATE("&lt;/li&gt;&lt;li&gt;&lt;a href=|http://",AM1191,"/john/18.htm","| ","title=|",AM1190,"| target=|_top|&gt;",AM1192,"&lt;/a&gt;")</f>
        <v>&lt;/li&gt;&lt;li&gt;&lt;a href=|http://basicenglishbible.com/john/18.htm| title=|Bible in Basic English| target=|_top|&gt;BBE&lt;/a&gt;</v>
      </c>
      <c r="AN1015" t="str">
        <f t="shared" si="4059"/>
        <v>&lt;/li&gt;&lt;li&gt;&lt;a href=|http://darbybible.com/john/18.htm| title=|Darby Bible Translation| target=|_top|&gt;DBY&lt;/a&gt;</v>
      </c>
      <c r="AO1015" t="str">
        <f t="shared" si="4059"/>
        <v>&lt;/li&gt;&lt;li&gt;&lt;a href=|http://isv.scripturetext.com/john/18.htm| title=|International Standard Version| target=|_top|&gt;ISV&lt;/a&gt;</v>
      </c>
      <c r="AP1015" t="str">
        <f t="shared" si="4059"/>
        <v>&lt;/li&gt;&lt;li&gt;&lt;a href=|http://tnt.scripturetext.com/john/18.htm| title=|Tyndale New Testament| target=|_top|&gt;TNT&lt;/a&gt;</v>
      </c>
      <c r="AQ1015" s="2" t="str">
        <f t="shared" si="4059"/>
        <v>&lt;/li&gt;&lt;li&gt;&lt;a href=|http://pnt.biblecommenter.com/john/18.htm| title=|People's New Testament| target=|_top|&gt;PNT&lt;/a&gt;</v>
      </c>
      <c r="AR1015" t="str">
        <f t="shared" si="4059"/>
        <v>&lt;/li&gt;&lt;li&gt;&lt;a href=|http://websterbible.com/john/18.htm| title=|Webster's Bible Translation| target=|_top|&gt;WBS&lt;/a&gt;</v>
      </c>
      <c r="AS1015" t="str">
        <f t="shared" si="4059"/>
        <v>&lt;/li&gt;&lt;li&gt;&lt;a href=|http://weymouthbible.com/john/18.htm| title=|Weymouth New Testament| target=|_top|&gt;WEY&lt;/a&gt;</v>
      </c>
      <c r="AT1015" t="str">
        <f>CONCATENATE("&lt;/li&gt;&lt;li&gt;&lt;a href=|http://",AT1191,"/john/18-1.htm","| ","title=|",AT1190,"| target=|_top|&gt;",AT1192,"&lt;/a&gt;")</f>
        <v>&lt;/li&gt;&lt;li&gt;&lt;a href=|http://biblebrowser.com/john/18-1.htm| title=|Split View| target=|_top|&gt;Split&lt;/a&gt;</v>
      </c>
      <c r="AU1015" s="2" t="s">
        <v>1276</v>
      </c>
      <c r="AV1015" t="s">
        <v>64</v>
      </c>
    </row>
    <row r="1016" spans="1:48">
      <c r="A1016" t="s">
        <v>622</v>
      </c>
      <c r="B1016" t="s">
        <v>1057</v>
      </c>
      <c r="C1016" t="s">
        <v>624</v>
      </c>
      <c r="D1016" t="s">
        <v>1268</v>
      </c>
      <c r="E1016" t="s">
        <v>1277</v>
      </c>
      <c r="F1016" t="s">
        <v>1304</v>
      </c>
      <c r="G1016" t="s">
        <v>1266</v>
      </c>
      <c r="H1016" t="s">
        <v>1305</v>
      </c>
      <c r="I1016" t="s">
        <v>1303</v>
      </c>
      <c r="J1016" t="s">
        <v>1267</v>
      </c>
      <c r="K1016" t="s">
        <v>1275</v>
      </c>
      <c r="L1016" s="2" t="s">
        <v>1274</v>
      </c>
      <c r="M1016" t="str">
        <f t="shared" ref="M1016:AB1016" si="4060">CONCATENATE("&lt;/li&gt;&lt;li&gt;&lt;a href=|http://",M1191,"/john/19.htm","| ","title=|",M1190,"| target=|_top|&gt;",M1192,"&lt;/a&gt;")</f>
        <v>&lt;/li&gt;&lt;li&gt;&lt;a href=|http://niv.scripturetext.com/john/19.htm| title=|New International Version| target=|_top|&gt;NIV&lt;/a&gt;</v>
      </c>
      <c r="N1016" t="str">
        <f t="shared" si="4060"/>
        <v>&lt;/li&gt;&lt;li&gt;&lt;a href=|http://nlt.scripturetext.com/john/19.htm| title=|New Living Translation| target=|_top|&gt;NLT&lt;/a&gt;</v>
      </c>
      <c r="O1016" t="str">
        <f t="shared" si="4060"/>
        <v>&lt;/li&gt;&lt;li&gt;&lt;a href=|http://nasb.scripturetext.com/john/19.htm| title=|New American Standard Bible| target=|_top|&gt;NAS&lt;/a&gt;</v>
      </c>
      <c r="P1016" t="str">
        <f t="shared" si="4060"/>
        <v>&lt;/li&gt;&lt;li&gt;&lt;a href=|http://gwt.scripturetext.com/john/19.htm| title=|God's Word Translation| target=|_top|&gt;GWT&lt;/a&gt;</v>
      </c>
      <c r="Q1016" t="str">
        <f t="shared" si="4060"/>
        <v>&lt;/li&gt;&lt;li&gt;&lt;a href=|http://kingjbible.com/john/19.htm| title=|King James Bible| target=|_top|&gt;KJV&lt;/a&gt;</v>
      </c>
      <c r="R1016" t="str">
        <f t="shared" si="4060"/>
        <v>&lt;/li&gt;&lt;li&gt;&lt;a href=|http://asvbible.com/john/19.htm| title=|American Standard Version| target=|_top|&gt;ASV&lt;/a&gt;</v>
      </c>
      <c r="S1016" t="str">
        <f t="shared" si="4060"/>
        <v>&lt;/li&gt;&lt;li&gt;&lt;a href=|http://drb.scripturetext.com/john/19.htm| title=|Douay-Rheims Bible| target=|_top|&gt;DRB&lt;/a&gt;</v>
      </c>
      <c r="T1016" t="str">
        <f t="shared" si="4060"/>
        <v>&lt;/li&gt;&lt;li&gt;&lt;a href=|http://erv.scripturetext.com/john/19.htm| title=|English Revised Version| target=|_top|&gt;ERV&lt;/a&gt;</v>
      </c>
      <c r="U1016" t="str">
        <f>CONCATENATE("&lt;/li&gt;&lt;li&gt;&lt;a href=|http://",U1191,"/john/19.htm","| ","title=|",U1190,"| target=|_top|&gt;",U1192,"&lt;/a&gt;")</f>
        <v>&lt;/li&gt;&lt;li&gt;&lt;a href=|http://study.interlinearbible.org/john/19.htm| title=|Greek Study Bible| target=|_top|&gt;Grk Study&lt;/a&gt;</v>
      </c>
      <c r="W1016" t="str">
        <f t="shared" si="4060"/>
        <v>&lt;/li&gt;&lt;li&gt;&lt;a href=|http://apostolic.interlinearbible.org/john/19.htm| title=|Apostolic Bible Polyglot Interlinear| target=|_top|&gt;Polyglot&lt;/a&gt;</v>
      </c>
      <c r="X1016" t="str">
        <f t="shared" si="4060"/>
        <v>&lt;/li&gt;&lt;li&gt;&lt;a href=|http://interlinearbible.org/john/19.htm| title=|Interlinear Bible| target=|_top|&gt;Interlin&lt;/a&gt;</v>
      </c>
      <c r="Y1016" t="str">
        <f t="shared" ref="Y1016" si="4061">CONCATENATE("&lt;/li&gt;&lt;li&gt;&lt;a href=|http://",Y1191,"/john/19.htm","| ","title=|",Y1190,"| target=|_top|&gt;",Y1192,"&lt;/a&gt;")</f>
        <v>&lt;/li&gt;&lt;li&gt;&lt;a href=|http://bibleoutline.org/john/19.htm| title=|Outline with People and Places List| target=|_top|&gt;Outline&lt;/a&gt;</v>
      </c>
      <c r="Z1016" t="str">
        <f t="shared" si="4060"/>
        <v>&lt;/li&gt;&lt;li&gt;&lt;a href=|http://kjvs.scripturetext.com/john/19.htm| title=|King James Bible with Strong's Numbers| target=|_top|&gt;Strong's&lt;/a&gt;</v>
      </c>
      <c r="AA1016" t="str">
        <f t="shared" si="4060"/>
        <v>&lt;/li&gt;&lt;li&gt;&lt;a href=|http://childrensbibleonline.com/john/19.htm| title=|The Children's Bible| target=|_top|&gt;Children's&lt;/a&gt;</v>
      </c>
      <c r="AB1016" s="2" t="str">
        <f t="shared" si="4060"/>
        <v>&lt;/li&gt;&lt;li&gt;&lt;a href=|http://tsk.scripturetext.com/john/19.htm| title=|Treasury of Scripture Knowledge| target=|_top|&gt;TSK&lt;/a&gt;</v>
      </c>
      <c r="AC1016" t="str">
        <f>CONCATENATE("&lt;a href=|http://",AC1191,"/john/19.htm","| ","title=|",AC1190,"| target=|_top|&gt;",AC1192,"&lt;/a&gt;")</f>
        <v>&lt;a href=|http://parallelbible.com/john/19.htm| title=|Parallel Chapters| target=|_top|&gt;PAR&lt;/a&gt;</v>
      </c>
      <c r="AD1016" s="2" t="str">
        <f t="shared" ref="AD1016:AI1016" si="4062">CONCATENATE("&lt;/li&gt;&lt;li&gt;&lt;a href=|http://",AD1191,"/john/19.htm","| ","title=|",AD1190,"| target=|_top|&gt;",AD1192,"&lt;/a&gt;")</f>
        <v>&lt;/li&gt;&lt;li&gt;&lt;a href=|http://gsb.biblecommenter.com/john/19.htm| title=|Geneva Study Bible| target=|_top|&gt;GSB&lt;/a&gt;</v>
      </c>
      <c r="AE1016" s="2" t="str">
        <f t="shared" si="4062"/>
        <v>&lt;/li&gt;&lt;li&gt;&lt;a href=|http://jfb.biblecommenter.com/john/19.htm| title=|Jamieson-Fausset-Brown Bible Commentary| target=|_top|&gt;JFB&lt;/a&gt;</v>
      </c>
      <c r="AF1016" s="2" t="str">
        <f t="shared" si="4062"/>
        <v>&lt;/li&gt;&lt;li&gt;&lt;a href=|http://kjt.biblecommenter.com/john/19.htm| title=|King James Translators' Notes| target=|_top|&gt;KJT&lt;/a&gt;</v>
      </c>
      <c r="AG1016" s="2" t="str">
        <f t="shared" si="4062"/>
        <v>&lt;/li&gt;&lt;li&gt;&lt;a href=|http://mhc.biblecommenter.com/john/19.htm| title=|Matthew Henry's Concise Commentary| target=|_top|&gt;MHC&lt;/a&gt;</v>
      </c>
      <c r="AH1016" s="2" t="str">
        <f t="shared" si="4062"/>
        <v>&lt;/li&gt;&lt;li&gt;&lt;a href=|http://sco.biblecommenter.com/john/19.htm| title=|Scofield Reference Notes| target=|_top|&gt;SCO&lt;/a&gt;</v>
      </c>
      <c r="AI1016" s="2" t="str">
        <f t="shared" si="4062"/>
        <v>&lt;/li&gt;&lt;li&gt;&lt;a href=|http://wes.biblecommenter.com/john/19.htm| title=|Wesley's Notes on the Bible| target=|_top|&gt;WES&lt;/a&gt;</v>
      </c>
      <c r="AJ1016" t="str">
        <f>CONCATENATE("&lt;/li&gt;&lt;li&gt;&lt;a href=|http://",AJ1191,"/john/19.htm","| ","title=|",AJ1190,"| target=|_top|&gt;",AJ1192,"&lt;/a&gt;")</f>
        <v>&lt;/li&gt;&lt;li&gt;&lt;a href=|http://worldebible.com/john/19.htm| title=|World English Bible| target=|_top|&gt;WEB&lt;/a&gt;</v>
      </c>
      <c r="AK1016" t="str">
        <f>CONCATENATE("&lt;/li&gt;&lt;li&gt;&lt;a href=|http://",AK1191,"/john/19.htm","| ","title=|",AK1190,"| target=|_top|&gt;",AK1192,"&lt;/a&gt;")</f>
        <v>&lt;/li&gt;&lt;li&gt;&lt;a href=|http://yltbible.com/john/19.htm| title=|Young's Literal Translation| target=|_top|&gt;YLT&lt;/a&gt;</v>
      </c>
      <c r="AL1016" t="str">
        <f>CONCATENATE("&lt;a href=|http://",AL1191,"/john/19.htm","| ","title=|",AL1190,"| target=|_top|&gt;",AL1192,"&lt;/a&gt;")</f>
        <v>&lt;a href=|http://kjv.us/john/19.htm| title=|American King James Version| target=|_top|&gt;AKJ&lt;/a&gt;</v>
      </c>
      <c r="AM1016" t="str">
        <f t="shared" ref="AM1016:AS1016" si="4063">CONCATENATE("&lt;/li&gt;&lt;li&gt;&lt;a href=|http://",AM1191,"/john/19.htm","| ","title=|",AM1190,"| target=|_top|&gt;",AM1192,"&lt;/a&gt;")</f>
        <v>&lt;/li&gt;&lt;li&gt;&lt;a href=|http://basicenglishbible.com/john/19.htm| title=|Bible in Basic English| target=|_top|&gt;BBE&lt;/a&gt;</v>
      </c>
      <c r="AN1016" t="str">
        <f t="shared" si="4063"/>
        <v>&lt;/li&gt;&lt;li&gt;&lt;a href=|http://darbybible.com/john/19.htm| title=|Darby Bible Translation| target=|_top|&gt;DBY&lt;/a&gt;</v>
      </c>
      <c r="AO1016" t="str">
        <f t="shared" si="4063"/>
        <v>&lt;/li&gt;&lt;li&gt;&lt;a href=|http://isv.scripturetext.com/john/19.htm| title=|International Standard Version| target=|_top|&gt;ISV&lt;/a&gt;</v>
      </c>
      <c r="AP1016" t="str">
        <f t="shared" si="4063"/>
        <v>&lt;/li&gt;&lt;li&gt;&lt;a href=|http://tnt.scripturetext.com/john/19.htm| title=|Tyndale New Testament| target=|_top|&gt;TNT&lt;/a&gt;</v>
      </c>
      <c r="AQ1016" s="2" t="str">
        <f t="shared" si="4063"/>
        <v>&lt;/li&gt;&lt;li&gt;&lt;a href=|http://pnt.biblecommenter.com/john/19.htm| title=|People's New Testament| target=|_top|&gt;PNT&lt;/a&gt;</v>
      </c>
      <c r="AR1016" t="str">
        <f t="shared" si="4063"/>
        <v>&lt;/li&gt;&lt;li&gt;&lt;a href=|http://websterbible.com/john/19.htm| title=|Webster's Bible Translation| target=|_top|&gt;WBS&lt;/a&gt;</v>
      </c>
      <c r="AS1016" t="str">
        <f t="shared" si="4063"/>
        <v>&lt;/li&gt;&lt;li&gt;&lt;a href=|http://weymouthbible.com/john/19.htm| title=|Weymouth New Testament| target=|_top|&gt;WEY&lt;/a&gt;</v>
      </c>
      <c r="AT1016" t="str">
        <f>CONCATENATE("&lt;/li&gt;&lt;li&gt;&lt;a href=|http://",AT1191,"/john/19-1.htm","| ","title=|",AT1190,"| target=|_top|&gt;",AT1192,"&lt;/a&gt;")</f>
        <v>&lt;/li&gt;&lt;li&gt;&lt;a href=|http://biblebrowser.com/john/19-1.htm| title=|Split View| target=|_top|&gt;Split&lt;/a&gt;</v>
      </c>
      <c r="AU1016" s="2" t="s">
        <v>1276</v>
      </c>
      <c r="AV1016" t="s">
        <v>64</v>
      </c>
    </row>
    <row r="1017" spans="1:48">
      <c r="A1017" t="s">
        <v>622</v>
      </c>
      <c r="B1017" t="s">
        <v>1058</v>
      </c>
      <c r="C1017" t="s">
        <v>624</v>
      </c>
      <c r="D1017" t="s">
        <v>1268</v>
      </c>
      <c r="E1017" t="s">
        <v>1277</v>
      </c>
      <c r="F1017" t="s">
        <v>1304</v>
      </c>
      <c r="G1017" t="s">
        <v>1266</v>
      </c>
      <c r="H1017" t="s">
        <v>1305</v>
      </c>
      <c r="I1017" t="s">
        <v>1303</v>
      </c>
      <c r="J1017" t="s">
        <v>1267</v>
      </c>
      <c r="K1017" t="s">
        <v>1275</v>
      </c>
      <c r="L1017" s="2" t="s">
        <v>1274</v>
      </c>
      <c r="M1017" t="str">
        <f t="shared" ref="M1017:AB1017" si="4064">CONCATENATE("&lt;/li&gt;&lt;li&gt;&lt;a href=|http://",M1191,"/john/20.htm","| ","title=|",M1190,"| target=|_top|&gt;",M1192,"&lt;/a&gt;")</f>
        <v>&lt;/li&gt;&lt;li&gt;&lt;a href=|http://niv.scripturetext.com/john/20.htm| title=|New International Version| target=|_top|&gt;NIV&lt;/a&gt;</v>
      </c>
      <c r="N1017" t="str">
        <f t="shared" si="4064"/>
        <v>&lt;/li&gt;&lt;li&gt;&lt;a href=|http://nlt.scripturetext.com/john/20.htm| title=|New Living Translation| target=|_top|&gt;NLT&lt;/a&gt;</v>
      </c>
      <c r="O1017" t="str">
        <f t="shared" si="4064"/>
        <v>&lt;/li&gt;&lt;li&gt;&lt;a href=|http://nasb.scripturetext.com/john/20.htm| title=|New American Standard Bible| target=|_top|&gt;NAS&lt;/a&gt;</v>
      </c>
      <c r="P1017" t="str">
        <f t="shared" si="4064"/>
        <v>&lt;/li&gt;&lt;li&gt;&lt;a href=|http://gwt.scripturetext.com/john/20.htm| title=|God's Word Translation| target=|_top|&gt;GWT&lt;/a&gt;</v>
      </c>
      <c r="Q1017" t="str">
        <f t="shared" si="4064"/>
        <v>&lt;/li&gt;&lt;li&gt;&lt;a href=|http://kingjbible.com/john/20.htm| title=|King James Bible| target=|_top|&gt;KJV&lt;/a&gt;</v>
      </c>
      <c r="R1017" t="str">
        <f t="shared" si="4064"/>
        <v>&lt;/li&gt;&lt;li&gt;&lt;a href=|http://asvbible.com/john/20.htm| title=|American Standard Version| target=|_top|&gt;ASV&lt;/a&gt;</v>
      </c>
      <c r="S1017" t="str">
        <f t="shared" si="4064"/>
        <v>&lt;/li&gt;&lt;li&gt;&lt;a href=|http://drb.scripturetext.com/john/20.htm| title=|Douay-Rheims Bible| target=|_top|&gt;DRB&lt;/a&gt;</v>
      </c>
      <c r="T1017" t="str">
        <f t="shared" si="4064"/>
        <v>&lt;/li&gt;&lt;li&gt;&lt;a href=|http://erv.scripturetext.com/john/20.htm| title=|English Revised Version| target=|_top|&gt;ERV&lt;/a&gt;</v>
      </c>
      <c r="U1017" t="str">
        <f>CONCATENATE("&lt;/li&gt;&lt;li&gt;&lt;a href=|http://",U1191,"/john/20.htm","| ","title=|",U1190,"| target=|_top|&gt;",U1192,"&lt;/a&gt;")</f>
        <v>&lt;/li&gt;&lt;li&gt;&lt;a href=|http://study.interlinearbible.org/john/20.htm| title=|Greek Study Bible| target=|_top|&gt;Grk Study&lt;/a&gt;</v>
      </c>
      <c r="W1017" t="str">
        <f t="shared" si="4064"/>
        <v>&lt;/li&gt;&lt;li&gt;&lt;a href=|http://apostolic.interlinearbible.org/john/20.htm| title=|Apostolic Bible Polyglot Interlinear| target=|_top|&gt;Polyglot&lt;/a&gt;</v>
      </c>
      <c r="X1017" t="str">
        <f t="shared" si="4064"/>
        <v>&lt;/li&gt;&lt;li&gt;&lt;a href=|http://interlinearbible.org/john/20.htm| title=|Interlinear Bible| target=|_top|&gt;Interlin&lt;/a&gt;</v>
      </c>
      <c r="Y1017" t="str">
        <f t="shared" ref="Y1017" si="4065">CONCATENATE("&lt;/li&gt;&lt;li&gt;&lt;a href=|http://",Y1191,"/john/20.htm","| ","title=|",Y1190,"| target=|_top|&gt;",Y1192,"&lt;/a&gt;")</f>
        <v>&lt;/li&gt;&lt;li&gt;&lt;a href=|http://bibleoutline.org/john/20.htm| title=|Outline with People and Places List| target=|_top|&gt;Outline&lt;/a&gt;</v>
      </c>
      <c r="Z1017" t="str">
        <f t="shared" si="4064"/>
        <v>&lt;/li&gt;&lt;li&gt;&lt;a href=|http://kjvs.scripturetext.com/john/20.htm| title=|King James Bible with Strong's Numbers| target=|_top|&gt;Strong's&lt;/a&gt;</v>
      </c>
      <c r="AA1017" t="str">
        <f t="shared" si="4064"/>
        <v>&lt;/li&gt;&lt;li&gt;&lt;a href=|http://childrensbibleonline.com/john/20.htm| title=|The Children's Bible| target=|_top|&gt;Children's&lt;/a&gt;</v>
      </c>
      <c r="AB1017" s="2" t="str">
        <f t="shared" si="4064"/>
        <v>&lt;/li&gt;&lt;li&gt;&lt;a href=|http://tsk.scripturetext.com/john/20.htm| title=|Treasury of Scripture Knowledge| target=|_top|&gt;TSK&lt;/a&gt;</v>
      </c>
      <c r="AC1017" t="str">
        <f>CONCATENATE("&lt;a href=|http://",AC1191,"/john/20.htm","| ","title=|",AC1190,"| target=|_top|&gt;",AC1192,"&lt;/a&gt;")</f>
        <v>&lt;a href=|http://parallelbible.com/john/20.htm| title=|Parallel Chapters| target=|_top|&gt;PAR&lt;/a&gt;</v>
      </c>
      <c r="AD1017" s="2" t="str">
        <f t="shared" ref="AD1017:AI1017" si="4066">CONCATENATE("&lt;/li&gt;&lt;li&gt;&lt;a href=|http://",AD1191,"/john/20.htm","| ","title=|",AD1190,"| target=|_top|&gt;",AD1192,"&lt;/a&gt;")</f>
        <v>&lt;/li&gt;&lt;li&gt;&lt;a href=|http://gsb.biblecommenter.com/john/20.htm| title=|Geneva Study Bible| target=|_top|&gt;GSB&lt;/a&gt;</v>
      </c>
      <c r="AE1017" s="2" t="str">
        <f t="shared" si="4066"/>
        <v>&lt;/li&gt;&lt;li&gt;&lt;a href=|http://jfb.biblecommenter.com/john/20.htm| title=|Jamieson-Fausset-Brown Bible Commentary| target=|_top|&gt;JFB&lt;/a&gt;</v>
      </c>
      <c r="AF1017" s="2" t="str">
        <f t="shared" si="4066"/>
        <v>&lt;/li&gt;&lt;li&gt;&lt;a href=|http://kjt.biblecommenter.com/john/20.htm| title=|King James Translators' Notes| target=|_top|&gt;KJT&lt;/a&gt;</v>
      </c>
      <c r="AG1017" s="2" t="str">
        <f t="shared" si="4066"/>
        <v>&lt;/li&gt;&lt;li&gt;&lt;a href=|http://mhc.biblecommenter.com/john/20.htm| title=|Matthew Henry's Concise Commentary| target=|_top|&gt;MHC&lt;/a&gt;</v>
      </c>
      <c r="AH1017" s="2" t="str">
        <f t="shared" si="4066"/>
        <v>&lt;/li&gt;&lt;li&gt;&lt;a href=|http://sco.biblecommenter.com/john/20.htm| title=|Scofield Reference Notes| target=|_top|&gt;SCO&lt;/a&gt;</v>
      </c>
      <c r="AI1017" s="2" t="str">
        <f t="shared" si="4066"/>
        <v>&lt;/li&gt;&lt;li&gt;&lt;a href=|http://wes.biblecommenter.com/john/20.htm| title=|Wesley's Notes on the Bible| target=|_top|&gt;WES&lt;/a&gt;</v>
      </c>
      <c r="AJ1017" t="str">
        <f>CONCATENATE("&lt;/li&gt;&lt;li&gt;&lt;a href=|http://",AJ1191,"/john/20.htm","| ","title=|",AJ1190,"| target=|_top|&gt;",AJ1192,"&lt;/a&gt;")</f>
        <v>&lt;/li&gt;&lt;li&gt;&lt;a href=|http://worldebible.com/john/20.htm| title=|World English Bible| target=|_top|&gt;WEB&lt;/a&gt;</v>
      </c>
      <c r="AK1017" t="str">
        <f>CONCATENATE("&lt;/li&gt;&lt;li&gt;&lt;a href=|http://",AK1191,"/john/20.htm","| ","title=|",AK1190,"| target=|_top|&gt;",AK1192,"&lt;/a&gt;")</f>
        <v>&lt;/li&gt;&lt;li&gt;&lt;a href=|http://yltbible.com/john/20.htm| title=|Young's Literal Translation| target=|_top|&gt;YLT&lt;/a&gt;</v>
      </c>
      <c r="AL1017" t="str">
        <f>CONCATENATE("&lt;a href=|http://",AL1191,"/john/20.htm","| ","title=|",AL1190,"| target=|_top|&gt;",AL1192,"&lt;/a&gt;")</f>
        <v>&lt;a href=|http://kjv.us/john/20.htm| title=|American King James Version| target=|_top|&gt;AKJ&lt;/a&gt;</v>
      </c>
      <c r="AM1017" t="str">
        <f t="shared" ref="AM1017:AS1017" si="4067">CONCATENATE("&lt;/li&gt;&lt;li&gt;&lt;a href=|http://",AM1191,"/john/20.htm","| ","title=|",AM1190,"| target=|_top|&gt;",AM1192,"&lt;/a&gt;")</f>
        <v>&lt;/li&gt;&lt;li&gt;&lt;a href=|http://basicenglishbible.com/john/20.htm| title=|Bible in Basic English| target=|_top|&gt;BBE&lt;/a&gt;</v>
      </c>
      <c r="AN1017" t="str">
        <f t="shared" si="4067"/>
        <v>&lt;/li&gt;&lt;li&gt;&lt;a href=|http://darbybible.com/john/20.htm| title=|Darby Bible Translation| target=|_top|&gt;DBY&lt;/a&gt;</v>
      </c>
      <c r="AO1017" t="str">
        <f t="shared" si="4067"/>
        <v>&lt;/li&gt;&lt;li&gt;&lt;a href=|http://isv.scripturetext.com/john/20.htm| title=|International Standard Version| target=|_top|&gt;ISV&lt;/a&gt;</v>
      </c>
      <c r="AP1017" t="str">
        <f t="shared" si="4067"/>
        <v>&lt;/li&gt;&lt;li&gt;&lt;a href=|http://tnt.scripturetext.com/john/20.htm| title=|Tyndale New Testament| target=|_top|&gt;TNT&lt;/a&gt;</v>
      </c>
      <c r="AQ1017" s="2" t="str">
        <f t="shared" si="4067"/>
        <v>&lt;/li&gt;&lt;li&gt;&lt;a href=|http://pnt.biblecommenter.com/john/20.htm| title=|People's New Testament| target=|_top|&gt;PNT&lt;/a&gt;</v>
      </c>
      <c r="AR1017" t="str">
        <f t="shared" si="4067"/>
        <v>&lt;/li&gt;&lt;li&gt;&lt;a href=|http://websterbible.com/john/20.htm| title=|Webster's Bible Translation| target=|_top|&gt;WBS&lt;/a&gt;</v>
      </c>
      <c r="AS1017" t="str">
        <f t="shared" si="4067"/>
        <v>&lt;/li&gt;&lt;li&gt;&lt;a href=|http://weymouthbible.com/john/20.htm| title=|Weymouth New Testament| target=|_top|&gt;WEY&lt;/a&gt;</v>
      </c>
      <c r="AT1017" t="str">
        <f>CONCATENATE("&lt;/li&gt;&lt;li&gt;&lt;a href=|http://",AT1191,"/john/20-1.htm","| ","title=|",AT1190,"| target=|_top|&gt;",AT1192,"&lt;/a&gt;")</f>
        <v>&lt;/li&gt;&lt;li&gt;&lt;a href=|http://biblebrowser.com/john/20-1.htm| title=|Split View| target=|_top|&gt;Split&lt;/a&gt;</v>
      </c>
      <c r="AU1017" s="2" t="s">
        <v>1276</v>
      </c>
      <c r="AV1017" t="s">
        <v>64</v>
      </c>
    </row>
    <row r="1018" spans="1:48">
      <c r="A1018" t="s">
        <v>622</v>
      </c>
      <c r="B1018" t="s">
        <v>1059</v>
      </c>
      <c r="C1018" t="s">
        <v>624</v>
      </c>
      <c r="D1018" t="s">
        <v>1268</v>
      </c>
      <c r="E1018" t="s">
        <v>1277</v>
      </c>
      <c r="F1018" t="s">
        <v>1304</v>
      </c>
      <c r="G1018" t="s">
        <v>1266</v>
      </c>
      <c r="H1018" t="s">
        <v>1305</v>
      </c>
      <c r="I1018" t="s">
        <v>1303</v>
      </c>
      <c r="J1018" t="s">
        <v>1267</v>
      </c>
      <c r="K1018" t="s">
        <v>1275</v>
      </c>
      <c r="L1018" s="2" t="s">
        <v>1274</v>
      </c>
      <c r="M1018" t="str">
        <f t="shared" ref="M1018:AB1018" si="4068">CONCATENATE("&lt;/li&gt;&lt;li&gt;&lt;a href=|http://",M1191,"/john/21.htm","| ","title=|",M1190,"| target=|_top|&gt;",M1192,"&lt;/a&gt;")</f>
        <v>&lt;/li&gt;&lt;li&gt;&lt;a href=|http://niv.scripturetext.com/john/21.htm| title=|New International Version| target=|_top|&gt;NIV&lt;/a&gt;</v>
      </c>
      <c r="N1018" t="str">
        <f t="shared" si="4068"/>
        <v>&lt;/li&gt;&lt;li&gt;&lt;a href=|http://nlt.scripturetext.com/john/21.htm| title=|New Living Translation| target=|_top|&gt;NLT&lt;/a&gt;</v>
      </c>
      <c r="O1018" t="str">
        <f t="shared" si="4068"/>
        <v>&lt;/li&gt;&lt;li&gt;&lt;a href=|http://nasb.scripturetext.com/john/21.htm| title=|New American Standard Bible| target=|_top|&gt;NAS&lt;/a&gt;</v>
      </c>
      <c r="P1018" t="str">
        <f t="shared" si="4068"/>
        <v>&lt;/li&gt;&lt;li&gt;&lt;a href=|http://gwt.scripturetext.com/john/21.htm| title=|God's Word Translation| target=|_top|&gt;GWT&lt;/a&gt;</v>
      </c>
      <c r="Q1018" t="str">
        <f t="shared" si="4068"/>
        <v>&lt;/li&gt;&lt;li&gt;&lt;a href=|http://kingjbible.com/john/21.htm| title=|King James Bible| target=|_top|&gt;KJV&lt;/a&gt;</v>
      </c>
      <c r="R1018" t="str">
        <f t="shared" si="4068"/>
        <v>&lt;/li&gt;&lt;li&gt;&lt;a href=|http://asvbible.com/john/21.htm| title=|American Standard Version| target=|_top|&gt;ASV&lt;/a&gt;</v>
      </c>
      <c r="S1018" t="str">
        <f t="shared" si="4068"/>
        <v>&lt;/li&gt;&lt;li&gt;&lt;a href=|http://drb.scripturetext.com/john/21.htm| title=|Douay-Rheims Bible| target=|_top|&gt;DRB&lt;/a&gt;</v>
      </c>
      <c r="T1018" t="str">
        <f t="shared" si="4068"/>
        <v>&lt;/li&gt;&lt;li&gt;&lt;a href=|http://erv.scripturetext.com/john/21.htm| title=|English Revised Version| target=|_top|&gt;ERV&lt;/a&gt;</v>
      </c>
      <c r="U1018" t="str">
        <f>CONCATENATE("&lt;/li&gt;&lt;li&gt;&lt;a href=|http://",U1191,"/john/21.htm","| ","title=|",U1190,"| target=|_top|&gt;",U1192,"&lt;/a&gt;")</f>
        <v>&lt;/li&gt;&lt;li&gt;&lt;a href=|http://study.interlinearbible.org/john/21.htm| title=|Greek Study Bible| target=|_top|&gt;Grk Study&lt;/a&gt;</v>
      </c>
      <c r="W1018" t="str">
        <f t="shared" si="4068"/>
        <v>&lt;/li&gt;&lt;li&gt;&lt;a href=|http://apostolic.interlinearbible.org/john/21.htm| title=|Apostolic Bible Polyglot Interlinear| target=|_top|&gt;Polyglot&lt;/a&gt;</v>
      </c>
      <c r="X1018" t="str">
        <f t="shared" si="4068"/>
        <v>&lt;/li&gt;&lt;li&gt;&lt;a href=|http://interlinearbible.org/john/21.htm| title=|Interlinear Bible| target=|_top|&gt;Interlin&lt;/a&gt;</v>
      </c>
      <c r="Y1018" t="str">
        <f t="shared" ref="Y1018" si="4069">CONCATENATE("&lt;/li&gt;&lt;li&gt;&lt;a href=|http://",Y1191,"/john/21.htm","| ","title=|",Y1190,"| target=|_top|&gt;",Y1192,"&lt;/a&gt;")</f>
        <v>&lt;/li&gt;&lt;li&gt;&lt;a href=|http://bibleoutline.org/john/21.htm| title=|Outline with People and Places List| target=|_top|&gt;Outline&lt;/a&gt;</v>
      </c>
      <c r="Z1018" t="str">
        <f t="shared" si="4068"/>
        <v>&lt;/li&gt;&lt;li&gt;&lt;a href=|http://kjvs.scripturetext.com/john/21.htm| title=|King James Bible with Strong's Numbers| target=|_top|&gt;Strong's&lt;/a&gt;</v>
      </c>
      <c r="AA1018" t="str">
        <f t="shared" si="4068"/>
        <v>&lt;/li&gt;&lt;li&gt;&lt;a href=|http://childrensbibleonline.com/john/21.htm| title=|The Children's Bible| target=|_top|&gt;Children's&lt;/a&gt;</v>
      </c>
      <c r="AB1018" s="2" t="str">
        <f t="shared" si="4068"/>
        <v>&lt;/li&gt;&lt;li&gt;&lt;a href=|http://tsk.scripturetext.com/john/21.htm| title=|Treasury of Scripture Knowledge| target=|_top|&gt;TSK&lt;/a&gt;</v>
      </c>
      <c r="AC1018" t="str">
        <f>CONCATENATE("&lt;a href=|http://",AC1191,"/john/21.htm","| ","title=|",AC1190,"| target=|_top|&gt;",AC1192,"&lt;/a&gt;")</f>
        <v>&lt;a href=|http://parallelbible.com/john/21.htm| title=|Parallel Chapters| target=|_top|&gt;PAR&lt;/a&gt;</v>
      </c>
      <c r="AD1018" s="2" t="str">
        <f t="shared" ref="AD1018:AI1018" si="4070">CONCATENATE("&lt;/li&gt;&lt;li&gt;&lt;a href=|http://",AD1191,"/john/21.htm","| ","title=|",AD1190,"| target=|_top|&gt;",AD1192,"&lt;/a&gt;")</f>
        <v>&lt;/li&gt;&lt;li&gt;&lt;a href=|http://gsb.biblecommenter.com/john/21.htm| title=|Geneva Study Bible| target=|_top|&gt;GSB&lt;/a&gt;</v>
      </c>
      <c r="AE1018" s="2" t="str">
        <f t="shared" si="4070"/>
        <v>&lt;/li&gt;&lt;li&gt;&lt;a href=|http://jfb.biblecommenter.com/john/21.htm| title=|Jamieson-Fausset-Brown Bible Commentary| target=|_top|&gt;JFB&lt;/a&gt;</v>
      </c>
      <c r="AF1018" s="2" t="str">
        <f t="shared" si="4070"/>
        <v>&lt;/li&gt;&lt;li&gt;&lt;a href=|http://kjt.biblecommenter.com/john/21.htm| title=|King James Translators' Notes| target=|_top|&gt;KJT&lt;/a&gt;</v>
      </c>
      <c r="AG1018" s="2" t="str">
        <f t="shared" si="4070"/>
        <v>&lt;/li&gt;&lt;li&gt;&lt;a href=|http://mhc.biblecommenter.com/john/21.htm| title=|Matthew Henry's Concise Commentary| target=|_top|&gt;MHC&lt;/a&gt;</v>
      </c>
      <c r="AH1018" s="2" t="str">
        <f t="shared" si="4070"/>
        <v>&lt;/li&gt;&lt;li&gt;&lt;a href=|http://sco.biblecommenter.com/john/21.htm| title=|Scofield Reference Notes| target=|_top|&gt;SCO&lt;/a&gt;</v>
      </c>
      <c r="AI1018" s="2" t="str">
        <f t="shared" si="4070"/>
        <v>&lt;/li&gt;&lt;li&gt;&lt;a href=|http://wes.biblecommenter.com/john/21.htm| title=|Wesley's Notes on the Bible| target=|_top|&gt;WES&lt;/a&gt;</v>
      </c>
      <c r="AJ1018" t="str">
        <f>CONCATENATE("&lt;/li&gt;&lt;li&gt;&lt;a href=|http://",AJ1191,"/john/21.htm","| ","title=|",AJ1190,"| target=|_top|&gt;",AJ1192,"&lt;/a&gt;")</f>
        <v>&lt;/li&gt;&lt;li&gt;&lt;a href=|http://worldebible.com/john/21.htm| title=|World English Bible| target=|_top|&gt;WEB&lt;/a&gt;</v>
      </c>
      <c r="AK1018" t="str">
        <f>CONCATENATE("&lt;/li&gt;&lt;li&gt;&lt;a href=|http://",AK1191,"/john/21.htm","| ","title=|",AK1190,"| target=|_top|&gt;",AK1192,"&lt;/a&gt;")</f>
        <v>&lt;/li&gt;&lt;li&gt;&lt;a href=|http://yltbible.com/john/21.htm| title=|Young's Literal Translation| target=|_top|&gt;YLT&lt;/a&gt;</v>
      </c>
      <c r="AL1018" t="str">
        <f>CONCATENATE("&lt;a href=|http://",AL1191,"/john/21.htm","| ","title=|",AL1190,"| target=|_top|&gt;",AL1192,"&lt;/a&gt;")</f>
        <v>&lt;a href=|http://kjv.us/john/21.htm| title=|American King James Version| target=|_top|&gt;AKJ&lt;/a&gt;</v>
      </c>
      <c r="AM1018" t="str">
        <f t="shared" ref="AM1018:AS1018" si="4071">CONCATENATE("&lt;/li&gt;&lt;li&gt;&lt;a href=|http://",AM1191,"/john/21.htm","| ","title=|",AM1190,"| target=|_top|&gt;",AM1192,"&lt;/a&gt;")</f>
        <v>&lt;/li&gt;&lt;li&gt;&lt;a href=|http://basicenglishbible.com/john/21.htm| title=|Bible in Basic English| target=|_top|&gt;BBE&lt;/a&gt;</v>
      </c>
      <c r="AN1018" t="str">
        <f t="shared" si="4071"/>
        <v>&lt;/li&gt;&lt;li&gt;&lt;a href=|http://darbybible.com/john/21.htm| title=|Darby Bible Translation| target=|_top|&gt;DBY&lt;/a&gt;</v>
      </c>
      <c r="AO1018" t="str">
        <f t="shared" si="4071"/>
        <v>&lt;/li&gt;&lt;li&gt;&lt;a href=|http://isv.scripturetext.com/john/21.htm| title=|International Standard Version| target=|_top|&gt;ISV&lt;/a&gt;</v>
      </c>
      <c r="AP1018" t="str">
        <f t="shared" si="4071"/>
        <v>&lt;/li&gt;&lt;li&gt;&lt;a href=|http://tnt.scripturetext.com/john/21.htm| title=|Tyndale New Testament| target=|_top|&gt;TNT&lt;/a&gt;</v>
      </c>
      <c r="AQ1018" s="2" t="str">
        <f t="shared" si="4071"/>
        <v>&lt;/li&gt;&lt;li&gt;&lt;a href=|http://pnt.biblecommenter.com/john/21.htm| title=|People's New Testament| target=|_top|&gt;PNT&lt;/a&gt;</v>
      </c>
      <c r="AR1018" t="str">
        <f t="shared" si="4071"/>
        <v>&lt;/li&gt;&lt;li&gt;&lt;a href=|http://websterbible.com/john/21.htm| title=|Webster's Bible Translation| target=|_top|&gt;WBS&lt;/a&gt;</v>
      </c>
      <c r="AS1018" t="str">
        <f t="shared" si="4071"/>
        <v>&lt;/li&gt;&lt;li&gt;&lt;a href=|http://weymouthbible.com/john/21.htm| title=|Weymouth New Testament| target=|_top|&gt;WEY&lt;/a&gt;</v>
      </c>
      <c r="AT1018" t="str">
        <f>CONCATENATE("&lt;/li&gt;&lt;li&gt;&lt;a href=|http://",AT1191,"/john/21-1.htm","| ","title=|",AT1190,"| target=|_top|&gt;",AT1192,"&lt;/a&gt;")</f>
        <v>&lt;/li&gt;&lt;li&gt;&lt;a href=|http://biblebrowser.com/john/21-1.htm| title=|Split View| target=|_top|&gt;Split&lt;/a&gt;</v>
      </c>
      <c r="AU1018" s="2" t="s">
        <v>1276</v>
      </c>
      <c r="AV1018" t="s">
        <v>64</v>
      </c>
    </row>
    <row r="1019" spans="1:48">
      <c r="A1019" t="s">
        <v>622</v>
      </c>
      <c r="B1019" t="s">
        <v>450</v>
      </c>
      <c r="C1019" t="s">
        <v>624</v>
      </c>
      <c r="D1019" t="s">
        <v>1268</v>
      </c>
      <c r="E1019" t="s">
        <v>1277</v>
      </c>
      <c r="F1019" t="s">
        <v>1304</v>
      </c>
      <c r="G1019" t="s">
        <v>1266</v>
      </c>
      <c r="H1019" t="s">
        <v>1305</v>
      </c>
      <c r="I1019" t="s">
        <v>1303</v>
      </c>
      <c r="J1019" t="s">
        <v>1267</v>
      </c>
      <c r="K1019" t="s">
        <v>1275</v>
      </c>
      <c r="L1019" s="2" t="s">
        <v>1274</v>
      </c>
      <c r="M1019" t="str">
        <f t="shared" ref="M1019:AB1019" si="4072">CONCATENATE("&lt;/li&gt;&lt;li&gt;&lt;a href=|http://",M1191,"/acts/1.htm","| ","title=|",M1190,"| target=|_top|&gt;",M1192,"&lt;/a&gt;")</f>
        <v>&lt;/li&gt;&lt;li&gt;&lt;a href=|http://niv.scripturetext.com/acts/1.htm| title=|New International Version| target=|_top|&gt;NIV&lt;/a&gt;</v>
      </c>
      <c r="N1019" t="str">
        <f t="shared" si="4072"/>
        <v>&lt;/li&gt;&lt;li&gt;&lt;a href=|http://nlt.scripturetext.com/acts/1.htm| title=|New Living Translation| target=|_top|&gt;NLT&lt;/a&gt;</v>
      </c>
      <c r="O1019" t="str">
        <f t="shared" si="4072"/>
        <v>&lt;/li&gt;&lt;li&gt;&lt;a href=|http://nasb.scripturetext.com/acts/1.htm| title=|New American Standard Bible| target=|_top|&gt;NAS&lt;/a&gt;</v>
      </c>
      <c r="P1019" t="str">
        <f t="shared" si="4072"/>
        <v>&lt;/li&gt;&lt;li&gt;&lt;a href=|http://gwt.scripturetext.com/acts/1.htm| title=|God's Word Translation| target=|_top|&gt;GWT&lt;/a&gt;</v>
      </c>
      <c r="Q1019" t="str">
        <f t="shared" si="4072"/>
        <v>&lt;/li&gt;&lt;li&gt;&lt;a href=|http://kingjbible.com/acts/1.htm| title=|King James Bible| target=|_top|&gt;KJV&lt;/a&gt;</v>
      </c>
      <c r="R1019" t="str">
        <f t="shared" si="4072"/>
        <v>&lt;/li&gt;&lt;li&gt;&lt;a href=|http://asvbible.com/acts/1.htm| title=|American Standard Version| target=|_top|&gt;ASV&lt;/a&gt;</v>
      </c>
      <c r="S1019" t="str">
        <f t="shared" si="4072"/>
        <v>&lt;/li&gt;&lt;li&gt;&lt;a href=|http://drb.scripturetext.com/acts/1.htm| title=|Douay-Rheims Bible| target=|_top|&gt;DRB&lt;/a&gt;</v>
      </c>
      <c r="T1019" t="str">
        <f t="shared" si="4072"/>
        <v>&lt;/li&gt;&lt;li&gt;&lt;a href=|http://erv.scripturetext.com/acts/1.htm| title=|English Revised Version| target=|_top|&gt;ERV&lt;/a&gt;</v>
      </c>
      <c r="U1019" t="str">
        <f>CONCATENATE("&lt;/li&gt;&lt;li&gt;&lt;a href=|http://",U1191,"/acts/1.htm","| ","title=|",U1190,"| target=|_top|&gt;",U1192,"&lt;/a&gt;")</f>
        <v>&lt;/li&gt;&lt;li&gt;&lt;a href=|http://study.interlinearbible.org/acts/1.htm| title=|Greek Study Bible| target=|_top|&gt;Grk Study&lt;/a&gt;</v>
      </c>
      <c r="W1019" t="str">
        <f t="shared" si="4072"/>
        <v>&lt;/li&gt;&lt;li&gt;&lt;a href=|http://apostolic.interlinearbible.org/acts/1.htm| title=|Apostolic Bible Polyglot Interlinear| target=|_top|&gt;Polyglot&lt;/a&gt;</v>
      </c>
      <c r="X1019" t="str">
        <f t="shared" si="4072"/>
        <v>&lt;/li&gt;&lt;li&gt;&lt;a href=|http://interlinearbible.org/acts/1.htm| title=|Interlinear Bible| target=|_top|&gt;Interlin&lt;/a&gt;</v>
      </c>
      <c r="Y1019" t="str">
        <f t="shared" ref="Y1019" si="4073">CONCATENATE("&lt;/li&gt;&lt;li&gt;&lt;a href=|http://",Y1191,"/acts/1.htm","| ","title=|",Y1190,"| target=|_top|&gt;",Y1192,"&lt;/a&gt;")</f>
        <v>&lt;/li&gt;&lt;li&gt;&lt;a href=|http://bibleoutline.org/acts/1.htm| title=|Outline with People and Places List| target=|_top|&gt;Outline&lt;/a&gt;</v>
      </c>
      <c r="Z1019" t="str">
        <f t="shared" si="4072"/>
        <v>&lt;/li&gt;&lt;li&gt;&lt;a href=|http://kjvs.scripturetext.com/acts/1.htm| title=|King James Bible with Strong's Numbers| target=|_top|&gt;Strong's&lt;/a&gt;</v>
      </c>
      <c r="AA1019" t="str">
        <f t="shared" si="4072"/>
        <v>&lt;/li&gt;&lt;li&gt;&lt;a href=|http://childrensbibleonline.com/acts/1.htm| title=|The Children's Bible| target=|_top|&gt;Children's&lt;/a&gt;</v>
      </c>
      <c r="AB1019" s="2" t="str">
        <f t="shared" si="4072"/>
        <v>&lt;/li&gt;&lt;li&gt;&lt;a href=|http://tsk.scripturetext.com/acts/1.htm| title=|Treasury of Scripture Knowledge| target=|_top|&gt;TSK&lt;/a&gt;</v>
      </c>
      <c r="AC1019" t="str">
        <f>CONCATENATE("&lt;a href=|http://",AC1191,"/acts/1.htm","| ","title=|",AC1190,"| target=|_top|&gt;",AC1192,"&lt;/a&gt;")</f>
        <v>&lt;a href=|http://parallelbible.com/acts/1.htm| title=|Parallel Chapters| target=|_top|&gt;PAR&lt;/a&gt;</v>
      </c>
      <c r="AD1019" s="2" t="str">
        <f t="shared" ref="AD1019:AI1019" si="4074">CONCATENATE("&lt;/li&gt;&lt;li&gt;&lt;a href=|http://",AD1191,"/acts/1.htm","| ","title=|",AD1190,"| target=|_top|&gt;",AD1192,"&lt;/a&gt;")</f>
        <v>&lt;/li&gt;&lt;li&gt;&lt;a href=|http://gsb.biblecommenter.com/acts/1.htm| title=|Geneva Study Bible| target=|_top|&gt;GSB&lt;/a&gt;</v>
      </c>
      <c r="AE1019" s="2" t="str">
        <f t="shared" si="4074"/>
        <v>&lt;/li&gt;&lt;li&gt;&lt;a href=|http://jfb.biblecommenter.com/acts/1.htm| title=|Jamieson-Fausset-Brown Bible Commentary| target=|_top|&gt;JFB&lt;/a&gt;</v>
      </c>
      <c r="AF1019" s="2" t="str">
        <f t="shared" si="4074"/>
        <v>&lt;/li&gt;&lt;li&gt;&lt;a href=|http://kjt.biblecommenter.com/acts/1.htm| title=|King James Translators' Notes| target=|_top|&gt;KJT&lt;/a&gt;</v>
      </c>
      <c r="AG1019" s="2" t="str">
        <f t="shared" si="4074"/>
        <v>&lt;/li&gt;&lt;li&gt;&lt;a href=|http://mhc.biblecommenter.com/acts/1.htm| title=|Matthew Henry's Concise Commentary| target=|_top|&gt;MHC&lt;/a&gt;</v>
      </c>
      <c r="AH1019" s="2" t="str">
        <f t="shared" si="4074"/>
        <v>&lt;/li&gt;&lt;li&gt;&lt;a href=|http://sco.biblecommenter.com/acts/1.htm| title=|Scofield Reference Notes| target=|_top|&gt;SCO&lt;/a&gt;</v>
      </c>
      <c r="AI1019" s="2" t="str">
        <f t="shared" si="4074"/>
        <v>&lt;/li&gt;&lt;li&gt;&lt;a href=|http://wes.biblecommenter.com/acts/1.htm| title=|Wesley's Notes on the Bible| target=|_top|&gt;WES&lt;/a&gt;</v>
      </c>
      <c r="AJ1019" t="str">
        <f>CONCATENATE("&lt;/li&gt;&lt;li&gt;&lt;a href=|http://",AJ1191,"/acts/1.htm","| ","title=|",AJ1190,"| target=|_top|&gt;",AJ1192,"&lt;/a&gt;")</f>
        <v>&lt;/li&gt;&lt;li&gt;&lt;a href=|http://worldebible.com/acts/1.htm| title=|World English Bible| target=|_top|&gt;WEB&lt;/a&gt;</v>
      </c>
      <c r="AK1019" t="str">
        <f>CONCATENATE("&lt;/li&gt;&lt;li&gt;&lt;a href=|http://",AK1191,"/acts/1.htm","| ","title=|",AK1190,"| target=|_top|&gt;",AK1192,"&lt;/a&gt;")</f>
        <v>&lt;/li&gt;&lt;li&gt;&lt;a href=|http://yltbible.com/acts/1.htm| title=|Young's Literal Translation| target=|_top|&gt;YLT&lt;/a&gt;</v>
      </c>
      <c r="AL1019" t="str">
        <f>CONCATENATE("&lt;a href=|http://",AL1191,"/acts/1.htm","| ","title=|",AL1190,"| target=|_top|&gt;",AL1192,"&lt;/a&gt;")</f>
        <v>&lt;a href=|http://kjv.us/acts/1.htm| title=|American King James Version| target=|_top|&gt;AKJ&lt;/a&gt;</v>
      </c>
      <c r="AM1019" t="str">
        <f t="shared" ref="AM1019:AS1019" si="4075">CONCATENATE("&lt;/li&gt;&lt;li&gt;&lt;a href=|http://",AM1191,"/acts/1.htm","| ","title=|",AM1190,"| target=|_top|&gt;",AM1192,"&lt;/a&gt;")</f>
        <v>&lt;/li&gt;&lt;li&gt;&lt;a href=|http://basicenglishbible.com/acts/1.htm| title=|Bible in Basic English| target=|_top|&gt;BBE&lt;/a&gt;</v>
      </c>
      <c r="AN1019" t="str">
        <f t="shared" si="4075"/>
        <v>&lt;/li&gt;&lt;li&gt;&lt;a href=|http://darbybible.com/acts/1.htm| title=|Darby Bible Translation| target=|_top|&gt;DBY&lt;/a&gt;</v>
      </c>
      <c r="AO1019" t="str">
        <f t="shared" si="4075"/>
        <v>&lt;/li&gt;&lt;li&gt;&lt;a href=|http://isv.scripturetext.com/acts/1.htm| title=|International Standard Version| target=|_top|&gt;ISV&lt;/a&gt;</v>
      </c>
      <c r="AP1019" t="str">
        <f t="shared" si="4075"/>
        <v>&lt;/li&gt;&lt;li&gt;&lt;a href=|http://tnt.scripturetext.com/acts/1.htm| title=|Tyndale New Testament| target=|_top|&gt;TNT&lt;/a&gt;</v>
      </c>
      <c r="AQ1019" s="2" t="str">
        <f t="shared" si="4075"/>
        <v>&lt;/li&gt;&lt;li&gt;&lt;a href=|http://pnt.biblecommenter.com/acts/1.htm| title=|People's New Testament| target=|_top|&gt;PNT&lt;/a&gt;</v>
      </c>
      <c r="AR1019" t="str">
        <f t="shared" si="4075"/>
        <v>&lt;/li&gt;&lt;li&gt;&lt;a href=|http://websterbible.com/acts/1.htm| title=|Webster's Bible Translation| target=|_top|&gt;WBS&lt;/a&gt;</v>
      </c>
      <c r="AS1019" t="str">
        <f t="shared" si="4075"/>
        <v>&lt;/li&gt;&lt;li&gt;&lt;a href=|http://weymouthbible.com/acts/1.htm| title=|Weymouth New Testament| target=|_top|&gt;WEY&lt;/a&gt;</v>
      </c>
      <c r="AT1019" t="str">
        <f>CONCATENATE("&lt;/li&gt;&lt;li&gt;&lt;a href=|http://",AT1191,"/acts/1-1.htm","| ","title=|",AT1190,"| target=|_top|&gt;",AT1192,"&lt;/a&gt;")</f>
        <v>&lt;/li&gt;&lt;li&gt;&lt;a href=|http://biblebrowser.com/acts/1-1.htm| title=|Split View| target=|_top|&gt;Split&lt;/a&gt;</v>
      </c>
      <c r="AU1019" s="2" t="s">
        <v>1276</v>
      </c>
      <c r="AV1019" t="s">
        <v>64</v>
      </c>
    </row>
    <row r="1020" spans="1:48">
      <c r="A1020" t="s">
        <v>622</v>
      </c>
      <c r="B1020" t="s">
        <v>451</v>
      </c>
      <c r="C1020" t="s">
        <v>624</v>
      </c>
      <c r="D1020" t="s">
        <v>1268</v>
      </c>
      <c r="E1020" t="s">
        <v>1277</v>
      </c>
      <c r="F1020" t="s">
        <v>1304</v>
      </c>
      <c r="G1020" t="s">
        <v>1266</v>
      </c>
      <c r="H1020" t="s">
        <v>1305</v>
      </c>
      <c r="I1020" t="s">
        <v>1303</v>
      </c>
      <c r="J1020" t="s">
        <v>1267</v>
      </c>
      <c r="K1020" t="s">
        <v>1275</v>
      </c>
      <c r="L1020" s="2" t="s">
        <v>1274</v>
      </c>
      <c r="M1020" t="str">
        <f t="shared" ref="M1020:AB1020" si="4076">CONCATENATE("&lt;/li&gt;&lt;li&gt;&lt;a href=|http://",M1191,"/acts/2.htm","| ","title=|",M1190,"| target=|_top|&gt;",M1192,"&lt;/a&gt;")</f>
        <v>&lt;/li&gt;&lt;li&gt;&lt;a href=|http://niv.scripturetext.com/acts/2.htm| title=|New International Version| target=|_top|&gt;NIV&lt;/a&gt;</v>
      </c>
      <c r="N1020" t="str">
        <f t="shared" si="4076"/>
        <v>&lt;/li&gt;&lt;li&gt;&lt;a href=|http://nlt.scripturetext.com/acts/2.htm| title=|New Living Translation| target=|_top|&gt;NLT&lt;/a&gt;</v>
      </c>
      <c r="O1020" t="str">
        <f t="shared" si="4076"/>
        <v>&lt;/li&gt;&lt;li&gt;&lt;a href=|http://nasb.scripturetext.com/acts/2.htm| title=|New American Standard Bible| target=|_top|&gt;NAS&lt;/a&gt;</v>
      </c>
      <c r="P1020" t="str">
        <f t="shared" si="4076"/>
        <v>&lt;/li&gt;&lt;li&gt;&lt;a href=|http://gwt.scripturetext.com/acts/2.htm| title=|God's Word Translation| target=|_top|&gt;GWT&lt;/a&gt;</v>
      </c>
      <c r="Q1020" t="str">
        <f t="shared" si="4076"/>
        <v>&lt;/li&gt;&lt;li&gt;&lt;a href=|http://kingjbible.com/acts/2.htm| title=|King James Bible| target=|_top|&gt;KJV&lt;/a&gt;</v>
      </c>
      <c r="R1020" t="str">
        <f t="shared" si="4076"/>
        <v>&lt;/li&gt;&lt;li&gt;&lt;a href=|http://asvbible.com/acts/2.htm| title=|American Standard Version| target=|_top|&gt;ASV&lt;/a&gt;</v>
      </c>
      <c r="S1020" t="str">
        <f t="shared" si="4076"/>
        <v>&lt;/li&gt;&lt;li&gt;&lt;a href=|http://drb.scripturetext.com/acts/2.htm| title=|Douay-Rheims Bible| target=|_top|&gt;DRB&lt;/a&gt;</v>
      </c>
      <c r="T1020" t="str">
        <f t="shared" si="4076"/>
        <v>&lt;/li&gt;&lt;li&gt;&lt;a href=|http://erv.scripturetext.com/acts/2.htm| title=|English Revised Version| target=|_top|&gt;ERV&lt;/a&gt;</v>
      </c>
      <c r="U1020" t="str">
        <f>CONCATENATE("&lt;/li&gt;&lt;li&gt;&lt;a href=|http://",U1191,"/acts/2.htm","| ","title=|",U1190,"| target=|_top|&gt;",U1192,"&lt;/a&gt;")</f>
        <v>&lt;/li&gt;&lt;li&gt;&lt;a href=|http://study.interlinearbible.org/acts/2.htm| title=|Greek Study Bible| target=|_top|&gt;Grk Study&lt;/a&gt;</v>
      </c>
      <c r="W1020" t="str">
        <f t="shared" si="4076"/>
        <v>&lt;/li&gt;&lt;li&gt;&lt;a href=|http://apostolic.interlinearbible.org/acts/2.htm| title=|Apostolic Bible Polyglot Interlinear| target=|_top|&gt;Polyglot&lt;/a&gt;</v>
      </c>
      <c r="X1020" t="str">
        <f t="shared" si="4076"/>
        <v>&lt;/li&gt;&lt;li&gt;&lt;a href=|http://interlinearbible.org/acts/2.htm| title=|Interlinear Bible| target=|_top|&gt;Interlin&lt;/a&gt;</v>
      </c>
      <c r="Y1020" t="str">
        <f t="shared" ref="Y1020" si="4077">CONCATENATE("&lt;/li&gt;&lt;li&gt;&lt;a href=|http://",Y1191,"/acts/2.htm","| ","title=|",Y1190,"| target=|_top|&gt;",Y1192,"&lt;/a&gt;")</f>
        <v>&lt;/li&gt;&lt;li&gt;&lt;a href=|http://bibleoutline.org/acts/2.htm| title=|Outline with People and Places List| target=|_top|&gt;Outline&lt;/a&gt;</v>
      </c>
      <c r="Z1020" t="str">
        <f t="shared" si="4076"/>
        <v>&lt;/li&gt;&lt;li&gt;&lt;a href=|http://kjvs.scripturetext.com/acts/2.htm| title=|King James Bible with Strong's Numbers| target=|_top|&gt;Strong's&lt;/a&gt;</v>
      </c>
      <c r="AA1020" t="str">
        <f t="shared" si="4076"/>
        <v>&lt;/li&gt;&lt;li&gt;&lt;a href=|http://childrensbibleonline.com/acts/2.htm| title=|The Children's Bible| target=|_top|&gt;Children's&lt;/a&gt;</v>
      </c>
      <c r="AB1020" s="2" t="str">
        <f t="shared" si="4076"/>
        <v>&lt;/li&gt;&lt;li&gt;&lt;a href=|http://tsk.scripturetext.com/acts/2.htm| title=|Treasury of Scripture Knowledge| target=|_top|&gt;TSK&lt;/a&gt;</v>
      </c>
      <c r="AC1020" t="str">
        <f>CONCATENATE("&lt;a href=|http://",AC1191,"/acts/2.htm","| ","title=|",AC1190,"| target=|_top|&gt;",AC1192,"&lt;/a&gt;")</f>
        <v>&lt;a href=|http://parallelbible.com/acts/2.htm| title=|Parallel Chapters| target=|_top|&gt;PAR&lt;/a&gt;</v>
      </c>
      <c r="AD1020" s="2" t="str">
        <f t="shared" ref="AD1020:AI1020" si="4078">CONCATENATE("&lt;/li&gt;&lt;li&gt;&lt;a href=|http://",AD1191,"/acts/2.htm","| ","title=|",AD1190,"| target=|_top|&gt;",AD1192,"&lt;/a&gt;")</f>
        <v>&lt;/li&gt;&lt;li&gt;&lt;a href=|http://gsb.biblecommenter.com/acts/2.htm| title=|Geneva Study Bible| target=|_top|&gt;GSB&lt;/a&gt;</v>
      </c>
      <c r="AE1020" s="2" t="str">
        <f t="shared" si="4078"/>
        <v>&lt;/li&gt;&lt;li&gt;&lt;a href=|http://jfb.biblecommenter.com/acts/2.htm| title=|Jamieson-Fausset-Brown Bible Commentary| target=|_top|&gt;JFB&lt;/a&gt;</v>
      </c>
      <c r="AF1020" s="2" t="str">
        <f t="shared" si="4078"/>
        <v>&lt;/li&gt;&lt;li&gt;&lt;a href=|http://kjt.biblecommenter.com/acts/2.htm| title=|King James Translators' Notes| target=|_top|&gt;KJT&lt;/a&gt;</v>
      </c>
      <c r="AG1020" s="2" t="str">
        <f t="shared" si="4078"/>
        <v>&lt;/li&gt;&lt;li&gt;&lt;a href=|http://mhc.biblecommenter.com/acts/2.htm| title=|Matthew Henry's Concise Commentary| target=|_top|&gt;MHC&lt;/a&gt;</v>
      </c>
      <c r="AH1020" s="2" t="str">
        <f t="shared" si="4078"/>
        <v>&lt;/li&gt;&lt;li&gt;&lt;a href=|http://sco.biblecommenter.com/acts/2.htm| title=|Scofield Reference Notes| target=|_top|&gt;SCO&lt;/a&gt;</v>
      </c>
      <c r="AI1020" s="2" t="str">
        <f t="shared" si="4078"/>
        <v>&lt;/li&gt;&lt;li&gt;&lt;a href=|http://wes.biblecommenter.com/acts/2.htm| title=|Wesley's Notes on the Bible| target=|_top|&gt;WES&lt;/a&gt;</v>
      </c>
      <c r="AJ1020" t="str">
        <f>CONCATENATE("&lt;/li&gt;&lt;li&gt;&lt;a href=|http://",AJ1191,"/acts/2.htm","| ","title=|",AJ1190,"| target=|_top|&gt;",AJ1192,"&lt;/a&gt;")</f>
        <v>&lt;/li&gt;&lt;li&gt;&lt;a href=|http://worldebible.com/acts/2.htm| title=|World English Bible| target=|_top|&gt;WEB&lt;/a&gt;</v>
      </c>
      <c r="AK1020" t="str">
        <f>CONCATENATE("&lt;/li&gt;&lt;li&gt;&lt;a href=|http://",AK1191,"/acts/2.htm","| ","title=|",AK1190,"| target=|_top|&gt;",AK1192,"&lt;/a&gt;")</f>
        <v>&lt;/li&gt;&lt;li&gt;&lt;a href=|http://yltbible.com/acts/2.htm| title=|Young's Literal Translation| target=|_top|&gt;YLT&lt;/a&gt;</v>
      </c>
      <c r="AL1020" t="str">
        <f>CONCATENATE("&lt;a href=|http://",AL1191,"/acts/2.htm","| ","title=|",AL1190,"| target=|_top|&gt;",AL1192,"&lt;/a&gt;")</f>
        <v>&lt;a href=|http://kjv.us/acts/2.htm| title=|American King James Version| target=|_top|&gt;AKJ&lt;/a&gt;</v>
      </c>
      <c r="AM1020" t="str">
        <f t="shared" ref="AM1020:AS1020" si="4079">CONCATENATE("&lt;/li&gt;&lt;li&gt;&lt;a href=|http://",AM1191,"/acts/2.htm","| ","title=|",AM1190,"| target=|_top|&gt;",AM1192,"&lt;/a&gt;")</f>
        <v>&lt;/li&gt;&lt;li&gt;&lt;a href=|http://basicenglishbible.com/acts/2.htm| title=|Bible in Basic English| target=|_top|&gt;BBE&lt;/a&gt;</v>
      </c>
      <c r="AN1020" t="str">
        <f t="shared" si="4079"/>
        <v>&lt;/li&gt;&lt;li&gt;&lt;a href=|http://darbybible.com/acts/2.htm| title=|Darby Bible Translation| target=|_top|&gt;DBY&lt;/a&gt;</v>
      </c>
      <c r="AO1020" t="str">
        <f t="shared" si="4079"/>
        <v>&lt;/li&gt;&lt;li&gt;&lt;a href=|http://isv.scripturetext.com/acts/2.htm| title=|International Standard Version| target=|_top|&gt;ISV&lt;/a&gt;</v>
      </c>
      <c r="AP1020" t="str">
        <f t="shared" si="4079"/>
        <v>&lt;/li&gt;&lt;li&gt;&lt;a href=|http://tnt.scripturetext.com/acts/2.htm| title=|Tyndale New Testament| target=|_top|&gt;TNT&lt;/a&gt;</v>
      </c>
      <c r="AQ1020" s="2" t="str">
        <f t="shared" si="4079"/>
        <v>&lt;/li&gt;&lt;li&gt;&lt;a href=|http://pnt.biblecommenter.com/acts/2.htm| title=|People's New Testament| target=|_top|&gt;PNT&lt;/a&gt;</v>
      </c>
      <c r="AR1020" t="str">
        <f t="shared" si="4079"/>
        <v>&lt;/li&gt;&lt;li&gt;&lt;a href=|http://websterbible.com/acts/2.htm| title=|Webster's Bible Translation| target=|_top|&gt;WBS&lt;/a&gt;</v>
      </c>
      <c r="AS1020" t="str">
        <f t="shared" si="4079"/>
        <v>&lt;/li&gt;&lt;li&gt;&lt;a href=|http://weymouthbible.com/acts/2.htm| title=|Weymouth New Testament| target=|_top|&gt;WEY&lt;/a&gt;</v>
      </c>
      <c r="AT1020" t="str">
        <f>CONCATENATE("&lt;/li&gt;&lt;li&gt;&lt;a href=|http://",AT1191,"/acts/2-1.htm","| ","title=|",AT1190,"| target=|_top|&gt;",AT1192,"&lt;/a&gt;")</f>
        <v>&lt;/li&gt;&lt;li&gt;&lt;a href=|http://biblebrowser.com/acts/2-1.htm| title=|Split View| target=|_top|&gt;Split&lt;/a&gt;</v>
      </c>
      <c r="AU1020" s="2" t="s">
        <v>1276</v>
      </c>
      <c r="AV1020" t="s">
        <v>64</v>
      </c>
    </row>
    <row r="1021" spans="1:48">
      <c r="A1021" t="s">
        <v>622</v>
      </c>
      <c r="B1021" t="s">
        <v>452</v>
      </c>
      <c r="C1021" t="s">
        <v>624</v>
      </c>
      <c r="D1021" t="s">
        <v>1268</v>
      </c>
      <c r="E1021" t="s">
        <v>1277</v>
      </c>
      <c r="F1021" t="s">
        <v>1304</v>
      </c>
      <c r="G1021" t="s">
        <v>1266</v>
      </c>
      <c r="H1021" t="s">
        <v>1305</v>
      </c>
      <c r="I1021" t="s">
        <v>1303</v>
      </c>
      <c r="J1021" t="s">
        <v>1267</v>
      </c>
      <c r="K1021" t="s">
        <v>1275</v>
      </c>
      <c r="L1021" s="2" t="s">
        <v>1274</v>
      </c>
      <c r="M1021" t="str">
        <f t="shared" ref="M1021:AB1021" si="4080">CONCATENATE("&lt;/li&gt;&lt;li&gt;&lt;a href=|http://",M1191,"/acts/3.htm","| ","title=|",M1190,"| target=|_top|&gt;",M1192,"&lt;/a&gt;")</f>
        <v>&lt;/li&gt;&lt;li&gt;&lt;a href=|http://niv.scripturetext.com/acts/3.htm| title=|New International Version| target=|_top|&gt;NIV&lt;/a&gt;</v>
      </c>
      <c r="N1021" t="str">
        <f t="shared" si="4080"/>
        <v>&lt;/li&gt;&lt;li&gt;&lt;a href=|http://nlt.scripturetext.com/acts/3.htm| title=|New Living Translation| target=|_top|&gt;NLT&lt;/a&gt;</v>
      </c>
      <c r="O1021" t="str">
        <f t="shared" si="4080"/>
        <v>&lt;/li&gt;&lt;li&gt;&lt;a href=|http://nasb.scripturetext.com/acts/3.htm| title=|New American Standard Bible| target=|_top|&gt;NAS&lt;/a&gt;</v>
      </c>
      <c r="P1021" t="str">
        <f t="shared" si="4080"/>
        <v>&lt;/li&gt;&lt;li&gt;&lt;a href=|http://gwt.scripturetext.com/acts/3.htm| title=|God's Word Translation| target=|_top|&gt;GWT&lt;/a&gt;</v>
      </c>
      <c r="Q1021" t="str">
        <f t="shared" si="4080"/>
        <v>&lt;/li&gt;&lt;li&gt;&lt;a href=|http://kingjbible.com/acts/3.htm| title=|King James Bible| target=|_top|&gt;KJV&lt;/a&gt;</v>
      </c>
      <c r="R1021" t="str">
        <f t="shared" si="4080"/>
        <v>&lt;/li&gt;&lt;li&gt;&lt;a href=|http://asvbible.com/acts/3.htm| title=|American Standard Version| target=|_top|&gt;ASV&lt;/a&gt;</v>
      </c>
      <c r="S1021" t="str">
        <f t="shared" si="4080"/>
        <v>&lt;/li&gt;&lt;li&gt;&lt;a href=|http://drb.scripturetext.com/acts/3.htm| title=|Douay-Rheims Bible| target=|_top|&gt;DRB&lt;/a&gt;</v>
      </c>
      <c r="T1021" t="str">
        <f t="shared" si="4080"/>
        <v>&lt;/li&gt;&lt;li&gt;&lt;a href=|http://erv.scripturetext.com/acts/3.htm| title=|English Revised Version| target=|_top|&gt;ERV&lt;/a&gt;</v>
      </c>
      <c r="U1021" t="str">
        <f>CONCATENATE("&lt;/li&gt;&lt;li&gt;&lt;a href=|http://",U1191,"/acts/3.htm","| ","title=|",U1190,"| target=|_top|&gt;",U1192,"&lt;/a&gt;")</f>
        <v>&lt;/li&gt;&lt;li&gt;&lt;a href=|http://study.interlinearbible.org/acts/3.htm| title=|Greek Study Bible| target=|_top|&gt;Grk Study&lt;/a&gt;</v>
      </c>
      <c r="W1021" t="str">
        <f t="shared" si="4080"/>
        <v>&lt;/li&gt;&lt;li&gt;&lt;a href=|http://apostolic.interlinearbible.org/acts/3.htm| title=|Apostolic Bible Polyglot Interlinear| target=|_top|&gt;Polyglot&lt;/a&gt;</v>
      </c>
      <c r="X1021" t="str">
        <f t="shared" si="4080"/>
        <v>&lt;/li&gt;&lt;li&gt;&lt;a href=|http://interlinearbible.org/acts/3.htm| title=|Interlinear Bible| target=|_top|&gt;Interlin&lt;/a&gt;</v>
      </c>
      <c r="Y1021" t="str">
        <f t="shared" ref="Y1021" si="4081">CONCATENATE("&lt;/li&gt;&lt;li&gt;&lt;a href=|http://",Y1191,"/acts/3.htm","| ","title=|",Y1190,"| target=|_top|&gt;",Y1192,"&lt;/a&gt;")</f>
        <v>&lt;/li&gt;&lt;li&gt;&lt;a href=|http://bibleoutline.org/acts/3.htm| title=|Outline with People and Places List| target=|_top|&gt;Outline&lt;/a&gt;</v>
      </c>
      <c r="Z1021" t="str">
        <f t="shared" si="4080"/>
        <v>&lt;/li&gt;&lt;li&gt;&lt;a href=|http://kjvs.scripturetext.com/acts/3.htm| title=|King James Bible with Strong's Numbers| target=|_top|&gt;Strong's&lt;/a&gt;</v>
      </c>
      <c r="AA1021" t="str">
        <f t="shared" si="4080"/>
        <v>&lt;/li&gt;&lt;li&gt;&lt;a href=|http://childrensbibleonline.com/acts/3.htm| title=|The Children's Bible| target=|_top|&gt;Children's&lt;/a&gt;</v>
      </c>
      <c r="AB1021" s="2" t="str">
        <f t="shared" si="4080"/>
        <v>&lt;/li&gt;&lt;li&gt;&lt;a href=|http://tsk.scripturetext.com/acts/3.htm| title=|Treasury of Scripture Knowledge| target=|_top|&gt;TSK&lt;/a&gt;</v>
      </c>
      <c r="AC1021" t="str">
        <f>CONCATENATE("&lt;a href=|http://",AC1191,"/acts/3.htm","| ","title=|",AC1190,"| target=|_top|&gt;",AC1192,"&lt;/a&gt;")</f>
        <v>&lt;a href=|http://parallelbible.com/acts/3.htm| title=|Parallel Chapters| target=|_top|&gt;PAR&lt;/a&gt;</v>
      </c>
      <c r="AD1021" s="2" t="str">
        <f t="shared" ref="AD1021:AI1021" si="4082">CONCATENATE("&lt;/li&gt;&lt;li&gt;&lt;a href=|http://",AD1191,"/acts/3.htm","| ","title=|",AD1190,"| target=|_top|&gt;",AD1192,"&lt;/a&gt;")</f>
        <v>&lt;/li&gt;&lt;li&gt;&lt;a href=|http://gsb.biblecommenter.com/acts/3.htm| title=|Geneva Study Bible| target=|_top|&gt;GSB&lt;/a&gt;</v>
      </c>
      <c r="AE1021" s="2" t="str">
        <f t="shared" si="4082"/>
        <v>&lt;/li&gt;&lt;li&gt;&lt;a href=|http://jfb.biblecommenter.com/acts/3.htm| title=|Jamieson-Fausset-Brown Bible Commentary| target=|_top|&gt;JFB&lt;/a&gt;</v>
      </c>
      <c r="AF1021" s="2" t="str">
        <f t="shared" si="4082"/>
        <v>&lt;/li&gt;&lt;li&gt;&lt;a href=|http://kjt.biblecommenter.com/acts/3.htm| title=|King James Translators' Notes| target=|_top|&gt;KJT&lt;/a&gt;</v>
      </c>
      <c r="AG1021" s="2" t="str">
        <f t="shared" si="4082"/>
        <v>&lt;/li&gt;&lt;li&gt;&lt;a href=|http://mhc.biblecommenter.com/acts/3.htm| title=|Matthew Henry's Concise Commentary| target=|_top|&gt;MHC&lt;/a&gt;</v>
      </c>
      <c r="AH1021" s="2" t="str">
        <f t="shared" si="4082"/>
        <v>&lt;/li&gt;&lt;li&gt;&lt;a href=|http://sco.biblecommenter.com/acts/3.htm| title=|Scofield Reference Notes| target=|_top|&gt;SCO&lt;/a&gt;</v>
      </c>
      <c r="AI1021" s="2" t="str">
        <f t="shared" si="4082"/>
        <v>&lt;/li&gt;&lt;li&gt;&lt;a href=|http://wes.biblecommenter.com/acts/3.htm| title=|Wesley's Notes on the Bible| target=|_top|&gt;WES&lt;/a&gt;</v>
      </c>
      <c r="AJ1021" t="str">
        <f>CONCATENATE("&lt;/li&gt;&lt;li&gt;&lt;a href=|http://",AJ1191,"/acts/3.htm","| ","title=|",AJ1190,"| target=|_top|&gt;",AJ1192,"&lt;/a&gt;")</f>
        <v>&lt;/li&gt;&lt;li&gt;&lt;a href=|http://worldebible.com/acts/3.htm| title=|World English Bible| target=|_top|&gt;WEB&lt;/a&gt;</v>
      </c>
      <c r="AK1021" t="str">
        <f>CONCATENATE("&lt;/li&gt;&lt;li&gt;&lt;a href=|http://",AK1191,"/acts/3.htm","| ","title=|",AK1190,"| target=|_top|&gt;",AK1192,"&lt;/a&gt;")</f>
        <v>&lt;/li&gt;&lt;li&gt;&lt;a href=|http://yltbible.com/acts/3.htm| title=|Young's Literal Translation| target=|_top|&gt;YLT&lt;/a&gt;</v>
      </c>
      <c r="AL1021" t="str">
        <f>CONCATENATE("&lt;a href=|http://",AL1191,"/acts/3.htm","| ","title=|",AL1190,"| target=|_top|&gt;",AL1192,"&lt;/a&gt;")</f>
        <v>&lt;a href=|http://kjv.us/acts/3.htm| title=|American King James Version| target=|_top|&gt;AKJ&lt;/a&gt;</v>
      </c>
      <c r="AM1021" t="str">
        <f t="shared" ref="AM1021:AS1021" si="4083">CONCATENATE("&lt;/li&gt;&lt;li&gt;&lt;a href=|http://",AM1191,"/acts/3.htm","| ","title=|",AM1190,"| target=|_top|&gt;",AM1192,"&lt;/a&gt;")</f>
        <v>&lt;/li&gt;&lt;li&gt;&lt;a href=|http://basicenglishbible.com/acts/3.htm| title=|Bible in Basic English| target=|_top|&gt;BBE&lt;/a&gt;</v>
      </c>
      <c r="AN1021" t="str">
        <f t="shared" si="4083"/>
        <v>&lt;/li&gt;&lt;li&gt;&lt;a href=|http://darbybible.com/acts/3.htm| title=|Darby Bible Translation| target=|_top|&gt;DBY&lt;/a&gt;</v>
      </c>
      <c r="AO1021" t="str">
        <f t="shared" si="4083"/>
        <v>&lt;/li&gt;&lt;li&gt;&lt;a href=|http://isv.scripturetext.com/acts/3.htm| title=|International Standard Version| target=|_top|&gt;ISV&lt;/a&gt;</v>
      </c>
      <c r="AP1021" t="str">
        <f t="shared" si="4083"/>
        <v>&lt;/li&gt;&lt;li&gt;&lt;a href=|http://tnt.scripturetext.com/acts/3.htm| title=|Tyndale New Testament| target=|_top|&gt;TNT&lt;/a&gt;</v>
      </c>
      <c r="AQ1021" s="2" t="str">
        <f t="shared" si="4083"/>
        <v>&lt;/li&gt;&lt;li&gt;&lt;a href=|http://pnt.biblecommenter.com/acts/3.htm| title=|People's New Testament| target=|_top|&gt;PNT&lt;/a&gt;</v>
      </c>
      <c r="AR1021" t="str">
        <f t="shared" si="4083"/>
        <v>&lt;/li&gt;&lt;li&gt;&lt;a href=|http://websterbible.com/acts/3.htm| title=|Webster's Bible Translation| target=|_top|&gt;WBS&lt;/a&gt;</v>
      </c>
      <c r="AS1021" t="str">
        <f t="shared" si="4083"/>
        <v>&lt;/li&gt;&lt;li&gt;&lt;a href=|http://weymouthbible.com/acts/3.htm| title=|Weymouth New Testament| target=|_top|&gt;WEY&lt;/a&gt;</v>
      </c>
      <c r="AT1021" t="str">
        <f>CONCATENATE("&lt;/li&gt;&lt;li&gt;&lt;a href=|http://",AT1191,"/acts/3-1.htm","| ","title=|",AT1190,"| target=|_top|&gt;",AT1192,"&lt;/a&gt;")</f>
        <v>&lt;/li&gt;&lt;li&gt;&lt;a href=|http://biblebrowser.com/acts/3-1.htm| title=|Split View| target=|_top|&gt;Split&lt;/a&gt;</v>
      </c>
      <c r="AU1021" s="2" t="s">
        <v>1276</v>
      </c>
      <c r="AV1021" t="s">
        <v>64</v>
      </c>
    </row>
    <row r="1022" spans="1:48">
      <c r="A1022" t="s">
        <v>622</v>
      </c>
      <c r="B1022" t="s">
        <v>453</v>
      </c>
      <c r="C1022" t="s">
        <v>624</v>
      </c>
      <c r="D1022" t="s">
        <v>1268</v>
      </c>
      <c r="E1022" t="s">
        <v>1277</v>
      </c>
      <c r="F1022" t="s">
        <v>1304</v>
      </c>
      <c r="G1022" t="s">
        <v>1266</v>
      </c>
      <c r="H1022" t="s">
        <v>1305</v>
      </c>
      <c r="I1022" t="s">
        <v>1303</v>
      </c>
      <c r="J1022" t="s">
        <v>1267</v>
      </c>
      <c r="K1022" t="s">
        <v>1275</v>
      </c>
      <c r="L1022" s="2" t="s">
        <v>1274</v>
      </c>
      <c r="M1022" t="str">
        <f t="shared" ref="M1022:AB1022" si="4084">CONCATENATE("&lt;/li&gt;&lt;li&gt;&lt;a href=|http://",M1191,"/acts/4.htm","| ","title=|",M1190,"| target=|_top|&gt;",M1192,"&lt;/a&gt;")</f>
        <v>&lt;/li&gt;&lt;li&gt;&lt;a href=|http://niv.scripturetext.com/acts/4.htm| title=|New International Version| target=|_top|&gt;NIV&lt;/a&gt;</v>
      </c>
      <c r="N1022" t="str">
        <f t="shared" si="4084"/>
        <v>&lt;/li&gt;&lt;li&gt;&lt;a href=|http://nlt.scripturetext.com/acts/4.htm| title=|New Living Translation| target=|_top|&gt;NLT&lt;/a&gt;</v>
      </c>
      <c r="O1022" t="str">
        <f t="shared" si="4084"/>
        <v>&lt;/li&gt;&lt;li&gt;&lt;a href=|http://nasb.scripturetext.com/acts/4.htm| title=|New American Standard Bible| target=|_top|&gt;NAS&lt;/a&gt;</v>
      </c>
      <c r="P1022" t="str">
        <f t="shared" si="4084"/>
        <v>&lt;/li&gt;&lt;li&gt;&lt;a href=|http://gwt.scripturetext.com/acts/4.htm| title=|God's Word Translation| target=|_top|&gt;GWT&lt;/a&gt;</v>
      </c>
      <c r="Q1022" t="str">
        <f t="shared" si="4084"/>
        <v>&lt;/li&gt;&lt;li&gt;&lt;a href=|http://kingjbible.com/acts/4.htm| title=|King James Bible| target=|_top|&gt;KJV&lt;/a&gt;</v>
      </c>
      <c r="R1022" t="str">
        <f t="shared" si="4084"/>
        <v>&lt;/li&gt;&lt;li&gt;&lt;a href=|http://asvbible.com/acts/4.htm| title=|American Standard Version| target=|_top|&gt;ASV&lt;/a&gt;</v>
      </c>
      <c r="S1022" t="str">
        <f t="shared" si="4084"/>
        <v>&lt;/li&gt;&lt;li&gt;&lt;a href=|http://drb.scripturetext.com/acts/4.htm| title=|Douay-Rheims Bible| target=|_top|&gt;DRB&lt;/a&gt;</v>
      </c>
      <c r="T1022" t="str">
        <f t="shared" si="4084"/>
        <v>&lt;/li&gt;&lt;li&gt;&lt;a href=|http://erv.scripturetext.com/acts/4.htm| title=|English Revised Version| target=|_top|&gt;ERV&lt;/a&gt;</v>
      </c>
      <c r="U1022" t="str">
        <f>CONCATENATE("&lt;/li&gt;&lt;li&gt;&lt;a href=|http://",U1191,"/acts/4.htm","| ","title=|",U1190,"| target=|_top|&gt;",U1192,"&lt;/a&gt;")</f>
        <v>&lt;/li&gt;&lt;li&gt;&lt;a href=|http://study.interlinearbible.org/acts/4.htm| title=|Greek Study Bible| target=|_top|&gt;Grk Study&lt;/a&gt;</v>
      </c>
      <c r="W1022" t="str">
        <f t="shared" si="4084"/>
        <v>&lt;/li&gt;&lt;li&gt;&lt;a href=|http://apostolic.interlinearbible.org/acts/4.htm| title=|Apostolic Bible Polyglot Interlinear| target=|_top|&gt;Polyglot&lt;/a&gt;</v>
      </c>
      <c r="X1022" t="str">
        <f t="shared" si="4084"/>
        <v>&lt;/li&gt;&lt;li&gt;&lt;a href=|http://interlinearbible.org/acts/4.htm| title=|Interlinear Bible| target=|_top|&gt;Interlin&lt;/a&gt;</v>
      </c>
      <c r="Y1022" t="str">
        <f t="shared" ref="Y1022" si="4085">CONCATENATE("&lt;/li&gt;&lt;li&gt;&lt;a href=|http://",Y1191,"/acts/4.htm","| ","title=|",Y1190,"| target=|_top|&gt;",Y1192,"&lt;/a&gt;")</f>
        <v>&lt;/li&gt;&lt;li&gt;&lt;a href=|http://bibleoutline.org/acts/4.htm| title=|Outline with People and Places List| target=|_top|&gt;Outline&lt;/a&gt;</v>
      </c>
      <c r="Z1022" t="str">
        <f t="shared" si="4084"/>
        <v>&lt;/li&gt;&lt;li&gt;&lt;a href=|http://kjvs.scripturetext.com/acts/4.htm| title=|King James Bible with Strong's Numbers| target=|_top|&gt;Strong's&lt;/a&gt;</v>
      </c>
      <c r="AA1022" t="str">
        <f t="shared" si="4084"/>
        <v>&lt;/li&gt;&lt;li&gt;&lt;a href=|http://childrensbibleonline.com/acts/4.htm| title=|The Children's Bible| target=|_top|&gt;Children's&lt;/a&gt;</v>
      </c>
      <c r="AB1022" s="2" t="str">
        <f t="shared" si="4084"/>
        <v>&lt;/li&gt;&lt;li&gt;&lt;a href=|http://tsk.scripturetext.com/acts/4.htm| title=|Treasury of Scripture Knowledge| target=|_top|&gt;TSK&lt;/a&gt;</v>
      </c>
      <c r="AC1022" t="str">
        <f>CONCATENATE("&lt;a href=|http://",AC1191,"/acts/4.htm","| ","title=|",AC1190,"| target=|_top|&gt;",AC1192,"&lt;/a&gt;")</f>
        <v>&lt;a href=|http://parallelbible.com/acts/4.htm| title=|Parallel Chapters| target=|_top|&gt;PAR&lt;/a&gt;</v>
      </c>
      <c r="AD1022" s="2" t="str">
        <f t="shared" ref="AD1022:AI1022" si="4086">CONCATENATE("&lt;/li&gt;&lt;li&gt;&lt;a href=|http://",AD1191,"/acts/4.htm","| ","title=|",AD1190,"| target=|_top|&gt;",AD1192,"&lt;/a&gt;")</f>
        <v>&lt;/li&gt;&lt;li&gt;&lt;a href=|http://gsb.biblecommenter.com/acts/4.htm| title=|Geneva Study Bible| target=|_top|&gt;GSB&lt;/a&gt;</v>
      </c>
      <c r="AE1022" s="2" t="str">
        <f t="shared" si="4086"/>
        <v>&lt;/li&gt;&lt;li&gt;&lt;a href=|http://jfb.biblecommenter.com/acts/4.htm| title=|Jamieson-Fausset-Brown Bible Commentary| target=|_top|&gt;JFB&lt;/a&gt;</v>
      </c>
      <c r="AF1022" s="2" t="str">
        <f t="shared" si="4086"/>
        <v>&lt;/li&gt;&lt;li&gt;&lt;a href=|http://kjt.biblecommenter.com/acts/4.htm| title=|King James Translators' Notes| target=|_top|&gt;KJT&lt;/a&gt;</v>
      </c>
      <c r="AG1022" s="2" t="str">
        <f t="shared" si="4086"/>
        <v>&lt;/li&gt;&lt;li&gt;&lt;a href=|http://mhc.biblecommenter.com/acts/4.htm| title=|Matthew Henry's Concise Commentary| target=|_top|&gt;MHC&lt;/a&gt;</v>
      </c>
      <c r="AH1022" s="2" t="str">
        <f t="shared" si="4086"/>
        <v>&lt;/li&gt;&lt;li&gt;&lt;a href=|http://sco.biblecommenter.com/acts/4.htm| title=|Scofield Reference Notes| target=|_top|&gt;SCO&lt;/a&gt;</v>
      </c>
      <c r="AI1022" s="2" t="str">
        <f t="shared" si="4086"/>
        <v>&lt;/li&gt;&lt;li&gt;&lt;a href=|http://wes.biblecommenter.com/acts/4.htm| title=|Wesley's Notes on the Bible| target=|_top|&gt;WES&lt;/a&gt;</v>
      </c>
      <c r="AJ1022" t="str">
        <f>CONCATENATE("&lt;/li&gt;&lt;li&gt;&lt;a href=|http://",AJ1191,"/acts/4.htm","| ","title=|",AJ1190,"| target=|_top|&gt;",AJ1192,"&lt;/a&gt;")</f>
        <v>&lt;/li&gt;&lt;li&gt;&lt;a href=|http://worldebible.com/acts/4.htm| title=|World English Bible| target=|_top|&gt;WEB&lt;/a&gt;</v>
      </c>
      <c r="AK1022" t="str">
        <f>CONCATENATE("&lt;/li&gt;&lt;li&gt;&lt;a href=|http://",AK1191,"/acts/4.htm","| ","title=|",AK1190,"| target=|_top|&gt;",AK1192,"&lt;/a&gt;")</f>
        <v>&lt;/li&gt;&lt;li&gt;&lt;a href=|http://yltbible.com/acts/4.htm| title=|Young's Literal Translation| target=|_top|&gt;YLT&lt;/a&gt;</v>
      </c>
      <c r="AL1022" t="str">
        <f>CONCATENATE("&lt;a href=|http://",AL1191,"/acts/4.htm","| ","title=|",AL1190,"| target=|_top|&gt;",AL1192,"&lt;/a&gt;")</f>
        <v>&lt;a href=|http://kjv.us/acts/4.htm| title=|American King James Version| target=|_top|&gt;AKJ&lt;/a&gt;</v>
      </c>
      <c r="AM1022" t="str">
        <f t="shared" ref="AM1022:AS1022" si="4087">CONCATENATE("&lt;/li&gt;&lt;li&gt;&lt;a href=|http://",AM1191,"/acts/4.htm","| ","title=|",AM1190,"| target=|_top|&gt;",AM1192,"&lt;/a&gt;")</f>
        <v>&lt;/li&gt;&lt;li&gt;&lt;a href=|http://basicenglishbible.com/acts/4.htm| title=|Bible in Basic English| target=|_top|&gt;BBE&lt;/a&gt;</v>
      </c>
      <c r="AN1022" t="str">
        <f t="shared" si="4087"/>
        <v>&lt;/li&gt;&lt;li&gt;&lt;a href=|http://darbybible.com/acts/4.htm| title=|Darby Bible Translation| target=|_top|&gt;DBY&lt;/a&gt;</v>
      </c>
      <c r="AO1022" t="str">
        <f t="shared" si="4087"/>
        <v>&lt;/li&gt;&lt;li&gt;&lt;a href=|http://isv.scripturetext.com/acts/4.htm| title=|International Standard Version| target=|_top|&gt;ISV&lt;/a&gt;</v>
      </c>
      <c r="AP1022" t="str">
        <f t="shared" si="4087"/>
        <v>&lt;/li&gt;&lt;li&gt;&lt;a href=|http://tnt.scripturetext.com/acts/4.htm| title=|Tyndale New Testament| target=|_top|&gt;TNT&lt;/a&gt;</v>
      </c>
      <c r="AQ1022" s="2" t="str">
        <f t="shared" si="4087"/>
        <v>&lt;/li&gt;&lt;li&gt;&lt;a href=|http://pnt.biblecommenter.com/acts/4.htm| title=|People's New Testament| target=|_top|&gt;PNT&lt;/a&gt;</v>
      </c>
      <c r="AR1022" t="str">
        <f t="shared" si="4087"/>
        <v>&lt;/li&gt;&lt;li&gt;&lt;a href=|http://websterbible.com/acts/4.htm| title=|Webster's Bible Translation| target=|_top|&gt;WBS&lt;/a&gt;</v>
      </c>
      <c r="AS1022" t="str">
        <f t="shared" si="4087"/>
        <v>&lt;/li&gt;&lt;li&gt;&lt;a href=|http://weymouthbible.com/acts/4.htm| title=|Weymouth New Testament| target=|_top|&gt;WEY&lt;/a&gt;</v>
      </c>
      <c r="AT1022" t="str">
        <f>CONCATENATE("&lt;/li&gt;&lt;li&gt;&lt;a href=|http://",AT1191,"/acts/4-1.htm","| ","title=|",AT1190,"| target=|_top|&gt;",AT1192,"&lt;/a&gt;")</f>
        <v>&lt;/li&gt;&lt;li&gt;&lt;a href=|http://biblebrowser.com/acts/4-1.htm| title=|Split View| target=|_top|&gt;Split&lt;/a&gt;</v>
      </c>
      <c r="AU1022" s="2" t="s">
        <v>1276</v>
      </c>
      <c r="AV1022" t="s">
        <v>64</v>
      </c>
    </row>
    <row r="1023" spans="1:48">
      <c r="A1023" t="s">
        <v>622</v>
      </c>
      <c r="B1023" t="s">
        <v>454</v>
      </c>
      <c r="C1023" t="s">
        <v>624</v>
      </c>
      <c r="D1023" t="s">
        <v>1268</v>
      </c>
      <c r="E1023" t="s">
        <v>1277</v>
      </c>
      <c r="F1023" t="s">
        <v>1304</v>
      </c>
      <c r="G1023" t="s">
        <v>1266</v>
      </c>
      <c r="H1023" t="s">
        <v>1305</v>
      </c>
      <c r="I1023" t="s">
        <v>1303</v>
      </c>
      <c r="J1023" t="s">
        <v>1267</v>
      </c>
      <c r="K1023" t="s">
        <v>1275</v>
      </c>
      <c r="L1023" s="2" t="s">
        <v>1274</v>
      </c>
      <c r="M1023" t="str">
        <f t="shared" ref="M1023:AB1023" si="4088">CONCATENATE("&lt;/li&gt;&lt;li&gt;&lt;a href=|http://",M1191,"/acts/5.htm","| ","title=|",M1190,"| target=|_top|&gt;",M1192,"&lt;/a&gt;")</f>
        <v>&lt;/li&gt;&lt;li&gt;&lt;a href=|http://niv.scripturetext.com/acts/5.htm| title=|New International Version| target=|_top|&gt;NIV&lt;/a&gt;</v>
      </c>
      <c r="N1023" t="str">
        <f t="shared" si="4088"/>
        <v>&lt;/li&gt;&lt;li&gt;&lt;a href=|http://nlt.scripturetext.com/acts/5.htm| title=|New Living Translation| target=|_top|&gt;NLT&lt;/a&gt;</v>
      </c>
      <c r="O1023" t="str">
        <f t="shared" si="4088"/>
        <v>&lt;/li&gt;&lt;li&gt;&lt;a href=|http://nasb.scripturetext.com/acts/5.htm| title=|New American Standard Bible| target=|_top|&gt;NAS&lt;/a&gt;</v>
      </c>
      <c r="P1023" t="str">
        <f t="shared" si="4088"/>
        <v>&lt;/li&gt;&lt;li&gt;&lt;a href=|http://gwt.scripturetext.com/acts/5.htm| title=|God's Word Translation| target=|_top|&gt;GWT&lt;/a&gt;</v>
      </c>
      <c r="Q1023" t="str">
        <f t="shared" si="4088"/>
        <v>&lt;/li&gt;&lt;li&gt;&lt;a href=|http://kingjbible.com/acts/5.htm| title=|King James Bible| target=|_top|&gt;KJV&lt;/a&gt;</v>
      </c>
      <c r="R1023" t="str">
        <f t="shared" si="4088"/>
        <v>&lt;/li&gt;&lt;li&gt;&lt;a href=|http://asvbible.com/acts/5.htm| title=|American Standard Version| target=|_top|&gt;ASV&lt;/a&gt;</v>
      </c>
      <c r="S1023" t="str">
        <f t="shared" si="4088"/>
        <v>&lt;/li&gt;&lt;li&gt;&lt;a href=|http://drb.scripturetext.com/acts/5.htm| title=|Douay-Rheims Bible| target=|_top|&gt;DRB&lt;/a&gt;</v>
      </c>
      <c r="T1023" t="str">
        <f t="shared" si="4088"/>
        <v>&lt;/li&gt;&lt;li&gt;&lt;a href=|http://erv.scripturetext.com/acts/5.htm| title=|English Revised Version| target=|_top|&gt;ERV&lt;/a&gt;</v>
      </c>
      <c r="U1023" t="str">
        <f>CONCATENATE("&lt;/li&gt;&lt;li&gt;&lt;a href=|http://",U1191,"/acts/5.htm","| ","title=|",U1190,"| target=|_top|&gt;",U1192,"&lt;/a&gt;")</f>
        <v>&lt;/li&gt;&lt;li&gt;&lt;a href=|http://study.interlinearbible.org/acts/5.htm| title=|Greek Study Bible| target=|_top|&gt;Grk Study&lt;/a&gt;</v>
      </c>
      <c r="W1023" t="str">
        <f t="shared" si="4088"/>
        <v>&lt;/li&gt;&lt;li&gt;&lt;a href=|http://apostolic.interlinearbible.org/acts/5.htm| title=|Apostolic Bible Polyglot Interlinear| target=|_top|&gt;Polyglot&lt;/a&gt;</v>
      </c>
      <c r="X1023" t="str">
        <f t="shared" si="4088"/>
        <v>&lt;/li&gt;&lt;li&gt;&lt;a href=|http://interlinearbible.org/acts/5.htm| title=|Interlinear Bible| target=|_top|&gt;Interlin&lt;/a&gt;</v>
      </c>
      <c r="Y1023" t="str">
        <f t="shared" ref="Y1023" si="4089">CONCATENATE("&lt;/li&gt;&lt;li&gt;&lt;a href=|http://",Y1191,"/acts/5.htm","| ","title=|",Y1190,"| target=|_top|&gt;",Y1192,"&lt;/a&gt;")</f>
        <v>&lt;/li&gt;&lt;li&gt;&lt;a href=|http://bibleoutline.org/acts/5.htm| title=|Outline with People and Places List| target=|_top|&gt;Outline&lt;/a&gt;</v>
      </c>
      <c r="Z1023" t="str">
        <f t="shared" si="4088"/>
        <v>&lt;/li&gt;&lt;li&gt;&lt;a href=|http://kjvs.scripturetext.com/acts/5.htm| title=|King James Bible with Strong's Numbers| target=|_top|&gt;Strong's&lt;/a&gt;</v>
      </c>
      <c r="AA1023" t="str">
        <f t="shared" si="4088"/>
        <v>&lt;/li&gt;&lt;li&gt;&lt;a href=|http://childrensbibleonline.com/acts/5.htm| title=|The Children's Bible| target=|_top|&gt;Children's&lt;/a&gt;</v>
      </c>
      <c r="AB1023" s="2" t="str">
        <f t="shared" si="4088"/>
        <v>&lt;/li&gt;&lt;li&gt;&lt;a href=|http://tsk.scripturetext.com/acts/5.htm| title=|Treasury of Scripture Knowledge| target=|_top|&gt;TSK&lt;/a&gt;</v>
      </c>
      <c r="AC1023" t="str">
        <f>CONCATENATE("&lt;a href=|http://",AC1191,"/acts/5.htm","| ","title=|",AC1190,"| target=|_top|&gt;",AC1192,"&lt;/a&gt;")</f>
        <v>&lt;a href=|http://parallelbible.com/acts/5.htm| title=|Parallel Chapters| target=|_top|&gt;PAR&lt;/a&gt;</v>
      </c>
      <c r="AD1023" s="2" t="str">
        <f t="shared" ref="AD1023:AI1023" si="4090">CONCATENATE("&lt;/li&gt;&lt;li&gt;&lt;a href=|http://",AD1191,"/acts/5.htm","| ","title=|",AD1190,"| target=|_top|&gt;",AD1192,"&lt;/a&gt;")</f>
        <v>&lt;/li&gt;&lt;li&gt;&lt;a href=|http://gsb.biblecommenter.com/acts/5.htm| title=|Geneva Study Bible| target=|_top|&gt;GSB&lt;/a&gt;</v>
      </c>
      <c r="AE1023" s="2" t="str">
        <f t="shared" si="4090"/>
        <v>&lt;/li&gt;&lt;li&gt;&lt;a href=|http://jfb.biblecommenter.com/acts/5.htm| title=|Jamieson-Fausset-Brown Bible Commentary| target=|_top|&gt;JFB&lt;/a&gt;</v>
      </c>
      <c r="AF1023" s="2" t="str">
        <f t="shared" si="4090"/>
        <v>&lt;/li&gt;&lt;li&gt;&lt;a href=|http://kjt.biblecommenter.com/acts/5.htm| title=|King James Translators' Notes| target=|_top|&gt;KJT&lt;/a&gt;</v>
      </c>
      <c r="AG1023" s="2" t="str">
        <f t="shared" si="4090"/>
        <v>&lt;/li&gt;&lt;li&gt;&lt;a href=|http://mhc.biblecommenter.com/acts/5.htm| title=|Matthew Henry's Concise Commentary| target=|_top|&gt;MHC&lt;/a&gt;</v>
      </c>
      <c r="AH1023" s="2" t="str">
        <f t="shared" si="4090"/>
        <v>&lt;/li&gt;&lt;li&gt;&lt;a href=|http://sco.biblecommenter.com/acts/5.htm| title=|Scofield Reference Notes| target=|_top|&gt;SCO&lt;/a&gt;</v>
      </c>
      <c r="AI1023" s="2" t="str">
        <f t="shared" si="4090"/>
        <v>&lt;/li&gt;&lt;li&gt;&lt;a href=|http://wes.biblecommenter.com/acts/5.htm| title=|Wesley's Notes on the Bible| target=|_top|&gt;WES&lt;/a&gt;</v>
      </c>
      <c r="AJ1023" t="str">
        <f>CONCATENATE("&lt;/li&gt;&lt;li&gt;&lt;a href=|http://",AJ1191,"/acts/5.htm","| ","title=|",AJ1190,"| target=|_top|&gt;",AJ1192,"&lt;/a&gt;")</f>
        <v>&lt;/li&gt;&lt;li&gt;&lt;a href=|http://worldebible.com/acts/5.htm| title=|World English Bible| target=|_top|&gt;WEB&lt;/a&gt;</v>
      </c>
      <c r="AK1023" t="str">
        <f>CONCATENATE("&lt;/li&gt;&lt;li&gt;&lt;a href=|http://",AK1191,"/acts/5.htm","| ","title=|",AK1190,"| target=|_top|&gt;",AK1192,"&lt;/a&gt;")</f>
        <v>&lt;/li&gt;&lt;li&gt;&lt;a href=|http://yltbible.com/acts/5.htm| title=|Young's Literal Translation| target=|_top|&gt;YLT&lt;/a&gt;</v>
      </c>
      <c r="AL1023" t="str">
        <f>CONCATENATE("&lt;a href=|http://",AL1191,"/acts/5.htm","| ","title=|",AL1190,"| target=|_top|&gt;",AL1192,"&lt;/a&gt;")</f>
        <v>&lt;a href=|http://kjv.us/acts/5.htm| title=|American King James Version| target=|_top|&gt;AKJ&lt;/a&gt;</v>
      </c>
      <c r="AM1023" t="str">
        <f t="shared" ref="AM1023:AS1023" si="4091">CONCATENATE("&lt;/li&gt;&lt;li&gt;&lt;a href=|http://",AM1191,"/acts/5.htm","| ","title=|",AM1190,"| target=|_top|&gt;",AM1192,"&lt;/a&gt;")</f>
        <v>&lt;/li&gt;&lt;li&gt;&lt;a href=|http://basicenglishbible.com/acts/5.htm| title=|Bible in Basic English| target=|_top|&gt;BBE&lt;/a&gt;</v>
      </c>
      <c r="AN1023" t="str">
        <f t="shared" si="4091"/>
        <v>&lt;/li&gt;&lt;li&gt;&lt;a href=|http://darbybible.com/acts/5.htm| title=|Darby Bible Translation| target=|_top|&gt;DBY&lt;/a&gt;</v>
      </c>
      <c r="AO1023" t="str">
        <f t="shared" si="4091"/>
        <v>&lt;/li&gt;&lt;li&gt;&lt;a href=|http://isv.scripturetext.com/acts/5.htm| title=|International Standard Version| target=|_top|&gt;ISV&lt;/a&gt;</v>
      </c>
      <c r="AP1023" t="str">
        <f t="shared" si="4091"/>
        <v>&lt;/li&gt;&lt;li&gt;&lt;a href=|http://tnt.scripturetext.com/acts/5.htm| title=|Tyndale New Testament| target=|_top|&gt;TNT&lt;/a&gt;</v>
      </c>
      <c r="AQ1023" s="2" t="str">
        <f t="shared" si="4091"/>
        <v>&lt;/li&gt;&lt;li&gt;&lt;a href=|http://pnt.biblecommenter.com/acts/5.htm| title=|People's New Testament| target=|_top|&gt;PNT&lt;/a&gt;</v>
      </c>
      <c r="AR1023" t="str">
        <f t="shared" si="4091"/>
        <v>&lt;/li&gt;&lt;li&gt;&lt;a href=|http://websterbible.com/acts/5.htm| title=|Webster's Bible Translation| target=|_top|&gt;WBS&lt;/a&gt;</v>
      </c>
      <c r="AS1023" t="str">
        <f t="shared" si="4091"/>
        <v>&lt;/li&gt;&lt;li&gt;&lt;a href=|http://weymouthbible.com/acts/5.htm| title=|Weymouth New Testament| target=|_top|&gt;WEY&lt;/a&gt;</v>
      </c>
      <c r="AT1023" t="str">
        <f>CONCATENATE("&lt;/li&gt;&lt;li&gt;&lt;a href=|http://",AT1191,"/acts/5-1.htm","| ","title=|",AT1190,"| target=|_top|&gt;",AT1192,"&lt;/a&gt;")</f>
        <v>&lt;/li&gt;&lt;li&gt;&lt;a href=|http://biblebrowser.com/acts/5-1.htm| title=|Split View| target=|_top|&gt;Split&lt;/a&gt;</v>
      </c>
      <c r="AU1023" s="2" t="s">
        <v>1276</v>
      </c>
      <c r="AV1023" t="s">
        <v>64</v>
      </c>
    </row>
    <row r="1024" spans="1:48">
      <c r="A1024" t="s">
        <v>622</v>
      </c>
      <c r="B1024" t="s">
        <v>455</v>
      </c>
      <c r="C1024" t="s">
        <v>624</v>
      </c>
      <c r="D1024" t="s">
        <v>1268</v>
      </c>
      <c r="E1024" t="s">
        <v>1277</v>
      </c>
      <c r="F1024" t="s">
        <v>1304</v>
      </c>
      <c r="G1024" t="s">
        <v>1266</v>
      </c>
      <c r="H1024" t="s">
        <v>1305</v>
      </c>
      <c r="I1024" t="s">
        <v>1303</v>
      </c>
      <c r="J1024" t="s">
        <v>1267</v>
      </c>
      <c r="K1024" t="s">
        <v>1275</v>
      </c>
      <c r="L1024" s="2" t="s">
        <v>1274</v>
      </c>
      <c r="M1024" t="str">
        <f t="shared" ref="M1024:AB1024" si="4092">CONCATENATE("&lt;/li&gt;&lt;li&gt;&lt;a href=|http://",M1191,"/acts/6.htm","| ","title=|",M1190,"| target=|_top|&gt;",M1192,"&lt;/a&gt;")</f>
        <v>&lt;/li&gt;&lt;li&gt;&lt;a href=|http://niv.scripturetext.com/acts/6.htm| title=|New International Version| target=|_top|&gt;NIV&lt;/a&gt;</v>
      </c>
      <c r="N1024" t="str">
        <f t="shared" si="4092"/>
        <v>&lt;/li&gt;&lt;li&gt;&lt;a href=|http://nlt.scripturetext.com/acts/6.htm| title=|New Living Translation| target=|_top|&gt;NLT&lt;/a&gt;</v>
      </c>
      <c r="O1024" t="str">
        <f t="shared" si="4092"/>
        <v>&lt;/li&gt;&lt;li&gt;&lt;a href=|http://nasb.scripturetext.com/acts/6.htm| title=|New American Standard Bible| target=|_top|&gt;NAS&lt;/a&gt;</v>
      </c>
      <c r="P1024" t="str">
        <f t="shared" si="4092"/>
        <v>&lt;/li&gt;&lt;li&gt;&lt;a href=|http://gwt.scripturetext.com/acts/6.htm| title=|God's Word Translation| target=|_top|&gt;GWT&lt;/a&gt;</v>
      </c>
      <c r="Q1024" t="str">
        <f t="shared" si="4092"/>
        <v>&lt;/li&gt;&lt;li&gt;&lt;a href=|http://kingjbible.com/acts/6.htm| title=|King James Bible| target=|_top|&gt;KJV&lt;/a&gt;</v>
      </c>
      <c r="R1024" t="str">
        <f t="shared" si="4092"/>
        <v>&lt;/li&gt;&lt;li&gt;&lt;a href=|http://asvbible.com/acts/6.htm| title=|American Standard Version| target=|_top|&gt;ASV&lt;/a&gt;</v>
      </c>
      <c r="S1024" t="str">
        <f t="shared" si="4092"/>
        <v>&lt;/li&gt;&lt;li&gt;&lt;a href=|http://drb.scripturetext.com/acts/6.htm| title=|Douay-Rheims Bible| target=|_top|&gt;DRB&lt;/a&gt;</v>
      </c>
      <c r="T1024" t="str">
        <f t="shared" si="4092"/>
        <v>&lt;/li&gt;&lt;li&gt;&lt;a href=|http://erv.scripturetext.com/acts/6.htm| title=|English Revised Version| target=|_top|&gt;ERV&lt;/a&gt;</v>
      </c>
      <c r="U1024" t="str">
        <f>CONCATENATE("&lt;/li&gt;&lt;li&gt;&lt;a href=|http://",U1191,"/acts/6.htm","| ","title=|",U1190,"| target=|_top|&gt;",U1192,"&lt;/a&gt;")</f>
        <v>&lt;/li&gt;&lt;li&gt;&lt;a href=|http://study.interlinearbible.org/acts/6.htm| title=|Greek Study Bible| target=|_top|&gt;Grk Study&lt;/a&gt;</v>
      </c>
      <c r="W1024" t="str">
        <f t="shared" si="4092"/>
        <v>&lt;/li&gt;&lt;li&gt;&lt;a href=|http://apostolic.interlinearbible.org/acts/6.htm| title=|Apostolic Bible Polyglot Interlinear| target=|_top|&gt;Polyglot&lt;/a&gt;</v>
      </c>
      <c r="X1024" t="str">
        <f t="shared" si="4092"/>
        <v>&lt;/li&gt;&lt;li&gt;&lt;a href=|http://interlinearbible.org/acts/6.htm| title=|Interlinear Bible| target=|_top|&gt;Interlin&lt;/a&gt;</v>
      </c>
      <c r="Y1024" t="str">
        <f t="shared" ref="Y1024" si="4093">CONCATENATE("&lt;/li&gt;&lt;li&gt;&lt;a href=|http://",Y1191,"/acts/6.htm","| ","title=|",Y1190,"| target=|_top|&gt;",Y1192,"&lt;/a&gt;")</f>
        <v>&lt;/li&gt;&lt;li&gt;&lt;a href=|http://bibleoutline.org/acts/6.htm| title=|Outline with People and Places List| target=|_top|&gt;Outline&lt;/a&gt;</v>
      </c>
      <c r="Z1024" t="str">
        <f t="shared" si="4092"/>
        <v>&lt;/li&gt;&lt;li&gt;&lt;a href=|http://kjvs.scripturetext.com/acts/6.htm| title=|King James Bible with Strong's Numbers| target=|_top|&gt;Strong's&lt;/a&gt;</v>
      </c>
      <c r="AA1024" t="str">
        <f t="shared" si="4092"/>
        <v>&lt;/li&gt;&lt;li&gt;&lt;a href=|http://childrensbibleonline.com/acts/6.htm| title=|The Children's Bible| target=|_top|&gt;Children's&lt;/a&gt;</v>
      </c>
      <c r="AB1024" s="2" t="str">
        <f t="shared" si="4092"/>
        <v>&lt;/li&gt;&lt;li&gt;&lt;a href=|http://tsk.scripturetext.com/acts/6.htm| title=|Treasury of Scripture Knowledge| target=|_top|&gt;TSK&lt;/a&gt;</v>
      </c>
      <c r="AC1024" t="str">
        <f>CONCATENATE("&lt;a href=|http://",AC1191,"/acts/6.htm","| ","title=|",AC1190,"| target=|_top|&gt;",AC1192,"&lt;/a&gt;")</f>
        <v>&lt;a href=|http://parallelbible.com/acts/6.htm| title=|Parallel Chapters| target=|_top|&gt;PAR&lt;/a&gt;</v>
      </c>
      <c r="AD1024" s="2" t="str">
        <f t="shared" ref="AD1024:AI1024" si="4094">CONCATENATE("&lt;/li&gt;&lt;li&gt;&lt;a href=|http://",AD1191,"/acts/6.htm","| ","title=|",AD1190,"| target=|_top|&gt;",AD1192,"&lt;/a&gt;")</f>
        <v>&lt;/li&gt;&lt;li&gt;&lt;a href=|http://gsb.biblecommenter.com/acts/6.htm| title=|Geneva Study Bible| target=|_top|&gt;GSB&lt;/a&gt;</v>
      </c>
      <c r="AE1024" s="2" t="str">
        <f t="shared" si="4094"/>
        <v>&lt;/li&gt;&lt;li&gt;&lt;a href=|http://jfb.biblecommenter.com/acts/6.htm| title=|Jamieson-Fausset-Brown Bible Commentary| target=|_top|&gt;JFB&lt;/a&gt;</v>
      </c>
      <c r="AF1024" s="2" t="str">
        <f t="shared" si="4094"/>
        <v>&lt;/li&gt;&lt;li&gt;&lt;a href=|http://kjt.biblecommenter.com/acts/6.htm| title=|King James Translators' Notes| target=|_top|&gt;KJT&lt;/a&gt;</v>
      </c>
      <c r="AG1024" s="2" t="str">
        <f t="shared" si="4094"/>
        <v>&lt;/li&gt;&lt;li&gt;&lt;a href=|http://mhc.biblecommenter.com/acts/6.htm| title=|Matthew Henry's Concise Commentary| target=|_top|&gt;MHC&lt;/a&gt;</v>
      </c>
      <c r="AH1024" s="2" t="str">
        <f t="shared" si="4094"/>
        <v>&lt;/li&gt;&lt;li&gt;&lt;a href=|http://sco.biblecommenter.com/acts/6.htm| title=|Scofield Reference Notes| target=|_top|&gt;SCO&lt;/a&gt;</v>
      </c>
      <c r="AI1024" s="2" t="str">
        <f t="shared" si="4094"/>
        <v>&lt;/li&gt;&lt;li&gt;&lt;a href=|http://wes.biblecommenter.com/acts/6.htm| title=|Wesley's Notes on the Bible| target=|_top|&gt;WES&lt;/a&gt;</v>
      </c>
      <c r="AJ1024" t="str">
        <f>CONCATENATE("&lt;/li&gt;&lt;li&gt;&lt;a href=|http://",AJ1191,"/acts/6.htm","| ","title=|",AJ1190,"| target=|_top|&gt;",AJ1192,"&lt;/a&gt;")</f>
        <v>&lt;/li&gt;&lt;li&gt;&lt;a href=|http://worldebible.com/acts/6.htm| title=|World English Bible| target=|_top|&gt;WEB&lt;/a&gt;</v>
      </c>
      <c r="AK1024" t="str">
        <f>CONCATENATE("&lt;/li&gt;&lt;li&gt;&lt;a href=|http://",AK1191,"/acts/6.htm","| ","title=|",AK1190,"| target=|_top|&gt;",AK1192,"&lt;/a&gt;")</f>
        <v>&lt;/li&gt;&lt;li&gt;&lt;a href=|http://yltbible.com/acts/6.htm| title=|Young's Literal Translation| target=|_top|&gt;YLT&lt;/a&gt;</v>
      </c>
      <c r="AL1024" t="str">
        <f>CONCATENATE("&lt;a href=|http://",AL1191,"/acts/6.htm","| ","title=|",AL1190,"| target=|_top|&gt;",AL1192,"&lt;/a&gt;")</f>
        <v>&lt;a href=|http://kjv.us/acts/6.htm| title=|American King James Version| target=|_top|&gt;AKJ&lt;/a&gt;</v>
      </c>
      <c r="AM1024" t="str">
        <f t="shared" ref="AM1024:AS1024" si="4095">CONCATENATE("&lt;/li&gt;&lt;li&gt;&lt;a href=|http://",AM1191,"/acts/6.htm","| ","title=|",AM1190,"| target=|_top|&gt;",AM1192,"&lt;/a&gt;")</f>
        <v>&lt;/li&gt;&lt;li&gt;&lt;a href=|http://basicenglishbible.com/acts/6.htm| title=|Bible in Basic English| target=|_top|&gt;BBE&lt;/a&gt;</v>
      </c>
      <c r="AN1024" t="str">
        <f t="shared" si="4095"/>
        <v>&lt;/li&gt;&lt;li&gt;&lt;a href=|http://darbybible.com/acts/6.htm| title=|Darby Bible Translation| target=|_top|&gt;DBY&lt;/a&gt;</v>
      </c>
      <c r="AO1024" t="str">
        <f t="shared" si="4095"/>
        <v>&lt;/li&gt;&lt;li&gt;&lt;a href=|http://isv.scripturetext.com/acts/6.htm| title=|International Standard Version| target=|_top|&gt;ISV&lt;/a&gt;</v>
      </c>
      <c r="AP1024" t="str">
        <f t="shared" si="4095"/>
        <v>&lt;/li&gt;&lt;li&gt;&lt;a href=|http://tnt.scripturetext.com/acts/6.htm| title=|Tyndale New Testament| target=|_top|&gt;TNT&lt;/a&gt;</v>
      </c>
      <c r="AQ1024" s="2" t="str">
        <f t="shared" si="4095"/>
        <v>&lt;/li&gt;&lt;li&gt;&lt;a href=|http://pnt.biblecommenter.com/acts/6.htm| title=|People's New Testament| target=|_top|&gt;PNT&lt;/a&gt;</v>
      </c>
      <c r="AR1024" t="str">
        <f t="shared" si="4095"/>
        <v>&lt;/li&gt;&lt;li&gt;&lt;a href=|http://websterbible.com/acts/6.htm| title=|Webster's Bible Translation| target=|_top|&gt;WBS&lt;/a&gt;</v>
      </c>
      <c r="AS1024" t="str">
        <f t="shared" si="4095"/>
        <v>&lt;/li&gt;&lt;li&gt;&lt;a href=|http://weymouthbible.com/acts/6.htm| title=|Weymouth New Testament| target=|_top|&gt;WEY&lt;/a&gt;</v>
      </c>
      <c r="AT1024" t="str">
        <f>CONCATENATE("&lt;/li&gt;&lt;li&gt;&lt;a href=|http://",AT1191,"/acts/6-1.htm","| ","title=|",AT1190,"| target=|_top|&gt;",AT1192,"&lt;/a&gt;")</f>
        <v>&lt;/li&gt;&lt;li&gt;&lt;a href=|http://biblebrowser.com/acts/6-1.htm| title=|Split View| target=|_top|&gt;Split&lt;/a&gt;</v>
      </c>
      <c r="AU1024" s="2" t="s">
        <v>1276</v>
      </c>
      <c r="AV1024" t="s">
        <v>64</v>
      </c>
    </row>
    <row r="1025" spans="1:48">
      <c r="A1025" t="s">
        <v>622</v>
      </c>
      <c r="B1025" t="s">
        <v>456</v>
      </c>
      <c r="C1025" t="s">
        <v>624</v>
      </c>
      <c r="D1025" t="s">
        <v>1268</v>
      </c>
      <c r="E1025" t="s">
        <v>1277</v>
      </c>
      <c r="F1025" t="s">
        <v>1304</v>
      </c>
      <c r="G1025" t="s">
        <v>1266</v>
      </c>
      <c r="H1025" t="s">
        <v>1305</v>
      </c>
      <c r="I1025" t="s">
        <v>1303</v>
      </c>
      <c r="J1025" t="s">
        <v>1267</v>
      </c>
      <c r="K1025" t="s">
        <v>1275</v>
      </c>
      <c r="L1025" s="2" t="s">
        <v>1274</v>
      </c>
      <c r="M1025" t="str">
        <f t="shared" ref="M1025:AB1025" si="4096">CONCATENATE("&lt;/li&gt;&lt;li&gt;&lt;a href=|http://",M1191,"/acts/7.htm","| ","title=|",M1190,"| target=|_top|&gt;",M1192,"&lt;/a&gt;")</f>
        <v>&lt;/li&gt;&lt;li&gt;&lt;a href=|http://niv.scripturetext.com/acts/7.htm| title=|New International Version| target=|_top|&gt;NIV&lt;/a&gt;</v>
      </c>
      <c r="N1025" t="str">
        <f t="shared" si="4096"/>
        <v>&lt;/li&gt;&lt;li&gt;&lt;a href=|http://nlt.scripturetext.com/acts/7.htm| title=|New Living Translation| target=|_top|&gt;NLT&lt;/a&gt;</v>
      </c>
      <c r="O1025" t="str">
        <f t="shared" si="4096"/>
        <v>&lt;/li&gt;&lt;li&gt;&lt;a href=|http://nasb.scripturetext.com/acts/7.htm| title=|New American Standard Bible| target=|_top|&gt;NAS&lt;/a&gt;</v>
      </c>
      <c r="P1025" t="str">
        <f t="shared" si="4096"/>
        <v>&lt;/li&gt;&lt;li&gt;&lt;a href=|http://gwt.scripturetext.com/acts/7.htm| title=|God's Word Translation| target=|_top|&gt;GWT&lt;/a&gt;</v>
      </c>
      <c r="Q1025" t="str">
        <f t="shared" si="4096"/>
        <v>&lt;/li&gt;&lt;li&gt;&lt;a href=|http://kingjbible.com/acts/7.htm| title=|King James Bible| target=|_top|&gt;KJV&lt;/a&gt;</v>
      </c>
      <c r="R1025" t="str">
        <f t="shared" si="4096"/>
        <v>&lt;/li&gt;&lt;li&gt;&lt;a href=|http://asvbible.com/acts/7.htm| title=|American Standard Version| target=|_top|&gt;ASV&lt;/a&gt;</v>
      </c>
      <c r="S1025" t="str">
        <f t="shared" si="4096"/>
        <v>&lt;/li&gt;&lt;li&gt;&lt;a href=|http://drb.scripturetext.com/acts/7.htm| title=|Douay-Rheims Bible| target=|_top|&gt;DRB&lt;/a&gt;</v>
      </c>
      <c r="T1025" t="str">
        <f t="shared" si="4096"/>
        <v>&lt;/li&gt;&lt;li&gt;&lt;a href=|http://erv.scripturetext.com/acts/7.htm| title=|English Revised Version| target=|_top|&gt;ERV&lt;/a&gt;</v>
      </c>
      <c r="U1025" t="str">
        <f>CONCATENATE("&lt;/li&gt;&lt;li&gt;&lt;a href=|http://",U1191,"/acts/7.htm","| ","title=|",U1190,"| target=|_top|&gt;",U1192,"&lt;/a&gt;")</f>
        <v>&lt;/li&gt;&lt;li&gt;&lt;a href=|http://study.interlinearbible.org/acts/7.htm| title=|Greek Study Bible| target=|_top|&gt;Grk Study&lt;/a&gt;</v>
      </c>
      <c r="W1025" t="str">
        <f t="shared" si="4096"/>
        <v>&lt;/li&gt;&lt;li&gt;&lt;a href=|http://apostolic.interlinearbible.org/acts/7.htm| title=|Apostolic Bible Polyglot Interlinear| target=|_top|&gt;Polyglot&lt;/a&gt;</v>
      </c>
      <c r="X1025" t="str">
        <f t="shared" si="4096"/>
        <v>&lt;/li&gt;&lt;li&gt;&lt;a href=|http://interlinearbible.org/acts/7.htm| title=|Interlinear Bible| target=|_top|&gt;Interlin&lt;/a&gt;</v>
      </c>
      <c r="Y1025" t="str">
        <f t="shared" ref="Y1025" si="4097">CONCATENATE("&lt;/li&gt;&lt;li&gt;&lt;a href=|http://",Y1191,"/acts/7.htm","| ","title=|",Y1190,"| target=|_top|&gt;",Y1192,"&lt;/a&gt;")</f>
        <v>&lt;/li&gt;&lt;li&gt;&lt;a href=|http://bibleoutline.org/acts/7.htm| title=|Outline with People and Places List| target=|_top|&gt;Outline&lt;/a&gt;</v>
      </c>
      <c r="Z1025" t="str">
        <f t="shared" si="4096"/>
        <v>&lt;/li&gt;&lt;li&gt;&lt;a href=|http://kjvs.scripturetext.com/acts/7.htm| title=|King James Bible with Strong's Numbers| target=|_top|&gt;Strong's&lt;/a&gt;</v>
      </c>
      <c r="AA1025" t="str">
        <f t="shared" si="4096"/>
        <v>&lt;/li&gt;&lt;li&gt;&lt;a href=|http://childrensbibleonline.com/acts/7.htm| title=|The Children's Bible| target=|_top|&gt;Children's&lt;/a&gt;</v>
      </c>
      <c r="AB1025" s="2" t="str">
        <f t="shared" si="4096"/>
        <v>&lt;/li&gt;&lt;li&gt;&lt;a href=|http://tsk.scripturetext.com/acts/7.htm| title=|Treasury of Scripture Knowledge| target=|_top|&gt;TSK&lt;/a&gt;</v>
      </c>
      <c r="AC1025" t="str">
        <f>CONCATENATE("&lt;a href=|http://",AC1191,"/acts/7.htm","| ","title=|",AC1190,"| target=|_top|&gt;",AC1192,"&lt;/a&gt;")</f>
        <v>&lt;a href=|http://parallelbible.com/acts/7.htm| title=|Parallel Chapters| target=|_top|&gt;PAR&lt;/a&gt;</v>
      </c>
      <c r="AD1025" s="2" t="str">
        <f t="shared" ref="AD1025:AI1025" si="4098">CONCATENATE("&lt;/li&gt;&lt;li&gt;&lt;a href=|http://",AD1191,"/acts/7.htm","| ","title=|",AD1190,"| target=|_top|&gt;",AD1192,"&lt;/a&gt;")</f>
        <v>&lt;/li&gt;&lt;li&gt;&lt;a href=|http://gsb.biblecommenter.com/acts/7.htm| title=|Geneva Study Bible| target=|_top|&gt;GSB&lt;/a&gt;</v>
      </c>
      <c r="AE1025" s="2" t="str">
        <f t="shared" si="4098"/>
        <v>&lt;/li&gt;&lt;li&gt;&lt;a href=|http://jfb.biblecommenter.com/acts/7.htm| title=|Jamieson-Fausset-Brown Bible Commentary| target=|_top|&gt;JFB&lt;/a&gt;</v>
      </c>
      <c r="AF1025" s="2" t="str">
        <f t="shared" si="4098"/>
        <v>&lt;/li&gt;&lt;li&gt;&lt;a href=|http://kjt.biblecommenter.com/acts/7.htm| title=|King James Translators' Notes| target=|_top|&gt;KJT&lt;/a&gt;</v>
      </c>
      <c r="AG1025" s="2" t="str">
        <f t="shared" si="4098"/>
        <v>&lt;/li&gt;&lt;li&gt;&lt;a href=|http://mhc.biblecommenter.com/acts/7.htm| title=|Matthew Henry's Concise Commentary| target=|_top|&gt;MHC&lt;/a&gt;</v>
      </c>
      <c r="AH1025" s="2" t="str">
        <f t="shared" si="4098"/>
        <v>&lt;/li&gt;&lt;li&gt;&lt;a href=|http://sco.biblecommenter.com/acts/7.htm| title=|Scofield Reference Notes| target=|_top|&gt;SCO&lt;/a&gt;</v>
      </c>
      <c r="AI1025" s="2" t="str">
        <f t="shared" si="4098"/>
        <v>&lt;/li&gt;&lt;li&gt;&lt;a href=|http://wes.biblecommenter.com/acts/7.htm| title=|Wesley's Notes on the Bible| target=|_top|&gt;WES&lt;/a&gt;</v>
      </c>
      <c r="AJ1025" t="str">
        <f>CONCATENATE("&lt;/li&gt;&lt;li&gt;&lt;a href=|http://",AJ1191,"/acts/7.htm","| ","title=|",AJ1190,"| target=|_top|&gt;",AJ1192,"&lt;/a&gt;")</f>
        <v>&lt;/li&gt;&lt;li&gt;&lt;a href=|http://worldebible.com/acts/7.htm| title=|World English Bible| target=|_top|&gt;WEB&lt;/a&gt;</v>
      </c>
      <c r="AK1025" t="str">
        <f>CONCATENATE("&lt;/li&gt;&lt;li&gt;&lt;a href=|http://",AK1191,"/acts/7.htm","| ","title=|",AK1190,"| target=|_top|&gt;",AK1192,"&lt;/a&gt;")</f>
        <v>&lt;/li&gt;&lt;li&gt;&lt;a href=|http://yltbible.com/acts/7.htm| title=|Young's Literal Translation| target=|_top|&gt;YLT&lt;/a&gt;</v>
      </c>
      <c r="AL1025" t="str">
        <f>CONCATENATE("&lt;a href=|http://",AL1191,"/acts/7.htm","| ","title=|",AL1190,"| target=|_top|&gt;",AL1192,"&lt;/a&gt;")</f>
        <v>&lt;a href=|http://kjv.us/acts/7.htm| title=|American King James Version| target=|_top|&gt;AKJ&lt;/a&gt;</v>
      </c>
      <c r="AM1025" t="str">
        <f t="shared" ref="AM1025:AS1025" si="4099">CONCATENATE("&lt;/li&gt;&lt;li&gt;&lt;a href=|http://",AM1191,"/acts/7.htm","| ","title=|",AM1190,"| target=|_top|&gt;",AM1192,"&lt;/a&gt;")</f>
        <v>&lt;/li&gt;&lt;li&gt;&lt;a href=|http://basicenglishbible.com/acts/7.htm| title=|Bible in Basic English| target=|_top|&gt;BBE&lt;/a&gt;</v>
      </c>
      <c r="AN1025" t="str">
        <f t="shared" si="4099"/>
        <v>&lt;/li&gt;&lt;li&gt;&lt;a href=|http://darbybible.com/acts/7.htm| title=|Darby Bible Translation| target=|_top|&gt;DBY&lt;/a&gt;</v>
      </c>
      <c r="AO1025" t="str">
        <f t="shared" si="4099"/>
        <v>&lt;/li&gt;&lt;li&gt;&lt;a href=|http://isv.scripturetext.com/acts/7.htm| title=|International Standard Version| target=|_top|&gt;ISV&lt;/a&gt;</v>
      </c>
      <c r="AP1025" t="str">
        <f t="shared" si="4099"/>
        <v>&lt;/li&gt;&lt;li&gt;&lt;a href=|http://tnt.scripturetext.com/acts/7.htm| title=|Tyndale New Testament| target=|_top|&gt;TNT&lt;/a&gt;</v>
      </c>
      <c r="AQ1025" s="2" t="str">
        <f t="shared" si="4099"/>
        <v>&lt;/li&gt;&lt;li&gt;&lt;a href=|http://pnt.biblecommenter.com/acts/7.htm| title=|People's New Testament| target=|_top|&gt;PNT&lt;/a&gt;</v>
      </c>
      <c r="AR1025" t="str">
        <f t="shared" si="4099"/>
        <v>&lt;/li&gt;&lt;li&gt;&lt;a href=|http://websterbible.com/acts/7.htm| title=|Webster's Bible Translation| target=|_top|&gt;WBS&lt;/a&gt;</v>
      </c>
      <c r="AS1025" t="str">
        <f t="shared" si="4099"/>
        <v>&lt;/li&gt;&lt;li&gt;&lt;a href=|http://weymouthbible.com/acts/7.htm| title=|Weymouth New Testament| target=|_top|&gt;WEY&lt;/a&gt;</v>
      </c>
      <c r="AT1025" t="str">
        <f>CONCATENATE("&lt;/li&gt;&lt;li&gt;&lt;a href=|http://",AT1191,"/acts/7-1.htm","| ","title=|",AT1190,"| target=|_top|&gt;",AT1192,"&lt;/a&gt;")</f>
        <v>&lt;/li&gt;&lt;li&gt;&lt;a href=|http://biblebrowser.com/acts/7-1.htm| title=|Split View| target=|_top|&gt;Split&lt;/a&gt;</v>
      </c>
      <c r="AU1025" s="2" t="s">
        <v>1276</v>
      </c>
      <c r="AV1025" t="s">
        <v>64</v>
      </c>
    </row>
    <row r="1026" spans="1:48">
      <c r="A1026" t="s">
        <v>622</v>
      </c>
      <c r="B1026" t="s">
        <v>457</v>
      </c>
      <c r="C1026" t="s">
        <v>624</v>
      </c>
      <c r="D1026" t="s">
        <v>1268</v>
      </c>
      <c r="E1026" t="s">
        <v>1277</v>
      </c>
      <c r="F1026" t="s">
        <v>1304</v>
      </c>
      <c r="G1026" t="s">
        <v>1266</v>
      </c>
      <c r="H1026" t="s">
        <v>1305</v>
      </c>
      <c r="I1026" t="s">
        <v>1303</v>
      </c>
      <c r="J1026" t="s">
        <v>1267</v>
      </c>
      <c r="K1026" t="s">
        <v>1275</v>
      </c>
      <c r="L1026" s="2" t="s">
        <v>1274</v>
      </c>
      <c r="M1026" t="str">
        <f t="shared" ref="M1026:AB1026" si="4100">CONCATENATE("&lt;/li&gt;&lt;li&gt;&lt;a href=|http://",M1191,"/acts/8.htm","| ","title=|",M1190,"| target=|_top|&gt;",M1192,"&lt;/a&gt;")</f>
        <v>&lt;/li&gt;&lt;li&gt;&lt;a href=|http://niv.scripturetext.com/acts/8.htm| title=|New International Version| target=|_top|&gt;NIV&lt;/a&gt;</v>
      </c>
      <c r="N1026" t="str">
        <f t="shared" si="4100"/>
        <v>&lt;/li&gt;&lt;li&gt;&lt;a href=|http://nlt.scripturetext.com/acts/8.htm| title=|New Living Translation| target=|_top|&gt;NLT&lt;/a&gt;</v>
      </c>
      <c r="O1026" t="str">
        <f t="shared" si="4100"/>
        <v>&lt;/li&gt;&lt;li&gt;&lt;a href=|http://nasb.scripturetext.com/acts/8.htm| title=|New American Standard Bible| target=|_top|&gt;NAS&lt;/a&gt;</v>
      </c>
      <c r="P1026" t="str">
        <f t="shared" si="4100"/>
        <v>&lt;/li&gt;&lt;li&gt;&lt;a href=|http://gwt.scripturetext.com/acts/8.htm| title=|God's Word Translation| target=|_top|&gt;GWT&lt;/a&gt;</v>
      </c>
      <c r="Q1026" t="str">
        <f t="shared" si="4100"/>
        <v>&lt;/li&gt;&lt;li&gt;&lt;a href=|http://kingjbible.com/acts/8.htm| title=|King James Bible| target=|_top|&gt;KJV&lt;/a&gt;</v>
      </c>
      <c r="R1026" t="str">
        <f t="shared" si="4100"/>
        <v>&lt;/li&gt;&lt;li&gt;&lt;a href=|http://asvbible.com/acts/8.htm| title=|American Standard Version| target=|_top|&gt;ASV&lt;/a&gt;</v>
      </c>
      <c r="S1026" t="str">
        <f t="shared" si="4100"/>
        <v>&lt;/li&gt;&lt;li&gt;&lt;a href=|http://drb.scripturetext.com/acts/8.htm| title=|Douay-Rheims Bible| target=|_top|&gt;DRB&lt;/a&gt;</v>
      </c>
      <c r="T1026" t="str">
        <f t="shared" si="4100"/>
        <v>&lt;/li&gt;&lt;li&gt;&lt;a href=|http://erv.scripturetext.com/acts/8.htm| title=|English Revised Version| target=|_top|&gt;ERV&lt;/a&gt;</v>
      </c>
      <c r="U1026" t="str">
        <f>CONCATENATE("&lt;/li&gt;&lt;li&gt;&lt;a href=|http://",U1191,"/acts/8.htm","| ","title=|",U1190,"| target=|_top|&gt;",U1192,"&lt;/a&gt;")</f>
        <v>&lt;/li&gt;&lt;li&gt;&lt;a href=|http://study.interlinearbible.org/acts/8.htm| title=|Greek Study Bible| target=|_top|&gt;Grk Study&lt;/a&gt;</v>
      </c>
      <c r="W1026" t="str">
        <f t="shared" si="4100"/>
        <v>&lt;/li&gt;&lt;li&gt;&lt;a href=|http://apostolic.interlinearbible.org/acts/8.htm| title=|Apostolic Bible Polyglot Interlinear| target=|_top|&gt;Polyglot&lt;/a&gt;</v>
      </c>
      <c r="X1026" t="str">
        <f t="shared" si="4100"/>
        <v>&lt;/li&gt;&lt;li&gt;&lt;a href=|http://interlinearbible.org/acts/8.htm| title=|Interlinear Bible| target=|_top|&gt;Interlin&lt;/a&gt;</v>
      </c>
      <c r="Y1026" t="str">
        <f t="shared" ref="Y1026" si="4101">CONCATENATE("&lt;/li&gt;&lt;li&gt;&lt;a href=|http://",Y1191,"/acts/8.htm","| ","title=|",Y1190,"| target=|_top|&gt;",Y1192,"&lt;/a&gt;")</f>
        <v>&lt;/li&gt;&lt;li&gt;&lt;a href=|http://bibleoutline.org/acts/8.htm| title=|Outline with People and Places List| target=|_top|&gt;Outline&lt;/a&gt;</v>
      </c>
      <c r="Z1026" t="str">
        <f t="shared" si="4100"/>
        <v>&lt;/li&gt;&lt;li&gt;&lt;a href=|http://kjvs.scripturetext.com/acts/8.htm| title=|King James Bible with Strong's Numbers| target=|_top|&gt;Strong's&lt;/a&gt;</v>
      </c>
      <c r="AA1026" t="str">
        <f t="shared" si="4100"/>
        <v>&lt;/li&gt;&lt;li&gt;&lt;a href=|http://childrensbibleonline.com/acts/8.htm| title=|The Children's Bible| target=|_top|&gt;Children's&lt;/a&gt;</v>
      </c>
      <c r="AB1026" s="2" t="str">
        <f t="shared" si="4100"/>
        <v>&lt;/li&gt;&lt;li&gt;&lt;a href=|http://tsk.scripturetext.com/acts/8.htm| title=|Treasury of Scripture Knowledge| target=|_top|&gt;TSK&lt;/a&gt;</v>
      </c>
      <c r="AC1026" t="str">
        <f>CONCATENATE("&lt;a href=|http://",AC1191,"/acts/8.htm","| ","title=|",AC1190,"| target=|_top|&gt;",AC1192,"&lt;/a&gt;")</f>
        <v>&lt;a href=|http://parallelbible.com/acts/8.htm| title=|Parallel Chapters| target=|_top|&gt;PAR&lt;/a&gt;</v>
      </c>
      <c r="AD1026" s="2" t="str">
        <f t="shared" ref="AD1026:AI1026" si="4102">CONCATENATE("&lt;/li&gt;&lt;li&gt;&lt;a href=|http://",AD1191,"/acts/8.htm","| ","title=|",AD1190,"| target=|_top|&gt;",AD1192,"&lt;/a&gt;")</f>
        <v>&lt;/li&gt;&lt;li&gt;&lt;a href=|http://gsb.biblecommenter.com/acts/8.htm| title=|Geneva Study Bible| target=|_top|&gt;GSB&lt;/a&gt;</v>
      </c>
      <c r="AE1026" s="2" t="str">
        <f t="shared" si="4102"/>
        <v>&lt;/li&gt;&lt;li&gt;&lt;a href=|http://jfb.biblecommenter.com/acts/8.htm| title=|Jamieson-Fausset-Brown Bible Commentary| target=|_top|&gt;JFB&lt;/a&gt;</v>
      </c>
      <c r="AF1026" s="2" t="str">
        <f t="shared" si="4102"/>
        <v>&lt;/li&gt;&lt;li&gt;&lt;a href=|http://kjt.biblecommenter.com/acts/8.htm| title=|King James Translators' Notes| target=|_top|&gt;KJT&lt;/a&gt;</v>
      </c>
      <c r="AG1026" s="2" t="str">
        <f t="shared" si="4102"/>
        <v>&lt;/li&gt;&lt;li&gt;&lt;a href=|http://mhc.biblecommenter.com/acts/8.htm| title=|Matthew Henry's Concise Commentary| target=|_top|&gt;MHC&lt;/a&gt;</v>
      </c>
      <c r="AH1026" s="2" t="str">
        <f t="shared" si="4102"/>
        <v>&lt;/li&gt;&lt;li&gt;&lt;a href=|http://sco.biblecommenter.com/acts/8.htm| title=|Scofield Reference Notes| target=|_top|&gt;SCO&lt;/a&gt;</v>
      </c>
      <c r="AI1026" s="2" t="str">
        <f t="shared" si="4102"/>
        <v>&lt;/li&gt;&lt;li&gt;&lt;a href=|http://wes.biblecommenter.com/acts/8.htm| title=|Wesley's Notes on the Bible| target=|_top|&gt;WES&lt;/a&gt;</v>
      </c>
      <c r="AJ1026" t="str">
        <f>CONCATENATE("&lt;/li&gt;&lt;li&gt;&lt;a href=|http://",AJ1191,"/acts/8.htm","| ","title=|",AJ1190,"| target=|_top|&gt;",AJ1192,"&lt;/a&gt;")</f>
        <v>&lt;/li&gt;&lt;li&gt;&lt;a href=|http://worldebible.com/acts/8.htm| title=|World English Bible| target=|_top|&gt;WEB&lt;/a&gt;</v>
      </c>
      <c r="AK1026" t="str">
        <f>CONCATENATE("&lt;/li&gt;&lt;li&gt;&lt;a href=|http://",AK1191,"/acts/8.htm","| ","title=|",AK1190,"| target=|_top|&gt;",AK1192,"&lt;/a&gt;")</f>
        <v>&lt;/li&gt;&lt;li&gt;&lt;a href=|http://yltbible.com/acts/8.htm| title=|Young's Literal Translation| target=|_top|&gt;YLT&lt;/a&gt;</v>
      </c>
      <c r="AL1026" t="str">
        <f>CONCATENATE("&lt;a href=|http://",AL1191,"/acts/8.htm","| ","title=|",AL1190,"| target=|_top|&gt;",AL1192,"&lt;/a&gt;")</f>
        <v>&lt;a href=|http://kjv.us/acts/8.htm| title=|American King James Version| target=|_top|&gt;AKJ&lt;/a&gt;</v>
      </c>
      <c r="AM1026" t="str">
        <f t="shared" ref="AM1026:AS1026" si="4103">CONCATENATE("&lt;/li&gt;&lt;li&gt;&lt;a href=|http://",AM1191,"/acts/8.htm","| ","title=|",AM1190,"| target=|_top|&gt;",AM1192,"&lt;/a&gt;")</f>
        <v>&lt;/li&gt;&lt;li&gt;&lt;a href=|http://basicenglishbible.com/acts/8.htm| title=|Bible in Basic English| target=|_top|&gt;BBE&lt;/a&gt;</v>
      </c>
      <c r="AN1026" t="str">
        <f t="shared" si="4103"/>
        <v>&lt;/li&gt;&lt;li&gt;&lt;a href=|http://darbybible.com/acts/8.htm| title=|Darby Bible Translation| target=|_top|&gt;DBY&lt;/a&gt;</v>
      </c>
      <c r="AO1026" t="str">
        <f t="shared" si="4103"/>
        <v>&lt;/li&gt;&lt;li&gt;&lt;a href=|http://isv.scripturetext.com/acts/8.htm| title=|International Standard Version| target=|_top|&gt;ISV&lt;/a&gt;</v>
      </c>
      <c r="AP1026" t="str">
        <f t="shared" si="4103"/>
        <v>&lt;/li&gt;&lt;li&gt;&lt;a href=|http://tnt.scripturetext.com/acts/8.htm| title=|Tyndale New Testament| target=|_top|&gt;TNT&lt;/a&gt;</v>
      </c>
      <c r="AQ1026" s="2" t="str">
        <f t="shared" si="4103"/>
        <v>&lt;/li&gt;&lt;li&gt;&lt;a href=|http://pnt.biblecommenter.com/acts/8.htm| title=|People's New Testament| target=|_top|&gt;PNT&lt;/a&gt;</v>
      </c>
      <c r="AR1026" t="str">
        <f t="shared" si="4103"/>
        <v>&lt;/li&gt;&lt;li&gt;&lt;a href=|http://websterbible.com/acts/8.htm| title=|Webster's Bible Translation| target=|_top|&gt;WBS&lt;/a&gt;</v>
      </c>
      <c r="AS1026" t="str">
        <f t="shared" si="4103"/>
        <v>&lt;/li&gt;&lt;li&gt;&lt;a href=|http://weymouthbible.com/acts/8.htm| title=|Weymouth New Testament| target=|_top|&gt;WEY&lt;/a&gt;</v>
      </c>
      <c r="AT1026" t="str">
        <f>CONCATENATE("&lt;/li&gt;&lt;li&gt;&lt;a href=|http://",AT1191,"/acts/8-1.htm","| ","title=|",AT1190,"| target=|_top|&gt;",AT1192,"&lt;/a&gt;")</f>
        <v>&lt;/li&gt;&lt;li&gt;&lt;a href=|http://biblebrowser.com/acts/8-1.htm| title=|Split View| target=|_top|&gt;Split&lt;/a&gt;</v>
      </c>
      <c r="AU1026" s="2" t="s">
        <v>1276</v>
      </c>
      <c r="AV1026" t="s">
        <v>64</v>
      </c>
    </row>
    <row r="1027" spans="1:48">
      <c r="A1027" t="s">
        <v>622</v>
      </c>
      <c r="B1027" t="s">
        <v>458</v>
      </c>
      <c r="C1027" t="s">
        <v>624</v>
      </c>
      <c r="D1027" t="s">
        <v>1268</v>
      </c>
      <c r="E1027" t="s">
        <v>1277</v>
      </c>
      <c r="F1027" t="s">
        <v>1304</v>
      </c>
      <c r="G1027" t="s">
        <v>1266</v>
      </c>
      <c r="H1027" t="s">
        <v>1305</v>
      </c>
      <c r="I1027" t="s">
        <v>1303</v>
      </c>
      <c r="J1027" t="s">
        <v>1267</v>
      </c>
      <c r="K1027" t="s">
        <v>1275</v>
      </c>
      <c r="L1027" s="2" t="s">
        <v>1274</v>
      </c>
      <c r="M1027" t="str">
        <f t="shared" ref="M1027:AB1027" si="4104">CONCATENATE("&lt;/li&gt;&lt;li&gt;&lt;a href=|http://",M1191,"/acts/9.htm","| ","title=|",M1190,"| target=|_top|&gt;",M1192,"&lt;/a&gt;")</f>
        <v>&lt;/li&gt;&lt;li&gt;&lt;a href=|http://niv.scripturetext.com/acts/9.htm| title=|New International Version| target=|_top|&gt;NIV&lt;/a&gt;</v>
      </c>
      <c r="N1027" t="str">
        <f t="shared" si="4104"/>
        <v>&lt;/li&gt;&lt;li&gt;&lt;a href=|http://nlt.scripturetext.com/acts/9.htm| title=|New Living Translation| target=|_top|&gt;NLT&lt;/a&gt;</v>
      </c>
      <c r="O1027" t="str">
        <f t="shared" si="4104"/>
        <v>&lt;/li&gt;&lt;li&gt;&lt;a href=|http://nasb.scripturetext.com/acts/9.htm| title=|New American Standard Bible| target=|_top|&gt;NAS&lt;/a&gt;</v>
      </c>
      <c r="P1027" t="str">
        <f t="shared" si="4104"/>
        <v>&lt;/li&gt;&lt;li&gt;&lt;a href=|http://gwt.scripturetext.com/acts/9.htm| title=|God's Word Translation| target=|_top|&gt;GWT&lt;/a&gt;</v>
      </c>
      <c r="Q1027" t="str">
        <f t="shared" si="4104"/>
        <v>&lt;/li&gt;&lt;li&gt;&lt;a href=|http://kingjbible.com/acts/9.htm| title=|King James Bible| target=|_top|&gt;KJV&lt;/a&gt;</v>
      </c>
      <c r="R1027" t="str">
        <f t="shared" si="4104"/>
        <v>&lt;/li&gt;&lt;li&gt;&lt;a href=|http://asvbible.com/acts/9.htm| title=|American Standard Version| target=|_top|&gt;ASV&lt;/a&gt;</v>
      </c>
      <c r="S1027" t="str">
        <f t="shared" si="4104"/>
        <v>&lt;/li&gt;&lt;li&gt;&lt;a href=|http://drb.scripturetext.com/acts/9.htm| title=|Douay-Rheims Bible| target=|_top|&gt;DRB&lt;/a&gt;</v>
      </c>
      <c r="T1027" t="str">
        <f t="shared" si="4104"/>
        <v>&lt;/li&gt;&lt;li&gt;&lt;a href=|http://erv.scripturetext.com/acts/9.htm| title=|English Revised Version| target=|_top|&gt;ERV&lt;/a&gt;</v>
      </c>
      <c r="U1027" t="str">
        <f>CONCATENATE("&lt;/li&gt;&lt;li&gt;&lt;a href=|http://",U1191,"/acts/9.htm","| ","title=|",U1190,"| target=|_top|&gt;",U1192,"&lt;/a&gt;")</f>
        <v>&lt;/li&gt;&lt;li&gt;&lt;a href=|http://study.interlinearbible.org/acts/9.htm| title=|Greek Study Bible| target=|_top|&gt;Grk Study&lt;/a&gt;</v>
      </c>
      <c r="W1027" t="str">
        <f t="shared" si="4104"/>
        <v>&lt;/li&gt;&lt;li&gt;&lt;a href=|http://apostolic.interlinearbible.org/acts/9.htm| title=|Apostolic Bible Polyglot Interlinear| target=|_top|&gt;Polyglot&lt;/a&gt;</v>
      </c>
      <c r="X1027" t="str">
        <f t="shared" si="4104"/>
        <v>&lt;/li&gt;&lt;li&gt;&lt;a href=|http://interlinearbible.org/acts/9.htm| title=|Interlinear Bible| target=|_top|&gt;Interlin&lt;/a&gt;</v>
      </c>
      <c r="Y1027" t="str">
        <f t="shared" ref="Y1027" si="4105">CONCATENATE("&lt;/li&gt;&lt;li&gt;&lt;a href=|http://",Y1191,"/acts/9.htm","| ","title=|",Y1190,"| target=|_top|&gt;",Y1192,"&lt;/a&gt;")</f>
        <v>&lt;/li&gt;&lt;li&gt;&lt;a href=|http://bibleoutline.org/acts/9.htm| title=|Outline with People and Places List| target=|_top|&gt;Outline&lt;/a&gt;</v>
      </c>
      <c r="Z1027" t="str">
        <f t="shared" si="4104"/>
        <v>&lt;/li&gt;&lt;li&gt;&lt;a href=|http://kjvs.scripturetext.com/acts/9.htm| title=|King James Bible with Strong's Numbers| target=|_top|&gt;Strong's&lt;/a&gt;</v>
      </c>
      <c r="AA1027" t="str">
        <f t="shared" si="4104"/>
        <v>&lt;/li&gt;&lt;li&gt;&lt;a href=|http://childrensbibleonline.com/acts/9.htm| title=|The Children's Bible| target=|_top|&gt;Children's&lt;/a&gt;</v>
      </c>
      <c r="AB1027" s="2" t="str">
        <f t="shared" si="4104"/>
        <v>&lt;/li&gt;&lt;li&gt;&lt;a href=|http://tsk.scripturetext.com/acts/9.htm| title=|Treasury of Scripture Knowledge| target=|_top|&gt;TSK&lt;/a&gt;</v>
      </c>
      <c r="AC1027" t="str">
        <f>CONCATENATE("&lt;a href=|http://",AC1191,"/acts/9.htm","| ","title=|",AC1190,"| target=|_top|&gt;",AC1192,"&lt;/a&gt;")</f>
        <v>&lt;a href=|http://parallelbible.com/acts/9.htm| title=|Parallel Chapters| target=|_top|&gt;PAR&lt;/a&gt;</v>
      </c>
      <c r="AD1027" s="2" t="str">
        <f t="shared" ref="AD1027:AI1027" si="4106">CONCATENATE("&lt;/li&gt;&lt;li&gt;&lt;a href=|http://",AD1191,"/acts/9.htm","| ","title=|",AD1190,"| target=|_top|&gt;",AD1192,"&lt;/a&gt;")</f>
        <v>&lt;/li&gt;&lt;li&gt;&lt;a href=|http://gsb.biblecommenter.com/acts/9.htm| title=|Geneva Study Bible| target=|_top|&gt;GSB&lt;/a&gt;</v>
      </c>
      <c r="AE1027" s="2" t="str">
        <f t="shared" si="4106"/>
        <v>&lt;/li&gt;&lt;li&gt;&lt;a href=|http://jfb.biblecommenter.com/acts/9.htm| title=|Jamieson-Fausset-Brown Bible Commentary| target=|_top|&gt;JFB&lt;/a&gt;</v>
      </c>
      <c r="AF1027" s="2" t="str">
        <f t="shared" si="4106"/>
        <v>&lt;/li&gt;&lt;li&gt;&lt;a href=|http://kjt.biblecommenter.com/acts/9.htm| title=|King James Translators' Notes| target=|_top|&gt;KJT&lt;/a&gt;</v>
      </c>
      <c r="AG1027" s="2" t="str">
        <f t="shared" si="4106"/>
        <v>&lt;/li&gt;&lt;li&gt;&lt;a href=|http://mhc.biblecommenter.com/acts/9.htm| title=|Matthew Henry's Concise Commentary| target=|_top|&gt;MHC&lt;/a&gt;</v>
      </c>
      <c r="AH1027" s="2" t="str">
        <f t="shared" si="4106"/>
        <v>&lt;/li&gt;&lt;li&gt;&lt;a href=|http://sco.biblecommenter.com/acts/9.htm| title=|Scofield Reference Notes| target=|_top|&gt;SCO&lt;/a&gt;</v>
      </c>
      <c r="AI1027" s="2" t="str">
        <f t="shared" si="4106"/>
        <v>&lt;/li&gt;&lt;li&gt;&lt;a href=|http://wes.biblecommenter.com/acts/9.htm| title=|Wesley's Notes on the Bible| target=|_top|&gt;WES&lt;/a&gt;</v>
      </c>
      <c r="AJ1027" t="str">
        <f>CONCATENATE("&lt;/li&gt;&lt;li&gt;&lt;a href=|http://",AJ1191,"/acts/9.htm","| ","title=|",AJ1190,"| target=|_top|&gt;",AJ1192,"&lt;/a&gt;")</f>
        <v>&lt;/li&gt;&lt;li&gt;&lt;a href=|http://worldebible.com/acts/9.htm| title=|World English Bible| target=|_top|&gt;WEB&lt;/a&gt;</v>
      </c>
      <c r="AK1027" t="str">
        <f>CONCATENATE("&lt;/li&gt;&lt;li&gt;&lt;a href=|http://",AK1191,"/acts/9.htm","| ","title=|",AK1190,"| target=|_top|&gt;",AK1192,"&lt;/a&gt;")</f>
        <v>&lt;/li&gt;&lt;li&gt;&lt;a href=|http://yltbible.com/acts/9.htm| title=|Young's Literal Translation| target=|_top|&gt;YLT&lt;/a&gt;</v>
      </c>
      <c r="AL1027" t="str">
        <f>CONCATENATE("&lt;a href=|http://",AL1191,"/acts/9.htm","| ","title=|",AL1190,"| target=|_top|&gt;",AL1192,"&lt;/a&gt;")</f>
        <v>&lt;a href=|http://kjv.us/acts/9.htm| title=|American King James Version| target=|_top|&gt;AKJ&lt;/a&gt;</v>
      </c>
      <c r="AM1027" t="str">
        <f t="shared" ref="AM1027:AS1027" si="4107">CONCATENATE("&lt;/li&gt;&lt;li&gt;&lt;a href=|http://",AM1191,"/acts/9.htm","| ","title=|",AM1190,"| target=|_top|&gt;",AM1192,"&lt;/a&gt;")</f>
        <v>&lt;/li&gt;&lt;li&gt;&lt;a href=|http://basicenglishbible.com/acts/9.htm| title=|Bible in Basic English| target=|_top|&gt;BBE&lt;/a&gt;</v>
      </c>
      <c r="AN1027" t="str">
        <f t="shared" si="4107"/>
        <v>&lt;/li&gt;&lt;li&gt;&lt;a href=|http://darbybible.com/acts/9.htm| title=|Darby Bible Translation| target=|_top|&gt;DBY&lt;/a&gt;</v>
      </c>
      <c r="AO1027" t="str">
        <f t="shared" si="4107"/>
        <v>&lt;/li&gt;&lt;li&gt;&lt;a href=|http://isv.scripturetext.com/acts/9.htm| title=|International Standard Version| target=|_top|&gt;ISV&lt;/a&gt;</v>
      </c>
      <c r="AP1027" t="str">
        <f t="shared" si="4107"/>
        <v>&lt;/li&gt;&lt;li&gt;&lt;a href=|http://tnt.scripturetext.com/acts/9.htm| title=|Tyndale New Testament| target=|_top|&gt;TNT&lt;/a&gt;</v>
      </c>
      <c r="AQ1027" s="2" t="str">
        <f t="shared" si="4107"/>
        <v>&lt;/li&gt;&lt;li&gt;&lt;a href=|http://pnt.biblecommenter.com/acts/9.htm| title=|People's New Testament| target=|_top|&gt;PNT&lt;/a&gt;</v>
      </c>
      <c r="AR1027" t="str">
        <f t="shared" si="4107"/>
        <v>&lt;/li&gt;&lt;li&gt;&lt;a href=|http://websterbible.com/acts/9.htm| title=|Webster's Bible Translation| target=|_top|&gt;WBS&lt;/a&gt;</v>
      </c>
      <c r="AS1027" t="str">
        <f t="shared" si="4107"/>
        <v>&lt;/li&gt;&lt;li&gt;&lt;a href=|http://weymouthbible.com/acts/9.htm| title=|Weymouth New Testament| target=|_top|&gt;WEY&lt;/a&gt;</v>
      </c>
      <c r="AT1027" t="str">
        <f>CONCATENATE("&lt;/li&gt;&lt;li&gt;&lt;a href=|http://",AT1191,"/acts/9-1.htm","| ","title=|",AT1190,"| target=|_top|&gt;",AT1192,"&lt;/a&gt;")</f>
        <v>&lt;/li&gt;&lt;li&gt;&lt;a href=|http://biblebrowser.com/acts/9-1.htm| title=|Split View| target=|_top|&gt;Split&lt;/a&gt;</v>
      </c>
      <c r="AU1027" s="2" t="s">
        <v>1276</v>
      </c>
      <c r="AV1027" t="s">
        <v>64</v>
      </c>
    </row>
    <row r="1028" spans="1:48">
      <c r="A1028" t="s">
        <v>622</v>
      </c>
      <c r="B1028" t="s">
        <v>459</v>
      </c>
      <c r="C1028" t="s">
        <v>624</v>
      </c>
      <c r="D1028" t="s">
        <v>1268</v>
      </c>
      <c r="E1028" t="s">
        <v>1277</v>
      </c>
      <c r="F1028" t="s">
        <v>1304</v>
      </c>
      <c r="G1028" t="s">
        <v>1266</v>
      </c>
      <c r="H1028" t="s">
        <v>1305</v>
      </c>
      <c r="I1028" t="s">
        <v>1303</v>
      </c>
      <c r="J1028" t="s">
        <v>1267</v>
      </c>
      <c r="K1028" t="s">
        <v>1275</v>
      </c>
      <c r="L1028" s="2" t="s">
        <v>1274</v>
      </c>
      <c r="M1028" t="str">
        <f t="shared" ref="M1028:AB1028" si="4108">CONCATENATE("&lt;/li&gt;&lt;li&gt;&lt;a href=|http://",M1191,"/acts/10.htm","| ","title=|",M1190,"| target=|_top|&gt;",M1192,"&lt;/a&gt;")</f>
        <v>&lt;/li&gt;&lt;li&gt;&lt;a href=|http://niv.scripturetext.com/acts/10.htm| title=|New International Version| target=|_top|&gt;NIV&lt;/a&gt;</v>
      </c>
      <c r="N1028" t="str">
        <f t="shared" si="4108"/>
        <v>&lt;/li&gt;&lt;li&gt;&lt;a href=|http://nlt.scripturetext.com/acts/10.htm| title=|New Living Translation| target=|_top|&gt;NLT&lt;/a&gt;</v>
      </c>
      <c r="O1028" t="str">
        <f t="shared" si="4108"/>
        <v>&lt;/li&gt;&lt;li&gt;&lt;a href=|http://nasb.scripturetext.com/acts/10.htm| title=|New American Standard Bible| target=|_top|&gt;NAS&lt;/a&gt;</v>
      </c>
      <c r="P1028" t="str">
        <f t="shared" si="4108"/>
        <v>&lt;/li&gt;&lt;li&gt;&lt;a href=|http://gwt.scripturetext.com/acts/10.htm| title=|God's Word Translation| target=|_top|&gt;GWT&lt;/a&gt;</v>
      </c>
      <c r="Q1028" t="str">
        <f t="shared" si="4108"/>
        <v>&lt;/li&gt;&lt;li&gt;&lt;a href=|http://kingjbible.com/acts/10.htm| title=|King James Bible| target=|_top|&gt;KJV&lt;/a&gt;</v>
      </c>
      <c r="R1028" t="str">
        <f t="shared" si="4108"/>
        <v>&lt;/li&gt;&lt;li&gt;&lt;a href=|http://asvbible.com/acts/10.htm| title=|American Standard Version| target=|_top|&gt;ASV&lt;/a&gt;</v>
      </c>
      <c r="S1028" t="str">
        <f t="shared" si="4108"/>
        <v>&lt;/li&gt;&lt;li&gt;&lt;a href=|http://drb.scripturetext.com/acts/10.htm| title=|Douay-Rheims Bible| target=|_top|&gt;DRB&lt;/a&gt;</v>
      </c>
      <c r="T1028" t="str">
        <f t="shared" si="4108"/>
        <v>&lt;/li&gt;&lt;li&gt;&lt;a href=|http://erv.scripturetext.com/acts/10.htm| title=|English Revised Version| target=|_top|&gt;ERV&lt;/a&gt;</v>
      </c>
      <c r="U1028" t="str">
        <f>CONCATENATE("&lt;/li&gt;&lt;li&gt;&lt;a href=|http://",U1191,"/acts/10.htm","| ","title=|",U1190,"| target=|_top|&gt;",U1192,"&lt;/a&gt;")</f>
        <v>&lt;/li&gt;&lt;li&gt;&lt;a href=|http://study.interlinearbible.org/acts/10.htm| title=|Greek Study Bible| target=|_top|&gt;Grk Study&lt;/a&gt;</v>
      </c>
      <c r="W1028" t="str">
        <f t="shared" si="4108"/>
        <v>&lt;/li&gt;&lt;li&gt;&lt;a href=|http://apostolic.interlinearbible.org/acts/10.htm| title=|Apostolic Bible Polyglot Interlinear| target=|_top|&gt;Polyglot&lt;/a&gt;</v>
      </c>
      <c r="X1028" t="str">
        <f t="shared" si="4108"/>
        <v>&lt;/li&gt;&lt;li&gt;&lt;a href=|http://interlinearbible.org/acts/10.htm| title=|Interlinear Bible| target=|_top|&gt;Interlin&lt;/a&gt;</v>
      </c>
      <c r="Y1028" t="str">
        <f t="shared" ref="Y1028" si="4109">CONCATENATE("&lt;/li&gt;&lt;li&gt;&lt;a href=|http://",Y1191,"/acts/10.htm","| ","title=|",Y1190,"| target=|_top|&gt;",Y1192,"&lt;/a&gt;")</f>
        <v>&lt;/li&gt;&lt;li&gt;&lt;a href=|http://bibleoutline.org/acts/10.htm| title=|Outline with People and Places List| target=|_top|&gt;Outline&lt;/a&gt;</v>
      </c>
      <c r="Z1028" t="str">
        <f t="shared" si="4108"/>
        <v>&lt;/li&gt;&lt;li&gt;&lt;a href=|http://kjvs.scripturetext.com/acts/10.htm| title=|King James Bible with Strong's Numbers| target=|_top|&gt;Strong's&lt;/a&gt;</v>
      </c>
      <c r="AA1028" t="str">
        <f t="shared" si="4108"/>
        <v>&lt;/li&gt;&lt;li&gt;&lt;a href=|http://childrensbibleonline.com/acts/10.htm| title=|The Children's Bible| target=|_top|&gt;Children's&lt;/a&gt;</v>
      </c>
      <c r="AB1028" s="2" t="str">
        <f t="shared" si="4108"/>
        <v>&lt;/li&gt;&lt;li&gt;&lt;a href=|http://tsk.scripturetext.com/acts/10.htm| title=|Treasury of Scripture Knowledge| target=|_top|&gt;TSK&lt;/a&gt;</v>
      </c>
      <c r="AC1028" t="str">
        <f>CONCATENATE("&lt;a href=|http://",AC1191,"/acts/10.htm","| ","title=|",AC1190,"| target=|_top|&gt;",AC1192,"&lt;/a&gt;")</f>
        <v>&lt;a href=|http://parallelbible.com/acts/10.htm| title=|Parallel Chapters| target=|_top|&gt;PAR&lt;/a&gt;</v>
      </c>
      <c r="AD1028" s="2" t="str">
        <f t="shared" ref="AD1028:AI1028" si="4110">CONCATENATE("&lt;/li&gt;&lt;li&gt;&lt;a href=|http://",AD1191,"/acts/10.htm","| ","title=|",AD1190,"| target=|_top|&gt;",AD1192,"&lt;/a&gt;")</f>
        <v>&lt;/li&gt;&lt;li&gt;&lt;a href=|http://gsb.biblecommenter.com/acts/10.htm| title=|Geneva Study Bible| target=|_top|&gt;GSB&lt;/a&gt;</v>
      </c>
      <c r="AE1028" s="2" t="str">
        <f t="shared" si="4110"/>
        <v>&lt;/li&gt;&lt;li&gt;&lt;a href=|http://jfb.biblecommenter.com/acts/10.htm| title=|Jamieson-Fausset-Brown Bible Commentary| target=|_top|&gt;JFB&lt;/a&gt;</v>
      </c>
      <c r="AF1028" s="2" t="str">
        <f t="shared" si="4110"/>
        <v>&lt;/li&gt;&lt;li&gt;&lt;a href=|http://kjt.biblecommenter.com/acts/10.htm| title=|King James Translators' Notes| target=|_top|&gt;KJT&lt;/a&gt;</v>
      </c>
      <c r="AG1028" s="2" t="str">
        <f t="shared" si="4110"/>
        <v>&lt;/li&gt;&lt;li&gt;&lt;a href=|http://mhc.biblecommenter.com/acts/10.htm| title=|Matthew Henry's Concise Commentary| target=|_top|&gt;MHC&lt;/a&gt;</v>
      </c>
      <c r="AH1028" s="2" t="str">
        <f t="shared" si="4110"/>
        <v>&lt;/li&gt;&lt;li&gt;&lt;a href=|http://sco.biblecommenter.com/acts/10.htm| title=|Scofield Reference Notes| target=|_top|&gt;SCO&lt;/a&gt;</v>
      </c>
      <c r="AI1028" s="2" t="str">
        <f t="shared" si="4110"/>
        <v>&lt;/li&gt;&lt;li&gt;&lt;a href=|http://wes.biblecommenter.com/acts/10.htm| title=|Wesley's Notes on the Bible| target=|_top|&gt;WES&lt;/a&gt;</v>
      </c>
      <c r="AJ1028" t="str">
        <f>CONCATENATE("&lt;/li&gt;&lt;li&gt;&lt;a href=|http://",AJ1191,"/acts/10.htm","| ","title=|",AJ1190,"| target=|_top|&gt;",AJ1192,"&lt;/a&gt;")</f>
        <v>&lt;/li&gt;&lt;li&gt;&lt;a href=|http://worldebible.com/acts/10.htm| title=|World English Bible| target=|_top|&gt;WEB&lt;/a&gt;</v>
      </c>
      <c r="AK1028" t="str">
        <f>CONCATENATE("&lt;/li&gt;&lt;li&gt;&lt;a href=|http://",AK1191,"/acts/10.htm","| ","title=|",AK1190,"| target=|_top|&gt;",AK1192,"&lt;/a&gt;")</f>
        <v>&lt;/li&gt;&lt;li&gt;&lt;a href=|http://yltbible.com/acts/10.htm| title=|Young's Literal Translation| target=|_top|&gt;YLT&lt;/a&gt;</v>
      </c>
      <c r="AL1028" t="str">
        <f>CONCATENATE("&lt;a href=|http://",AL1191,"/acts/10.htm","| ","title=|",AL1190,"| target=|_top|&gt;",AL1192,"&lt;/a&gt;")</f>
        <v>&lt;a href=|http://kjv.us/acts/10.htm| title=|American King James Version| target=|_top|&gt;AKJ&lt;/a&gt;</v>
      </c>
      <c r="AM1028" t="str">
        <f t="shared" ref="AM1028:AS1028" si="4111">CONCATENATE("&lt;/li&gt;&lt;li&gt;&lt;a href=|http://",AM1191,"/acts/10.htm","| ","title=|",AM1190,"| target=|_top|&gt;",AM1192,"&lt;/a&gt;")</f>
        <v>&lt;/li&gt;&lt;li&gt;&lt;a href=|http://basicenglishbible.com/acts/10.htm| title=|Bible in Basic English| target=|_top|&gt;BBE&lt;/a&gt;</v>
      </c>
      <c r="AN1028" t="str">
        <f t="shared" si="4111"/>
        <v>&lt;/li&gt;&lt;li&gt;&lt;a href=|http://darbybible.com/acts/10.htm| title=|Darby Bible Translation| target=|_top|&gt;DBY&lt;/a&gt;</v>
      </c>
      <c r="AO1028" t="str">
        <f t="shared" si="4111"/>
        <v>&lt;/li&gt;&lt;li&gt;&lt;a href=|http://isv.scripturetext.com/acts/10.htm| title=|International Standard Version| target=|_top|&gt;ISV&lt;/a&gt;</v>
      </c>
      <c r="AP1028" t="str">
        <f t="shared" si="4111"/>
        <v>&lt;/li&gt;&lt;li&gt;&lt;a href=|http://tnt.scripturetext.com/acts/10.htm| title=|Tyndale New Testament| target=|_top|&gt;TNT&lt;/a&gt;</v>
      </c>
      <c r="AQ1028" s="2" t="str">
        <f t="shared" si="4111"/>
        <v>&lt;/li&gt;&lt;li&gt;&lt;a href=|http://pnt.biblecommenter.com/acts/10.htm| title=|People's New Testament| target=|_top|&gt;PNT&lt;/a&gt;</v>
      </c>
      <c r="AR1028" t="str">
        <f t="shared" si="4111"/>
        <v>&lt;/li&gt;&lt;li&gt;&lt;a href=|http://websterbible.com/acts/10.htm| title=|Webster's Bible Translation| target=|_top|&gt;WBS&lt;/a&gt;</v>
      </c>
      <c r="AS1028" t="str">
        <f t="shared" si="4111"/>
        <v>&lt;/li&gt;&lt;li&gt;&lt;a href=|http://weymouthbible.com/acts/10.htm| title=|Weymouth New Testament| target=|_top|&gt;WEY&lt;/a&gt;</v>
      </c>
      <c r="AT1028" t="str">
        <f>CONCATENATE("&lt;/li&gt;&lt;li&gt;&lt;a href=|http://",AT1191,"/acts/10-1.htm","| ","title=|",AT1190,"| target=|_top|&gt;",AT1192,"&lt;/a&gt;")</f>
        <v>&lt;/li&gt;&lt;li&gt;&lt;a href=|http://biblebrowser.com/acts/10-1.htm| title=|Split View| target=|_top|&gt;Split&lt;/a&gt;</v>
      </c>
      <c r="AU1028" s="2" t="s">
        <v>1276</v>
      </c>
      <c r="AV1028" t="s">
        <v>64</v>
      </c>
    </row>
    <row r="1029" spans="1:48">
      <c r="A1029" t="s">
        <v>622</v>
      </c>
      <c r="B1029" t="s">
        <v>460</v>
      </c>
      <c r="C1029" t="s">
        <v>624</v>
      </c>
      <c r="D1029" t="s">
        <v>1268</v>
      </c>
      <c r="E1029" t="s">
        <v>1277</v>
      </c>
      <c r="F1029" t="s">
        <v>1304</v>
      </c>
      <c r="G1029" t="s">
        <v>1266</v>
      </c>
      <c r="H1029" t="s">
        <v>1305</v>
      </c>
      <c r="I1029" t="s">
        <v>1303</v>
      </c>
      <c r="J1029" t="s">
        <v>1267</v>
      </c>
      <c r="K1029" t="s">
        <v>1275</v>
      </c>
      <c r="L1029" s="2" t="s">
        <v>1274</v>
      </c>
      <c r="M1029" t="str">
        <f t="shared" ref="M1029:AB1029" si="4112">CONCATENATE("&lt;/li&gt;&lt;li&gt;&lt;a href=|http://",M1191,"/acts/11.htm","| ","title=|",M1190,"| target=|_top|&gt;",M1192,"&lt;/a&gt;")</f>
        <v>&lt;/li&gt;&lt;li&gt;&lt;a href=|http://niv.scripturetext.com/acts/11.htm| title=|New International Version| target=|_top|&gt;NIV&lt;/a&gt;</v>
      </c>
      <c r="N1029" t="str">
        <f t="shared" si="4112"/>
        <v>&lt;/li&gt;&lt;li&gt;&lt;a href=|http://nlt.scripturetext.com/acts/11.htm| title=|New Living Translation| target=|_top|&gt;NLT&lt;/a&gt;</v>
      </c>
      <c r="O1029" t="str">
        <f t="shared" si="4112"/>
        <v>&lt;/li&gt;&lt;li&gt;&lt;a href=|http://nasb.scripturetext.com/acts/11.htm| title=|New American Standard Bible| target=|_top|&gt;NAS&lt;/a&gt;</v>
      </c>
      <c r="P1029" t="str">
        <f t="shared" si="4112"/>
        <v>&lt;/li&gt;&lt;li&gt;&lt;a href=|http://gwt.scripturetext.com/acts/11.htm| title=|God's Word Translation| target=|_top|&gt;GWT&lt;/a&gt;</v>
      </c>
      <c r="Q1029" t="str">
        <f t="shared" si="4112"/>
        <v>&lt;/li&gt;&lt;li&gt;&lt;a href=|http://kingjbible.com/acts/11.htm| title=|King James Bible| target=|_top|&gt;KJV&lt;/a&gt;</v>
      </c>
      <c r="R1029" t="str">
        <f t="shared" si="4112"/>
        <v>&lt;/li&gt;&lt;li&gt;&lt;a href=|http://asvbible.com/acts/11.htm| title=|American Standard Version| target=|_top|&gt;ASV&lt;/a&gt;</v>
      </c>
      <c r="S1029" t="str">
        <f t="shared" si="4112"/>
        <v>&lt;/li&gt;&lt;li&gt;&lt;a href=|http://drb.scripturetext.com/acts/11.htm| title=|Douay-Rheims Bible| target=|_top|&gt;DRB&lt;/a&gt;</v>
      </c>
      <c r="T1029" t="str">
        <f t="shared" si="4112"/>
        <v>&lt;/li&gt;&lt;li&gt;&lt;a href=|http://erv.scripturetext.com/acts/11.htm| title=|English Revised Version| target=|_top|&gt;ERV&lt;/a&gt;</v>
      </c>
      <c r="U1029" t="str">
        <f>CONCATENATE("&lt;/li&gt;&lt;li&gt;&lt;a href=|http://",U1191,"/acts/11.htm","| ","title=|",U1190,"| target=|_top|&gt;",U1192,"&lt;/a&gt;")</f>
        <v>&lt;/li&gt;&lt;li&gt;&lt;a href=|http://study.interlinearbible.org/acts/11.htm| title=|Greek Study Bible| target=|_top|&gt;Grk Study&lt;/a&gt;</v>
      </c>
      <c r="W1029" t="str">
        <f t="shared" si="4112"/>
        <v>&lt;/li&gt;&lt;li&gt;&lt;a href=|http://apostolic.interlinearbible.org/acts/11.htm| title=|Apostolic Bible Polyglot Interlinear| target=|_top|&gt;Polyglot&lt;/a&gt;</v>
      </c>
      <c r="X1029" t="str">
        <f t="shared" si="4112"/>
        <v>&lt;/li&gt;&lt;li&gt;&lt;a href=|http://interlinearbible.org/acts/11.htm| title=|Interlinear Bible| target=|_top|&gt;Interlin&lt;/a&gt;</v>
      </c>
      <c r="Y1029" t="str">
        <f t="shared" ref="Y1029" si="4113">CONCATENATE("&lt;/li&gt;&lt;li&gt;&lt;a href=|http://",Y1191,"/acts/11.htm","| ","title=|",Y1190,"| target=|_top|&gt;",Y1192,"&lt;/a&gt;")</f>
        <v>&lt;/li&gt;&lt;li&gt;&lt;a href=|http://bibleoutline.org/acts/11.htm| title=|Outline with People and Places List| target=|_top|&gt;Outline&lt;/a&gt;</v>
      </c>
      <c r="Z1029" t="str">
        <f t="shared" si="4112"/>
        <v>&lt;/li&gt;&lt;li&gt;&lt;a href=|http://kjvs.scripturetext.com/acts/11.htm| title=|King James Bible with Strong's Numbers| target=|_top|&gt;Strong's&lt;/a&gt;</v>
      </c>
      <c r="AA1029" t="str">
        <f t="shared" si="4112"/>
        <v>&lt;/li&gt;&lt;li&gt;&lt;a href=|http://childrensbibleonline.com/acts/11.htm| title=|The Children's Bible| target=|_top|&gt;Children's&lt;/a&gt;</v>
      </c>
      <c r="AB1029" s="2" t="str">
        <f t="shared" si="4112"/>
        <v>&lt;/li&gt;&lt;li&gt;&lt;a href=|http://tsk.scripturetext.com/acts/11.htm| title=|Treasury of Scripture Knowledge| target=|_top|&gt;TSK&lt;/a&gt;</v>
      </c>
      <c r="AC1029" t="str">
        <f>CONCATENATE("&lt;a href=|http://",AC1191,"/acts/11.htm","| ","title=|",AC1190,"| target=|_top|&gt;",AC1192,"&lt;/a&gt;")</f>
        <v>&lt;a href=|http://parallelbible.com/acts/11.htm| title=|Parallel Chapters| target=|_top|&gt;PAR&lt;/a&gt;</v>
      </c>
      <c r="AD1029" s="2" t="str">
        <f t="shared" ref="AD1029:AI1029" si="4114">CONCATENATE("&lt;/li&gt;&lt;li&gt;&lt;a href=|http://",AD1191,"/acts/11.htm","| ","title=|",AD1190,"| target=|_top|&gt;",AD1192,"&lt;/a&gt;")</f>
        <v>&lt;/li&gt;&lt;li&gt;&lt;a href=|http://gsb.biblecommenter.com/acts/11.htm| title=|Geneva Study Bible| target=|_top|&gt;GSB&lt;/a&gt;</v>
      </c>
      <c r="AE1029" s="2" t="str">
        <f t="shared" si="4114"/>
        <v>&lt;/li&gt;&lt;li&gt;&lt;a href=|http://jfb.biblecommenter.com/acts/11.htm| title=|Jamieson-Fausset-Brown Bible Commentary| target=|_top|&gt;JFB&lt;/a&gt;</v>
      </c>
      <c r="AF1029" s="2" t="str">
        <f t="shared" si="4114"/>
        <v>&lt;/li&gt;&lt;li&gt;&lt;a href=|http://kjt.biblecommenter.com/acts/11.htm| title=|King James Translators' Notes| target=|_top|&gt;KJT&lt;/a&gt;</v>
      </c>
      <c r="AG1029" s="2" t="str">
        <f t="shared" si="4114"/>
        <v>&lt;/li&gt;&lt;li&gt;&lt;a href=|http://mhc.biblecommenter.com/acts/11.htm| title=|Matthew Henry's Concise Commentary| target=|_top|&gt;MHC&lt;/a&gt;</v>
      </c>
      <c r="AH1029" s="2" t="str">
        <f t="shared" si="4114"/>
        <v>&lt;/li&gt;&lt;li&gt;&lt;a href=|http://sco.biblecommenter.com/acts/11.htm| title=|Scofield Reference Notes| target=|_top|&gt;SCO&lt;/a&gt;</v>
      </c>
      <c r="AI1029" s="2" t="str">
        <f t="shared" si="4114"/>
        <v>&lt;/li&gt;&lt;li&gt;&lt;a href=|http://wes.biblecommenter.com/acts/11.htm| title=|Wesley's Notes on the Bible| target=|_top|&gt;WES&lt;/a&gt;</v>
      </c>
      <c r="AJ1029" t="str">
        <f>CONCATENATE("&lt;/li&gt;&lt;li&gt;&lt;a href=|http://",AJ1191,"/acts/11.htm","| ","title=|",AJ1190,"| target=|_top|&gt;",AJ1192,"&lt;/a&gt;")</f>
        <v>&lt;/li&gt;&lt;li&gt;&lt;a href=|http://worldebible.com/acts/11.htm| title=|World English Bible| target=|_top|&gt;WEB&lt;/a&gt;</v>
      </c>
      <c r="AK1029" t="str">
        <f>CONCATENATE("&lt;/li&gt;&lt;li&gt;&lt;a href=|http://",AK1191,"/acts/11.htm","| ","title=|",AK1190,"| target=|_top|&gt;",AK1192,"&lt;/a&gt;")</f>
        <v>&lt;/li&gt;&lt;li&gt;&lt;a href=|http://yltbible.com/acts/11.htm| title=|Young's Literal Translation| target=|_top|&gt;YLT&lt;/a&gt;</v>
      </c>
      <c r="AL1029" t="str">
        <f>CONCATENATE("&lt;a href=|http://",AL1191,"/acts/11.htm","| ","title=|",AL1190,"| target=|_top|&gt;",AL1192,"&lt;/a&gt;")</f>
        <v>&lt;a href=|http://kjv.us/acts/11.htm| title=|American King James Version| target=|_top|&gt;AKJ&lt;/a&gt;</v>
      </c>
      <c r="AM1029" t="str">
        <f t="shared" ref="AM1029:AS1029" si="4115">CONCATENATE("&lt;/li&gt;&lt;li&gt;&lt;a href=|http://",AM1191,"/acts/11.htm","| ","title=|",AM1190,"| target=|_top|&gt;",AM1192,"&lt;/a&gt;")</f>
        <v>&lt;/li&gt;&lt;li&gt;&lt;a href=|http://basicenglishbible.com/acts/11.htm| title=|Bible in Basic English| target=|_top|&gt;BBE&lt;/a&gt;</v>
      </c>
      <c r="AN1029" t="str">
        <f t="shared" si="4115"/>
        <v>&lt;/li&gt;&lt;li&gt;&lt;a href=|http://darbybible.com/acts/11.htm| title=|Darby Bible Translation| target=|_top|&gt;DBY&lt;/a&gt;</v>
      </c>
      <c r="AO1029" t="str">
        <f t="shared" si="4115"/>
        <v>&lt;/li&gt;&lt;li&gt;&lt;a href=|http://isv.scripturetext.com/acts/11.htm| title=|International Standard Version| target=|_top|&gt;ISV&lt;/a&gt;</v>
      </c>
      <c r="AP1029" t="str">
        <f t="shared" si="4115"/>
        <v>&lt;/li&gt;&lt;li&gt;&lt;a href=|http://tnt.scripturetext.com/acts/11.htm| title=|Tyndale New Testament| target=|_top|&gt;TNT&lt;/a&gt;</v>
      </c>
      <c r="AQ1029" s="2" t="str">
        <f t="shared" si="4115"/>
        <v>&lt;/li&gt;&lt;li&gt;&lt;a href=|http://pnt.biblecommenter.com/acts/11.htm| title=|People's New Testament| target=|_top|&gt;PNT&lt;/a&gt;</v>
      </c>
      <c r="AR1029" t="str">
        <f t="shared" si="4115"/>
        <v>&lt;/li&gt;&lt;li&gt;&lt;a href=|http://websterbible.com/acts/11.htm| title=|Webster's Bible Translation| target=|_top|&gt;WBS&lt;/a&gt;</v>
      </c>
      <c r="AS1029" t="str">
        <f t="shared" si="4115"/>
        <v>&lt;/li&gt;&lt;li&gt;&lt;a href=|http://weymouthbible.com/acts/11.htm| title=|Weymouth New Testament| target=|_top|&gt;WEY&lt;/a&gt;</v>
      </c>
      <c r="AT1029" t="str">
        <f>CONCATENATE("&lt;/li&gt;&lt;li&gt;&lt;a href=|http://",AT1191,"/acts/11-1.htm","| ","title=|",AT1190,"| target=|_top|&gt;",AT1192,"&lt;/a&gt;")</f>
        <v>&lt;/li&gt;&lt;li&gt;&lt;a href=|http://biblebrowser.com/acts/11-1.htm| title=|Split View| target=|_top|&gt;Split&lt;/a&gt;</v>
      </c>
      <c r="AU1029" s="2" t="s">
        <v>1276</v>
      </c>
      <c r="AV1029" t="s">
        <v>64</v>
      </c>
    </row>
    <row r="1030" spans="1:48">
      <c r="A1030" t="s">
        <v>622</v>
      </c>
      <c r="B1030" t="s">
        <v>461</v>
      </c>
      <c r="C1030" t="s">
        <v>624</v>
      </c>
      <c r="D1030" t="s">
        <v>1268</v>
      </c>
      <c r="E1030" t="s">
        <v>1277</v>
      </c>
      <c r="F1030" t="s">
        <v>1304</v>
      </c>
      <c r="G1030" t="s">
        <v>1266</v>
      </c>
      <c r="H1030" t="s">
        <v>1305</v>
      </c>
      <c r="I1030" t="s">
        <v>1303</v>
      </c>
      <c r="J1030" t="s">
        <v>1267</v>
      </c>
      <c r="K1030" t="s">
        <v>1275</v>
      </c>
      <c r="L1030" s="2" t="s">
        <v>1274</v>
      </c>
      <c r="M1030" t="str">
        <f t="shared" ref="M1030:AB1030" si="4116">CONCATENATE("&lt;/li&gt;&lt;li&gt;&lt;a href=|http://",M1191,"/acts/12.htm","| ","title=|",M1190,"| target=|_top|&gt;",M1192,"&lt;/a&gt;")</f>
        <v>&lt;/li&gt;&lt;li&gt;&lt;a href=|http://niv.scripturetext.com/acts/12.htm| title=|New International Version| target=|_top|&gt;NIV&lt;/a&gt;</v>
      </c>
      <c r="N1030" t="str">
        <f t="shared" si="4116"/>
        <v>&lt;/li&gt;&lt;li&gt;&lt;a href=|http://nlt.scripturetext.com/acts/12.htm| title=|New Living Translation| target=|_top|&gt;NLT&lt;/a&gt;</v>
      </c>
      <c r="O1030" t="str">
        <f t="shared" si="4116"/>
        <v>&lt;/li&gt;&lt;li&gt;&lt;a href=|http://nasb.scripturetext.com/acts/12.htm| title=|New American Standard Bible| target=|_top|&gt;NAS&lt;/a&gt;</v>
      </c>
      <c r="P1030" t="str">
        <f t="shared" si="4116"/>
        <v>&lt;/li&gt;&lt;li&gt;&lt;a href=|http://gwt.scripturetext.com/acts/12.htm| title=|God's Word Translation| target=|_top|&gt;GWT&lt;/a&gt;</v>
      </c>
      <c r="Q1030" t="str">
        <f t="shared" si="4116"/>
        <v>&lt;/li&gt;&lt;li&gt;&lt;a href=|http://kingjbible.com/acts/12.htm| title=|King James Bible| target=|_top|&gt;KJV&lt;/a&gt;</v>
      </c>
      <c r="R1030" t="str">
        <f t="shared" si="4116"/>
        <v>&lt;/li&gt;&lt;li&gt;&lt;a href=|http://asvbible.com/acts/12.htm| title=|American Standard Version| target=|_top|&gt;ASV&lt;/a&gt;</v>
      </c>
      <c r="S1030" t="str">
        <f t="shared" si="4116"/>
        <v>&lt;/li&gt;&lt;li&gt;&lt;a href=|http://drb.scripturetext.com/acts/12.htm| title=|Douay-Rheims Bible| target=|_top|&gt;DRB&lt;/a&gt;</v>
      </c>
      <c r="T1030" t="str">
        <f t="shared" si="4116"/>
        <v>&lt;/li&gt;&lt;li&gt;&lt;a href=|http://erv.scripturetext.com/acts/12.htm| title=|English Revised Version| target=|_top|&gt;ERV&lt;/a&gt;</v>
      </c>
      <c r="U1030" t="str">
        <f>CONCATENATE("&lt;/li&gt;&lt;li&gt;&lt;a href=|http://",U1191,"/acts/12.htm","| ","title=|",U1190,"| target=|_top|&gt;",U1192,"&lt;/a&gt;")</f>
        <v>&lt;/li&gt;&lt;li&gt;&lt;a href=|http://study.interlinearbible.org/acts/12.htm| title=|Greek Study Bible| target=|_top|&gt;Grk Study&lt;/a&gt;</v>
      </c>
      <c r="W1030" t="str">
        <f t="shared" si="4116"/>
        <v>&lt;/li&gt;&lt;li&gt;&lt;a href=|http://apostolic.interlinearbible.org/acts/12.htm| title=|Apostolic Bible Polyglot Interlinear| target=|_top|&gt;Polyglot&lt;/a&gt;</v>
      </c>
      <c r="X1030" t="str">
        <f t="shared" si="4116"/>
        <v>&lt;/li&gt;&lt;li&gt;&lt;a href=|http://interlinearbible.org/acts/12.htm| title=|Interlinear Bible| target=|_top|&gt;Interlin&lt;/a&gt;</v>
      </c>
      <c r="Y1030" t="str">
        <f t="shared" ref="Y1030" si="4117">CONCATENATE("&lt;/li&gt;&lt;li&gt;&lt;a href=|http://",Y1191,"/acts/12.htm","| ","title=|",Y1190,"| target=|_top|&gt;",Y1192,"&lt;/a&gt;")</f>
        <v>&lt;/li&gt;&lt;li&gt;&lt;a href=|http://bibleoutline.org/acts/12.htm| title=|Outline with People and Places List| target=|_top|&gt;Outline&lt;/a&gt;</v>
      </c>
      <c r="Z1030" t="str">
        <f t="shared" si="4116"/>
        <v>&lt;/li&gt;&lt;li&gt;&lt;a href=|http://kjvs.scripturetext.com/acts/12.htm| title=|King James Bible with Strong's Numbers| target=|_top|&gt;Strong's&lt;/a&gt;</v>
      </c>
      <c r="AA1030" t="str">
        <f t="shared" si="4116"/>
        <v>&lt;/li&gt;&lt;li&gt;&lt;a href=|http://childrensbibleonline.com/acts/12.htm| title=|The Children's Bible| target=|_top|&gt;Children's&lt;/a&gt;</v>
      </c>
      <c r="AB1030" s="2" t="str">
        <f t="shared" si="4116"/>
        <v>&lt;/li&gt;&lt;li&gt;&lt;a href=|http://tsk.scripturetext.com/acts/12.htm| title=|Treasury of Scripture Knowledge| target=|_top|&gt;TSK&lt;/a&gt;</v>
      </c>
      <c r="AC1030" t="str">
        <f>CONCATENATE("&lt;a href=|http://",AC1191,"/acts/12.htm","| ","title=|",AC1190,"| target=|_top|&gt;",AC1192,"&lt;/a&gt;")</f>
        <v>&lt;a href=|http://parallelbible.com/acts/12.htm| title=|Parallel Chapters| target=|_top|&gt;PAR&lt;/a&gt;</v>
      </c>
      <c r="AD1030" s="2" t="str">
        <f t="shared" ref="AD1030:AI1030" si="4118">CONCATENATE("&lt;/li&gt;&lt;li&gt;&lt;a href=|http://",AD1191,"/acts/12.htm","| ","title=|",AD1190,"| target=|_top|&gt;",AD1192,"&lt;/a&gt;")</f>
        <v>&lt;/li&gt;&lt;li&gt;&lt;a href=|http://gsb.biblecommenter.com/acts/12.htm| title=|Geneva Study Bible| target=|_top|&gt;GSB&lt;/a&gt;</v>
      </c>
      <c r="AE1030" s="2" t="str">
        <f t="shared" si="4118"/>
        <v>&lt;/li&gt;&lt;li&gt;&lt;a href=|http://jfb.biblecommenter.com/acts/12.htm| title=|Jamieson-Fausset-Brown Bible Commentary| target=|_top|&gt;JFB&lt;/a&gt;</v>
      </c>
      <c r="AF1030" s="2" t="str">
        <f t="shared" si="4118"/>
        <v>&lt;/li&gt;&lt;li&gt;&lt;a href=|http://kjt.biblecommenter.com/acts/12.htm| title=|King James Translators' Notes| target=|_top|&gt;KJT&lt;/a&gt;</v>
      </c>
      <c r="AG1030" s="2" t="str">
        <f t="shared" si="4118"/>
        <v>&lt;/li&gt;&lt;li&gt;&lt;a href=|http://mhc.biblecommenter.com/acts/12.htm| title=|Matthew Henry's Concise Commentary| target=|_top|&gt;MHC&lt;/a&gt;</v>
      </c>
      <c r="AH1030" s="2" t="str">
        <f t="shared" si="4118"/>
        <v>&lt;/li&gt;&lt;li&gt;&lt;a href=|http://sco.biblecommenter.com/acts/12.htm| title=|Scofield Reference Notes| target=|_top|&gt;SCO&lt;/a&gt;</v>
      </c>
      <c r="AI1030" s="2" t="str">
        <f t="shared" si="4118"/>
        <v>&lt;/li&gt;&lt;li&gt;&lt;a href=|http://wes.biblecommenter.com/acts/12.htm| title=|Wesley's Notes on the Bible| target=|_top|&gt;WES&lt;/a&gt;</v>
      </c>
      <c r="AJ1030" t="str">
        <f>CONCATENATE("&lt;/li&gt;&lt;li&gt;&lt;a href=|http://",AJ1191,"/acts/12.htm","| ","title=|",AJ1190,"| target=|_top|&gt;",AJ1192,"&lt;/a&gt;")</f>
        <v>&lt;/li&gt;&lt;li&gt;&lt;a href=|http://worldebible.com/acts/12.htm| title=|World English Bible| target=|_top|&gt;WEB&lt;/a&gt;</v>
      </c>
      <c r="AK1030" t="str">
        <f>CONCATENATE("&lt;/li&gt;&lt;li&gt;&lt;a href=|http://",AK1191,"/acts/12.htm","| ","title=|",AK1190,"| target=|_top|&gt;",AK1192,"&lt;/a&gt;")</f>
        <v>&lt;/li&gt;&lt;li&gt;&lt;a href=|http://yltbible.com/acts/12.htm| title=|Young's Literal Translation| target=|_top|&gt;YLT&lt;/a&gt;</v>
      </c>
      <c r="AL1030" t="str">
        <f>CONCATENATE("&lt;a href=|http://",AL1191,"/acts/12.htm","| ","title=|",AL1190,"| target=|_top|&gt;",AL1192,"&lt;/a&gt;")</f>
        <v>&lt;a href=|http://kjv.us/acts/12.htm| title=|American King James Version| target=|_top|&gt;AKJ&lt;/a&gt;</v>
      </c>
      <c r="AM1030" t="str">
        <f t="shared" ref="AM1030:AS1030" si="4119">CONCATENATE("&lt;/li&gt;&lt;li&gt;&lt;a href=|http://",AM1191,"/acts/12.htm","| ","title=|",AM1190,"| target=|_top|&gt;",AM1192,"&lt;/a&gt;")</f>
        <v>&lt;/li&gt;&lt;li&gt;&lt;a href=|http://basicenglishbible.com/acts/12.htm| title=|Bible in Basic English| target=|_top|&gt;BBE&lt;/a&gt;</v>
      </c>
      <c r="AN1030" t="str">
        <f t="shared" si="4119"/>
        <v>&lt;/li&gt;&lt;li&gt;&lt;a href=|http://darbybible.com/acts/12.htm| title=|Darby Bible Translation| target=|_top|&gt;DBY&lt;/a&gt;</v>
      </c>
      <c r="AO1030" t="str">
        <f t="shared" si="4119"/>
        <v>&lt;/li&gt;&lt;li&gt;&lt;a href=|http://isv.scripturetext.com/acts/12.htm| title=|International Standard Version| target=|_top|&gt;ISV&lt;/a&gt;</v>
      </c>
      <c r="AP1030" t="str">
        <f t="shared" si="4119"/>
        <v>&lt;/li&gt;&lt;li&gt;&lt;a href=|http://tnt.scripturetext.com/acts/12.htm| title=|Tyndale New Testament| target=|_top|&gt;TNT&lt;/a&gt;</v>
      </c>
      <c r="AQ1030" s="2" t="str">
        <f t="shared" si="4119"/>
        <v>&lt;/li&gt;&lt;li&gt;&lt;a href=|http://pnt.biblecommenter.com/acts/12.htm| title=|People's New Testament| target=|_top|&gt;PNT&lt;/a&gt;</v>
      </c>
      <c r="AR1030" t="str">
        <f t="shared" si="4119"/>
        <v>&lt;/li&gt;&lt;li&gt;&lt;a href=|http://websterbible.com/acts/12.htm| title=|Webster's Bible Translation| target=|_top|&gt;WBS&lt;/a&gt;</v>
      </c>
      <c r="AS1030" t="str">
        <f t="shared" si="4119"/>
        <v>&lt;/li&gt;&lt;li&gt;&lt;a href=|http://weymouthbible.com/acts/12.htm| title=|Weymouth New Testament| target=|_top|&gt;WEY&lt;/a&gt;</v>
      </c>
      <c r="AT1030" t="str">
        <f>CONCATENATE("&lt;/li&gt;&lt;li&gt;&lt;a href=|http://",AT1191,"/acts/12-1.htm","| ","title=|",AT1190,"| target=|_top|&gt;",AT1192,"&lt;/a&gt;")</f>
        <v>&lt;/li&gt;&lt;li&gt;&lt;a href=|http://biblebrowser.com/acts/12-1.htm| title=|Split View| target=|_top|&gt;Split&lt;/a&gt;</v>
      </c>
      <c r="AU1030" s="2" t="s">
        <v>1276</v>
      </c>
      <c r="AV1030" t="s">
        <v>64</v>
      </c>
    </row>
    <row r="1031" spans="1:48">
      <c r="A1031" t="s">
        <v>622</v>
      </c>
      <c r="B1031" t="s">
        <v>462</v>
      </c>
      <c r="C1031" t="s">
        <v>624</v>
      </c>
      <c r="D1031" t="s">
        <v>1268</v>
      </c>
      <c r="E1031" t="s">
        <v>1277</v>
      </c>
      <c r="F1031" t="s">
        <v>1304</v>
      </c>
      <c r="G1031" t="s">
        <v>1266</v>
      </c>
      <c r="H1031" t="s">
        <v>1305</v>
      </c>
      <c r="I1031" t="s">
        <v>1303</v>
      </c>
      <c r="J1031" t="s">
        <v>1267</v>
      </c>
      <c r="K1031" t="s">
        <v>1275</v>
      </c>
      <c r="L1031" s="2" t="s">
        <v>1274</v>
      </c>
      <c r="M1031" t="str">
        <f t="shared" ref="M1031:AB1031" si="4120">CONCATENATE("&lt;/li&gt;&lt;li&gt;&lt;a href=|http://",M1191,"/acts/13.htm","| ","title=|",M1190,"| target=|_top|&gt;",M1192,"&lt;/a&gt;")</f>
        <v>&lt;/li&gt;&lt;li&gt;&lt;a href=|http://niv.scripturetext.com/acts/13.htm| title=|New International Version| target=|_top|&gt;NIV&lt;/a&gt;</v>
      </c>
      <c r="N1031" t="str">
        <f t="shared" si="4120"/>
        <v>&lt;/li&gt;&lt;li&gt;&lt;a href=|http://nlt.scripturetext.com/acts/13.htm| title=|New Living Translation| target=|_top|&gt;NLT&lt;/a&gt;</v>
      </c>
      <c r="O1031" t="str">
        <f t="shared" si="4120"/>
        <v>&lt;/li&gt;&lt;li&gt;&lt;a href=|http://nasb.scripturetext.com/acts/13.htm| title=|New American Standard Bible| target=|_top|&gt;NAS&lt;/a&gt;</v>
      </c>
      <c r="P1031" t="str">
        <f t="shared" si="4120"/>
        <v>&lt;/li&gt;&lt;li&gt;&lt;a href=|http://gwt.scripturetext.com/acts/13.htm| title=|God's Word Translation| target=|_top|&gt;GWT&lt;/a&gt;</v>
      </c>
      <c r="Q1031" t="str">
        <f t="shared" si="4120"/>
        <v>&lt;/li&gt;&lt;li&gt;&lt;a href=|http://kingjbible.com/acts/13.htm| title=|King James Bible| target=|_top|&gt;KJV&lt;/a&gt;</v>
      </c>
      <c r="R1031" t="str">
        <f t="shared" si="4120"/>
        <v>&lt;/li&gt;&lt;li&gt;&lt;a href=|http://asvbible.com/acts/13.htm| title=|American Standard Version| target=|_top|&gt;ASV&lt;/a&gt;</v>
      </c>
      <c r="S1031" t="str">
        <f t="shared" si="4120"/>
        <v>&lt;/li&gt;&lt;li&gt;&lt;a href=|http://drb.scripturetext.com/acts/13.htm| title=|Douay-Rheims Bible| target=|_top|&gt;DRB&lt;/a&gt;</v>
      </c>
      <c r="T1031" t="str">
        <f t="shared" si="4120"/>
        <v>&lt;/li&gt;&lt;li&gt;&lt;a href=|http://erv.scripturetext.com/acts/13.htm| title=|English Revised Version| target=|_top|&gt;ERV&lt;/a&gt;</v>
      </c>
      <c r="U1031" t="str">
        <f>CONCATENATE("&lt;/li&gt;&lt;li&gt;&lt;a href=|http://",U1191,"/acts/13.htm","| ","title=|",U1190,"| target=|_top|&gt;",U1192,"&lt;/a&gt;")</f>
        <v>&lt;/li&gt;&lt;li&gt;&lt;a href=|http://study.interlinearbible.org/acts/13.htm| title=|Greek Study Bible| target=|_top|&gt;Grk Study&lt;/a&gt;</v>
      </c>
      <c r="W1031" t="str">
        <f t="shared" si="4120"/>
        <v>&lt;/li&gt;&lt;li&gt;&lt;a href=|http://apostolic.interlinearbible.org/acts/13.htm| title=|Apostolic Bible Polyglot Interlinear| target=|_top|&gt;Polyglot&lt;/a&gt;</v>
      </c>
      <c r="X1031" t="str">
        <f t="shared" si="4120"/>
        <v>&lt;/li&gt;&lt;li&gt;&lt;a href=|http://interlinearbible.org/acts/13.htm| title=|Interlinear Bible| target=|_top|&gt;Interlin&lt;/a&gt;</v>
      </c>
      <c r="Y1031" t="str">
        <f t="shared" ref="Y1031" si="4121">CONCATENATE("&lt;/li&gt;&lt;li&gt;&lt;a href=|http://",Y1191,"/acts/13.htm","| ","title=|",Y1190,"| target=|_top|&gt;",Y1192,"&lt;/a&gt;")</f>
        <v>&lt;/li&gt;&lt;li&gt;&lt;a href=|http://bibleoutline.org/acts/13.htm| title=|Outline with People and Places List| target=|_top|&gt;Outline&lt;/a&gt;</v>
      </c>
      <c r="Z1031" t="str">
        <f t="shared" si="4120"/>
        <v>&lt;/li&gt;&lt;li&gt;&lt;a href=|http://kjvs.scripturetext.com/acts/13.htm| title=|King James Bible with Strong's Numbers| target=|_top|&gt;Strong's&lt;/a&gt;</v>
      </c>
      <c r="AA1031" t="str">
        <f t="shared" si="4120"/>
        <v>&lt;/li&gt;&lt;li&gt;&lt;a href=|http://childrensbibleonline.com/acts/13.htm| title=|The Children's Bible| target=|_top|&gt;Children's&lt;/a&gt;</v>
      </c>
      <c r="AB1031" s="2" t="str">
        <f t="shared" si="4120"/>
        <v>&lt;/li&gt;&lt;li&gt;&lt;a href=|http://tsk.scripturetext.com/acts/13.htm| title=|Treasury of Scripture Knowledge| target=|_top|&gt;TSK&lt;/a&gt;</v>
      </c>
      <c r="AC1031" t="str">
        <f>CONCATENATE("&lt;a href=|http://",AC1191,"/acts/13.htm","| ","title=|",AC1190,"| target=|_top|&gt;",AC1192,"&lt;/a&gt;")</f>
        <v>&lt;a href=|http://parallelbible.com/acts/13.htm| title=|Parallel Chapters| target=|_top|&gt;PAR&lt;/a&gt;</v>
      </c>
      <c r="AD1031" s="2" t="str">
        <f t="shared" ref="AD1031:AI1031" si="4122">CONCATENATE("&lt;/li&gt;&lt;li&gt;&lt;a href=|http://",AD1191,"/acts/13.htm","| ","title=|",AD1190,"| target=|_top|&gt;",AD1192,"&lt;/a&gt;")</f>
        <v>&lt;/li&gt;&lt;li&gt;&lt;a href=|http://gsb.biblecommenter.com/acts/13.htm| title=|Geneva Study Bible| target=|_top|&gt;GSB&lt;/a&gt;</v>
      </c>
      <c r="AE1031" s="2" t="str">
        <f t="shared" si="4122"/>
        <v>&lt;/li&gt;&lt;li&gt;&lt;a href=|http://jfb.biblecommenter.com/acts/13.htm| title=|Jamieson-Fausset-Brown Bible Commentary| target=|_top|&gt;JFB&lt;/a&gt;</v>
      </c>
      <c r="AF1031" s="2" t="str">
        <f t="shared" si="4122"/>
        <v>&lt;/li&gt;&lt;li&gt;&lt;a href=|http://kjt.biblecommenter.com/acts/13.htm| title=|King James Translators' Notes| target=|_top|&gt;KJT&lt;/a&gt;</v>
      </c>
      <c r="AG1031" s="2" t="str">
        <f t="shared" si="4122"/>
        <v>&lt;/li&gt;&lt;li&gt;&lt;a href=|http://mhc.biblecommenter.com/acts/13.htm| title=|Matthew Henry's Concise Commentary| target=|_top|&gt;MHC&lt;/a&gt;</v>
      </c>
      <c r="AH1031" s="2" t="str">
        <f t="shared" si="4122"/>
        <v>&lt;/li&gt;&lt;li&gt;&lt;a href=|http://sco.biblecommenter.com/acts/13.htm| title=|Scofield Reference Notes| target=|_top|&gt;SCO&lt;/a&gt;</v>
      </c>
      <c r="AI1031" s="2" t="str">
        <f t="shared" si="4122"/>
        <v>&lt;/li&gt;&lt;li&gt;&lt;a href=|http://wes.biblecommenter.com/acts/13.htm| title=|Wesley's Notes on the Bible| target=|_top|&gt;WES&lt;/a&gt;</v>
      </c>
      <c r="AJ1031" t="str">
        <f>CONCATENATE("&lt;/li&gt;&lt;li&gt;&lt;a href=|http://",AJ1191,"/acts/13.htm","| ","title=|",AJ1190,"| target=|_top|&gt;",AJ1192,"&lt;/a&gt;")</f>
        <v>&lt;/li&gt;&lt;li&gt;&lt;a href=|http://worldebible.com/acts/13.htm| title=|World English Bible| target=|_top|&gt;WEB&lt;/a&gt;</v>
      </c>
      <c r="AK1031" t="str">
        <f>CONCATENATE("&lt;/li&gt;&lt;li&gt;&lt;a href=|http://",AK1191,"/acts/13.htm","| ","title=|",AK1190,"| target=|_top|&gt;",AK1192,"&lt;/a&gt;")</f>
        <v>&lt;/li&gt;&lt;li&gt;&lt;a href=|http://yltbible.com/acts/13.htm| title=|Young's Literal Translation| target=|_top|&gt;YLT&lt;/a&gt;</v>
      </c>
      <c r="AL1031" t="str">
        <f>CONCATENATE("&lt;a href=|http://",AL1191,"/acts/13.htm","| ","title=|",AL1190,"| target=|_top|&gt;",AL1192,"&lt;/a&gt;")</f>
        <v>&lt;a href=|http://kjv.us/acts/13.htm| title=|American King James Version| target=|_top|&gt;AKJ&lt;/a&gt;</v>
      </c>
      <c r="AM1031" t="str">
        <f t="shared" ref="AM1031:AS1031" si="4123">CONCATENATE("&lt;/li&gt;&lt;li&gt;&lt;a href=|http://",AM1191,"/acts/13.htm","| ","title=|",AM1190,"| target=|_top|&gt;",AM1192,"&lt;/a&gt;")</f>
        <v>&lt;/li&gt;&lt;li&gt;&lt;a href=|http://basicenglishbible.com/acts/13.htm| title=|Bible in Basic English| target=|_top|&gt;BBE&lt;/a&gt;</v>
      </c>
      <c r="AN1031" t="str">
        <f t="shared" si="4123"/>
        <v>&lt;/li&gt;&lt;li&gt;&lt;a href=|http://darbybible.com/acts/13.htm| title=|Darby Bible Translation| target=|_top|&gt;DBY&lt;/a&gt;</v>
      </c>
      <c r="AO1031" t="str">
        <f t="shared" si="4123"/>
        <v>&lt;/li&gt;&lt;li&gt;&lt;a href=|http://isv.scripturetext.com/acts/13.htm| title=|International Standard Version| target=|_top|&gt;ISV&lt;/a&gt;</v>
      </c>
      <c r="AP1031" t="str">
        <f t="shared" si="4123"/>
        <v>&lt;/li&gt;&lt;li&gt;&lt;a href=|http://tnt.scripturetext.com/acts/13.htm| title=|Tyndale New Testament| target=|_top|&gt;TNT&lt;/a&gt;</v>
      </c>
      <c r="AQ1031" s="2" t="str">
        <f t="shared" si="4123"/>
        <v>&lt;/li&gt;&lt;li&gt;&lt;a href=|http://pnt.biblecommenter.com/acts/13.htm| title=|People's New Testament| target=|_top|&gt;PNT&lt;/a&gt;</v>
      </c>
      <c r="AR1031" t="str">
        <f t="shared" si="4123"/>
        <v>&lt;/li&gt;&lt;li&gt;&lt;a href=|http://websterbible.com/acts/13.htm| title=|Webster's Bible Translation| target=|_top|&gt;WBS&lt;/a&gt;</v>
      </c>
      <c r="AS1031" t="str">
        <f t="shared" si="4123"/>
        <v>&lt;/li&gt;&lt;li&gt;&lt;a href=|http://weymouthbible.com/acts/13.htm| title=|Weymouth New Testament| target=|_top|&gt;WEY&lt;/a&gt;</v>
      </c>
      <c r="AT1031" t="str">
        <f>CONCATENATE("&lt;/li&gt;&lt;li&gt;&lt;a href=|http://",AT1191,"/acts/13-1.htm","| ","title=|",AT1190,"| target=|_top|&gt;",AT1192,"&lt;/a&gt;")</f>
        <v>&lt;/li&gt;&lt;li&gt;&lt;a href=|http://biblebrowser.com/acts/13-1.htm| title=|Split View| target=|_top|&gt;Split&lt;/a&gt;</v>
      </c>
      <c r="AU1031" s="2" t="s">
        <v>1276</v>
      </c>
      <c r="AV1031" t="s">
        <v>64</v>
      </c>
    </row>
    <row r="1032" spans="1:48">
      <c r="A1032" t="s">
        <v>622</v>
      </c>
      <c r="B1032" t="s">
        <v>463</v>
      </c>
      <c r="C1032" t="s">
        <v>624</v>
      </c>
      <c r="D1032" t="s">
        <v>1268</v>
      </c>
      <c r="E1032" t="s">
        <v>1277</v>
      </c>
      <c r="F1032" t="s">
        <v>1304</v>
      </c>
      <c r="G1032" t="s">
        <v>1266</v>
      </c>
      <c r="H1032" t="s">
        <v>1305</v>
      </c>
      <c r="I1032" t="s">
        <v>1303</v>
      </c>
      <c r="J1032" t="s">
        <v>1267</v>
      </c>
      <c r="K1032" t="s">
        <v>1275</v>
      </c>
      <c r="L1032" s="2" t="s">
        <v>1274</v>
      </c>
      <c r="M1032" t="str">
        <f t="shared" ref="M1032:AB1032" si="4124">CONCATENATE("&lt;/li&gt;&lt;li&gt;&lt;a href=|http://",M1191,"/acts/14.htm","| ","title=|",M1190,"| target=|_top|&gt;",M1192,"&lt;/a&gt;")</f>
        <v>&lt;/li&gt;&lt;li&gt;&lt;a href=|http://niv.scripturetext.com/acts/14.htm| title=|New International Version| target=|_top|&gt;NIV&lt;/a&gt;</v>
      </c>
      <c r="N1032" t="str">
        <f t="shared" si="4124"/>
        <v>&lt;/li&gt;&lt;li&gt;&lt;a href=|http://nlt.scripturetext.com/acts/14.htm| title=|New Living Translation| target=|_top|&gt;NLT&lt;/a&gt;</v>
      </c>
      <c r="O1032" t="str">
        <f t="shared" si="4124"/>
        <v>&lt;/li&gt;&lt;li&gt;&lt;a href=|http://nasb.scripturetext.com/acts/14.htm| title=|New American Standard Bible| target=|_top|&gt;NAS&lt;/a&gt;</v>
      </c>
      <c r="P1032" t="str">
        <f t="shared" si="4124"/>
        <v>&lt;/li&gt;&lt;li&gt;&lt;a href=|http://gwt.scripturetext.com/acts/14.htm| title=|God's Word Translation| target=|_top|&gt;GWT&lt;/a&gt;</v>
      </c>
      <c r="Q1032" t="str">
        <f t="shared" si="4124"/>
        <v>&lt;/li&gt;&lt;li&gt;&lt;a href=|http://kingjbible.com/acts/14.htm| title=|King James Bible| target=|_top|&gt;KJV&lt;/a&gt;</v>
      </c>
      <c r="R1032" t="str">
        <f t="shared" si="4124"/>
        <v>&lt;/li&gt;&lt;li&gt;&lt;a href=|http://asvbible.com/acts/14.htm| title=|American Standard Version| target=|_top|&gt;ASV&lt;/a&gt;</v>
      </c>
      <c r="S1032" t="str">
        <f t="shared" si="4124"/>
        <v>&lt;/li&gt;&lt;li&gt;&lt;a href=|http://drb.scripturetext.com/acts/14.htm| title=|Douay-Rheims Bible| target=|_top|&gt;DRB&lt;/a&gt;</v>
      </c>
      <c r="T1032" t="str">
        <f t="shared" si="4124"/>
        <v>&lt;/li&gt;&lt;li&gt;&lt;a href=|http://erv.scripturetext.com/acts/14.htm| title=|English Revised Version| target=|_top|&gt;ERV&lt;/a&gt;</v>
      </c>
      <c r="U1032" t="str">
        <f>CONCATENATE("&lt;/li&gt;&lt;li&gt;&lt;a href=|http://",U1191,"/acts/14.htm","| ","title=|",U1190,"| target=|_top|&gt;",U1192,"&lt;/a&gt;")</f>
        <v>&lt;/li&gt;&lt;li&gt;&lt;a href=|http://study.interlinearbible.org/acts/14.htm| title=|Greek Study Bible| target=|_top|&gt;Grk Study&lt;/a&gt;</v>
      </c>
      <c r="W1032" t="str">
        <f t="shared" si="4124"/>
        <v>&lt;/li&gt;&lt;li&gt;&lt;a href=|http://apostolic.interlinearbible.org/acts/14.htm| title=|Apostolic Bible Polyglot Interlinear| target=|_top|&gt;Polyglot&lt;/a&gt;</v>
      </c>
      <c r="X1032" t="str">
        <f t="shared" si="4124"/>
        <v>&lt;/li&gt;&lt;li&gt;&lt;a href=|http://interlinearbible.org/acts/14.htm| title=|Interlinear Bible| target=|_top|&gt;Interlin&lt;/a&gt;</v>
      </c>
      <c r="Y1032" t="str">
        <f t="shared" ref="Y1032" si="4125">CONCATENATE("&lt;/li&gt;&lt;li&gt;&lt;a href=|http://",Y1191,"/acts/14.htm","| ","title=|",Y1190,"| target=|_top|&gt;",Y1192,"&lt;/a&gt;")</f>
        <v>&lt;/li&gt;&lt;li&gt;&lt;a href=|http://bibleoutline.org/acts/14.htm| title=|Outline with People and Places List| target=|_top|&gt;Outline&lt;/a&gt;</v>
      </c>
      <c r="Z1032" t="str">
        <f t="shared" si="4124"/>
        <v>&lt;/li&gt;&lt;li&gt;&lt;a href=|http://kjvs.scripturetext.com/acts/14.htm| title=|King James Bible with Strong's Numbers| target=|_top|&gt;Strong's&lt;/a&gt;</v>
      </c>
      <c r="AA1032" t="str">
        <f t="shared" si="4124"/>
        <v>&lt;/li&gt;&lt;li&gt;&lt;a href=|http://childrensbibleonline.com/acts/14.htm| title=|The Children's Bible| target=|_top|&gt;Children's&lt;/a&gt;</v>
      </c>
      <c r="AB1032" s="2" t="str">
        <f t="shared" si="4124"/>
        <v>&lt;/li&gt;&lt;li&gt;&lt;a href=|http://tsk.scripturetext.com/acts/14.htm| title=|Treasury of Scripture Knowledge| target=|_top|&gt;TSK&lt;/a&gt;</v>
      </c>
      <c r="AC1032" t="str">
        <f>CONCATENATE("&lt;a href=|http://",AC1191,"/acts/14.htm","| ","title=|",AC1190,"| target=|_top|&gt;",AC1192,"&lt;/a&gt;")</f>
        <v>&lt;a href=|http://parallelbible.com/acts/14.htm| title=|Parallel Chapters| target=|_top|&gt;PAR&lt;/a&gt;</v>
      </c>
      <c r="AD1032" s="2" t="str">
        <f t="shared" ref="AD1032:AI1032" si="4126">CONCATENATE("&lt;/li&gt;&lt;li&gt;&lt;a href=|http://",AD1191,"/acts/14.htm","| ","title=|",AD1190,"| target=|_top|&gt;",AD1192,"&lt;/a&gt;")</f>
        <v>&lt;/li&gt;&lt;li&gt;&lt;a href=|http://gsb.biblecommenter.com/acts/14.htm| title=|Geneva Study Bible| target=|_top|&gt;GSB&lt;/a&gt;</v>
      </c>
      <c r="AE1032" s="2" t="str">
        <f t="shared" si="4126"/>
        <v>&lt;/li&gt;&lt;li&gt;&lt;a href=|http://jfb.biblecommenter.com/acts/14.htm| title=|Jamieson-Fausset-Brown Bible Commentary| target=|_top|&gt;JFB&lt;/a&gt;</v>
      </c>
      <c r="AF1032" s="2" t="str">
        <f t="shared" si="4126"/>
        <v>&lt;/li&gt;&lt;li&gt;&lt;a href=|http://kjt.biblecommenter.com/acts/14.htm| title=|King James Translators' Notes| target=|_top|&gt;KJT&lt;/a&gt;</v>
      </c>
      <c r="AG1032" s="2" t="str">
        <f t="shared" si="4126"/>
        <v>&lt;/li&gt;&lt;li&gt;&lt;a href=|http://mhc.biblecommenter.com/acts/14.htm| title=|Matthew Henry's Concise Commentary| target=|_top|&gt;MHC&lt;/a&gt;</v>
      </c>
      <c r="AH1032" s="2" t="str">
        <f t="shared" si="4126"/>
        <v>&lt;/li&gt;&lt;li&gt;&lt;a href=|http://sco.biblecommenter.com/acts/14.htm| title=|Scofield Reference Notes| target=|_top|&gt;SCO&lt;/a&gt;</v>
      </c>
      <c r="AI1032" s="2" t="str">
        <f t="shared" si="4126"/>
        <v>&lt;/li&gt;&lt;li&gt;&lt;a href=|http://wes.biblecommenter.com/acts/14.htm| title=|Wesley's Notes on the Bible| target=|_top|&gt;WES&lt;/a&gt;</v>
      </c>
      <c r="AJ1032" t="str">
        <f>CONCATENATE("&lt;/li&gt;&lt;li&gt;&lt;a href=|http://",AJ1191,"/acts/14.htm","| ","title=|",AJ1190,"| target=|_top|&gt;",AJ1192,"&lt;/a&gt;")</f>
        <v>&lt;/li&gt;&lt;li&gt;&lt;a href=|http://worldebible.com/acts/14.htm| title=|World English Bible| target=|_top|&gt;WEB&lt;/a&gt;</v>
      </c>
      <c r="AK1032" t="str">
        <f>CONCATENATE("&lt;/li&gt;&lt;li&gt;&lt;a href=|http://",AK1191,"/acts/14.htm","| ","title=|",AK1190,"| target=|_top|&gt;",AK1192,"&lt;/a&gt;")</f>
        <v>&lt;/li&gt;&lt;li&gt;&lt;a href=|http://yltbible.com/acts/14.htm| title=|Young's Literal Translation| target=|_top|&gt;YLT&lt;/a&gt;</v>
      </c>
      <c r="AL1032" t="str">
        <f>CONCATENATE("&lt;a href=|http://",AL1191,"/acts/14.htm","| ","title=|",AL1190,"| target=|_top|&gt;",AL1192,"&lt;/a&gt;")</f>
        <v>&lt;a href=|http://kjv.us/acts/14.htm| title=|American King James Version| target=|_top|&gt;AKJ&lt;/a&gt;</v>
      </c>
      <c r="AM1032" t="str">
        <f t="shared" ref="AM1032:AS1032" si="4127">CONCATENATE("&lt;/li&gt;&lt;li&gt;&lt;a href=|http://",AM1191,"/acts/14.htm","| ","title=|",AM1190,"| target=|_top|&gt;",AM1192,"&lt;/a&gt;")</f>
        <v>&lt;/li&gt;&lt;li&gt;&lt;a href=|http://basicenglishbible.com/acts/14.htm| title=|Bible in Basic English| target=|_top|&gt;BBE&lt;/a&gt;</v>
      </c>
      <c r="AN1032" t="str">
        <f t="shared" si="4127"/>
        <v>&lt;/li&gt;&lt;li&gt;&lt;a href=|http://darbybible.com/acts/14.htm| title=|Darby Bible Translation| target=|_top|&gt;DBY&lt;/a&gt;</v>
      </c>
      <c r="AO1032" t="str">
        <f t="shared" si="4127"/>
        <v>&lt;/li&gt;&lt;li&gt;&lt;a href=|http://isv.scripturetext.com/acts/14.htm| title=|International Standard Version| target=|_top|&gt;ISV&lt;/a&gt;</v>
      </c>
      <c r="AP1032" t="str">
        <f t="shared" si="4127"/>
        <v>&lt;/li&gt;&lt;li&gt;&lt;a href=|http://tnt.scripturetext.com/acts/14.htm| title=|Tyndale New Testament| target=|_top|&gt;TNT&lt;/a&gt;</v>
      </c>
      <c r="AQ1032" s="2" t="str">
        <f t="shared" si="4127"/>
        <v>&lt;/li&gt;&lt;li&gt;&lt;a href=|http://pnt.biblecommenter.com/acts/14.htm| title=|People's New Testament| target=|_top|&gt;PNT&lt;/a&gt;</v>
      </c>
      <c r="AR1032" t="str">
        <f t="shared" si="4127"/>
        <v>&lt;/li&gt;&lt;li&gt;&lt;a href=|http://websterbible.com/acts/14.htm| title=|Webster's Bible Translation| target=|_top|&gt;WBS&lt;/a&gt;</v>
      </c>
      <c r="AS1032" t="str">
        <f t="shared" si="4127"/>
        <v>&lt;/li&gt;&lt;li&gt;&lt;a href=|http://weymouthbible.com/acts/14.htm| title=|Weymouth New Testament| target=|_top|&gt;WEY&lt;/a&gt;</v>
      </c>
      <c r="AT1032" t="str">
        <f>CONCATENATE("&lt;/li&gt;&lt;li&gt;&lt;a href=|http://",AT1191,"/acts/14-1.htm","| ","title=|",AT1190,"| target=|_top|&gt;",AT1192,"&lt;/a&gt;")</f>
        <v>&lt;/li&gt;&lt;li&gt;&lt;a href=|http://biblebrowser.com/acts/14-1.htm| title=|Split View| target=|_top|&gt;Split&lt;/a&gt;</v>
      </c>
      <c r="AU1032" s="2" t="s">
        <v>1276</v>
      </c>
      <c r="AV1032" t="s">
        <v>64</v>
      </c>
    </row>
    <row r="1033" spans="1:48">
      <c r="A1033" t="s">
        <v>622</v>
      </c>
      <c r="B1033" t="s">
        <v>464</v>
      </c>
      <c r="C1033" t="s">
        <v>624</v>
      </c>
      <c r="D1033" t="s">
        <v>1268</v>
      </c>
      <c r="E1033" t="s">
        <v>1277</v>
      </c>
      <c r="F1033" t="s">
        <v>1304</v>
      </c>
      <c r="G1033" t="s">
        <v>1266</v>
      </c>
      <c r="H1033" t="s">
        <v>1305</v>
      </c>
      <c r="I1033" t="s">
        <v>1303</v>
      </c>
      <c r="J1033" t="s">
        <v>1267</v>
      </c>
      <c r="K1033" t="s">
        <v>1275</v>
      </c>
      <c r="L1033" s="2" t="s">
        <v>1274</v>
      </c>
      <c r="M1033" t="str">
        <f t="shared" ref="M1033:AB1033" si="4128">CONCATENATE("&lt;/li&gt;&lt;li&gt;&lt;a href=|http://",M1191,"/acts/15.htm","| ","title=|",M1190,"| target=|_top|&gt;",M1192,"&lt;/a&gt;")</f>
        <v>&lt;/li&gt;&lt;li&gt;&lt;a href=|http://niv.scripturetext.com/acts/15.htm| title=|New International Version| target=|_top|&gt;NIV&lt;/a&gt;</v>
      </c>
      <c r="N1033" t="str">
        <f t="shared" si="4128"/>
        <v>&lt;/li&gt;&lt;li&gt;&lt;a href=|http://nlt.scripturetext.com/acts/15.htm| title=|New Living Translation| target=|_top|&gt;NLT&lt;/a&gt;</v>
      </c>
      <c r="O1033" t="str">
        <f t="shared" si="4128"/>
        <v>&lt;/li&gt;&lt;li&gt;&lt;a href=|http://nasb.scripturetext.com/acts/15.htm| title=|New American Standard Bible| target=|_top|&gt;NAS&lt;/a&gt;</v>
      </c>
      <c r="P1033" t="str">
        <f t="shared" si="4128"/>
        <v>&lt;/li&gt;&lt;li&gt;&lt;a href=|http://gwt.scripturetext.com/acts/15.htm| title=|God's Word Translation| target=|_top|&gt;GWT&lt;/a&gt;</v>
      </c>
      <c r="Q1033" t="str">
        <f t="shared" si="4128"/>
        <v>&lt;/li&gt;&lt;li&gt;&lt;a href=|http://kingjbible.com/acts/15.htm| title=|King James Bible| target=|_top|&gt;KJV&lt;/a&gt;</v>
      </c>
      <c r="R1033" t="str">
        <f t="shared" si="4128"/>
        <v>&lt;/li&gt;&lt;li&gt;&lt;a href=|http://asvbible.com/acts/15.htm| title=|American Standard Version| target=|_top|&gt;ASV&lt;/a&gt;</v>
      </c>
      <c r="S1033" t="str">
        <f t="shared" si="4128"/>
        <v>&lt;/li&gt;&lt;li&gt;&lt;a href=|http://drb.scripturetext.com/acts/15.htm| title=|Douay-Rheims Bible| target=|_top|&gt;DRB&lt;/a&gt;</v>
      </c>
      <c r="T1033" t="str">
        <f t="shared" si="4128"/>
        <v>&lt;/li&gt;&lt;li&gt;&lt;a href=|http://erv.scripturetext.com/acts/15.htm| title=|English Revised Version| target=|_top|&gt;ERV&lt;/a&gt;</v>
      </c>
      <c r="U1033" t="str">
        <f>CONCATENATE("&lt;/li&gt;&lt;li&gt;&lt;a href=|http://",U1191,"/acts/15.htm","| ","title=|",U1190,"| target=|_top|&gt;",U1192,"&lt;/a&gt;")</f>
        <v>&lt;/li&gt;&lt;li&gt;&lt;a href=|http://study.interlinearbible.org/acts/15.htm| title=|Greek Study Bible| target=|_top|&gt;Grk Study&lt;/a&gt;</v>
      </c>
      <c r="W1033" t="str">
        <f t="shared" si="4128"/>
        <v>&lt;/li&gt;&lt;li&gt;&lt;a href=|http://apostolic.interlinearbible.org/acts/15.htm| title=|Apostolic Bible Polyglot Interlinear| target=|_top|&gt;Polyglot&lt;/a&gt;</v>
      </c>
      <c r="X1033" t="str">
        <f t="shared" si="4128"/>
        <v>&lt;/li&gt;&lt;li&gt;&lt;a href=|http://interlinearbible.org/acts/15.htm| title=|Interlinear Bible| target=|_top|&gt;Interlin&lt;/a&gt;</v>
      </c>
      <c r="Y1033" t="str">
        <f t="shared" ref="Y1033" si="4129">CONCATENATE("&lt;/li&gt;&lt;li&gt;&lt;a href=|http://",Y1191,"/acts/15.htm","| ","title=|",Y1190,"| target=|_top|&gt;",Y1192,"&lt;/a&gt;")</f>
        <v>&lt;/li&gt;&lt;li&gt;&lt;a href=|http://bibleoutline.org/acts/15.htm| title=|Outline with People and Places List| target=|_top|&gt;Outline&lt;/a&gt;</v>
      </c>
      <c r="Z1033" t="str">
        <f t="shared" si="4128"/>
        <v>&lt;/li&gt;&lt;li&gt;&lt;a href=|http://kjvs.scripturetext.com/acts/15.htm| title=|King James Bible with Strong's Numbers| target=|_top|&gt;Strong's&lt;/a&gt;</v>
      </c>
      <c r="AA1033" t="str">
        <f t="shared" si="4128"/>
        <v>&lt;/li&gt;&lt;li&gt;&lt;a href=|http://childrensbibleonline.com/acts/15.htm| title=|The Children's Bible| target=|_top|&gt;Children's&lt;/a&gt;</v>
      </c>
      <c r="AB1033" s="2" t="str">
        <f t="shared" si="4128"/>
        <v>&lt;/li&gt;&lt;li&gt;&lt;a href=|http://tsk.scripturetext.com/acts/15.htm| title=|Treasury of Scripture Knowledge| target=|_top|&gt;TSK&lt;/a&gt;</v>
      </c>
      <c r="AC1033" t="str">
        <f>CONCATENATE("&lt;a href=|http://",AC1191,"/acts/15.htm","| ","title=|",AC1190,"| target=|_top|&gt;",AC1192,"&lt;/a&gt;")</f>
        <v>&lt;a href=|http://parallelbible.com/acts/15.htm| title=|Parallel Chapters| target=|_top|&gt;PAR&lt;/a&gt;</v>
      </c>
      <c r="AD1033" s="2" t="str">
        <f t="shared" ref="AD1033:AI1033" si="4130">CONCATENATE("&lt;/li&gt;&lt;li&gt;&lt;a href=|http://",AD1191,"/acts/15.htm","| ","title=|",AD1190,"| target=|_top|&gt;",AD1192,"&lt;/a&gt;")</f>
        <v>&lt;/li&gt;&lt;li&gt;&lt;a href=|http://gsb.biblecommenter.com/acts/15.htm| title=|Geneva Study Bible| target=|_top|&gt;GSB&lt;/a&gt;</v>
      </c>
      <c r="AE1033" s="2" t="str">
        <f t="shared" si="4130"/>
        <v>&lt;/li&gt;&lt;li&gt;&lt;a href=|http://jfb.biblecommenter.com/acts/15.htm| title=|Jamieson-Fausset-Brown Bible Commentary| target=|_top|&gt;JFB&lt;/a&gt;</v>
      </c>
      <c r="AF1033" s="2" t="str">
        <f t="shared" si="4130"/>
        <v>&lt;/li&gt;&lt;li&gt;&lt;a href=|http://kjt.biblecommenter.com/acts/15.htm| title=|King James Translators' Notes| target=|_top|&gt;KJT&lt;/a&gt;</v>
      </c>
      <c r="AG1033" s="2" t="str">
        <f t="shared" si="4130"/>
        <v>&lt;/li&gt;&lt;li&gt;&lt;a href=|http://mhc.biblecommenter.com/acts/15.htm| title=|Matthew Henry's Concise Commentary| target=|_top|&gt;MHC&lt;/a&gt;</v>
      </c>
      <c r="AH1033" s="2" t="str">
        <f t="shared" si="4130"/>
        <v>&lt;/li&gt;&lt;li&gt;&lt;a href=|http://sco.biblecommenter.com/acts/15.htm| title=|Scofield Reference Notes| target=|_top|&gt;SCO&lt;/a&gt;</v>
      </c>
      <c r="AI1033" s="2" t="str">
        <f t="shared" si="4130"/>
        <v>&lt;/li&gt;&lt;li&gt;&lt;a href=|http://wes.biblecommenter.com/acts/15.htm| title=|Wesley's Notes on the Bible| target=|_top|&gt;WES&lt;/a&gt;</v>
      </c>
      <c r="AJ1033" t="str">
        <f>CONCATENATE("&lt;/li&gt;&lt;li&gt;&lt;a href=|http://",AJ1191,"/acts/15.htm","| ","title=|",AJ1190,"| target=|_top|&gt;",AJ1192,"&lt;/a&gt;")</f>
        <v>&lt;/li&gt;&lt;li&gt;&lt;a href=|http://worldebible.com/acts/15.htm| title=|World English Bible| target=|_top|&gt;WEB&lt;/a&gt;</v>
      </c>
      <c r="AK1033" t="str">
        <f>CONCATENATE("&lt;/li&gt;&lt;li&gt;&lt;a href=|http://",AK1191,"/acts/15.htm","| ","title=|",AK1190,"| target=|_top|&gt;",AK1192,"&lt;/a&gt;")</f>
        <v>&lt;/li&gt;&lt;li&gt;&lt;a href=|http://yltbible.com/acts/15.htm| title=|Young's Literal Translation| target=|_top|&gt;YLT&lt;/a&gt;</v>
      </c>
      <c r="AL1033" t="str">
        <f>CONCATENATE("&lt;a href=|http://",AL1191,"/acts/15.htm","| ","title=|",AL1190,"| target=|_top|&gt;",AL1192,"&lt;/a&gt;")</f>
        <v>&lt;a href=|http://kjv.us/acts/15.htm| title=|American King James Version| target=|_top|&gt;AKJ&lt;/a&gt;</v>
      </c>
      <c r="AM1033" t="str">
        <f t="shared" ref="AM1033:AS1033" si="4131">CONCATENATE("&lt;/li&gt;&lt;li&gt;&lt;a href=|http://",AM1191,"/acts/15.htm","| ","title=|",AM1190,"| target=|_top|&gt;",AM1192,"&lt;/a&gt;")</f>
        <v>&lt;/li&gt;&lt;li&gt;&lt;a href=|http://basicenglishbible.com/acts/15.htm| title=|Bible in Basic English| target=|_top|&gt;BBE&lt;/a&gt;</v>
      </c>
      <c r="AN1033" t="str">
        <f t="shared" si="4131"/>
        <v>&lt;/li&gt;&lt;li&gt;&lt;a href=|http://darbybible.com/acts/15.htm| title=|Darby Bible Translation| target=|_top|&gt;DBY&lt;/a&gt;</v>
      </c>
      <c r="AO1033" t="str">
        <f t="shared" si="4131"/>
        <v>&lt;/li&gt;&lt;li&gt;&lt;a href=|http://isv.scripturetext.com/acts/15.htm| title=|International Standard Version| target=|_top|&gt;ISV&lt;/a&gt;</v>
      </c>
      <c r="AP1033" t="str">
        <f t="shared" si="4131"/>
        <v>&lt;/li&gt;&lt;li&gt;&lt;a href=|http://tnt.scripturetext.com/acts/15.htm| title=|Tyndale New Testament| target=|_top|&gt;TNT&lt;/a&gt;</v>
      </c>
      <c r="AQ1033" s="2" t="str">
        <f t="shared" si="4131"/>
        <v>&lt;/li&gt;&lt;li&gt;&lt;a href=|http://pnt.biblecommenter.com/acts/15.htm| title=|People's New Testament| target=|_top|&gt;PNT&lt;/a&gt;</v>
      </c>
      <c r="AR1033" t="str">
        <f t="shared" si="4131"/>
        <v>&lt;/li&gt;&lt;li&gt;&lt;a href=|http://websterbible.com/acts/15.htm| title=|Webster's Bible Translation| target=|_top|&gt;WBS&lt;/a&gt;</v>
      </c>
      <c r="AS1033" t="str">
        <f t="shared" si="4131"/>
        <v>&lt;/li&gt;&lt;li&gt;&lt;a href=|http://weymouthbible.com/acts/15.htm| title=|Weymouth New Testament| target=|_top|&gt;WEY&lt;/a&gt;</v>
      </c>
      <c r="AT1033" t="str">
        <f>CONCATENATE("&lt;/li&gt;&lt;li&gt;&lt;a href=|http://",AT1191,"/acts/15-1.htm","| ","title=|",AT1190,"| target=|_top|&gt;",AT1192,"&lt;/a&gt;")</f>
        <v>&lt;/li&gt;&lt;li&gt;&lt;a href=|http://biblebrowser.com/acts/15-1.htm| title=|Split View| target=|_top|&gt;Split&lt;/a&gt;</v>
      </c>
      <c r="AU1033" s="2" t="s">
        <v>1276</v>
      </c>
      <c r="AV1033" t="s">
        <v>64</v>
      </c>
    </row>
    <row r="1034" spans="1:48">
      <c r="A1034" t="s">
        <v>622</v>
      </c>
      <c r="B1034" t="s">
        <v>465</v>
      </c>
      <c r="C1034" t="s">
        <v>624</v>
      </c>
      <c r="D1034" t="s">
        <v>1268</v>
      </c>
      <c r="E1034" t="s">
        <v>1277</v>
      </c>
      <c r="F1034" t="s">
        <v>1304</v>
      </c>
      <c r="G1034" t="s">
        <v>1266</v>
      </c>
      <c r="H1034" t="s">
        <v>1305</v>
      </c>
      <c r="I1034" t="s">
        <v>1303</v>
      </c>
      <c r="J1034" t="s">
        <v>1267</v>
      </c>
      <c r="K1034" t="s">
        <v>1275</v>
      </c>
      <c r="L1034" s="2" t="s">
        <v>1274</v>
      </c>
      <c r="M1034" t="str">
        <f t="shared" ref="M1034:AB1034" si="4132">CONCATENATE("&lt;/li&gt;&lt;li&gt;&lt;a href=|http://",M1191,"/acts/16.htm","| ","title=|",M1190,"| target=|_top|&gt;",M1192,"&lt;/a&gt;")</f>
        <v>&lt;/li&gt;&lt;li&gt;&lt;a href=|http://niv.scripturetext.com/acts/16.htm| title=|New International Version| target=|_top|&gt;NIV&lt;/a&gt;</v>
      </c>
      <c r="N1034" t="str">
        <f t="shared" si="4132"/>
        <v>&lt;/li&gt;&lt;li&gt;&lt;a href=|http://nlt.scripturetext.com/acts/16.htm| title=|New Living Translation| target=|_top|&gt;NLT&lt;/a&gt;</v>
      </c>
      <c r="O1034" t="str">
        <f t="shared" si="4132"/>
        <v>&lt;/li&gt;&lt;li&gt;&lt;a href=|http://nasb.scripturetext.com/acts/16.htm| title=|New American Standard Bible| target=|_top|&gt;NAS&lt;/a&gt;</v>
      </c>
      <c r="P1034" t="str">
        <f t="shared" si="4132"/>
        <v>&lt;/li&gt;&lt;li&gt;&lt;a href=|http://gwt.scripturetext.com/acts/16.htm| title=|God's Word Translation| target=|_top|&gt;GWT&lt;/a&gt;</v>
      </c>
      <c r="Q1034" t="str">
        <f t="shared" si="4132"/>
        <v>&lt;/li&gt;&lt;li&gt;&lt;a href=|http://kingjbible.com/acts/16.htm| title=|King James Bible| target=|_top|&gt;KJV&lt;/a&gt;</v>
      </c>
      <c r="R1034" t="str">
        <f t="shared" si="4132"/>
        <v>&lt;/li&gt;&lt;li&gt;&lt;a href=|http://asvbible.com/acts/16.htm| title=|American Standard Version| target=|_top|&gt;ASV&lt;/a&gt;</v>
      </c>
      <c r="S1034" t="str">
        <f t="shared" si="4132"/>
        <v>&lt;/li&gt;&lt;li&gt;&lt;a href=|http://drb.scripturetext.com/acts/16.htm| title=|Douay-Rheims Bible| target=|_top|&gt;DRB&lt;/a&gt;</v>
      </c>
      <c r="T1034" t="str">
        <f t="shared" si="4132"/>
        <v>&lt;/li&gt;&lt;li&gt;&lt;a href=|http://erv.scripturetext.com/acts/16.htm| title=|English Revised Version| target=|_top|&gt;ERV&lt;/a&gt;</v>
      </c>
      <c r="U1034" t="str">
        <f>CONCATENATE("&lt;/li&gt;&lt;li&gt;&lt;a href=|http://",U1191,"/acts/16.htm","| ","title=|",U1190,"| target=|_top|&gt;",U1192,"&lt;/a&gt;")</f>
        <v>&lt;/li&gt;&lt;li&gt;&lt;a href=|http://study.interlinearbible.org/acts/16.htm| title=|Greek Study Bible| target=|_top|&gt;Grk Study&lt;/a&gt;</v>
      </c>
      <c r="W1034" t="str">
        <f t="shared" si="4132"/>
        <v>&lt;/li&gt;&lt;li&gt;&lt;a href=|http://apostolic.interlinearbible.org/acts/16.htm| title=|Apostolic Bible Polyglot Interlinear| target=|_top|&gt;Polyglot&lt;/a&gt;</v>
      </c>
      <c r="X1034" t="str">
        <f t="shared" si="4132"/>
        <v>&lt;/li&gt;&lt;li&gt;&lt;a href=|http://interlinearbible.org/acts/16.htm| title=|Interlinear Bible| target=|_top|&gt;Interlin&lt;/a&gt;</v>
      </c>
      <c r="Y1034" t="str">
        <f t="shared" ref="Y1034" si="4133">CONCATENATE("&lt;/li&gt;&lt;li&gt;&lt;a href=|http://",Y1191,"/acts/16.htm","| ","title=|",Y1190,"| target=|_top|&gt;",Y1192,"&lt;/a&gt;")</f>
        <v>&lt;/li&gt;&lt;li&gt;&lt;a href=|http://bibleoutline.org/acts/16.htm| title=|Outline with People and Places List| target=|_top|&gt;Outline&lt;/a&gt;</v>
      </c>
      <c r="Z1034" t="str">
        <f t="shared" si="4132"/>
        <v>&lt;/li&gt;&lt;li&gt;&lt;a href=|http://kjvs.scripturetext.com/acts/16.htm| title=|King James Bible with Strong's Numbers| target=|_top|&gt;Strong's&lt;/a&gt;</v>
      </c>
      <c r="AA1034" t="str">
        <f t="shared" si="4132"/>
        <v>&lt;/li&gt;&lt;li&gt;&lt;a href=|http://childrensbibleonline.com/acts/16.htm| title=|The Children's Bible| target=|_top|&gt;Children's&lt;/a&gt;</v>
      </c>
      <c r="AB1034" s="2" t="str">
        <f t="shared" si="4132"/>
        <v>&lt;/li&gt;&lt;li&gt;&lt;a href=|http://tsk.scripturetext.com/acts/16.htm| title=|Treasury of Scripture Knowledge| target=|_top|&gt;TSK&lt;/a&gt;</v>
      </c>
      <c r="AC1034" t="str">
        <f>CONCATENATE("&lt;a href=|http://",AC1191,"/acts/16.htm","| ","title=|",AC1190,"| target=|_top|&gt;",AC1192,"&lt;/a&gt;")</f>
        <v>&lt;a href=|http://parallelbible.com/acts/16.htm| title=|Parallel Chapters| target=|_top|&gt;PAR&lt;/a&gt;</v>
      </c>
      <c r="AD1034" s="2" t="str">
        <f t="shared" ref="AD1034:AI1034" si="4134">CONCATENATE("&lt;/li&gt;&lt;li&gt;&lt;a href=|http://",AD1191,"/acts/16.htm","| ","title=|",AD1190,"| target=|_top|&gt;",AD1192,"&lt;/a&gt;")</f>
        <v>&lt;/li&gt;&lt;li&gt;&lt;a href=|http://gsb.biblecommenter.com/acts/16.htm| title=|Geneva Study Bible| target=|_top|&gt;GSB&lt;/a&gt;</v>
      </c>
      <c r="AE1034" s="2" t="str">
        <f t="shared" si="4134"/>
        <v>&lt;/li&gt;&lt;li&gt;&lt;a href=|http://jfb.biblecommenter.com/acts/16.htm| title=|Jamieson-Fausset-Brown Bible Commentary| target=|_top|&gt;JFB&lt;/a&gt;</v>
      </c>
      <c r="AF1034" s="2" t="str">
        <f t="shared" si="4134"/>
        <v>&lt;/li&gt;&lt;li&gt;&lt;a href=|http://kjt.biblecommenter.com/acts/16.htm| title=|King James Translators' Notes| target=|_top|&gt;KJT&lt;/a&gt;</v>
      </c>
      <c r="AG1034" s="2" t="str">
        <f t="shared" si="4134"/>
        <v>&lt;/li&gt;&lt;li&gt;&lt;a href=|http://mhc.biblecommenter.com/acts/16.htm| title=|Matthew Henry's Concise Commentary| target=|_top|&gt;MHC&lt;/a&gt;</v>
      </c>
      <c r="AH1034" s="2" t="str">
        <f t="shared" si="4134"/>
        <v>&lt;/li&gt;&lt;li&gt;&lt;a href=|http://sco.biblecommenter.com/acts/16.htm| title=|Scofield Reference Notes| target=|_top|&gt;SCO&lt;/a&gt;</v>
      </c>
      <c r="AI1034" s="2" t="str">
        <f t="shared" si="4134"/>
        <v>&lt;/li&gt;&lt;li&gt;&lt;a href=|http://wes.biblecommenter.com/acts/16.htm| title=|Wesley's Notes on the Bible| target=|_top|&gt;WES&lt;/a&gt;</v>
      </c>
      <c r="AJ1034" t="str">
        <f>CONCATENATE("&lt;/li&gt;&lt;li&gt;&lt;a href=|http://",AJ1191,"/acts/16.htm","| ","title=|",AJ1190,"| target=|_top|&gt;",AJ1192,"&lt;/a&gt;")</f>
        <v>&lt;/li&gt;&lt;li&gt;&lt;a href=|http://worldebible.com/acts/16.htm| title=|World English Bible| target=|_top|&gt;WEB&lt;/a&gt;</v>
      </c>
      <c r="AK1034" t="str">
        <f>CONCATENATE("&lt;/li&gt;&lt;li&gt;&lt;a href=|http://",AK1191,"/acts/16.htm","| ","title=|",AK1190,"| target=|_top|&gt;",AK1192,"&lt;/a&gt;")</f>
        <v>&lt;/li&gt;&lt;li&gt;&lt;a href=|http://yltbible.com/acts/16.htm| title=|Young's Literal Translation| target=|_top|&gt;YLT&lt;/a&gt;</v>
      </c>
      <c r="AL1034" t="str">
        <f>CONCATENATE("&lt;a href=|http://",AL1191,"/acts/16.htm","| ","title=|",AL1190,"| target=|_top|&gt;",AL1192,"&lt;/a&gt;")</f>
        <v>&lt;a href=|http://kjv.us/acts/16.htm| title=|American King James Version| target=|_top|&gt;AKJ&lt;/a&gt;</v>
      </c>
      <c r="AM1034" t="str">
        <f t="shared" ref="AM1034:AS1034" si="4135">CONCATENATE("&lt;/li&gt;&lt;li&gt;&lt;a href=|http://",AM1191,"/acts/16.htm","| ","title=|",AM1190,"| target=|_top|&gt;",AM1192,"&lt;/a&gt;")</f>
        <v>&lt;/li&gt;&lt;li&gt;&lt;a href=|http://basicenglishbible.com/acts/16.htm| title=|Bible in Basic English| target=|_top|&gt;BBE&lt;/a&gt;</v>
      </c>
      <c r="AN1034" t="str">
        <f t="shared" si="4135"/>
        <v>&lt;/li&gt;&lt;li&gt;&lt;a href=|http://darbybible.com/acts/16.htm| title=|Darby Bible Translation| target=|_top|&gt;DBY&lt;/a&gt;</v>
      </c>
      <c r="AO1034" t="str">
        <f t="shared" si="4135"/>
        <v>&lt;/li&gt;&lt;li&gt;&lt;a href=|http://isv.scripturetext.com/acts/16.htm| title=|International Standard Version| target=|_top|&gt;ISV&lt;/a&gt;</v>
      </c>
      <c r="AP1034" t="str">
        <f t="shared" si="4135"/>
        <v>&lt;/li&gt;&lt;li&gt;&lt;a href=|http://tnt.scripturetext.com/acts/16.htm| title=|Tyndale New Testament| target=|_top|&gt;TNT&lt;/a&gt;</v>
      </c>
      <c r="AQ1034" s="2" t="str">
        <f t="shared" si="4135"/>
        <v>&lt;/li&gt;&lt;li&gt;&lt;a href=|http://pnt.biblecommenter.com/acts/16.htm| title=|People's New Testament| target=|_top|&gt;PNT&lt;/a&gt;</v>
      </c>
      <c r="AR1034" t="str">
        <f t="shared" si="4135"/>
        <v>&lt;/li&gt;&lt;li&gt;&lt;a href=|http://websterbible.com/acts/16.htm| title=|Webster's Bible Translation| target=|_top|&gt;WBS&lt;/a&gt;</v>
      </c>
      <c r="AS1034" t="str">
        <f t="shared" si="4135"/>
        <v>&lt;/li&gt;&lt;li&gt;&lt;a href=|http://weymouthbible.com/acts/16.htm| title=|Weymouth New Testament| target=|_top|&gt;WEY&lt;/a&gt;</v>
      </c>
      <c r="AT1034" t="str">
        <f>CONCATENATE("&lt;/li&gt;&lt;li&gt;&lt;a href=|http://",AT1191,"/acts/16-1.htm","| ","title=|",AT1190,"| target=|_top|&gt;",AT1192,"&lt;/a&gt;")</f>
        <v>&lt;/li&gt;&lt;li&gt;&lt;a href=|http://biblebrowser.com/acts/16-1.htm| title=|Split View| target=|_top|&gt;Split&lt;/a&gt;</v>
      </c>
      <c r="AU1034" s="2" t="s">
        <v>1276</v>
      </c>
      <c r="AV1034" t="s">
        <v>64</v>
      </c>
    </row>
    <row r="1035" spans="1:48">
      <c r="A1035" t="s">
        <v>622</v>
      </c>
      <c r="B1035" t="s">
        <v>466</v>
      </c>
      <c r="C1035" t="s">
        <v>624</v>
      </c>
      <c r="D1035" t="s">
        <v>1268</v>
      </c>
      <c r="E1035" t="s">
        <v>1277</v>
      </c>
      <c r="F1035" t="s">
        <v>1304</v>
      </c>
      <c r="G1035" t="s">
        <v>1266</v>
      </c>
      <c r="H1035" t="s">
        <v>1305</v>
      </c>
      <c r="I1035" t="s">
        <v>1303</v>
      </c>
      <c r="J1035" t="s">
        <v>1267</v>
      </c>
      <c r="K1035" t="s">
        <v>1275</v>
      </c>
      <c r="L1035" s="2" t="s">
        <v>1274</v>
      </c>
      <c r="M1035" t="str">
        <f t="shared" ref="M1035:AB1035" si="4136">CONCATENATE("&lt;/li&gt;&lt;li&gt;&lt;a href=|http://",M1191,"/acts/17.htm","| ","title=|",M1190,"| target=|_top|&gt;",M1192,"&lt;/a&gt;")</f>
        <v>&lt;/li&gt;&lt;li&gt;&lt;a href=|http://niv.scripturetext.com/acts/17.htm| title=|New International Version| target=|_top|&gt;NIV&lt;/a&gt;</v>
      </c>
      <c r="N1035" t="str">
        <f t="shared" si="4136"/>
        <v>&lt;/li&gt;&lt;li&gt;&lt;a href=|http://nlt.scripturetext.com/acts/17.htm| title=|New Living Translation| target=|_top|&gt;NLT&lt;/a&gt;</v>
      </c>
      <c r="O1035" t="str">
        <f t="shared" si="4136"/>
        <v>&lt;/li&gt;&lt;li&gt;&lt;a href=|http://nasb.scripturetext.com/acts/17.htm| title=|New American Standard Bible| target=|_top|&gt;NAS&lt;/a&gt;</v>
      </c>
      <c r="P1035" t="str">
        <f t="shared" si="4136"/>
        <v>&lt;/li&gt;&lt;li&gt;&lt;a href=|http://gwt.scripturetext.com/acts/17.htm| title=|God's Word Translation| target=|_top|&gt;GWT&lt;/a&gt;</v>
      </c>
      <c r="Q1035" t="str">
        <f t="shared" si="4136"/>
        <v>&lt;/li&gt;&lt;li&gt;&lt;a href=|http://kingjbible.com/acts/17.htm| title=|King James Bible| target=|_top|&gt;KJV&lt;/a&gt;</v>
      </c>
      <c r="R1035" t="str">
        <f t="shared" si="4136"/>
        <v>&lt;/li&gt;&lt;li&gt;&lt;a href=|http://asvbible.com/acts/17.htm| title=|American Standard Version| target=|_top|&gt;ASV&lt;/a&gt;</v>
      </c>
      <c r="S1035" t="str">
        <f t="shared" si="4136"/>
        <v>&lt;/li&gt;&lt;li&gt;&lt;a href=|http://drb.scripturetext.com/acts/17.htm| title=|Douay-Rheims Bible| target=|_top|&gt;DRB&lt;/a&gt;</v>
      </c>
      <c r="T1035" t="str">
        <f t="shared" si="4136"/>
        <v>&lt;/li&gt;&lt;li&gt;&lt;a href=|http://erv.scripturetext.com/acts/17.htm| title=|English Revised Version| target=|_top|&gt;ERV&lt;/a&gt;</v>
      </c>
      <c r="U1035" t="str">
        <f>CONCATENATE("&lt;/li&gt;&lt;li&gt;&lt;a href=|http://",U1191,"/acts/17.htm","| ","title=|",U1190,"| target=|_top|&gt;",U1192,"&lt;/a&gt;")</f>
        <v>&lt;/li&gt;&lt;li&gt;&lt;a href=|http://study.interlinearbible.org/acts/17.htm| title=|Greek Study Bible| target=|_top|&gt;Grk Study&lt;/a&gt;</v>
      </c>
      <c r="W1035" t="str">
        <f t="shared" si="4136"/>
        <v>&lt;/li&gt;&lt;li&gt;&lt;a href=|http://apostolic.interlinearbible.org/acts/17.htm| title=|Apostolic Bible Polyglot Interlinear| target=|_top|&gt;Polyglot&lt;/a&gt;</v>
      </c>
      <c r="X1035" t="str">
        <f t="shared" si="4136"/>
        <v>&lt;/li&gt;&lt;li&gt;&lt;a href=|http://interlinearbible.org/acts/17.htm| title=|Interlinear Bible| target=|_top|&gt;Interlin&lt;/a&gt;</v>
      </c>
      <c r="Y1035" t="str">
        <f t="shared" ref="Y1035" si="4137">CONCATENATE("&lt;/li&gt;&lt;li&gt;&lt;a href=|http://",Y1191,"/acts/17.htm","| ","title=|",Y1190,"| target=|_top|&gt;",Y1192,"&lt;/a&gt;")</f>
        <v>&lt;/li&gt;&lt;li&gt;&lt;a href=|http://bibleoutline.org/acts/17.htm| title=|Outline with People and Places List| target=|_top|&gt;Outline&lt;/a&gt;</v>
      </c>
      <c r="Z1035" t="str">
        <f t="shared" si="4136"/>
        <v>&lt;/li&gt;&lt;li&gt;&lt;a href=|http://kjvs.scripturetext.com/acts/17.htm| title=|King James Bible with Strong's Numbers| target=|_top|&gt;Strong's&lt;/a&gt;</v>
      </c>
      <c r="AA1035" t="str">
        <f t="shared" si="4136"/>
        <v>&lt;/li&gt;&lt;li&gt;&lt;a href=|http://childrensbibleonline.com/acts/17.htm| title=|The Children's Bible| target=|_top|&gt;Children's&lt;/a&gt;</v>
      </c>
      <c r="AB1035" s="2" t="str">
        <f t="shared" si="4136"/>
        <v>&lt;/li&gt;&lt;li&gt;&lt;a href=|http://tsk.scripturetext.com/acts/17.htm| title=|Treasury of Scripture Knowledge| target=|_top|&gt;TSK&lt;/a&gt;</v>
      </c>
      <c r="AC1035" t="str">
        <f>CONCATENATE("&lt;a href=|http://",AC1191,"/acts/17.htm","| ","title=|",AC1190,"| target=|_top|&gt;",AC1192,"&lt;/a&gt;")</f>
        <v>&lt;a href=|http://parallelbible.com/acts/17.htm| title=|Parallel Chapters| target=|_top|&gt;PAR&lt;/a&gt;</v>
      </c>
      <c r="AD1035" s="2" t="str">
        <f t="shared" ref="AD1035:AI1035" si="4138">CONCATENATE("&lt;/li&gt;&lt;li&gt;&lt;a href=|http://",AD1191,"/acts/17.htm","| ","title=|",AD1190,"| target=|_top|&gt;",AD1192,"&lt;/a&gt;")</f>
        <v>&lt;/li&gt;&lt;li&gt;&lt;a href=|http://gsb.biblecommenter.com/acts/17.htm| title=|Geneva Study Bible| target=|_top|&gt;GSB&lt;/a&gt;</v>
      </c>
      <c r="AE1035" s="2" t="str">
        <f t="shared" si="4138"/>
        <v>&lt;/li&gt;&lt;li&gt;&lt;a href=|http://jfb.biblecommenter.com/acts/17.htm| title=|Jamieson-Fausset-Brown Bible Commentary| target=|_top|&gt;JFB&lt;/a&gt;</v>
      </c>
      <c r="AF1035" s="2" t="str">
        <f t="shared" si="4138"/>
        <v>&lt;/li&gt;&lt;li&gt;&lt;a href=|http://kjt.biblecommenter.com/acts/17.htm| title=|King James Translators' Notes| target=|_top|&gt;KJT&lt;/a&gt;</v>
      </c>
      <c r="AG1035" s="2" t="str">
        <f t="shared" si="4138"/>
        <v>&lt;/li&gt;&lt;li&gt;&lt;a href=|http://mhc.biblecommenter.com/acts/17.htm| title=|Matthew Henry's Concise Commentary| target=|_top|&gt;MHC&lt;/a&gt;</v>
      </c>
      <c r="AH1035" s="2" t="str">
        <f t="shared" si="4138"/>
        <v>&lt;/li&gt;&lt;li&gt;&lt;a href=|http://sco.biblecommenter.com/acts/17.htm| title=|Scofield Reference Notes| target=|_top|&gt;SCO&lt;/a&gt;</v>
      </c>
      <c r="AI1035" s="2" t="str">
        <f t="shared" si="4138"/>
        <v>&lt;/li&gt;&lt;li&gt;&lt;a href=|http://wes.biblecommenter.com/acts/17.htm| title=|Wesley's Notes on the Bible| target=|_top|&gt;WES&lt;/a&gt;</v>
      </c>
      <c r="AJ1035" t="str">
        <f>CONCATENATE("&lt;/li&gt;&lt;li&gt;&lt;a href=|http://",AJ1191,"/acts/17.htm","| ","title=|",AJ1190,"| target=|_top|&gt;",AJ1192,"&lt;/a&gt;")</f>
        <v>&lt;/li&gt;&lt;li&gt;&lt;a href=|http://worldebible.com/acts/17.htm| title=|World English Bible| target=|_top|&gt;WEB&lt;/a&gt;</v>
      </c>
      <c r="AK1035" t="str">
        <f>CONCATENATE("&lt;/li&gt;&lt;li&gt;&lt;a href=|http://",AK1191,"/acts/17.htm","| ","title=|",AK1190,"| target=|_top|&gt;",AK1192,"&lt;/a&gt;")</f>
        <v>&lt;/li&gt;&lt;li&gt;&lt;a href=|http://yltbible.com/acts/17.htm| title=|Young's Literal Translation| target=|_top|&gt;YLT&lt;/a&gt;</v>
      </c>
      <c r="AL1035" t="str">
        <f>CONCATENATE("&lt;a href=|http://",AL1191,"/acts/17.htm","| ","title=|",AL1190,"| target=|_top|&gt;",AL1192,"&lt;/a&gt;")</f>
        <v>&lt;a href=|http://kjv.us/acts/17.htm| title=|American King James Version| target=|_top|&gt;AKJ&lt;/a&gt;</v>
      </c>
      <c r="AM1035" t="str">
        <f t="shared" ref="AM1035:AS1035" si="4139">CONCATENATE("&lt;/li&gt;&lt;li&gt;&lt;a href=|http://",AM1191,"/acts/17.htm","| ","title=|",AM1190,"| target=|_top|&gt;",AM1192,"&lt;/a&gt;")</f>
        <v>&lt;/li&gt;&lt;li&gt;&lt;a href=|http://basicenglishbible.com/acts/17.htm| title=|Bible in Basic English| target=|_top|&gt;BBE&lt;/a&gt;</v>
      </c>
      <c r="AN1035" t="str">
        <f t="shared" si="4139"/>
        <v>&lt;/li&gt;&lt;li&gt;&lt;a href=|http://darbybible.com/acts/17.htm| title=|Darby Bible Translation| target=|_top|&gt;DBY&lt;/a&gt;</v>
      </c>
      <c r="AO1035" t="str">
        <f t="shared" si="4139"/>
        <v>&lt;/li&gt;&lt;li&gt;&lt;a href=|http://isv.scripturetext.com/acts/17.htm| title=|International Standard Version| target=|_top|&gt;ISV&lt;/a&gt;</v>
      </c>
      <c r="AP1035" t="str">
        <f t="shared" si="4139"/>
        <v>&lt;/li&gt;&lt;li&gt;&lt;a href=|http://tnt.scripturetext.com/acts/17.htm| title=|Tyndale New Testament| target=|_top|&gt;TNT&lt;/a&gt;</v>
      </c>
      <c r="AQ1035" s="2" t="str">
        <f t="shared" si="4139"/>
        <v>&lt;/li&gt;&lt;li&gt;&lt;a href=|http://pnt.biblecommenter.com/acts/17.htm| title=|People's New Testament| target=|_top|&gt;PNT&lt;/a&gt;</v>
      </c>
      <c r="AR1035" t="str">
        <f t="shared" si="4139"/>
        <v>&lt;/li&gt;&lt;li&gt;&lt;a href=|http://websterbible.com/acts/17.htm| title=|Webster's Bible Translation| target=|_top|&gt;WBS&lt;/a&gt;</v>
      </c>
      <c r="AS1035" t="str">
        <f t="shared" si="4139"/>
        <v>&lt;/li&gt;&lt;li&gt;&lt;a href=|http://weymouthbible.com/acts/17.htm| title=|Weymouth New Testament| target=|_top|&gt;WEY&lt;/a&gt;</v>
      </c>
      <c r="AT1035" t="str">
        <f>CONCATENATE("&lt;/li&gt;&lt;li&gt;&lt;a href=|http://",AT1191,"/acts/17-1.htm","| ","title=|",AT1190,"| target=|_top|&gt;",AT1192,"&lt;/a&gt;")</f>
        <v>&lt;/li&gt;&lt;li&gt;&lt;a href=|http://biblebrowser.com/acts/17-1.htm| title=|Split View| target=|_top|&gt;Split&lt;/a&gt;</v>
      </c>
      <c r="AU1035" s="2" t="s">
        <v>1276</v>
      </c>
      <c r="AV1035" t="s">
        <v>64</v>
      </c>
    </row>
    <row r="1036" spans="1:48">
      <c r="A1036" t="s">
        <v>622</v>
      </c>
      <c r="B1036" t="s">
        <v>467</v>
      </c>
      <c r="C1036" t="s">
        <v>624</v>
      </c>
      <c r="D1036" t="s">
        <v>1268</v>
      </c>
      <c r="E1036" t="s">
        <v>1277</v>
      </c>
      <c r="F1036" t="s">
        <v>1304</v>
      </c>
      <c r="G1036" t="s">
        <v>1266</v>
      </c>
      <c r="H1036" t="s">
        <v>1305</v>
      </c>
      <c r="I1036" t="s">
        <v>1303</v>
      </c>
      <c r="J1036" t="s">
        <v>1267</v>
      </c>
      <c r="K1036" t="s">
        <v>1275</v>
      </c>
      <c r="L1036" s="2" t="s">
        <v>1274</v>
      </c>
      <c r="M1036" t="str">
        <f t="shared" ref="M1036:AB1036" si="4140">CONCATENATE("&lt;/li&gt;&lt;li&gt;&lt;a href=|http://",M1191,"/acts/18.htm","| ","title=|",M1190,"| target=|_top|&gt;",M1192,"&lt;/a&gt;")</f>
        <v>&lt;/li&gt;&lt;li&gt;&lt;a href=|http://niv.scripturetext.com/acts/18.htm| title=|New International Version| target=|_top|&gt;NIV&lt;/a&gt;</v>
      </c>
      <c r="N1036" t="str">
        <f t="shared" si="4140"/>
        <v>&lt;/li&gt;&lt;li&gt;&lt;a href=|http://nlt.scripturetext.com/acts/18.htm| title=|New Living Translation| target=|_top|&gt;NLT&lt;/a&gt;</v>
      </c>
      <c r="O1036" t="str">
        <f t="shared" si="4140"/>
        <v>&lt;/li&gt;&lt;li&gt;&lt;a href=|http://nasb.scripturetext.com/acts/18.htm| title=|New American Standard Bible| target=|_top|&gt;NAS&lt;/a&gt;</v>
      </c>
      <c r="P1036" t="str">
        <f t="shared" si="4140"/>
        <v>&lt;/li&gt;&lt;li&gt;&lt;a href=|http://gwt.scripturetext.com/acts/18.htm| title=|God's Word Translation| target=|_top|&gt;GWT&lt;/a&gt;</v>
      </c>
      <c r="Q1036" t="str">
        <f t="shared" si="4140"/>
        <v>&lt;/li&gt;&lt;li&gt;&lt;a href=|http://kingjbible.com/acts/18.htm| title=|King James Bible| target=|_top|&gt;KJV&lt;/a&gt;</v>
      </c>
      <c r="R1036" t="str">
        <f t="shared" si="4140"/>
        <v>&lt;/li&gt;&lt;li&gt;&lt;a href=|http://asvbible.com/acts/18.htm| title=|American Standard Version| target=|_top|&gt;ASV&lt;/a&gt;</v>
      </c>
      <c r="S1036" t="str">
        <f t="shared" si="4140"/>
        <v>&lt;/li&gt;&lt;li&gt;&lt;a href=|http://drb.scripturetext.com/acts/18.htm| title=|Douay-Rheims Bible| target=|_top|&gt;DRB&lt;/a&gt;</v>
      </c>
      <c r="T1036" t="str">
        <f t="shared" si="4140"/>
        <v>&lt;/li&gt;&lt;li&gt;&lt;a href=|http://erv.scripturetext.com/acts/18.htm| title=|English Revised Version| target=|_top|&gt;ERV&lt;/a&gt;</v>
      </c>
      <c r="U1036" t="str">
        <f>CONCATENATE("&lt;/li&gt;&lt;li&gt;&lt;a href=|http://",U1191,"/acts/18.htm","| ","title=|",U1190,"| target=|_top|&gt;",U1192,"&lt;/a&gt;")</f>
        <v>&lt;/li&gt;&lt;li&gt;&lt;a href=|http://study.interlinearbible.org/acts/18.htm| title=|Greek Study Bible| target=|_top|&gt;Grk Study&lt;/a&gt;</v>
      </c>
      <c r="W1036" t="str">
        <f t="shared" si="4140"/>
        <v>&lt;/li&gt;&lt;li&gt;&lt;a href=|http://apostolic.interlinearbible.org/acts/18.htm| title=|Apostolic Bible Polyglot Interlinear| target=|_top|&gt;Polyglot&lt;/a&gt;</v>
      </c>
      <c r="X1036" t="str">
        <f t="shared" si="4140"/>
        <v>&lt;/li&gt;&lt;li&gt;&lt;a href=|http://interlinearbible.org/acts/18.htm| title=|Interlinear Bible| target=|_top|&gt;Interlin&lt;/a&gt;</v>
      </c>
      <c r="Y1036" t="str">
        <f t="shared" ref="Y1036" si="4141">CONCATENATE("&lt;/li&gt;&lt;li&gt;&lt;a href=|http://",Y1191,"/acts/18.htm","| ","title=|",Y1190,"| target=|_top|&gt;",Y1192,"&lt;/a&gt;")</f>
        <v>&lt;/li&gt;&lt;li&gt;&lt;a href=|http://bibleoutline.org/acts/18.htm| title=|Outline with People and Places List| target=|_top|&gt;Outline&lt;/a&gt;</v>
      </c>
      <c r="Z1036" t="str">
        <f t="shared" si="4140"/>
        <v>&lt;/li&gt;&lt;li&gt;&lt;a href=|http://kjvs.scripturetext.com/acts/18.htm| title=|King James Bible with Strong's Numbers| target=|_top|&gt;Strong's&lt;/a&gt;</v>
      </c>
      <c r="AA1036" t="str">
        <f t="shared" si="4140"/>
        <v>&lt;/li&gt;&lt;li&gt;&lt;a href=|http://childrensbibleonline.com/acts/18.htm| title=|The Children's Bible| target=|_top|&gt;Children's&lt;/a&gt;</v>
      </c>
      <c r="AB1036" s="2" t="str">
        <f t="shared" si="4140"/>
        <v>&lt;/li&gt;&lt;li&gt;&lt;a href=|http://tsk.scripturetext.com/acts/18.htm| title=|Treasury of Scripture Knowledge| target=|_top|&gt;TSK&lt;/a&gt;</v>
      </c>
      <c r="AC1036" t="str">
        <f>CONCATENATE("&lt;a href=|http://",AC1191,"/acts/18.htm","| ","title=|",AC1190,"| target=|_top|&gt;",AC1192,"&lt;/a&gt;")</f>
        <v>&lt;a href=|http://parallelbible.com/acts/18.htm| title=|Parallel Chapters| target=|_top|&gt;PAR&lt;/a&gt;</v>
      </c>
      <c r="AD1036" s="2" t="str">
        <f t="shared" ref="AD1036:AI1036" si="4142">CONCATENATE("&lt;/li&gt;&lt;li&gt;&lt;a href=|http://",AD1191,"/acts/18.htm","| ","title=|",AD1190,"| target=|_top|&gt;",AD1192,"&lt;/a&gt;")</f>
        <v>&lt;/li&gt;&lt;li&gt;&lt;a href=|http://gsb.biblecommenter.com/acts/18.htm| title=|Geneva Study Bible| target=|_top|&gt;GSB&lt;/a&gt;</v>
      </c>
      <c r="AE1036" s="2" t="str">
        <f t="shared" si="4142"/>
        <v>&lt;/li&gt;&lt;li&gt;&lt;a href=|http://jfb.biblecommenter.com/acts/18.htm| title=|Jamieson-Fausset-Brown Bible Commentary| target=|_top|&gt;JFB&lt;/a&gt;</v>
      </c>
      <c r="AF1036" s="2" t="str">
        <f t="shared" si="4142"/>
        <v>&lt;/li&gt;&lt;li&gt;&lt;a href=|http://kjt.biblecommenter.com/acts/18.htm| title=|King James Translators' Notes| target=|_top|&gt;KJT&lt;/a&gt;</v>
      </c>
      <c r="AG1036" s="2" t="str">
        <f t="shared" si="4142"/>
        <v>&lt;/li&gt;&lt;li&gt;&lt;a href=|http://mhc.biblecommenter.com/acts/18.htm| title=|Matthew Henry's Concise Commentary| target=|_top|&gt;MHC&lt;/a&gt;</v>
      </c>
      <c r="AH1036" s="2" t="str">
        <f t="shared" si="4142"/>
        <v>&lt;/li&gt;&lt;li&gt;&lt;a href=|http://sco.biblecommenter.com/acts/18.htm| title=|Scofield Reference Notes| target=|_top|&gt;SCO&lt;/a&gt;</v>
      </c>
      <c r="AI1036" s="2" t="str">
        <f t="shared" si="4142"/>
        <v>&lt;/li&gt;&lt;li&gt;&lt;a href=|http://wes.biblecommenter.com/acts/18.htm| title=|Wesley's Notes on the Bible| target=|_top|&gt;WES&lt;/a&gt;</v>
      </c>
      <c r="AJ1036" t="str">
        <f>CONCATENATE("&lt;/li&gt;&lt;li&gt;&lt;a href=|http://",AJ1191,"/acts/18.htm","| ","title=|",AJ1190,"| target=|_top|&gt;",AJ1192,"&lt;/a&gt;")</f>
        <v>&lt;/li&gt;&lt;li&gt;&lt;a href=|http://worldebible.com/acts/18.htm| title=|World English Bible| target=|_top|&gt;WEB&lt;/a&gt;</v>
      </c>
      <c r="AK1036" t="str">
        <f>CONCATENATE("&lt;/li&gt;&lt;li&gt;&lt;a href=|http://",AK1191,"/acts/18.htm","| ","title=|",AK1190,"| target=|_top|&gt;",AK1192,"&lt;/a&gt;")</f>
        <v>&lt;/li&gt;&lt;li&gt;&lt;a href=|http://yltbible.com/acts/18.htm| title=|Young's Literal Translation| target=|_top|&gt;YLT&lt;/a&gt;</v>
      </c>
      <c r="AL1036" t="str">
        <f>CONCATENATE("&lt;a href=|http://",AL1191,"/acts/18.htm","| ","title=|",AL1190,"| target=|_top|&gt;",AL1192,"&lt;/a&gt;")</f>
        <v>&lt;a href=|http://kjv.us/acts/18.htm| title=|American King James Version| target=|_top|&gt;AKJ&lt;/a&gt;</v>
      </c>
      <c r="AM1036" t="str">
        <f t="shared" ref="AM1036:AS1036" si="4143">CONCATENATE("&lt;/li&gt;&lt;li&gt;&lt;a href=|http://",AM1191,"/acts/18.htm","| ","title=|",AM1190,"| target=|_top|&gt;",AM1192,"&lt;/a&gt;")</f>
        <v>&lt;/li&gt;&lt;li&gt;&lt;a href=|http://basicenglishbible.com/acts/18.htm| title=|Bible in Basic English| target=|_top|&gt;BBE&lt;/a&gt;</v>
      </c>
      <c r="AN1036" t="str">
        <f t="shared" si="4143"/>
        <v>&lt;/li&gt;&lt;li&gt;&lt;a href=|http://darbybible.com/acts/18.htm| title=|Darby Bible Translation| target=|_top|&gt;DBY&lt;/a&gt;</v>
      </c>
      <c r="AO1036" t="str">
        <f t="shared" si="4143"/>
        <v>&lt;/li&gt;&lt;li&gt;&lt;a href=|http://isv.scripturetext.com/acts/18.htm| title=|International Standard Version| target=|_top|&gt;ISV&lt;/a&gt;</v>
      </c>
      <c r="AP1036" t="str">
        <f t="shared" si="4143"/>
        <v>&lt;/li&gt;&lt;li&gt;&lt;a href=|http://tnt.scripturetext.com/acts/18.htm| title=|Tyndale New Testament| target=|_top|&gt;TNT&lt;/a&gt;</v>
      </c>
      <c r="AQ1036" s="2" t="str">
        <f t="shared" si="4143"/>
        <v>&lt;/li&gt;&lt;li&gt;&lt;a href=|http://pnt.biblecommenter.com/acts/18.htm| title=|People's New Testament| target=|_top|&gt;PNT&lt;/a&gt;</v>
      </c>
      <c r="AR1036" t="str">
        <f t="shared" si="4143"/>
        <v>&lt;/li&gt;&lt;li&gt;&lt;a href=|http://websterbible.com/acts/18.htm| title=|Webster's Bible Translation| target=|_top|&gt;WBS&lt;/a&gt;</v>
      </c>
      <c r="AS1036" t="str">
        <f t="shared" si="4143"/>
        <v>&lt;/li&gt;&lt;li&gt;&lt;a href=|http://weymouthbible.com/acts/18.htm| title=|Weymouth New Testament| target=|_top|&gt;WEY&lt;/a&gt;</v>
      </c>
      <c r="AT1036" t="str">
        <f>CONCATENATE("&lt;/li&gt;&lt;li&gt;&lt;a href=|http://",AT1191,"/acts/18-1.htm","| ","title=|",AT1190,"| target=|_top|&gt;",AT1192,"&lt;/a&gt;")</f>
        <v>&lt;/li&gt;&lt;li&gt;&lt;a href=|http://biblebrowser.com/acts/18-1.htm| title=|Split View| target=|_top|&gt;Split&lt;/a&gt;</v>
      </c>
      <c r="AU1036" s="2" t="s">
        <v>1276</v>
      </c>
      <c r="AV1036" t="s">
        <v>64</v>
      </c>
    </row>
    <row r="1037" spans="1:48">
      <c r="A1037" t="s">
        <v>622</v>
      </c>
      <c r="B1037" t="s">
        <v>468</v>
      </c>
      <c r="C1037" t="s">
        <v>624</v>
      </c>
      <c r="D1037" t="s">
        <v>1268</v>
      </c>
      <c r="E1037" t="s">
        <v>1277</v>
      </c>
      <c r="F1037" t="s">
        <v>1304</v>
      </c>
      <c r="G1037" t="s">
        <v>1266</v>
      </c>
      <c r="H1037" t="s">
        <v>1305</v>
      </c>
      <c r="I1037" t="s">
        <v>1303</v>
      </c>
      <c r="J1037" t="s">
        <v>1267</v>
      </c>
      <c r="K1037" t="s">
        <v>1275</v>
      </c>
      <c r="L1037" s="2" t="s">
        <v>1274</v>
      </c>
      <c r="M1037" t="str">
        <f t="shared" ref="M1037:AB1037" si="4144">CONCATENATE("&lt;/li&gt;&lt;li&gt;&lt;a href=|http://",M1191,"/acts/19.htm","| ","title=|",M1190,"| target=|_top|&gt;",M1192,"&lt;/a&gt;")</f>
        <v>&lt;/li&gt;&lt;li&gt;&lt;a href=|http://niv.scripturetext.com/acts/19.htm| title=|New International Version| target=|_top|&gt;NIV&lt;/a&gt;</v>
      </c>
      <c r="N1037" t="str">
        <f t="shared" si="4144"/>
        <v>&lt;/li&gt;&lt;li&gt;&lt;a href=|http://nlt.scripturetext.com/acts/19.htm| title=|New Living Translation| target=|_top|&gt;NLT&lt;/a&gt;</v>
      </c>
      <c r="O1037" t="str">
        <f t="shared" si="4144"/>
        <v>&lt;/li&gt;&lt;li&gt;&lt;a href=|http://nasb.scripturetext.com/acts/19.htm| title=|New American Standard Bible| target=|_top|&gt;NAS&lt;/a&gt;</v>
      </c>
      <c r="P1037" t="str">
        <f t="shared" si="4144"/>
        <v>&lt;/li&gt;&lt;li&gt;&lt;a href=|http://gwt.scripturetext.com/acts/19.htm| title=|God's Word Translation| target=|_top|&gt;GWT&lt;/a&gt;</v>
      </c>
      <c r="Q1037" t="str">
        <f t="shared" si="4144"/>
        <v>&lt;/li&gt;&lt;li&gt;&lt;a href=|http://kingjbible.com/acts/19.htm| title=|King James Bible| target=|_top|&gt;KJV&lt;/a&gt;</v>
      </c>
      <c r="R1037" t="str">
        <f t="shared" si="4144"/>
        <v>&lt;/li&gt;&lt;li&gt;&lt;a href=|http://asvbible.com/acts/19.htm| title=|American Standard Version| target=|_top|&gt;ASV&lt;/a&gt;</v>
      </c>
      <c r="S1037" t="str">
        <f t="shared" si="4144"/>
        <v>&lt;/li&gt;&lt;li&gt;&lt;a href=|http://drb.scripturetext.com/acts/19.htm| title=|Douay-Rheims Bible| target=|_top|&gt;DRB&lt;/a&gt;</v>
      </c>
      <c r="T1037" t="str">
        <f t="shared" si="4144"/>
        <v>&lt;/li&gt;&lt;li&gt;&lt;a href=|http://erv.scripturetext.com/acts/19.htm| title=|English Revised Version| target=|_top|&gt;ERV&lt;/a&gt;</v>
      </c>
      <c r="U1037" t="str">
        <f>CONCATENATE("&lt;/li&gt;&lt;li&gt;&lt;a href=|http://",U1191,"/acts/19.htm","| ","title=|",U1190,"| target=|_top|&gt;",U1192,"&lt;/a&gt;")</f>
        <v>&lt;/li&gt;&lt;li&gt;&lt;a href=|http://study.interlinearbible.org/acts/19.htm| title=|Greek Study Bible| target=|_top|&gt;Grk Study&lt;/a&gt;</v>
      </c>
      <c r="W1037" t="str">
        <f t="shared" si="4144"/>
        <v>&lt;/li&gt;&lt;li&gt;&lt;a href=|http://apostolic.interlinearbible.org/acts/19.htm| title=|Apostolic Bible Polyglot Interlinear| target=|_top|&gt;Polyglot&lt;/a&gt;</v>
      </c>
      <c r="X1037" t="str">
        <f t="shared" si="4144"/>
        <v>&lt;/li&gt;&lt;li&gt;&lt;a href=|http://interlinearbible.org/acts/19.htm| title=|Interlinear Bible| target=|_top|&gt;Interlin&lt;/a&gt;</v>
      </c>
      <c r="Y1037" t="str">
        <f t="shared" ref="Y1037" si="4145">CONCATENATE("&lt;/li&gt;&lt;li&gt;&lt;a href=|http://",Y1191,"/acts/19.htm","| ","title=|",Y1190,"| target=|_top|&gt;",Y1192,"&lt;/a&gt;")</f>
        <v>&lt;/li&gt;&lt;li&gt;&lt;a href=|http://bibleoutline.org/acts/19.htm| title=|Outline with People and Places List| target=|_top|&gt;Outline&lt;/a&gt;</v>
      </c>
      <c r="Z1037" t="str">
        <f t="shared" si="4144"/>
        <v>&lt;/li&gt;&lt;li&gt;&lt;a href=|http://kjvs.scripturetext.com/acts/19.htm| title=|King James Bible with Strong's Numbers| target=|_top|&gt;Strong's&lt;/a&gt;</v>
      </c>
      <c r="AA1037" t="str">
        <f t="shared" si="4144"/>
        <v>&lt;/li&gt;&lt;li&gt;&lt;a href=|http://childrensbibleonline.com/acts/19.htm| title=|The Children's Bible| target=|_top|&gt;Children's&lt;/a&gt;</v>
      </c>
      <c r="AB1037" s="2" t="str">
        <f t="shared" si="4144"/>
        <v>&lt;/li&gt;&lt;li&gt;&lt;a href=|http://tsk.scripturetext.com/acts/19.htm| title=|Treasury of Scripture Knowledge| target=|_top|&gt;TSK&lt;/a&gt;</v>
      </c>
      <c r="AC1037" t="str">
        <f>CONCATENATE("&lt;a href=|http://",AC1191,"/acts/19.htm","| ","title=|",AC1190,"| target=|_top|&gt;",AC1192,"&lt;/a&gt;")</f>
        <v>&lt;a href=|http://parallelbible.com/acts/19.htm| title=|Parallel Chapters| target=|_top|&gt;PAR&lt;/a&gt;</v>
      </c>
      <c r="AD1037" s="2" t="str">
        <f t="shared" ref="AD1037:AI1037" si="4146">CONCATENATE("&lt;/li&gt;&lt;li&gt;&lt;a href=|http://",AD1191,"/acts/19.htm","| ","title=|",AD1190,"| target=|_top|&gt;",AD1192,"&lt;/a&gt;")</f>
        <v>&lt;/li&gt;&lt;li&gt;&lt;a href=|http://gsb.biblecommenter.com/acts/19.htm| title=|Geneva Study Bible| target=|_top|&gt;GSB&lt;/a&gt;</v>
      </c>
      <c r="AE1037" s="2" t="str">
        <f t="shared" si="4146"/>
        <v>&lt;/li&gt;&lt;li&gt;&lt;a href=|http://jfb.biblecommenter.com/acts/19.htm| title=|Jamieson-Fausset-Brown Bible Commentary| target=|_top|&gt;JFB&lt;/a&gt;</v>
      </c>
      <c r="AF1037" s="2" t="str">
        <f t="shared" si="4146"/>
        <v>&lt;/li&gt;&lt;li&gt;&lt;a href=|http://kjt.biblecommenter.com/acts/19.htm| title=|King James Translators' Notes| target=|_top|&gt;KJT&lt;/a&gt;</v>
      </c>
      <c r="AG1037" s="2" t="str">
        <f t="shared" si="4146"/>
        <v>&lt;/li&gt;&lt;li&gt;&lt;a href=|http://mhc.biblecommenter.com/acts/19.htm| title=|Matthew Henry's Concise Commentary| target=|_top|&gt;MHC&lt;/a&gt;</v>
      </c>
      <c r="AH1037" s="2" t="str">
        <f t="shared" si="4146"/>
        <v>&lt;/li&gt;&lt;li&gt;&lt;a href=|http://sco.biblecommenter.com/acts/19.htm| title=|Scofield Reference Notes| target=|_top|&gt;SCO&lt;/a&gt;</v>
      </c>
      <c r="AI1037" s="2" t="str">
        <f t="shared" si="4146"/>
        <v>&lt;/li&gt;&lt;li&gt;&lt;a href=|http://wes.biblecommenter.com/acts/19.htm| title=|Wesley's Notes on the Bible| target=|_top|&gt;WES&lt;/a&gt;</v>
      </c>
      <c r="AJ1037" t="str">
        <f>CONCATENATE("&lt;/li&gt;&lt;li&gt;&lt;a href=|http://",AJ1191,"/acts/19.htm","| ","title=|",AJ1190,"| target=|_top|&gt;",AJ1192,"&lt;/a&gt;")</f>
        <v>&lt;/li&gt;&lt;li&gt;&lt;a href=|http://worldebible.com/acts/19.htm| title=|World English Bible| target=|_top|&gt;WEB&lt;/a&gt;</v>
      </c>
      <c r="AK1037" t="str">
        <f>CONCATENATE("&lt;/li&gt;&lt;li&gt;&lt;a href=|http://",AK1191,"/acts/19.htm","| ","title=|",AK1190,"| target=|_top|&gt;",AK1192,"&lt;/a&gt;")</f>
        <v>&lt;/li&gt;&lt;li&gt;&lt;a href=|http://yltbible.com/acts/19.htm| title=|Young's Literal Translation| target=|_top|&gt;YLT&lt;/a&gt;</v>
      </c>
      <c r="AL1037" t="str">
        <f>CONCATENATE("&lt;a href=|http://",AL1191,"/acts/19.htm","| ","title=|",AL1190,"| target=|_top|&gt;",AL1192,"&lt;/a&gt;")</f>
        <v>&lt;a href=|http://kjv.us/acts/19.htm| title=|American King James Version| target=|_top|&gt;AKJ&lt;/a&gt;</v>
      </c>
      <c r="AM1037" t="str">
        <f t="shared" ref="AM1037:AS1037" si="4147">CONCATENATE("&lt;/li&gt;&lt;li&gt;&lt;a href=|http://",AM1191,"/acts/19.htm","| ","title=|",AM1190,"| target=|_top|&gt;",AM1192,"&lt;/a&gt;")</f>
        <v>&lt;/li&gt;&lt;li&gt;&lt;a href=|http://basicenglishbible.com/acts/19.htm| title=|Bible in Basic English| target=|_top|&gt;BBE&lt;/a&gt;</v>
      </c>
      <c r="AN1037" t="str">
        <f t="shared" si="4147"/>
        <v>&lt;/li&gt;&lt;li&gt;&lt;a href=|http://darbybible.com/acts/19.htm| title=|Darby Bible Translation| target=|_top|&gt;DBY&lt;/a&gt;</v>
      </c>
      <c r="AO1037" t="str">
        <f t="shared" si="4147"/>
        <v>&lt;/li&gt;&lt;li&gt;&lt;a href=|http://isv.scripturetext.com/acts/19.htm| title=|International Standard Version| target=|_top|&gt;ISV&lt;/a&gt;</v>
      </c>
      <c r="AP1037" t="str">
        <f t="shared" si="4147"/>
        <v>&lt;/li&gt;&lt;li&gt;&lt;a href=|http://tnt.scripturetext.com/acts/19.htm| title=|Tyndale New Testament| target=|_top|&gt;TNT&lt;/a&gt;</v>
      </c>
      <c r="AQ1037" s="2" t="str">
        <f t="shared" si="4147"/>
        <v>&lt;/li&gt;&lt;li&gt;&lt;a href=|http://pnt.biblecommenter.com/acts/19.htm| title=|People's New Testament| target=|_top|&gt;PNT&lt;/a&gt;</v>
      </c>
      <c r="AR1037" t="str">
        <f t="shared" si="4147"/>
        <v>&lt;/li&gt;&lt;li&gt;&lt;a href=|http://websterbible.com/acts/19.htm| title=|Webster's Bible Translation| target=|_top|&gt;WBS&lt;/a&gt;</v>
      </c>
      <c r="AS1037" t="str">
        <f t="shared" si="4147"/>
        <v>&lt;/li&gt;&lt;li&gt;&lt;a href=|http://weymouthbible.com/acts/19.htm| title=|Weymouth New Testament| target=|_top|&gt;WEY&lt;/a&gt;</v>
      </c>
      <c r="AT1037" t="str">
        <f>CONCATENATE("&lt;/li&gt;&lt;li&gt;&lt;a href=|http://",AT1191,"/acts/19-1.htm","| ","title=|",AT1190,"| target=|_top|&gt;",AT1192,"&lt;/a&gt;")</f>
        <v>&lt;/li&gt;&lt;li&gt;&lt;a href=|http://biblebrowser.com/acts/19-1.htm| title=|Split View| target=|_top|&gt;Split&lt;/a&gt;</v>
      </c>
      <c r="AU1037" s="2" t="s">
        <v>1276</v>
      </c>
      <c r="AV1037" t="s">
        <v>64</v>
      </c>
    </row>
    <row r="1038" spans="1:48">
      <c r="A1038" t="s">
        <v>622</v>
      </c>
      <c r="B1038" t="s">
        <v>469</v>
      </c>
      <c r="C1038" t="s">
        <v>624</v>
      </c>
      <c r="D1038" t="s">
        <v>1268</v>
      </c>
      <c r="E1038" t="s">
        <v>1277</v>
      </c>
      <c r="F1038" t="s">
        <v>1304</v>
      </c>
      <c r="G1038" t="s">
        <v>1266</v>
      </c>
      <c r="H1038" t="s">
        <v>1305</v>
      </c>
      <c r="I1038" t="s">
        <v>1303</v>
      </c>
      <c r="J1038" t="s">
        <v>1267</v>
      </c>
      <c r="K1038" t="s">
        <v>1275</v>
      </c>
      <c r="L1038" s="2" t="s">
        <v>1274</v>
      </c>
      <c r="M1038" t="str">
        <f t="shared" ref="M1038:AB1038" si="4148">CONCATENATE("&lt;/li&gt;&lt;li&gt;&lt;a href=|http://",M1191,"/acts/20.htm","| ","title=|",M1190,"| target=|_top|&gt;",M1192,"&lt;/a&gt;")</f>
        <v>&lt;/li&gt;&lt;li&gt;&lt;a href=|http://niv.scripturetext.com/acts/20.htm| title=|New International Version| target=|_top|&gt;NIV&lt;/a&gt;</v>
      </c>
      <c r="N1038" t="str">
        <f t="shared" si="4148"/>
        <v>&lt;/li&gt;&lt;li&gt;&lt;a href=|http://nlt.scripturetext.com/acts/20.htm| title=|New Living Translation| target=|_top|&gt;NLT&lt;/a&gt;</v>
      </c>
      <c r="O1038" t="str">
        <f t="shared" si="4148"/>
        <v>&lt;/li&gt;&lt;li&gt;&lt;a href=|http://nasb.scripturetext.com/acts/20.htm| title=|New American Standard Bible| target=|_top|&gt;NAS&lt;/a&gt;</v>
      </c>
      <c r="P1038" t="str">
        <f t="shared" si="4148"/>
        <v>&lt;/li&gt;&lt;li&gt;&lt;a href=|http://gwt.scripturetext.com/acts/20.htm| title=|God's Word Translation| target=|_top|&gt;GWT&lt;/a&gt;</v>
      </c>
      <c r="Q1038" t="str">
        <f t="shared" si="4148"/>
        <v>&lt;/li&gt;&lt;li&gt;&lt;a href=|http://kingjbible.com/acts/20.htm| title=|King James Bible| target=|_top|&gt;KJV&lt;/a&gt;</v>
      </c>
      <c r="R1038" t="str">
        <f t="shared" si="4148"/>
        <v>&lt;/li&gt;&lt;li&gt;&lt;a href=|http://asvbible.com/acts/20.htm| title=|American Standard Version| target=|_top|&gt;ASV&lt;/a&gt;</v>
      </c>
      <c r="S1038" t="str">
        <f t="shared" si="4148"/>
        <v>&lt;/li&gt;&lt;li&gt;&lt;a href=|http://drb.scripturetext.com/acts/20.htm| title=|Douay-Rheims Bible| target=|_top|&gt;DRB&lt;/a&gt;</v>
      </c>
      <c r="T1038" t="str">
        <f t="shared" si="4148"/>
        <v>&lt;/li&gt;&lt;li&gt;&lt;a href=|http://erv.scripturetext.com/acts/20.htm| title=|English Revised Version| target=|_top|&gt;ERV&lt;/a&gt;</v>
      </c>
      <c r="U1038" t="str">
        <f>CONCATENATE("&lt;/li&gt;&lt;li&gt;&lt;a href=|http://",U1191,"/acts/20.htm","| ","title=|",U1190,"| target=|_top|&gt;",U1192,"&lt;/a&gt;")</f>
        <v>&lt;/li&gt;&lt;li&gt;&lt;a href=|http://study.interlinearbible.org/acts/20.htm| title=|Greek Study Bible| target=|_top|&gt;Grk Study&lt;/a&gt;</v>
      </c>
      <c r="W1038" t="str">
        <f t="shared" si="4148"/>
        <v>&lt;/li&gt;&lt;li&gt;&lt;a href=|http://apostolic.interlinearbible.org/acts/20.htm| title=|Apostolic Bible Polyglot Interlinear| target=|_top|&gt;Polyglot&lt;/a&gt;</v>
      </c>
      <c r="X1038" t="str">
        <f t="shared" si="4148"/>
        <v>&lt;/li&gt;&lt;li&gt;&lt;a href=|http://interlinearbible.org/acts/20.htm| title=|Interlinear Bible| target=|_top|&gt;Interlin&lt;/a&gt;</v>
      </c>
      <c r="Y1038" t="str">
        <f t="shared" ref="Y1038" si="4149">CONCATENATE("&lt;/li&gt;&lt;li&gt;&lt;a href=|http://",Y1191,"/acts/20.htm","| ","title=|",Y1190,"| target=|_top|&gt;",Y1192,"&lt;/a&gt;")</f>
        <v>&lt;/li&gt;&lt;li&gt;&lt;a href=|http://bibleoutline.org/acts/20.htm| title=|Outline with People and Places List| target=|_top|&gt;Outline&lt;/a&gt;</v>
      </c>
      <c r="Z1038" t="str">
        <f t="shared" si="4148"/>
        <v>&lt;/li&gt;&lt;li&gt;&lt;a href=|http://kjvs.scripturetext.com/acts/20.htm| title=|King James Bible with Strong's Numbers| target=|_top|&gt;Strong's&lt;/a&gt;</v>
      </c>
      <c r="AA1038" t="str">
        <f t="shared" si="4148"/>
        <v>&lt;/li&gt;&lt;li&gt;&lt;a href=|http://childrensbibleonline.com/acts/20.htm| title=|The Children's Bible| target=|_top|&gt;Children's&lt;/a&gt;</v>
      </c>
      <c r="AB1038" s="2" t="str">
        <f t="shared" si="4148"/>
        <v>&lt;/li&gt;&lt;li&gt;&lt;a href=|http://tsk.scripturetext.com/acts/20.htm| title=|Treasury of Scripture Knowledge| target=|_top|&gt;TSK&lt;/a&gt;</v>
      </c>
      <c r="AC1038" t="str">
        <f>CONCATENATE("&lt;a href=|http://",AC1191,"/acts/20.htm","| ","title=|",AC1190,"| target=|_top|&gt;",AC1192,"&lt;/a&gt;")</f>
        <v>&lt;a href=|http://parallelbible.com/acts/20.htm| title=|Parallel Chapters| target=|_top|&gt;PAR&lt;/a&gt;</v>
      </c>
      <c r="AD1038" s="2" t="str">
        <f t="shared" ref="AD1038:AI1038" si="4150">CONCATENATE("&lt;/li&gt;&lt;li&gt;&lt;a href=|http://",AD1191,"/acts/20.htm","| ","title=|",AD1190,"| target=|_top|&gt;",AD1192,"&lt;/a&gt;")</f>
        <v>&lt;/li&gt;&lt;li&gt;&lt;a href=|http://gsb.biblecommenter.com/acts/20.htm| title=|Geneva Study Bible| target=|_top|&gt;GSB&lt;/a&gt;</v>
      </c>
      <c r="AE1038" s="2" t="str">
        <f t="shared" si="4150"/>
        <v>&lt;/li&gt;&lt;li&gt;&lt;a href=|http://jfb.biblecommenter.com/acts/20.htm| title=|Jamieson-Fausset-Brown Bible Commentary| target=|_top|&gt;JFB&lt;/a&gt;</v>
      </c>
      <c r="AF1038" s="2" t="str">
        <f t="shared" si="4150"/>
        <v>&lt;/li&gt;&lt;li&gt;&lt;a href=|http://kjt.biblecommenter.com/acts/20.htm| title=|King James Translators' Notes| target=|_top|&gt;KJT&lt;/a&gt;</v>
      </c>
      <c r="AG1038" s="2" t="str">
        <f t="shared" si="4150"/>
        <v>&lt;/li&gt;&lt;li&gt;&lt;a href=|http://mhc.biblecommenter.com/acts/20.htm| title=|Matthew Henry's Concise Commentary| target=|_top|&gt;MHC&lt;/a&gt;</v>
      </c>
      <c r="AH1038" s="2" t="str">
        <f t="shared" si="4150"/>
        <v>&lt;/li&gt;&lt;li&gt;&lt;a href=|http://sco.biblecommenter.com/acts/20.htm| title=|Scofield Reference Notes| target=|_top|&gt;SCO&lt;/a&gt;</v>
      </c>
      <c r="AI1038" s="2" t="str">
        <f t="shared" si="4150"/>
        <v>&lt;/li&gt;&lt;li&gt;&lt;a href=|http://wes.biblecommenter.com/acts/20.htm| title=|Wesley's Notes on the Bible| target=|_top|&gt;WES&lt;/a&gt;</v>
      </c>
      <c r="AJ1038" t="str">
        <f>CONCATENATE("&lt;/li&gt;&lt;li&gt;&lt;a href=|http://",AJ1191,"/acts/20.htm","| ","title=|",AJ1190,"| target=|_top|&gt;",AJ1192,"&lt;/a&gt;")</f>
        <v>&lt;/li&gt;&lt;li&gt;&lt;a href=|http://worldebible.com/acts/20.htm| title=|World English Bible| target=|_top|&gt;WEB&lt;/a&gt;</v>
      </c>
      <c r="AK1038" t="str">
        <f>CONCATENATE("&lt;/li&gt;&lt;li&gt;&lt;a href=|http://",AK1191,"/acts/20.htm","| ","title=|",AK1190,"| target=|_top|&gt;",AK1192,"&lt;/a&gt;")</f>
        <v>&lt;/li&gt;&lt;li&gt;&lt;a href=|http://yltbible.com/acts/20.htm| title=|Young's Literal Translation| target=|_top|&gt;YLT&lt;/a&gt;</v>
      </c>
      <c r="AL1038" t="str">
        <f>CONCATENATE("&lt;a href=|http://",AL1191,"/acts/20.htm","| ","title=|",AL1190,"| target=|_top|&gt;",AL1192,"&lt;/a&gt;")</f>
        <v>&lt;a href=|http://kjv.us/acts/20.htm| title=|American King James Version| target=|_top|&gt;AKJ&lt;/a&gt;</v>
      </c>
      <c r="AM1038" t="str">
        <f t="shared" ref="AM1038:AS1038" si="4151">CONCATENATE("&lt;/li&gt;&lt;li&gt;&lt;a href=|http://",AM1191,"/acts/20.htm","| ","title=|",AM1190,"| target=|_top|&gt;",AM1192,"&lt;/a&gt;")</f>
        <v>&lt;/li&gt;&lt;li&gt;&lt;a href=|http://basicenglishbible.com/acts/20.htm| title=|Bible in Basic English| target=|_top|&gt;BBE&lt;/a&gt;</v>
      </c>
      <c r="AN1038" t="str">
        <f t="shared" si="4151"/>
        <v>&lt;/li&gt;&lt;li&gt;&lt;a href=|http://darbybible.com/acts/20.htm| title=|Darby Bible Translation| target=|_top|&gt;DBY&lt;/a&gt;</v>
      </c>
      <c r="AO1038" t="str">
        <f t="shared" si="4151"/>
        <v>&lt;/li&gt;&lt;li&gt;&lt;a href=|http://isv.scripturetext.com/acts/20.htm| title=|International Standard Version| target=|_top|&gt;ISV&lt;/a&gt;</v>
      </c>
      <c r="AP1038" t="str">
        <f t="shared" si="4151"/>
        <v>&lt;/li&gt;&lt;li&gt;&lt;a href=|http://tnt.scripturetext.com/acts/20.htm| title=|Tyndale New Testament| target=|_top|&gt;TNT&lt;/a&gt;</v>
      </c>
      <c r="AQ1038" s="2" t="str">
        <f t="shared" si="4151"/>
        <v>&lt;/li&gt;&lt;li&gt;&lt;a href=|http://pnt.biblecommenter.com/acts/20.htm| title=|People's New Testament| target=|_top|&gt;PNT&lt;/a&gt;</v>
      </c>
      <c r="AR1038" t="str">
        <f t="shared" si="4151"/>
        <v>&lt;/li&gt;&lt;li&gt;&lt;a href=|http://websterbible.com/acts/20.htm| title=|Webster's Bible Translation| target=|_top|&gt;WBS&lt;/a&gt;</v>
      </c>
      <c r="AS1038" t="str">
        <f t="shared" si="4151"/>
        <v>&lt;/li&gt;&lt;li&gt;&lt;a href=|http://weymouthbible.com/acts/20.htm| title=|Weymouth New Testament| target=|_top|&gt;WEY&lt;/a&gt;</v>
      </c>
      <c r="AT1038" t="str">
        <f>CONCATENATE("&lt;/li&gt;&lt;li&gt;&lt;a href=|http://",AT1191,"/acts/20-1.htm","| ","title=|",AT1190,"| target=|_top|&gt;",AT1192,"&lt;/a&gt;")</f>
        <v>&lt;/li&gt;&lt;li&gt;&lt;a href=|http://biblebrowser.com/acts/20-1.htm| title=|Split View| target=|_top|&gt;Split&lt;/a&gt;</v>
      </c>
      <c r="AU1038" s="2" t="s">
        <v>1276</v>
      </c>
      <c r="AV1038" t="s">
        <v>64</v>
      </c>
    </row>
    <row r="1039" spans="1:48">
      <c r="A1039" t="s">
        <v>622</v>
      </c>
      <c r="B1039" t="s">
        <v>470</v>
      </c>
      <c r="C1039" t="s">
        <v>624</v>
      </c>
      <c r="D1039" t="s">
        <v>1268</v>
      </c>
      <c r="E1039" t="s">
        <v>1277</v>
      </c>
      <c r="F1039" t="s">
        <v>1304</v>
      </c>
      <c r="G1039" t="s">
        <v>1266</v>
      </c>
      <c r="H1039" t="s">
        <v>1305</v>
      </c>
      <c r="I1039" t="s">
        <v>1303</v>
      </c>
      <c r="J1039" t="s">
        <v>1267</v>
      </c>
      <c r="K1039" t="s">
        <v>1275</v>
      </c>
      <c r="L1039" s="2" t="s">
        <v>1274</v>
      </c>
      <c r="M1039" t="str">
        <f t="shared" ref="M1039:AB1039" si="4152">CONCATENATE("&lt;/li&gt;&lt;li&gt;&lt;a href=|http://",M1191,"/acts/21.htm","| ","title=|",M1190,"| target=|_top|&gt;",M1192,"&lt;/a&gt;")</f>
        <v>&lt;/li&gt;&lt;li&gt;&lt;a href=|http://niv.scripturetext.com/acts/21.htm| title=|New International Version| target=|_top|&gt;NIV&lt;/a&gt;</v>
      </c>
      <c r="N1039" t="str">
        <f t="shared" si="4152"/>
        <v>&lt;/li&gt;&lt;li&gt;&lt;a href=|http://nlt.scripturetext.com/acts/21.htm| title=|New Living Translation| target=|_top|&gt;NLT&lt;/a&gt;</v>
      </c>
      <c r="O1039" t="str">
        <f t="shared" si="4152"/>
        <v>&lt;/li&gt;&lt;li&gt;&lt;a href=|http://nasb.scripturetext.com/acts/21.htm| title=|New American Standard Bible| target=|_top|&gt;NAS&lt;/a&gt;</v>
      </c>
      <c r="P1039" t="str">
        <f t="shared" si="4152"/>
        <v>&lt;/li&gt;&lt;li&gt;&lt;a href=|http://gwt.scripturetext.com/acts/21.htm| title=|God's Word Translation| target=|_top|&gt;GWT&lt;/a&gt;</v>
      </c>
      <c r="Q1039" t="str">
        <f t="shared" si="4152"/>
        <v>&lt;/li&gt;&lt;li&gt;&lt;a href=|http://kingjbible.com/acts/21.htm| title=|King James Bible| target=|_top|&gt;KJV&lt;/a&gt;</v>
      </c>
      <c r="R1039" t="str">
        <f t="shared" si="4152"/>
        <v>&lt;/li&gt;&lt;li&gt;&lt;a href=|http://asvbible.com/acts/21.htm| title=|American Standard Version| target=|_top|&gt;ASV&lt;/a&gt;</v>
      </c>
      <c r="S1039" t="str">
        <f t="shared" si="4152"/>
        <v>&lt;/li&gt;&lt;li&gt;&lt;a href=|http://drb.scripturetext.com/acts/21.htm| title=|Douay-Rheims Bible| target=|_top|&gt;DRB&lt;/a&gt;</v>
      </c>
      <c r="T1039" t="str">
        <f t="shared" si="4152"/>
        <v>&lt;/li&gt;&lt;li&gt;&lt;a href=|http://erv.scripturetext.com/acts/21.htm| title=|English Revised Version| target=|_top|&gt;ERV&lt;/a&gt;</v>
      </c>
      <c r="U1039" t="str">
        <f>CONCATENATE("&lt;/li&gt;&lt;li&gt;&lt;a href=|http://",U1191,"/acts/21.htm","| ","title=|",U1190,"| target=|_top|&gt;",U1192,"&lt;/a&gt;")</f>
        <v>&lt;/li&gt;&lt;li&gt;&lt;a href=|http://study.interlinearbible.org/acts/21.htm| title=|Greek Study Bible| target=|_top|&gt;Grk Study&lt;/a&gt;</v>
      </c>
      <c r="W1039" t="str">
        <f t="shared" si="4152"/>
        <v>&lt;/li&gt;&lt;li&gt;&lt;a href=|http://apostolic.interlinearbible.org/acts/21.htm| title=|Apostolic Bible Polyglot Interlinear| target=|_top|&gt;Polyglot&lt;/a&gt;</v>
      </c>
      <c r="X1039" t="str">
        <f t="shared" si="4152"/>
        <v>&lt;/li&gt;&lt;li&gt;&lt;a href=|http://interlinearbible.org/acts/21.htm| title=|Interlinear Bible| target=|_top|&gt;Interlin&lt;/a&gt;</v>
      </c>
      <c r="Y1039" t="str">
        <f t="shared" ref="Y1039" si="4153">CONCATENATE("&lt;/li&gt;&lt;li&gt;&lt;a href=|http://",Y1191,"/acts/21.htm","| ","title=|",Y1190,"| target=|_top|&gt;",Y1192,"&lt;/a&gt;")</f>
        <v>&lt;/li&gt;&lt;li&gt;&lt;a href=|http://bibleoutline.org/acts/21.htm| title=|Outline with People and Places List| target=|_top|&gt;Outline&lt;/a&gt;</v>
      </c>
      <c r="Z1039" t="str">
        <f t="shared" si="4152"/>
        <v>&lt;/li&gt;&lt;li&gt;&lt;a href=|http://kjvs.scripturetext.com/acts/21.htm| title=|King James Bible with Strong's Numbers| target=|_top|&gt;Strong's&lt;/a&gt;</v>
      </c>
      <c r="AA1039" t="str">
        <f t="shared" si="4152"/>
        <v>&lt;/li&gt;&lt;li&gt;&lt;a href=|http://childrensbibleonline.com/acts/21.htm| title=|The Children's Bible| target=|_top|&gt;Children's&lt;/a&gt;</v>
      </c>
      <c r="AB1039" s="2" t="str">
        <f t="shared" si="4152"/>
        <v>&lt;/li&gt;&lt;li&gt;&lt;a href=|http://tsk.scripturetext.com/acts/21.htm| title=|Treasury of Scripture Knowledge| target=|_top|&gt;TSK&lt;/a&gt;</v>
      </c>
      <c r="AC1039" t="str">
        <f>CONCATENATE("&lt;a href=|http://",AC1191,"/acts/21.htm","| ","title=|",AC1190,"| target=|_top|&gt;",AC1192,"&lt;/a&gt;")</f>
        <v>&lt;a href=|http://parallelbible.com/acts/21.htm| title=|Parallel Chapters| target=|_top|&gt;PAR&lt;/a&gt;</v>
      </c>
      <c r="AD1039" s="2" t="str">
        <f t="shared" ref="AD1039:AI1039" si="4154">CONCATENATE("&lt;/li&gt;&lt;li&gt;&lt;a href=|http://",AD1191,"/acts/21.htm","| ","title=|",AD1190,"| target=|_top|&gt;",AD1192,"&lt;/a&gt;")</f>
        <v>&lt;/li&gt;&lt;li&gt;&lt;a href=|http://gsb.biblecommenter.com/acts/21.htm| title=|Geneva Study Bible| target=|_top|&gt;GSB&lt;/a&gt;</v>
      </c>
      <c r="AE1039" s="2" t="str">
        <f t="shared" si="4154"/>
        <v>&lt;/li&gt;&lt;li&gt;&lt;a href=|http://jfb.biblecommenter.com/acts/21.htm| title=|Jamieson-Fausset-Brown Bible Commentary| target=|_top|&gt;JFB&lt;/a&gt;</v>
      </c>
      <c r="AF1039" s="2" t="str">
        <f t="shared" si="4154"/>
        <v>&lt;/li&gt;&lt;li&gt;&lt;a href=|http://kjt.biblecommenter.com/acts/21.htm| title=|King James Translators' Notes| target=|_top|&gt;KJT&lt;/a&gt;</v>
      </c>
      <c r="AG1039" s="2" t="str">
        <f t="shared" si="4154"/>
        <v>&lt;/li&gt;&lt;li&gt;&lt;a href=|http://mhc.biblecommenter.com/acts/21.htm| title=|Matthew Henry's Concise Commentary| target=|_top|&gt;MHC&lt;/a&gt;</v>
      </c>
      <c r="AH1039" s="2" t="str">
        <f t="shared" si="4154"/>
        <v>&lt;/li&gt;&lt;li&gt;&lt;a href=|http://sco.biblecommenter.com/acts/21.htm| title=|Scofield Reference Notes| target=|_top|&gt;SCO&lt;/a&gt;</v>
      </c>
      <c r="AI1039" s="2" t="str">
        <f t="shared" si="4154"/>
        <v>&lt;/li&gt;&lt;li&gt;&lt;a href=|http://wes.biblecommenter.com/acts/21.htm| title=|Wesley's Notes on the Bible| target=|_top|&gt;WES&lt;/a&gt;</v>
      </c>
      <c r="AJ1039" t="str">
        <f>CONCATENATE("&lt;/li&gt;&lt;li&gt;&lt;a href=|http://",AJ1191,"/acts/21.htm","| ","title=|",AJ1190,"| target=|_top|&gt;",AJ1192,"&lt;/a&gt;")</f>
        <v>&lt;/li&gt;&lt;li&gt;&lt;a href=|http://worldebible.com/acts/21.htm| title=|World English Bible| target=|_top|&gt;WEB&lt;/a&gt;</v>
      </c>
      <c r="AK1039" t="str">
        <f>CONCATENATE("&lt;/li&gt;&lt;li&gt;&lt;a href=|http://",AK1191,"/acts/21.htm","| ","title=|",AK1190,"| target=|_top|&gt;",AK1192,"&lt;/a&gt;")</f>
        <v>&lt;/li&gt;&lt;li&gt;&lt;a href=|http://yltbible.com/acts/21.htm| title=|Young's Literal Translation| target=|_top|&gt;YLT&lt;/a&gt;</v>
      </c>
      <c r="AL1039" t="str">
        <f>CONCATENATE("&lt;a href=|http://",AL1191,"/acts/21.htm","| ","title=|",AL1190,"| target=|_top|&gt;",AL1192,"&lt;/a&gt;")</f>
        <v>&lt;a href=|http://kjv.us/acts/21.htm| title=|American King James Version| target=|_top|&gt;AKJ&lt;/a&gt;</v>
      </c>
      <c r="AM1039" t="str">
        <f t="shared" ref="AM1039:AS1039" si="4155">CONCATENATE("&lt;/li&gt;&lt;li&gt;&lt;a href=|http://",AM1191,"/acts/21.htm","| ","title=|",AM1190,"| target=|_top|&gt;",AM1192,"&lt;/a&gt;")</f>
        <v>&lt;/li&gt;&lt;li&gt;&lt;a href=|http://basicenglishbible.com/acts/21.htm| title=|Bible in Basic English| target=|_top|&gt;BBE&lt;/a&gt;</v>
      </c>
      <c r="AN1039" t="str">
        <f t="shared" si="4155"/>
        <v>&lt;/li&gt;&lt;li&gt;&lt;a href=|http://darbybible.com/acts/21.htm| title=|Darby Bible Translation| target=|_top|&gt;DBY&lt;/a&gt;</v>
      </c>
      <c r="AO1039" t="str">
        <f t="shared" si="4155"/>
        <v>&lt;/li&gt;&lt;li&gt;&lt;a href=|http://isv.scripturetext.com/acts/21.htm| title=|International Standard Version| target=|_top|&gt;ISV&lt;/a&gt;</v>
      </c>
      <c r="AP1039" t="str">
        <f t="shared" si="4155"/>
        <v>&lt;/li&gt;&lt;li&gt;&lt;a href=|http://tnt.scripturetext.com/acts/21.htm| title=|Tyndale New Testament| target=|_top|&gt;TNT&lt;/a&gt;</v>
      </c>
      <c r="AQ1039" s="2" t="str">
        <f t="shared" si="4155"/>
        <v>&lt;/li&gt;&lt;li&gt;&lt;a href=|http://pnt.biblecommenter.com/acts/21.htm| title=|People's New Testament| target=|_top|&gt;PNT&lt;/a&gt;</v>
      </c>
      <c r="AR1039" t="str">
        <f t="shared" si="4155"/>
        <v>&lt;/li&gt;&lt;li&gt;&lt;a href=|http://websterbible.com/acts/21.htm| title=|Webster's Bible Translation| target=|_top|&gt;WBS&lt;/a&gt;</v>
      </c>
      <c r="AS1039" t="str">
        <f t="shared" si="4155"/>
        <v>&lt;/li&gt;&lt;li&gt;&lt;a href=|http://weymouthbible.com/acts/21.htm| title=|Weymouth New Testament| target=|_top|&gt;WEY&lt;/a&gt;</v>
      </c>
      <c r="AT1039" t="str">
        <f>CONCATENATE("&lt;/li&gt;&lt;li&gt;&lt;a href=|http://",AT1191,"/acts/21-1.htm","| ","title=|",AT1190,"| target=|_top|&gt;",AT1192,"&lt;/a&gt;")</f>
        <v>&lt;/li&gt;&lt;li&gt;&lt;a href=|http://biblebrowser.com/acts/21-1.htm| title=|Split View| target=|_top|&gt;Split&lt;/a&gt;</v>
      </c>
      <c r="AU1039" s="2" t="s">
        <v>1276</v>
      </c>
      <c r="AV1039" t="s">
        <v>64</v>
      </c>
    </row>
    <row r="1040" spans="1:48">
      <c r="A1040" t="s">
        <v>622</v>
      </c>
      <c r="B1040" t="s">
        <v>471</v>
      </c>
      <c r="C1040" t="s">
        <v>624</v>
      </c>
      <c r="D1040" t="s">
        <v>1268</v>
      </c>
      <c r="E1040" t="s">
        <v>1277</v>
      </c>
      <c r="F1040" t="s">
        <v>1304</v>
      </c>
      <c r="G1040" t="s">
        <v>1266</v>
      </c>
      <c r="H1040" t="s">
        <v>1305</v>
      </c>
      <c r="I1040" t="s">
        <v>1303</v>
      </c>
      <c r="J1040" t="s">
        <v>1267</v>
      </c>
      <c r="K1040" t="s">
        <v>1275</v>
      </c>
      <c r="L1040" s="2" t="s">
        <v>1274</v>
      </c>
      <c r="M1040" t="str">
        <f t="shared" ref="M1040:AB1040" si="4156">CONCATENATE("&lt;/li&gt;&lt;li&gt;&lt;a href=|http://",M1191,"/acts/22.htm","| ","title=|",M1190,"| target=|_top|&gt;",M1192,"&lt;/a&gt;")</f>
        <v>&lt;/li&gt;&lt;li&gt;&lt;a href=|http://niv.scripturetext.com/acts/22.htm| title=|New International Version| target=|_top|&gt;NIV&lt;/a&gt;</v>
      </c>
      <c r="N1040" t="str">
        <f t="shared" si="4156"/>
        <v>&lt;/li&gt;&lt;li&gt;&lt;a href=|http://nlt.scripturetext.com/acts/22.htm| title=|New Living Translation| target=|_top|&gt;NLT&lt;/a&gt;</v>
      </c>
      <c r="O1040" t="str">
        <f t="shared" si="4156"/>
        <v>&lt;/li&gt;&lt;li&gt;&lt;a href=|http://nasb.scripturetext.com/acts/22.htm| title=|New American Standard Bible| target=|_top|&gt;NAS&lt;/a&gt;</v>
      </c>
      <c r="P1040" t="str">
        <f t="shared" si="4156"/>
        <v>&lt;/li&gt;&lt;li&gt;&lt;a href=|http://gwt.scripturetext.com/acts/22.htm| title=|God's Word Translation| target=|_top|&gt;GWT&lt;/a&gt;</v>
      </c>
      <c r="Q1040" t="str">
        <f t="shared" si="4156"/>
        <v>&lt;/li&gt;&lt;li&gt;&lt;a href=|http://kingjbible.com/acts/22.htm| title=|King James Bible| target=|_top|&gt;KJV&lt;/a&gt;</v>
      </c>
      <c r="R1040" t="str">
        <f t="shared" si="4156"/>
        <v>&lt;/li&gt;&lt;li&gt;&lt;a href=|http://asvbible.com/acts/22.htm| title=|American Standard Version| target=|_top|&gt;ASV&lt;/a&gt;</v>
      </c>
      <c r="S1040" t="str">
        <f t="shared" si="4156"/>
        <v>&lt;/li&gt;&lt;li&gt;&lt;a href=|http://drb.scripturetext.com/acts/22.htm| title=|Douay-Rheims Bible| target=|_top|&gt;DRB&lt;/a&gt;</v>
      </c>
      <c r="T1040" t="str">
        <f t="shared" si="4156"/>
        <v>&lt;/li&gt;&lt;li&gt;&lt;a href=|http://erv.scripturetext.com/acts/22.htm| title=|English Revised Version| target=|_top|&gt;ERV&lt;/a&gt;</v>
      </c>
      <c r="U1040" t="str">
        <f>CONCATENATE("&lt;/li&gt;&lt;li&gt;&lt;a href=|http://",U1191,"/acts/22.htm","| ","title=|",U1190,"| target=|_top|&gt;",U1192,"&lt;/a&gt;")</f>
        <v>&lt;/li&gt;&lt;li&gt;&lt;a href=|http://study.interlinearbible.org/acts/22.htm| title=|Greek Study Bible| target=|_top|&gt;Grk Study&lt;/a&gt;</v>
      </c>
      <c r="W1040" t="str">
        <f t="shared" si="4156"/>
        <v>&lt;/li&gt;&lt;li&gt;&lt;a href=|http://apostolic.interlinearbible.org/acts/22.htm| title=|Apostolic Bible Polyglot Interlinear| target=|_top|&gt;Polyglot&lt;/a&gt;</v>
      </c>
      <c r="X1040" t="str">
        <f t="shared" si="4156"/>
        <v>&lt;/li&gt;&lt;li&gt;&lt;a href=|http://interlinearbible.org/acts/22.htm| title=|Interlinear Bible| target=|_top|&gt;Interlin&lt;/a&gt;</v>
      </c>
      <c r="Y1040" t="str">
        <f t="shared" ref="Y1040" si="4157">CONCATENATE("&lt;/li&gt;&lt;li&gt;&lt;a href=|http://",Y1191,"/acts/22.htm","| ","title=|",Y1190,"| target=|_top|&gt;",Y1192,"&lt;/a&gt;")</f>
        <v>&lt;/li&gt;&lt;li&gt;&lt;a href=|http://bibleoutline.org/acts/22.htm| title=|Outline with People and Places List| target=|_top|&gt;Outline&lt;/a&gt;</v>
      </c>
      <c r="Z1040" t="str">
        <f t="shared" si="4156"/>
        <v>&lt;/li&gt;&lt;li&gt;&lt;a href=|http://kjvs.scripturetext.com/acts/22.htm| title=|King James Bible with Strong's Numbers| target=|_top|&gt;Strong's&lt;/a&gt;</v>
      </c>
      <c r="AA1040" t="str">
        <f t="shared" si="4156"/>
        <v>&lt;/li&gt;&lt;li&gt;&lt;a href=|http://childrensbibleonline.com/acts/22.htm| title=|The Children's Bible| target=|_top|&gt;Children's&lt;/a&gt;</v>
      </c>
      <c r="AB1040" s="2" t="str">
        <f t="shared" si="4156"/>
        <v>&lt;/li&gt;&lt;li&gt;&lt;a href=|http://tsk.scripturetext.com/acts/22.htm| title=|Treasury of Scripture Knowledge| target=|_top|&gt;TSK&lt;/a&gt;</v>
      </c>
      <c r="AC1040" t="str">
        <f>CONCATENATE("&lt;a href=|http://",AC1191,"/acts/22.htm","| ","title=|",AC1190,"| target=|_top|&gt;",AC1192,"&lt;/a&gt;")</f>
        <v>&lt;a href=|http://parallelbible.com/acts/22.htm| title=|Parallel Chapters| target=|_top|&gt;PAR&lt;/a&gt;</v>
      </c>
      <c r="AD1040" s="2" t="str">
        <f t="shared" ref="AD1040:AI1040" si="4158">CONCATENATE("&lt;/li&gt;&lt;li&gt;&lt;a href=|http://",AD1191,"/acts/22.htm","| ","title=|",AD1190,"| target=|_top|&gt;",AD1192,"&lt;/a&gt;")</f>
        <v>&lt;/li&gt;&lt;li&gt;&lt;a href=|http://gsb.biblecommenter.com/acts/22.htm| title=|Geneva Study Bible| target=|_top|&gt;GSB&lt;/a&gt;</v>
      </c>
      <c r="AE1040" s="2" t="str">
        <f t="shared" si="4158"/>
        <v>&lt;/li&gt;&lt;li&gt;&lt;a href=|http://jfb.biblecommenter.com/acts/22.htm| title=|Jamieson-Fausset-Brown Bible Commentary| target=|_top|&gt;JFB&lt;/a&gt;</v>
      </c>
      <c r="AF1040" s="2" t="str">
        <f t="shared" si="4158"/>
        <v>&lt;/li&gt;&lt;li&gt;&lt;a href=|http://kjt.biblecommenter.com/acts/22.htm| title=|King James Translators' Notes| target=|_top|&gt;KJT&lt;/a&gt;</v>
      </c>
      <c r="AG1040" s="2" t="str">
        <f t="shared" si="4158"/>
        <v>&lt;/li&gt;&lt;li&gt;&lt;a href=|http://mhc.biblecommenter.com/acts/22.htm| title=|Matthew Henry's Concise Commentary| target=|_top|&gt;MHC&lt;/a&gt;</v>
      </c>
      <c r="AH1040" s="2" t="str">
        <f t="shared" si="4158"/>
        <v>&lt;/li&gt;&lt;li&gt;&lt;a href=|http://sco.biblecommenter.com/acts/22.htm| title=|Scofield Reference Notes| target=|_top|&gt;SCO&lt;/a&gt;</v>
      </c>
      <c r="AI1040" s="2" t="str">
        <f t="shared" si="4158"/>
        <v>&lt;/li&gt;&lt;li&gt;&lt;a href=|http://wes.biblecommenter.com/acts/22.htm| title=|Wesley's Notes on the Bible| target=|_top|&gt;WES&lt;/a&gt;</v>
      </c>
      <c r="AJ1040" t="str">
        <f>CONCATENATE("&lt;/li&gt;&lt;li&gt;&lt;a href=|http://",AJ1191,"/acts/22.htm","| ","title=|",AJ1190,"| target=|_top|&gt;",AJ1192,"&lt;/a&gt;")</f>
        <v>&lt;/li&gt;&lt;li&gt;&lt;a href=|http://worldebible.com/acts/22.htm| title=|World English Bible| target=|_top|&gt;WEB&lt;/a&gt;</v>
      </c>
      <c r="AK1040" t="str">
        <f>CONCATENATE("&lt;/li&gt;&lt;li&gt;&lt;a href=|http://",AK1191,"/acts/22.htm","| ","title=|",AK1190,"| target=|_top|&gt;",AK1192,"&lt;/a&gt;")</f>
        <v>&lt;/li&gt;&lt;li&gt;&lt;a href=|http://yltbible.com/acts/22.htm| title=|Young's Literal Translation| target=|_top|&gt;YLT&lt;/a&gt;</v>
      </c>
      <c r="AL1040" t="str">
        <f>CONCATENATE("&lt;a href=|http://",AL1191,"/acts/22.htm","| ","title=|",AL1190,"| target=|_top|&gt;",AL1192,"&lt;/a&gt;")</f>
        <v>&lt;a href=|http://kjv.us/acts/22.htm| title=|American King James Version| target=|_top|&gt;AKJ&lt;/a&gt;</v>
      </c>
      <c r="AM1040" t="str">
        <f t="shared" ref="AM1040:AS1040" si="4159">CONCATENATE("&lt;/li&gt;&lt;li&gt;&lt;a href=|http://",AM1191,"/acts/22.htm","| ","title=|",AM1190,"| target=|_top|&gt;",AM1192,"&lt;/a&gt;")</f>
        <v>&lt;/li&gt;&lt;li&gt;&lt;a href=|http://basicenglishbible.com/acts/22.htm| title=|Bible in Basic English| target=|_top|&gt;BBE&lt;/a&gt;</v>
      </c>
      <c r="AN1040" t="str">
        <f t="shared" si="4159"/>
        <v>&lt;/li&gt;&lt;li&gt;&lt;a href=|http://darbybible.com/acts/22.htm| title=|Darby Bible Translation| target=|_top|&gt;DBY&lt;/a&gt;</v>
      </c>
      <c r="AO1040" t="str">
        <f t="shared" si="4159"/>
        <v>&lt;/li&gt;&lt;li&gt;&lt;a href=|http://isv.scripturetext.com/acts/22.htm| title=|International Standard Version| target=|_top|&gt;ISV&lt;/a&gt;</v>
      </c>
      <c r="AP1040" t="str">
        <f t="shared" si="4159"/>
        <v>&lt;/li&gt;&lt;li&gt;&lt;a href=|http://tnt.scripturetext.com/acts/22.htm| title=|Tyndale New Testament| target=|_top|&gt;TNT&lt;/a&gt;</v>
      </c>
      <c r="AQ1040" s="2" t="str">
        <f t="shared" si="4159"/>
        <v>&lt;/li&gt;&lt;li&gt;&lt;a href=|http://pnt.biblecommenter.com/acts/22.htm| title=|People's New Testament| target=|_top|&gt;PNT&lt;/a&gt;</v>
      </c>
      <c r="AR1040" t="str">
        <f t="shared" si="4159"/>
        <v>&lt;/li&gt;&lt;li&gt;&lt;a href=|http://websterbible.com/acts/22.htm| title=|Webster's Bible Translation| target=|_top|&gt;WBS&lt;/a&gt;</v>
      </c>
      <c r="AS1040" t="str">
        <f t="shared" si="4159"/>
        <v>&lt;/li&gt;&lt;li&gt;&lt;a href=|http://weymouthbible.com/acts/22.htm| title=|Weymouth New Testament| target=|_top|&gt;WEY&lt;/a&gt;</v>
      </c>
      <c r="AT1040" t="str">
        <f>CONCATENATE("&lt;/li&gt;&lt;li&gt;&lt;a href=|http://",AT1191,"/acts/22-1.htm","| ","title=|",AT1190,"| target=|_top|&gt;",AT1192,"&lt;/a&gt;")</f>
        <v>&lt;/li&gt;&lt;li&gt;&lt;a href=|http://biblebrowser.com/acts/22-1.htm| title=|Split View| target=|_top|&gt;Split&lt;/a&gt;</v>
      </c>
      <c r="AU1040" s="2" t="s">
        <v>1276</v>
      </c>
      <c r="AV1040" t="s">
        <v>64</v>
      </c>
    </row>
    <row r="1041" spans="1:48">
      <c r="A1041" t="s">
        <v>622</v>
      </c>
      <c r="B1041" t="s">
        <v>472</v>
      </c>
      <c r="C1041" t="s">
        <v>624</v>
      </c>
      <c r="D1041" t="s">
        <v>1268</v>
      </c>
      <c r="E1041" t="s">
        <v>1277</v>
      </c>
      <c r="F1041" t="s">
        <v>1304</v>
      </c>
      <c r="G1041" t="s">
        <v>1266</v>
      </c>
      <c r="H1041" t="s">
        <v>1305</v>
      </c>
      <c r="I1041" t="s">
        <v>1303</v>
      </c>
      <c r="J1041" t="s">
        <v>1267</v>
      </c>
      <c r="K1041" t="s">
        <v>1275</v>
      </c>
      <c r="L1041" s="2" t="s">
        <v>1274</v>
      </c>
      <c r="M1041" t="str">
        <f t="shared" ref="M1041:AB1041" si="4160">CONCATENATE("&lt;/li&gt;&lt;li&gt;&lt;a href=|http://",M1191,"/acts/23.htm","| ","title=|",M1190,"| target=|_top|&gt;",M1192,"&lt;/a&gt;")</f>
        <v>&lt;/li&gt;&lt;li&gt;&lt;a href=|http://niv.scripturetext.com/acts/23.htm| title=|New International Version| target=|_top|&gt;NIV&lt;/a&gt;</v>
      </c>
      <c r="N1041" t="str">
        <f t="shared" si="4160"/>
        <v>&lt;/li&gt;&lt;li&gt;&lt;a href=|http://nlt.scripturetext.com/acts/23.htm| title=|New Living Translation| target=|_top|&gt;NLT&lt;/a&gt;</v>
      </c>
      <c r="O1041" t="str">
        <f t="shared" si="4160"/>
        <v>&lt;/li&gt;&lt;li&gt;&lt;a href=|http://nasb.scripturetext.com/acts/23.htm| title=|New American Standard Bible| target=|_top|&gt;NAS&lt;/a&gt;</v>
      </c>
      <c r="P1041" t="str">
        <f t="shared" si="4160"/>
        <v>&lt;/li&gt;&lt;li&gt;&lt;a href=|http://gwt.scripturetext.com/acts/23.htm| title=|God's Word Translation| target=|_top|&gt;GWT&lt;/a&gt;</v>
      </c>
      <c r="Q1041" t="str">
        <f t="shared" si="4160"/>
        <v>&lt;/li&gt;&lt;li&gt;&lt;a href=|http://kingjbible.com/acts/23.htm| title=|King James Bible| target=|_top|&gt;KJV&lt;/a&gt;</v>
      </c>
      <c r="R1041" t="str">
        <f t="shared" si="4160"/>
        <v>&lt;/li&gt;&lt;li&gt;&lt;a href=|http://asvbible.com/acts/23.htm| title=|American Standard Version| target=|_top|&gt;ASV&lt;/a&gt;</v>
      </c>
      <c r="S1041" t="str">
        <f t="shared" si="4160"/>
        <v>&lt;/li&gt;&lt;li&gt;&lt;a href=|http://drb.scripturetext.com/acts/23.htm| title=|Douay-Rheims Bible| target=|_top|&gt;DRB&lt;/a&gt;</v>
      </c>
      <c r="T1041" t="str">
        <f t="shared" si="4160"/>
        <v>&lt;/li&gt;&lt;li&gt;&lt;a href=|http://erv.scripturetext.com/acts/23.htm| title=|English Revised Version| target=|_top|&gt;ERV&lt;/a&gt;</v>
      </c>
      <c r="U1041" t="str">
        <f>CONCATENATE("&lt;/li&gt;&lt;li&gt;&lt;a href=|http://",U1191,"/acts/23.htm","| ","title=|",U1190,"| target=|_top|&gt;",U1192,"&lt;/a&gt;")</f>
        <v>&lt;/li&gt;&lt;li&gt;&lt;a href=|http://study.interlinearbible.org/acts/23.htm| title=|Greek Study Bible| target=|_top|&gt;Grk Study&lt;/a&gt;</v>
      </c>
      <c r="W1041" t="str">
        <f t="shared" si="4160"/>
        <v>&lt;/li&gt;&lt;li&gt;&lt;a href=|http://apostolic.interlinearbible.org/acts/23.htm| title=|Apostolic Bible Polyglot Interlinear| target=|_top|&gt;Polyglot&lt;/a&gt;</v>
      </c>
      <c r="X1041" t="str">
        <f t="shared" si="4160"/>
        <v>&lt;/li&gt;&lt;li&gt;&lt;a href=|http://interlinearbible.org/acts/23.htm| title=|Interlinear Bible| target=|_top|&gt;Interlin&lt;/a&gt;</v>
      </c>
      <c r="Y1041" t="str">
        <f t="shared" ref="Y1041" si="4161">CONCATENATE("&lt;/li&gt;&lt;li&gt;&lt;a href=|http://",Y1191,"/acts/23.htm","| ","title=|",Y1190,"| target=|_top|&gt;",Y1192,"&lt;/a&gt;")</f>
        <v>&lt;/li&gt;&lt;li&gt;&lt;a href=|http://bibleoutline.org/acts/23.htm| title=|Outline with People and Places List| target=|_top|&gt;Outline&lt;/a&gt;</v>
      </c>
      <c r="Z1041" t="str">
        <f t="shared" si="4160"/>
        <v>&lt;/li&gt;&lt;li&gt;&lt;a href=|http://kjvs.scripturetext.com/acts/23.htm| title=|King James Bible with Strong's Numbers| target=|_top|&gt;Strong's&lt;/a&gt;</v>
      </c>
      <c r="AA1041" t="str">
        <f t="shared" si="4160"/>
        <v>&lt;/li&gt;&lt;li&gt;&lt;a href=|http://childrensbibleonline.com/acts/23.htm| title=|The Children's Bible| target=|_top|&gt;Children's&lt;/a&gt;</v>
      </c>
      <c r="AB1041" s="2" t="str">
        <f t="shared" si="4160"/>
        <v>&lt;/li&gt;&lt;li&gt;&lt;a href=|http://tsk.scripturetext.com/acts/23.htm| title=|Treasury of Scripture Knowledge| target=|_top|&gt;TSK&lt;/a&gt;</v>
      </c>
      <c r="AC1041" t="str">
        <f>CONCATENATE("&lt;a href=|http://",AC1191,"/acts/23.htm","| ","title=|",AC1190,"| target=|_top|&gt;",AC1192,"&lt;/a&gt;")</f>
        <v>&lt;a href=|http://parallelbible.com/acts/23.htm| title=|Parallel Chapters| target=|_top|&gt;PAR&lt;/a&gt;</v>
      </c>
      <c r="AD1041" s="2" t="str">
        <f t="shared" ref="AD1041:AI1041" si="4162">CONCATENATE("&lt;/li&gt;&lt;li&gt;&lt;a href=|http://",AD1191,"/acts/23.htm","| ","title=|",AD1190,"| target=|_top|&gt;",AD1192,"&lt;/a&gt;")</f>
        <v>&lt;/li&gt;&lt;li&gt;&lt;a href=|http://gsb.biblecommenter.com/acts/23.htm| title=|Geneva Study Bible| target=|_top|&gt;GSB&lt;/a&gt;</v>
      </c>
      <c r="AE1041" s="2" t="str">
        <f t="shared" si="4162"/>
        <v>&lt;/li&gt;&lt;li&gt;&lt;a href=|http://jfb.biblecommenter.com/acts/23.htm| title=|Jamieson-Fausset-Brown Bible Commentary| target=|_top|&gt;JFB&lt;/a&gt;</v>
      </c>
      <c r="AF1041" s="2" t="str">
        <f t="shared" si="4162"/>
        <v>&lt;/li&gt;&lt;li&gt;&lt;a href=|http://kjt.biblecommenter.com/acts/23.htm| title=|King James Translators' Notes| target=|_top|&gt;KJT&lt;/a&gt;</v>
      </c>
      <c r="AG1041" s="2" t="str">
        <f t="shared" si="4162"/>
        <v>&lt;/li&gt;&lt;li&gt;&lt;a href=|http://mhc.biblecommenter.com/acts/23.htm| title=|Matthew Henry's Concise Commentary| target=|_top|&gt;MHC&lt;/a&gt;</v>
      </c>
      <c r="AH1041" s="2" t="str">
        <f t="shared" si="4162"/>
        <v>&lt;/li&gt;&lt;li&gt;&lt;a href=|http://sco.biblecommenter.com/acts/23.htm| title=|Scofield Reference Notes| target=|_top|&gt;SCO&lt;/a&gt;</v>
      </c>
      <c r="AI1041" s="2" t="str">
        <f t="shared" si="4162"/>
        <v>&lt;/li&gt;&lt;li&gt;&lt;a href=|http://wes.biblecommenter.com/acts/23.htm| title=|Wesley's Notes on the Bible| target=|_top|&gt;WES&lt;/a&gt;</v>
      </c>
      <c r="AJ1041" t="str">
        <f>CONCATENATE("&lt;/li&gt;&lt;li&gt;&lt;a href=|http://",AJ1191,"/acts/23.htm","| ","title=|",AJ1190,"| target=|_top|&gt;",AJ1192,"&lt;/a&gt;")</f>
        <v>&lt;/li&gt;&lt;li&gt;&lt;a href=|http://worldebible.com/acts/23.htm| title=|World English Bible| target=|_top|&gt;WEB&lt;/a&gt;</v>
      </c>
      <c r="AK1041" t="str">
        <f>CONCATENATE("&lt;/li&gt;&lt;li&gt;&lt;a href=|http://",AK1191,"/acts/23.htm","| ","title=|",AK1190,"| target=|_top|&gt;",AK1192,"&lt;/a&gt;")</f>
        <v>&lt;/li&gt;&lt;li&gt;&lt;a href=|http://yltbible.com/acts/23.htm| title=|Young's Literal Translation| target=|_top|&gt;YLT&lt;/a&gt;</v>
      </c>
      <c r="AL1041" t="str">
        <f>CONCATENATE("&lt;a href=|http://",AL1191,"/acts/23.htm","| ","title=|",AL1190,"| target=|_top|&gt;",AL1192,"&lt;/a&gt;")</f>
        <v>&lt;a href=|http://kjv.us/acts/23.htm| title=|American King James Version| target=|_top|&gt;AKJ&lt;/a&gt;</v>
      </c>
      <c r="AM1041" t="str">
        <f t="shared" ref="AM1041:AS1041" si="4163">CONCATENATE("&lt;/li&gt;&lt;li&gt;&lt;a href=|http://",AM1191,"/acts/23.htm","| ","title=|",AM1190,"| target=|_top|&gt;",AM1192,"&lt;/a&gt;")</f>
        <v>&lt;/li&gt;&lt;li&gt;&lt;a href=|http://basicenglishbible.com/acts/23.htm| title=|Bible in Basic English| target=|_top|&gt;BBE&lt;/a&gt;</v>
      </c>
      <c r="AN1041" t="str">
        <f t="shared" si="4163"/>
        <v>&lt;/li&gt;&lt;li&gt;&lt;a href=|http://darbybible.com/acts/23.htm| title=|Darby Bible Translation| target=|_top|&gt;DBY&lt;/a&gt;</v>
      </c>
      <c r="AO1041" t="str">
        <f t="shared" si="4163"/>
        <v>&lt;/li&gt;&lt;li&gt;&lt;a href=|http://isv.scripturetext.com/acts/23.htm| title=|International Standard Version| target=|_top|&gt;ISV&lt;/a&gt;</v>
      </c>
      <c r="AP1041" t="str">
        <f t="shared" si="4163"/>
        <v>&lt;/li&gt;&lt;li&gt;&lt;a href=|http://tnt.scripturetext.com/acts/23.htm| title=|Tyndale New Testament| target=|_top|&gt;TNT&lt;/a&gt;</v>
      </c>
      <c r="AQ1041" s="2" t="str">
        <f t="shared" si="4163"/>
        <v>&lt;/li&gt;&lt;li&gt;&lt;a href=|http://pnt.biblecommenter.com/acts/23.htm| title=|People's New Testament| target=|_top|&gt;PNT&lt;/a&gt;</v>
      </c>
      <c r="AR1041" t="str">
        <f t="shared" si="4163"/>
        <v>&lt;/li&gt;&lt;li&gt;&lt;a href=|http://websterbible.com/acts/23.htm| title=|Webster's Bible Translation| target=|_top|&gt;WBS&lt;/a&gt;</v>
      </c>
      <c r="AS1041" t="str">
        <f t="shared" si="4163"/>
        <v>&lt;/li&gt;&lt;li&gt;&lt;a href=|http://weymouthbible.com/acts/23.htm| title=|Weymouth New Testament| target=|_top|&gt;WEY&lt;/a&gt;</v>
      </c>
      <c r="AT1041" t="str">
        <f>CONCATENATE("&lt;/li&gt;&lt;li&gt;&lt;a href=|http://",AT1191,"/acts/23-1.htm","| ","title=|",AT1190,"| target=|_top|&gt;",AT1192,"&lt;/a&gt;")</f>
        <v>&lt;/li&gt;&lt;li&gt;&lt;a href=|http://biblebrowser.com/acts/23-1.htm| title=|Split View| target=|_top|&gt;Split&lt;/a&gt;</v>
      </c>
      <c r="AU1041" s="2" t="s">
        <v>1276</v>
      </c>
      <c r="AV1041" t="s">
        <v>64</v>
      </c>
    </row>
    <row r="1042" spans="1:48">
      <c r="A1042" t="s">
        <v>622</v>
      </c>
      <c r="B1042" t="s">
        <v>473</v>
      </c>
      <c r="C1042" t="s">
        <v>624</v>
      </c>
      <c r="D1042" t="s">
        <v>1268</v>
      </c>
      <c r="E1042" t="s">
        <v>1277</v>
      </c>
      <c r="F1042" t="s">
        <v>1304</v>
      </c>
      <c r="G1042" t="s">
        <v>1266</v>
      </c>
      <c r="H1042" t="s">
        <v>1305</v>
      </c>
      <c r="I1042" t="s">
        <v>1303</v>
      </c>
      <c r="J1042" t="s">
        <v>1267</v>
      </c>
      <c r="K1042" t="s">
        <v>1275</v>
      </c>
      <c r="L1042" s="2" t="s">
        <v>1274</v>
      </c>
      <c r="M1042" t="str">
        <f t="shared" ref="M1042:AB1042" si="4164">CONCATENATE("&lt;/li&gt;&lt;li&gt;&lt;a href=|http://",M1191,"/acts/24.htm","| ","title=|",M1190,"| target=|_top|&gt;",M1192,"&lt;/a&gt;")</f>
        <v>&lt;/li&gt;&lt;li&gt;&lt;a href=|http://niv.scripturetext.com/acts/24.htm| title=|New International Version| target=|_top|&gt;NIV&lt;/a&gt;</v>
      </c>
      <c r="N1042" t="str">
        <f t="shared" si="4164"/>
        <v>&lt;/li&gt;&lt;li&gt;&lt;a href=|http://nlt.scripturetext.com/acts/24.htm| title=|New Living Translation| target=|_top|&gt;NLT&lt;/a&gt;</v>
      </c>
      <c r="O1042" t="str">
        <f t="shared" si="4164"/>
        <v>&lt;/li&gt;&lt;li&gt;&lt;a href=|http://nasb.scripturetext.com/acts/24.htm| title=|New American Standard Bible| target=|_top|&gt;NAS&lt;/a&gt;</v>
      </c>
      <c r="P1042" t="str">
        <f t="shared" si="4164"/>
        <v>&lt;/li&gt;&lt;li&gt;&lt;a href=|http://gwt.scripturetext.com/acts/24.htm| title=|God's Word Translation| target=|_top|&gt;GWT&lt;/a&gt;</v>
      </c>
      <c r="Q1042" t="str">
        <f t="shared" si="4164"/>
        <v>&lt;/li&gt;&lt;li&gt;&lt;a href=|http://kingjbible.com/acts/24.htm| title=|King James Bible| target=|_top|&gt;KJV&lt;/a&gt;</v>
      </c>
      <c r="R1042" t="str">
        <f t="shared" si="4164"/>
        <v>&lt;/li&gt;&lt;li&gt;&lt;a href=|http://asvbible.com/acts/24.htm| title=|American Standard Version| target=|_top|&gt;ASV&lt;/a&gt;</v>
      </c>
      <c r="S1042" t="str">
        <f t="shared" si="4164"/>
        <v>&lt;/li&gt;&lt;li&gt;&lt;a href=|http://drb.scripturetext.com/acts/24.htm| title=|Douay-Rheims Bible| target=|_top|&gt;DRB&lt;/a&gt;</v>
      </c>
      <c r="T1042" t="str">
        <f t="shared" si="4164"/>
        <v>&lt;/li&gt;&lt;li&gt;&lt;a href=|http://erv.scripturetext.com/acts/24.htm| title=|English Revised Version| target=|_top|&gt;ERV&lt;/a&gt;</v>
      </c>
      <c r="U1042" t="str">
        <f>CONCATENATE("&lt;/li&gt;&lt;li&gt;&lt;a href=|http://",U1191,"/acts/24.htm","| ","title=|",U1190,"| target=|_top|&gt;",U1192,"&lt;/a&gt;")</f>
        <v>&lt;/li&gt;&lt;li&gt;&lt;a href=|http://study.interlinearbible.org/acts/24.htm| title=|Greek Study Bible| target=|_top|&gt;Grk Study&lt;/a&gt;</v>
      </c>
      <c r="W1042" t="str">
        <f t="shared" si="4164"/>
        <v>&lt;/li&gt;&lt;li&gt;&lt;a href=|http://apostolic.interlinearbible.org/acts/24.htm| title=|Apostolic Bible Polyglot Interlinear| target=|_top|&gt;Polyglot&lt;/a&gt;</v>
      </c>
      <c r="X1042" t="str">
        <f t="shared" si="4164"/>
        <v>&lt;/li&gt;&lt;li&gt;&lt;a href=|http://interlinearbible.org/acts/24.htm| title=|Interlinear Bible| target=|_top|&gt;Interlin&lt;/a&gt;</v>
      </c>
      <c r="Y1042" t="str">
        <f t="shared" ref="Y1042" si="4165">CONCATENATE("&lt;/li&gt;&lt;li&gt;&lt;a href=|http://",Y1191,"/acts/24.htm","| ","title=|",Y1190,"| target=|_top|&gt;",Y1192,"&lt;/a&gt;")</f>
        <v>&lt;/li&gt;&lt;li&gt;&lt;a href=|http://bibleoutline.org/acts/24.htm| title=|Outline with People and Places List| target=|_top|&gt;Outline&lt;/a&gt;</v>
      </c>
      <c r="Z1042" t="str">
        <f t="shared" si="4164"/>
        <v>&lt;/li&gt;&lt;li&gt;&lt;a href=|http://kjvs.scripturetext.com/acts/24.htm| title=|King James Bible with Strong's Numbers| target=|_top|&gt;Strong's&lt;/a&gt;</v>
      </c>
      <c r="AA1042" t="str">
        <f t="shared" si="4164"/>
        <v>&lt;/li&gt;&lt;li&gt;&lt;a href=|http://childrensbibleonline.com/acts/24.htm| title=|The Children's Bible| target=|_top|&gt;Children's&lt;/a&gt;</v>
      </c>
      <c r="AB1042" s="2" t="str">
        <f t="shared" si="4164"/>
        <v>&lt;/li&gt;&lt;li&gt;&lt;a href=|http://tsk.scripturetext.com/acts/24.htm| title=|Treasury of Scripture Knowledge| target=|_top|&gt;TSK&lt;/a&gt;</v>
      </c>
      <c r="AC1042" t="str">
        <f>CONCATENATE("&lt;a href=|http://",AC1191,"/acts/24.htm","| ","title=|",AC1190,"| target=|_top|&gt;",AC1192,"&lt;/a&gt;")</f>
        <v>&lt;a href=|http://parallelbible.com/acts/24.htm| title=|Parallel Chapters| target=|_top|&gt;PAR&lt;/a&gt;</v>
      </c>
      <c r="AD1042" s="2" t="str">
        <f t="shared" ref="AD1042:AI1042" si="4166">CONCATENATE("&lt;/li&gt;&lt;li&gt;&lt;a href=|http://",AD1191,"/acts/24.htm","| ","title=|",AD1190,"| target=|_top|&gt;",AD1192,"&lt;/a&gt;")</f>
        <v>&lt;/li&gt;&lt;li&gt;&lt;a href=|http://gsb.biblecommenter.com/acts/24.htm| title=|Geneva Study Bible| target=|_top|&gt;GSB&lt;/a&gt;</v>
      </c>
      <c r="AE1042" s="2" t="str">
        <f t="shared" si="4166"/>
        <v>&lt;/li&gt;&lt;li&gt;&lt;a href=|http://jfb.biblecommenter.com/acts/24.htm| title=|Jamieson-Fausset-Brown Bible Commentary| target=|_top|&gt;JFB&lt;/a&gt;</v>
      </c>
      <c r="AF1042" s="2" t="str">
        <f t="shared" si="4166"/>
        <v>&lt;/li&gt;&lt;li&gt;&lt;a href=|http://kjt.biblecommenter.com/acts/24.htm| title=|King James Translators' Notes| target=|_top|&gt;KJT&lt;/a&gt;</v>
      </c>
      <c r="AG1042" s="2" t="str">
        <f t="shared" si="4166"/>
        <v>&lt;/li&gt;&lt;li&gt;&lt;a href=|http://mhc.biblecommenter.com/acts/24.htm| title=|Matthew Henry's Concise Commentary| target=|_top|&gt;MHC&lt;/a&gt;</v>
      </c>
      <c r="AH1042" s="2" t="str">
        <f t="shared" si="4166"/>
        <v>&lt;/li&gt;&lt;li&gt;&lt;a href=|http://sco.biblecommenter.com/acts/24.htm| title=|Scofield Reference Notes| target=|_top|&gt;SCO&lt;/a&gt;</v>
      </c>
      <c r="AI1042" s="2" t="str">
        <f t="shared" si="4166"/>
        <v>&lt;/li&gt;&lt;li&gt;&lt;a href=|http://wes.biblecommenter.com/acts/24.htm| title=|Wesley's Notes on the Bible| target=|_top|&gt;WES&lt;/a&gt;</v>
      </c>
      <c r="AJ1042" t="str">
        <f>CONCATENATE("&lt;/li&gt;&lt;li&gt;&lt;a href=|http://",AJ1191,"/acts/24.htm","| ","title=|",AJ1190,"| target=|_top|&gt;",AJ1192,"&lt;/a&gt;")</f>
        <v>&lt;/li&gt;&lt;li&gt;&lt;a href=|http://worldebible.com/acts/24.htm| title=|World English Bible| target=|_top|&gt;WEB&lt;/a&gt;</v>
      </c>
      <c r="AK1042" t="str">
        <f>CONCATENATE("&lt;/li&gt;&lt;li&gt;&lt;a href=|http://",AK1191,"/acts/24.htm","| ","title=|",AK1190,"| target=|_top|&gt;",AK1192,"&lt;/a&gt;")</f>
        <v>&lt;/li&gt;&lt;li&gt;&lt;a href=|http://yltbible.com/acts/24.htm| title=|Young's Literal Translation| target=|_top|&gt;YLT&lt;/a&gt;</v>
      </c>
      <c r="AL1042" t="str">
        <f>CONCATENATE("&lt;a href=|http://",AL1191,"/acts/24.htm","| ","title=|",AL1190,"| target=|_top|&gt;",AL1192,"&lt;/a&gt;")</f>
        <v>&lt;a href=|http://kjv.us/acts/24.htm| title=|American King James Version| target=|_top|&gt;AKJ&lt;/a&gt;</v>
      </c>
      <c r="AM1042" t="str">
        <f t="shared" ref="AM1042:AS1042" si="4167">CONCATENATE("&lt;/li&gt;&lt;li&gt;&lt;a href=|http://",AM1191,"/acts/24.htm","| ","title=|",AM1190,"| target=|_top|&gt;",AM1192,"&lt;/a&gt;")</f>
        <v>&lt;/li&gt;&lt;li&gt;&lt;a href=|http://basicenglishbible.com/acts/24.htm| title=|Bible in Basic English| target=|_top|&gt;BBE&lt;/a&gt;</v>
      </c>
      <c r="AN1042" t="str">
        <f t="shared" si="4167"/>
        <v>&lt;/li&gt;&lt;li&gt;&lt;a href=|http://darbybible.com/acts/24.htm| title=|Darby Bible Translation| target=|_top|&gt;DBY&lt;/a&gt;</v>
      </c>
      <c r="AO1042" t="str">
        <f t="shared" si="4167"/>
        <v>&lt;/li&gt;&lt;li&gt;&lt;a href=|http://isv.scripturetext.com/acts/24.htm| title=|International Standard Version| target=|_top|&gt;ISV&lt;/a&gt;</v>
      </c>
      <c r="AP1042" t="str">
        <f t="shared" si="4167"/>
        <v>&lt;/li&gt;&lt;li&gt;&lt;a href=|http://tnt.scripturetext.com/acts/24.htm| title=|Tyndale New Testament| target=|_top|&gt;TNT&lt;/a&gt;</v>
      </c>
      <c r="AQ1042" s="2" t="str">
        <f t="shared" si="4167"/>
        <v>&lt;/li&gt;&lt;li&gt;&lt;a href=|http://pnt.biblecommenter.com/acts/24.htm| title=|People's New Testament| target=|_top|&gt;PNT&lt;/a&gt;</v>
      </c>
      <c r="AR1042" t="str">
        <f t="shared" si="4167"/>
        <v>&lt;/li&gt;&lt;li&gt;&lt;a href=|http://websterbible.com/acts/24.htm| title=|Webster's Bible Translation| target=|_top|&gt;WBS&lt;/a&gt;</v>
      </c>
      <c r="AS1042" t="str">
        <f t="shared" si="4167"/>
        <v>&lt;/li&gt;&lt;li&gt;&lt;a href=|http://weymouthbible.com/acts/24.htm| title=|Weymouth New Testament| target=|_top|&gt;WEY&lt;/a&gt;</v>
      </c>
      <c r="AT1042" t="str">
        <f>CONCATENATE("&lt;/li&gt;&lt;li&gt;&lt;a href=|http://",AT1191,"/acts/24-1.htm","| ","title=|",AT1190,"| target=|_top|&gt;",AT1192,"&lt;/a&gt;")</f>
        <v>&lt;/li&gt;&lt;li&gt;&lt;a href=|http://biblebrowser.com/acts/24-1.htm| title=|Split View| target=|_top|&gt;Split&lt;/a&gt;</v>
      </c>
      <c r="AU1042" s="2" t="s">
        <v>1276</v>
      </c>
      <c r="AV1042" t="s">
        <v>64</v>
      </c>
    </row>
    <row r="1043" spans="1:48">
      <c r="A1043" t="s">
        <v>622</v>
      </c>
      <c r="B1043" t="s">
        <v>474</v>
      </c>
      <c r="C1043" t="s">
        <v>624</v>
      </c>
      <c r="D1043" t="s">
        <v>1268</v>
      </c>
      <c r="E1043" t="s">
        <v>1277</v>
      </c>
      <c r="F1043" t="s">
        <v>1304</v>
      </c>
      <c r="G1043" t="s">
        <v>1266</v>
      </c>
      <c r="H1043" t="s">
        <v>1305</v>
      </c>
      <c r="I1043" t="s">
        <v>1303</v>
      </c>
      <c r="J1043" t="s">
        <v>1267</v>
      </c>
      <c r="K1043" t="s">
        <v>1275</v>
      </c>
      <c r="L1043" s="2" t="s">
        <v>1274</v>
      </c>
      <c r="M1043" t="str">
        <f t="shared" ref="M1043:AB1043" si="4168">CONCATENATE("&lt;/li&gt;&lt;li&gt;&lt;a href=|http://",M1191,"/acts/25.htm","| ","title=|",M1190,"| target=|_top|&gt;",M1192,"&lt;/a&gt;")</f>
        <v>&lt;/li&gt;&lt;li&gt;&lt;a href=|http://niv.scripturetext.com/acts/25.htm| title=|New International Version| target=|_top|&gt;NIV&lt;/a&gt;</v>
      </c>
      <c r="N1043" t="str">
        <f t="shared" si="4168"/>
        <v>&lt;/li&gt;&lt;li&gt;&lt;a href=|http://nlt.scripturetext.com/acts/25.htm| title=|New Living Translation| target=|_top|&gt;NLT&lt;/a&gt;</v>
      </c>
      <c r="O1043" t="str">
        <f t="shared" si="4168"/>
        <v>&lt;/li&gt;&lt;li&gt;&lt;a href=|http://nasb.scripturetext.com/acts/25.htm| title=|New American Standard Bible| target=|_top|&gt;NAS&lt;/a&gt;</v>
      </c>
      <c r="P1043" t="str">
        <f t="shared" si="4168"/>
        <v>&lt;/li&gt;&lt;li&gt;&lt;a href=|http://gwt.scripturetext.com/acts/25.htm| title=|God's Word Translation| target=|_top|&gt;GWT&lt;/a&gt;</v>
      </c>
      <c r="Q1043" t="str">
        <f t="shared" si="4168"/>
        <v>&lt;/li&gt;&lt;li&gt;&lt;a href=|http://kingjbible.com/acts/25.htm| title=|King James Bible| target=|_top|&gt;KJV&lt;/a&gt;</v>
      </c>
      <c r="R1043" t="str">
        <f t="shared" si="4168"/>
        <v>&lt;/li&gt;&lt;li&gt;&lt;a href=|http://asvbible.com/acts/25.htm| title=|American Standard Version| target=|_top|&gt;ASV&lt;/a&gt;</v>
      </c>
      <c r="S1043" t="str">
        <f t="shared" si="4168"/>
        <v>&lt;/li&gt;&lt;li&gt;&lt;a href=|http://drb.scripturetext.com/acts/25.htm| title=|Douay-Rheims Bible| target=|_top|&gt;DRB&lt;/a&gt;</v>
      </c>
      <c r="T1043" t="str">
        <f t="shared" si="4168"/>
        <v>&lt;/li&gt;&lt;li&gt;&lt;a href=|http://erv.scripturetext.com/acts/25.htm| title=|English Revised Version| target=|_top|&gt;ERV&lt;/a&gt;</v>
      </c>
      <c r="U1043" t="str">
        <f>CONCATENATE("&lt;/li&gt;&lt;li&gt;&lt;a href=|http://",U1191,"/acts/25.htm","| ","title=|",U1190,"| target=|_top|&gt;",U1192,"&lt;/a&gt;")</f>
        <v>&lt;/li&gt;&lt;li&gt;&lt;a href=|http://study.interlinearbible.org/acts/25.htm| title=|Greek Study Bible| target=|_top|&gt;Grk Study&lt;/a&gt;</v>
      </c>
      <c r="W1043" t="str">
        <f t="shared" si="4168"/>
        <v>&lt;/li&gt;&lt;li&gt;&lt;a href=|http://apostolic.interlinearbible.org/acts/25.htm| title=|Apostolic Bible Polyglot Interlinear| target=|_top|&gt;Polyglot&lt;/a&gt;</v>
      </c>
      <c r="X1043" t="str">
        <f t="shared" si="4168"/>
        <v>&lt;/li&gt;&lt;li&gt;&lt;a href=|http://interlinearbible.org/acts/25.htm| title=|Interlinear Bible| target=|_top|&gt;Interlin&lt;/a&gt;</v>
      </c>
      <c r="Y1043" t="str">
        <f t="shared" ref="Y1043" si="4169">CONCATENATE("&lt;/li&gt;&lt;li&gt;&lt;a href=|http://",Y1191,"/acts/25.htm","| ","title=|",Y1190,"| target=|_top|&gt;",Y1192,"&lt;/a&gt;")</f>
        <v>&lt;/li&gt;&lt;li&gt;&lt;a href=|http://bibleoutline.org/acts/25.htm| title=|Outline with People and Places List| target=|_top|&gt;Outline&lt;/a&gt;</v>
      </c>
      <c r="Z1043" t="str">
        <f t="shared" si="4168"/>
        <v>&lt;/li&gt;&lt;li&gt;&lt;a href=|http://kjvs.scripturetext.com/acts/25.htm| title=|King James Bible with Strong's Numbers| target=|_top|&gt;Strong's&lt;/a&gt;</v>
      </c>
      <c r="AA1043" t="str">
        <f t="shared" si="4168"/>
        <v>&lt;/li&gt;&lt;li&gt;&lt;a href=|http://childrensbibleonline.com/acts/25.htm| title=|The Children's Bible| target=|_top|&gt;Children's&lt;/a&gt;</v>
      </c>
      <c r="AB1043" s="2" t="str">
        <f t="shared" si="4168"/>
        <v>&lt;/li&gt;&lt;li&gt;&lt;a href=|http://tsk.scripturetext.com/acts/25.htm| title=|Treasury of Scripture Knowledge| target=|_top|&gt;TSK&lt;/a&gt;</v>
      </c>
      <c r="AC1043" t="str">
        <f>CONCATENATE("&lt;a href=|http://",AC1191,"/acts/25.htm","| ","title=|",AC1190,"| target=|_top|&gt;",AC1192,"&lt;/a&gt;")</f>
        <v>&lt;a href=|http://parallelbible.com/acts/25.htm| title=|Parallel Chapters| target=|_top|&gt;PAR&lt;/a&gt;</v>
      </c>
      <c r="AD1043" s="2" t="str">
        <f t="shared" ref="AD1043:AI1043" si="4170">CONCATENATE("&lt;/li&gt;&lt;li&gt;&lt;a href=|http://",AD1191,"/acts/25.htm","| ","title=|",AD1190,"| target=|_top|&gt;",AD1192,"&lt;/a&gt;")</f>
        <v>&lt;/li&gt;&lt;li&gt;&lt;a href=|http://gsb.biblecommenter.com/acts/25.htm| title=|Geneva Study Bible| target=|_top|&gt;GSB&lt;/a&gt;</v>
      </c>
      <c r="AE1043" s="2" t="str">
        <f t="shared" si="4170"/>
        <v>&lt;/li&gt;&lt;li&gt;&lt;a href=|http://jfb.biblecommenter.com/acts/25.htm| title=|Jamieson-Fausset-Brown Bible Commentary| target=|_top|&gt;JFB&lt;/a&gt;</v>
      </c>
      <c r="AF1043" s="2" t="str">
        <f t="shared" si="4170"/>
        <v>&lt;/li&gt;&lt;li&gt;&lt;a href=|http://kjt.biblecommenter.com/acts/25.htm| title=|King James Translators' Notes| target=|_top|&gt;KJT&lt;/a&gt;</v>
      </c>
      <c r="AG1043" s="2" t="str">
        <f t="shared" si="4170"/>
        <v>&lt;/li&gt;&lt;li&gt;&lt;a href=|http://mhc.biblecommenter.com/acts/25.htm| title=|Matthew Henry's Concise Commentary| target=|_top|&gt;MHC&lt;/a&gt;</v>
      </c>
      <c r="AH1043" s="2" t="str">
        <f t="shared" si="4170"/>
        <v>&lt;/li&gt;&lt;li&gt;&lt;a href=|http://sco.biblecommenter.com/acts/25.htm| title=|Scofield Reference Notes| target=|_top|&gt;SCO&lt;/a&gt;</v>
      </c>
      <c r="AI1043" s="2" t="str">
        <f t="shared" si="4170"/>
        <v>&lt;/li&gt;&lt;li&gt;&lt;a href=|http://wes.biblecommenter.com/acts/25.htm| title=|Wesley's Notes on the Bible| target=|_top|&gt;WES&lt;/a&gt;</v>
      </c>
      <c r="AJ1043" t="str">
        <f>CONCATENATE("&lt;/li&gt;&lt;li&gt;&lt;a href=|http://",AJ1191,"/acts/25.htm","| ","title=|",AJ1190,"| target=|_top|&gt;",AJ1192,"&lt;/a&gt;")</f>
        <v>&lt;/li&gt;&lt;li&gt;&lt;a href=|http://worldebible.com/acts/25.htm| title=|World English Bible| target=|_top|&gt;WEB&lt;/a&gt;</v>
      </c>
      <c r="AK1043" t="str">
        <f>CONCATENATE("&lt;/li&gt;&lt;li&gt;&lt;a href=|http://",AK1191,"/acts/25.htm","| ","title=|",AK1190,"| target=|_top|&gt;",AK1192,"&lt;/a&gt;")</f>
        <v>&lt;/li&gt;&lt;li&gt;&lt;a href=|http://yltbible.com/acts/25.htm| title=|Young's Literal Translation| target=|_top|&gt;YLT&lt;/a&gt;</v>
      </c>
      <c r="AL1043" t="str">
        <f>CONCATENATE("&lt;a href=|http://",AL1191,"/acts/25.htm","| ","title=|",AL1190,"| target=|_top|&gt;",AL1192,"&lt;/a&gt;")</f>
        <v>&lt;a href=|http://kjv.us/acts/25.htm| title=|American King James Version| target=|_top|&gt;AKJ&lt;/a&gt;</v>
      </c>
      <c r="AM1043" t="str">
        <f t="shared" ref="AM1043:AS1043" si="4171">CONCATENATE("&lt;/li&gt;&lt;li&gt;&lt;a href=|http://",AM1191,"/acts/25.htm","| ","title=|",AM1190,"| target=|_top|&gt;",AM1192,"&lt;/a&gt;")</f>
        <v>&lt;/li&gt;&lt;li&gt;&lt;a href=|http://basicenglishbible.com/acts/25.htm| title=|Bible in Basic English| target=|_top|&gt;BBE&lt;/a&gt;</v>
      </c>
      <c r="AN1043" t="str">
        <f t="shared" si="4171"/>
        <v>&lt;/li&gt;&lt;li&gt;&lt;a href=|http://darbybible.com/acts/25.htm| title=|Darby Bible Translation| target=|_top|&gt;DBY&lt;/a&gt;</v>
      </c>
      <c r="AO1043" t="str">
        <f t="shared" si="4171"/>
        <v>&lt;/li&gt;&lt;li&gt;&lt;a href=|http://isv.scripturetext.com/acts/25.htm| title=|International Standard Version| target=|_top|&gt;ISV&lt;/a&gt;</v>
      </c>
      <c r="AP1043" t="str">
        <f t="shared" si="4171"/>
        <v>&lt;/li&gt;&lt;li&gt;&lt;a href=|http://tnt.scripturetext.com/acts/25.htm| title=|Tyndale New Testament| target=|_top|&gt;TNT&lt;/a&gt;</v>
      </c>
      <c r="AQ1043" s="2" t="str">
        <f t="shared" si="4171"/>
        <v>&lt;/li&gt;&lt;li&gt;&lt;a href=|http://pnt.biblecommenter.com/acts/25.htm| title=|People's New Testament| target=|_top|&gt;PNT&lt;/a&gt;</v>
      </c>
      <c r="AR1043" t="str">
        <f t="shared" si="4171"/>
        <v>&lt;/li&gt;&lt;li&gt;&lt;a href=|http://websterbible.com/acts/25.htm| title=|Webster's Bible Translation| target=|_top|&gt;WBS&lt;/a&gt;</v>
      </c>
      <c r="AS1043" t="str">
        <f t="shared" si="4171"/>
        <v>&lt;/li&gt;&lt;li&gt;&lt;a href=|http://weymouthbible.com/acts/25.htm| title=|Weymouth New Testament| target=|_top|&gt;WEY&lt;/a&gt;</v>
      </c>
      <c r="AT1043" t="str">
        <f>CONCATENATE("&lt;/li&gt;&lt;li&gt;&lt;a href=|http://",AT1191,"/acts/25-1.htm","| ","title=|",AT1190,"| target=|_top|&gt;",AT1192,"&lt;/a&gt;")</f>
        <v>&lt;/li&gt;&lt;li&gt;&lt;a href=|http://biblebrowser.com/acts/25-1.htm| title=|Split View| target=|_top|&gt;Split&lt;/a&gt;</v>
      </c>
      <c r="AU1043" s="2" t="s">
        <v>1276</v>
      </c>
      <c r="AV1043" t="s">
        <v>64</v>
      </c>
    </row>
    <row r="1044" spans="1:48">
      <c r="A1044" t="s">
        <v>622</v>
      </c>
      <c r="B1044" t="s">
        <v>475</v>
      </c>
      <c r="C1044" t="s">
        <v>624</v>
      </c>
      <c r="D1044" t="s">
        <v>1268</v>
      </c>
      <c r="E1044" t="s">
        <v>1277</v>
      </c>
      <c r="F1044" t="s">
        <v>1304</v>
      </c>
      <c r="G1044" t="s">
        <v>1266</v>
      </c>
      <c r="H1044" t="s">
        <v>1305</v>
      </c>
      <c r="I1044" t="s">
        <v>1303</v>
      </c>
      <c r="J1044" t="s">
        <v>1267</v>
      </c>
      <c r="K1044" t="s">
        <v>1275</v>
      </c>
      <c r="L1044" s="2" t="s">
        <v>1274</v>
      </c>
      <c r="M1044" t="str">
        <f t="shared" ref="M1044:AB1044" si="4172">CONCATENATE("&lt;/li&gt;&lt;li&gt;&lt;a href=|http://",M1191,"/acts/26.htm","| ","title=|",M1190,"| target=|_top|&gt;",M1192,"&lt;/a&gt;")</f>
        <v>&lt;/li&gt;&lt;li&gt;&lt;a href=|http://niv.scripturetext.com/acts/26.htm| title=|New International Version| target=|_top|&gt;NIV&lt;/a&gt;</v>
      </c>
      <c r="N1044" t="str">
        <f t="shared" si="4172"/>
        <v>&lt;/li&gt;&lt;li&gt;&lt;a href=|http://nlt.scripturetext.com/acts/26.htm| title=|New Living Translation| target=|_top|&gt;NLT&lt;/a&gt;</v>
      </c>
      <c r="O1044" t="str">
        <f t="shared" si="4172"/>
        <v>&lt;/li&gt;&lt;li&gt;&lt;a href=|http://nasb.scripturetext.com/acts/26.htm| title=|New American Standard Bible| target=|_top|&gt;NAS&lt;/a&gt;</v>
      </c>
      <c r="P1044" t="str">
        <f t="shared" si="4172"/>
        <v>&lt;/li&gt;&lt;li&gt;&lt;a href=|http://gwt.scripturetext.com/acts/26.htm| title=|God's Word Translation| target=|_top|&gt;GWT&lt;/a&gt;</v>
      </c>
      <c r="Q1044" t="str">
        <f t="shared" si="4172"/>
        <v>&lt;/li&gt;&lt;li&gt;&lt;a href=|http://kingjbible.com/acts/26.htm| title=|King James Bible| target=|_top|&gt;KJV&lt;/a&gt;</v>
      </c>
      <c r="R1044" t="str">
        <f t="shared" si="4172"/>
        <v>&lt;/li&gt;&lt;li&gt;&lt;a href=|http://asvbible.com/acts/26.htm| title=|American Standard Version| target=|_top|&gt;ASV&lt;/a&gt;</v>
      </c>
      <c r="S1044" t="str">
        <f t="shared" si="4172"/>
        <v>&lt;/li&gt;&lt;li&gt;&lt;a href=|http://drb.scripturetext.com/acts/26.htm| title=|Douay-Rheims Bible| target=|_top|&gt;DRB&lt;/a&gt;</v>
      </c>
      <c r="T1044" t="str">
        <f t="shared" si="4172"/>
        <v>&lt;/li&gt;&lt;li&gt;&lt;a href=|http://erv.scripturetext.com/acts/26.htm| title=|English Revised Version| target=|_top|&gt;ERV&lt;/a&gt;</v>
      </c>
      <c r="U1044" t="str">
        <f>CONCATENATE("&lt;/li&gt;&lt;li&gt;&lt;a href=|http://",U1191,"/acts/26.htm","| ","title=|",U1190,"| target=|_top|&gt;",U1192,"&lt;/a&gt;")</f>
        <v>&lt;/li&gt;&lt;li&gt;&lt;a href=|http://study.interlinearbible.org/acts/26.htm| title=|Greek Study Bible| target=|_top|&gt;Grk Study&lt;/a&gt;</v>
      </c>
      <c r="W1044" t="str">
        <f t="shared" si="4172"/>
        <v>&lt;/li&gt;&lt;li&gt;&lt;a href=|http://apostolic.interlinearbible.org/acts/26.htm| title=|Apostolic Bible Polyglot Interlinear| target=|_top|&gt;Polyglot&lt;/a&gt;</v>
      </c>
      <c r="X1044" t="str">
        <f t="shared" si="4172"/>
        <v>&lt;/li&gt;&lt;li&gt;&lt;a href=|http://interlinearbible.org/acts/26.htm| title=|Interlinear Bible| target=|_top|&gt;Interlin&lt;/a&gt;</v>
      </c>
      <c r="Y1044" t="str">
        <f t="shared" ref="Y1044" si="4173">CONCATENATE("&lt;/li&gt;&lt;li&gt;&lt;a href=|http://",Y1191,"/acts/26.htm","| ","title=|",Y1190,"| target=|_top|&gt;",Y1192,"&lt;/a&gt;")</f>
        <v>&lt;/li&gt;&lt;li&gt;&lt;a href=|http://bibleoutline.org/acts/26.htm| title=|Outline with People and Places List| target=|_top|&gt;Outline&lt;/a&gt;</v>
      </c>
      <c r="Z1044" t="str">
        <f t="shared" si="4172"/>
        <v>&lt;/li&gt;&lt;li&gt;&lt;a href=|http://kjvs.scripturetext.com/acts/26.htm| title=|King James Bible with Strong's Numbers| target=|_top|&gt;Strong's&lt;/a&gt;</v>
      </c>
      <c r="AA1044" t="str">
        <f t="shared" si="4172"/>
        <v>&lt;/li&gt;&lt;li&gt;&lt;a href=|http://childrensbibleonline.com/acts/26.htm| title=|The Children's Bible| target=|_top|&gt;Children's&lt;/a&gt;</v>
      </c>
      <c r="AB1044" s="2" t="str">
        <f t="shared" si="4172"/>
        <v>&lt;/li&gt;&lt;li&gt;&lt;a href=|http://tsk.scripturetext.com/acts/26.htm| title=|Treasury of Scripture Knowledge| target=|_top|&gt;TSK&lt;/a&gt;</v>
      </c>
      <c r="AC1044" t="str">
        <f>CONCATENATE("&lt;a href=|http://",AC1191,"/acts/26.htm","| ","title=|",AC1190,"| target=|_top|&gt;",AC1192,"&lt;/a&gt;")</f>
        <v>&lt;a href=|http://parallelbible.com/acts/26.htm| title=|Parallel Chapters| target=|_top|&gt;PAR&lt;/a&gt;</v>
      </c>
      <c r="AD1044" s="2" t="str">
        <f t="shared" ref="AD1044:AI1044" si="4174">CONCATENATE("&lt;/li&gt;&lt;li&gt;&lt;a href=|http://",AD1191,"/acts/26.htm","| ","title=|",AD1190,"| target=|_top|&gt;",AD1192,"&lt;/a&gt;")</f>
        <v>&lt;/li&gt;&lt;li&gt;&lt;a href=|http://gsb.biblecommenter.com/acts/26.htm| title=|Geneva Study Bible| target=|_top|&gt;GSB&lt;/a&gt;</v>
      </c>
      <c r="AE1044" s="2" t="str">
        <f t="shared" si="4174"/>
        <v>&lt;/li&gt;&lt;li&gt;&lt;a href=|http://jfb.biblecommenter.com/acts/26.htm| title=|Jamieson-Fausset-Brown Bible Commentary| target=|_top|&gt;JFB&lt;/a&gt;</v>
      </c>
      <c r="AF1044" s="2" t="str">
        <f t="shared" si="4174"/>
        <v>&lt;/li&gt;&lt;li&gt;&lt;a href=|http://kjt.biblecommenter.com/acts/26.htm| title=|King James Translators' Notes| target=|_top|&gt;KJT&lt;/a&gt;</v>
      </c>
      <c r="AG1044" s="2" t="str">
        <f t="shared" si="4174"/>
        <v>&lt;/li&gt;&lt;li&gt;&lt;a href=|http://mhc.biblecommenter.com/acts/26.htm| title=|Matthew Henry's Concise Commentary| target=|_top|&gt;MHC&lt;/a&gt;</v>
      </c>
      <c r="AH1044" s="2" t="str">
        <f t="shared" si="4174"/>
        <v>&lt;/li&gt;&lt;li&gt;&lt;a href=|http://sco.biblecommenter.com/acts/26.htm| title=|Scofield Reference Notes| target=|_top|&gt;SCO&lt;/a&gt;</v>
      </c>
      <c r="AI1044" s="2" t="str">
        <f t="shared" si="4174"/>
        <v>&lt;/li&gt;&lt;li&gt;&lt;a href=|http://wes.biblecommenter.com/acts/26.htm| title=|Wesley's Notes on the Bible| target=|_top|&gt;WES&lt;/a&gt;</v>
      </c>
      <c r="AJ1044" t="str">
        <f>CONCATENATE("&lt;/li&gt;&lt;li&gt;&lt;a href=|http://",AJ1191,"/acts/26.htm","| ","title=|",AJ1190,"| target=|_top|&gt;",AJ1192,"&lt;/a&gt;")</f>
        <v>&lt;/li&gt;&lt;li&gt;&lt;a href=|http://worldebible.com/acts/26.htm| title=|World English Bible| target=|_top|&gt;WEB&lt;/a&gt;</v>
      </c>
      <c r="AK1044" t="str">
        <f>CONCATENATE("&lt;/li&gt;&lt;li&gt;&lt;a href=|http://",AK1191,"/acts/26.htm","| ","title=|",AK1190,"| target=|_top|&gt;",AK1192,"&lt;/a&gt;")</f>
        <v>&lt;/li&gt;&lt;li&gt;&lt;a href=|http://yltbible.com/acts/26.htm| title=|Young's Literal Translation| target=|_top|&gt;YLT&lt;/a&gt;</v>
      </c>
      <c r="AL1044" t="str">
        <f>CONCATENATE("&lt;a href=|http://",AL1191,"/acts/26.htm","| ","title=|",AL1190,"| target=|_top|&gt;",AL1192,"&lt;/a&gt;")</f>
        <v>&lt;a href=|http://kjv.us/acts/26.htm| title=|American King James Version| target=|_top|&gt;AKJ&lt;/a&gt;</v>
      </c>
      <c r="AM1044" t="str">
        <f t="shared" ref="AM1044:AS1044" si="4175">CONCATENATE("&lt;/li&gt;&lt;li&gt;&lt;a href=|http://",AM1191,"/acts/26.htm","| ","title=|",AM1190,"| target=|_top|&gt;",AM1192,"&lt;/a&gt;")</f>
        <v>&lt;/li&gt;&lt;li&gt;&lt;a href=|http://basicenglishbible.com/acts/26.htm| title=|Bible in Basic English| target=|_top|&gt;BBE&lt;/a&gt;</v>
      </c>
      <c r="AN1044" t="str">
        <f t="shared" si="4175"/>
        <v>&lt;/li&gt;&lt;li&gt;&lt;a href=|http://darbybible.com/acts/26.htm| title=|Darby Bible Translation| target=|_top|&gt;DBY&lt;/a&gt;</v>
      </c>
      <c r="AO1044" t="str">
        <f t="shared" si="4175"/>
        <v>&lt;/li&gt;&lt;li&gt;&lt;a href=|http://isv.scripturetext.com/acts/26.htm| title=|International Standard Version| target=|_top|&gt;ISV&lt;/a&gt;</v>
      </c>
      <c r="AP1044" t="str">
        <f t="shared" si="4175"/>
        <v>&lt;/li&gt;&lt;li&gt;&lt;a href=|http://tnt.scripturetext.com/acts/26.htm| title=|Tyndale New Testament| target=|_top|&gt;TNT&lt;/a&gt;</v>
      </c>
      <c r="AQ1044" s="2" t="str">
        <f t="shared" si="4175"/>
        <v>&lt;/li&gt;&lt;li&gt;&lt;a href=|http://pnt.biblecommenter.com/acts/26.htm| title=|People's New Testament| target=|_top|&gt;PNT&lt;/a&gt;</v>
      </c>
      <c r="AR1044" t="str">
        <f t="shared" si="4175"/>
        <v>&lt;/li&gt;&lt;li&gt;&lt;a href=|http://websterbible.com/acts/26.htm| title=|Webster's Bible Translation| target=|_top|&gt;WBS&lt;/a&gt;</v>
      </c>
      <c r="AS1044" t="str">
        <f t="shared" si="4175"/>
        <v>&lt;/li&gt;&lt;li&gt;&lt;a href=|http://weymouthbible.com/acts/26.htm| title=|Weymouth New Testament| target=|_top|&gt;WEY&lt;/a&gt;</v>
      </c>
      <c r="AT1044" t="str">
        <f>CONCATENATE("&lt;/li&gt;&lt;li&gt;&lt;a href=|http://",AT1191,"/acts/26-1.htm","| ","title=|",AT1190,"| target=|_top|&gt;",AT1192,"&lt;/a&gt;")</f>
        <v>&lt;/li&gt;&lt;li&gt;&lt;a href=|http://biblebrowser.com/acts/26-1.htm| title=|Split View| target=|_top|&gt;Split&lt;/a&gt;</v>
      </c>
      <c r="AU1044" s="2" t="s">
        <v>1276</v>
      </c>
      <c r="AV1044" t="s">
        <v>64</v>
      </c>
    </row>
    <row r="1045" spans="1:48">
      <c r="A1045" t="s">
        <v>622</v>
      </c>
      <c r="B1045" t="s">
        <v>476</v>
      </c>
      <c r="C1045" t="s">
        <v>624</v>
      </c>
      <c r="D1045" t="s">
        <v>1268</v>
      </c>
      <c r="E1045" t="s">
        <v>1277</v>
      </c>
      <c r="F1045" t="s">
        <v>1304</v>
      </c>
      <c r="G1045" t="s">
        <v>1266</v>
      </c>
      <c r="H1045" t="s">
        <v>1305</v>
      </c>
      <c r="I1045" t="s">
        <v>1303</v>
      </c>
      <c r="J1045" t="s">
        <v>1267</v>
      </c>
      <c r="K1045" t="s">
        <v>1275</v>
      </c>
      <c r="L1045" s="2" t="s">
        <v>1274</v>
      </c>
      <c r="M1045" t="str">
        <f t="shared" ref="M1045:AB1045" si="4176">CONCATENATE("&lt;/li&gt;&lt;li&gt;&lt;a href=|http://",M1191,"/acts/27.htm","| ","title=|",M1190,"| target=|_top|&gt;",M1192,"&lt;/a&gt;")</f>
        <v>&lt;/li&gt;&lt;li&gt;&lt;a href=|http://niv.scripturetext.com/acts/27.htm| title=|New International Version| target=|_top|&gt;NIV&lt;/a&gt;</v>
      </c>
      <c r="N1045" t="str">
        <f t="shared" si="4176"/>
        <v>&lt;/li&gt;&lt;li&gt;&lt;a href=|http://nlt.scripturetext.com/acts/27.htm| title=|New Living Translation| target=|_top|&gt;NLT&lt;/a&gt;</v>
      </c>
      <c r="O1045" t="str">
        <f t="shared" si="4176"/>
        <v>&lt;/li&gt;&lt;li&gt;&lt;a href=|http://nasb.scripturetext.com/acts/27.htm| title=|New American Standard Bible| target=|_top|&gt;NAS&lt;/a&gt;</v>
      </c>
      <c r="P1045" t="str">
        <f t="shared" si="4176"/>
        <v>&lt;/li&gt;&lt;li&gt;&lt;a href=|http://gwt.scripturetext.com/acts/27.htm| title=|God's Word Translation| target=|_top|&gt;GWT&lt;/a&gt;</v>
      </c>
      <c r="Q1045" t="str">
        <f t="shared" si="4176"/>
        <v>&lt;/li&gt;&lt;li&gt;&lt;a href=|http://kingjbible.com/acts/27.htm| title=|King James Bible| target=|_top|&gt;KJV&lt;/a&gt;</v>
      </c>
      <c r="R1045" t="str">
        <f t="shared" si="4176"/>
        <v>&lt;/li&gt;&lt;li&gt;&lt;a href=|http://asvbible.com/acts/27.htm| title=|American Standard Version| target=|_top|&gt;ASV&lt;/a&gt;</v>
      </c>
      <c r="S1045" t="str">
        <f t="shared" si="4176"/>
        <v>&lt;/li&gt;&lt;li&gt;&lt;a href=|http://drb.scripturetext.com/acts/27.htm| title=|Douay-Rheims Bible| target=|_top|&gt;DRB&lt;/a&gt;</v>
      </c>
      <c r="T1045" t="str">
        <f t="shared" si="4176"/>
        <v>&lt;/li&gt;&lt;li&gt;&lt;a href=|http://erv.scripturetext.com/acts/27.htm| title=|English Revised Version| target=|_top|&gt;ERV&lt;/a&gt;</v>
      </c>
      <c r="U1045" t="str">
        <f>CONCATENATE("&lt;/li&gt;&lt;li&gt;&lt;a href=|http://",U1191,"/acts/27.htm","| ","title=|",U1190,"| target=|_top|&gt;",U1192,"&lt;/a&gt;")</f>
        <v>&lt;/li&gt;&lt;li&gt;&lt;a href=|http://study.interlinearbible.org/acts/27.htm| title=|Greek Study Bible| target=|_top|&gt;Grk Study&lt;/a&gt;</v>
      </c>
      <c r="W1045" t="str">
        <f t="shared" si="4176"/>
        <v>&lt;/li&gt;&lt;li&gt;&lt;a href=|http://apostolic.interlinearbible.org/acts/27.htm| title=|Apostolic Bible Polyglot Interlinear| target=|_top|&gt;Polyglot&lt;/a&gt;</v>
      </c>
      <c r="X1045" t="str">
        <f t="shared" si="4176"/>
        <v>&lt;/li&gt;&lt;li&gt;&lt;a href=|http://interlinearbible.org/acts/27.htm| title=|Interlinear Bible| target=|_top|&gt;Interlin&lt;/a&gt;</v>
      </c>
      <c r="Y1045" t="str">
        <f t="shared" ref="Y1045" si="4177">CONCATENATE("&lt;/li&gt;&lt;li&gt;&lt;a href=|http://",Y1191,"/acts/27.htm","| ","title=|",Y1190,"| target=|_top|&gt;",Y1192,"&lt;/a&gt;")</f>
        <v>&lt;/li&gt;&lt;li&gt;&lt;a href=|http://bibleoutline.org/acts/27.htm| title=|Outline with People and Places List| target=|_top|&gt;Outline&lt;/a&gt;</v>
      </c>
      <c r="Z1045" t="str">
        <f t="shared" si="4176"/>
        <v>&lt;/li&gt;&lt;li&gt;&lt;a href=|http://kjvs.scripturetext.com/acts/27.htm| title=|King James Bible with Strong's Numbers| target=|_top|&gt;Strong's&lt;/a&gt;</v>
      </c>
      <c r="AA1045" t="str">
        <f t="shared" si="4176"/>
        <v>&lt;/li&gt;&lt;li&gt;&lt;a href=|http://childrensbibleonline.com/acts/27.htm| title=|The Children's Bible| target=|_top|&gt;Children's&lt;/a&gt;</v>
      </c>
      <c r="AB1045" s="2" t="str">
        <f t="shared" si="4176"/>
        <v>&lt;/li&gt;&lt;li&gt;&lt;a href=|http://tsk.scripturetext.com/acts/27.htm| title=|Treasury of Scripture Knowledge| target=|_top|&gt;TSK&lt;/a&gt;</v>
      </c>
      <c r="AC1045" t="str">
        <f>CONCATENATE("&lt;a href=|http://",AC1191,"/acts/27.htm","| ","title=|",AC1190,"| target=|_top|&gt;",AC1192,"&lt;/a&gt;")</f>
        <v>&lt;a href=|http://parallelbible.com/acts/27.htm| title=|Parallel Chapters| target=|_top|&gt;PAR&lt;/a&gt;</v>
      </c>
      <c r="AD1045" s="2" t="str">
        <f t="shared" ref="AD1045:AI1045" si="4178">CONCATENATE("&lt;/li&gt;&lt;li&gt;&lt;a href=|http://",AD1191,"/acts/27.htm","| ","title=|",AD1190,"| target=|_top|&gt;",AD1192,"&lt;/a&gt;")</f>
        <v>&lt;/li&gt;&lt;li&gt;&lt;a href=|http://gsb.biblecommenter.com/acts/27.htm| title=|Geneva Study Bible| target=|_top|&gt;GSB&lt;/a&gt;</v>
      </c>
      <c r="AE1045" s="2" t="str">
        <f t="shared" si="4178"/>
        <v>&lt;/li&gt;&lt;li&gt;&lt;a href=|http://jfb.biblecommenter.com/acts/27.htm| title=|Jamieson-Fausset-Brown Bible Commentary| target=|_top|&gt;JFB&lt;/a&gt;</v>
      </c>
      <c r="AF1045" s="2" t="str">
        <f t="shared" si="4178"/>
        <v>&lt;/li&gt;&lt;li&gt;&lt;a href=|http://kjt.biblecommenter.com/acts/27.htm| title=|King James Translators' Notes| target=|_top|&gt;KJT&lt;/a&gt;</v>
      </c>
      <c r="AG1045" s="2" t="str">
        <f t="shared" si="4178"/>
        <v>&lt;/li&gt;&lt;li&gt;&lt;a href=|http://mhc.biblecommenter.com/acts/27.htm| title=|Matthew Henry's Concise Commentary| target=|_top|&gt;MHC&lt;/a&gt;</v>
      </c>
      <c r="AH1045" s="2" t="str">
        <f t="shared" si="4178"/>
        <v>&lt;/li&gt;&lt;li&gt;&lt;a href=|http://sco.biblecommenter.com/acts/27.htm| title=|Scofield Reference Notes| target=|_top|&gt;SCO&lt;/a&gt;</v>
      </c>
      <c r="AI1045" s="2" t="str">
        <f t="shared" si="4178"/>
        <v>&lt;/li&gt;&lt;li&gt;&lt;a href=|http://wes.biblecommenter.com/acts/27.htm| title=|Wesley's Notes on the Bible| target=|_top|&gt;WES&lt;/a&gt;</v>
      </c>
      <c r="AJ1045" t="str">
        <f>CONCATENATE("&lt;/li&gt;&lt;li&gt;&lt;a href=|http://",AJ1191,"/acts/27.htm","| ","title=|",AJ1190,"| target=|_top|&gt;",AJ1192,"&lt;/a&gt;")</f>
        <v>&lt;/li&gt;&lt;li&gt;&lt;a href=|http://worldebible.com/acts/27.htm| title=|World English Bible| target=|_top|&gt;WEB&lt;/a&gt;</v>
      </c>
      <c r="AK1045" t="str">
        <f>CONCATENATE("&lt;/li&gt;&lt;li&gt;&lt;a href=|http://",AK1191,"/acts/27.htm","| ","title=|",AK1190,"| target=|_top|&gt;",AK1192,"&lt;/a&gt;")</f>
        <v>&lt;/li&gt;&lt;li&gt;&lt;a href=|http://yltbible.com/acts/27.htm| title=|Young's Literal Translation| target=|_top|&gt;YLT&lt;/a&gt;</v>
      </c>
      <c r="AL1045" t="str">
        <f>CONCATENATE("&lt;a href=|http://",AL1191,"/acts/27.htm","| ","title=|",AL1190,"| target=|_top|&gt;",AL1192,"&lt;/a&gt;")</f>
        <v>&lt;a href=|http://kjv.us/acts/27.htm| title=|American King James Version| target=|_top|&gt;AKJ&lt;/a&gt;</v>
      </c>
      <c r="AM1045" t="str">
        <f t="shared" ref="AM1045:AS1045" si="4179">CONCATENATE("&lt;/li&gt;&lt;li&gt;&lt;a href=|http://",AM1191,"/acts/27.htm","| ","title=|",AM1190,"| target=|_top|&gt;",AM1192,"&lt;/a&gt;")</f>
        <v>&lt;/li&gt;&lt;li&gt;&lt;a href=|http://basicenglishbible.com/acts/27.htm| title=|Bible in Basic English| target=|_top|&gt;BBE&lt;/a&gt;</v>
      </c>
      <c r="AN1045" t="str">
        <f t="shared" si="4179"/>
        <v>&lt;/li&gt;&lt;li&gt;&lt;a href=|http://darbybible.com/acts/27.htm| title=|Darby Bible Translation| target=|_top|&gt;DBY&lt;/a&gt;</v>
      </c>
      <c r="AO1045" t="str">
        <f t="shared" si="4179"/>
        <v>&lt;/li&gt;&lt;li&gt;&lt;a href=|http://isv.scripturetext.com/acts/27.htm| title=|International Standard Version| target=|_top|&gt;ISV&lt;/a&gt;</v>
      </c>
      <c r="AP1045" t="str">
        <f t="shared" si="4179"/>
        <v>&lt;/li&gt;&lt;li&gt;&lt;a href=|http://tnt.scripturetext.com/acts/27.htm| title=|Tyndale New Testament| target=|_top|&gt;TNT&lt;/a&gt;</v>
      </c>
      <c r="AQ1045" s="2" t="str">
        <f t="shared" si="4179"/>
        <v>&lt;/li&gt;&lt;li&gt;&lt;a href=|http://pnt.biblecommenter.com/acts/27.htm| title=|People's New Testament| target=|_top|&gt;PNT&lt;/a&gt;</v>
      </c>
      <c r="AR1045" t="str">
        <f t="shared" si="4179"/>
        <v>&lt;/li&gt;&lt;li&gt;&lt;a href=|http://websterbible.com/acts/27.htm| title=|Webster's Bible Translation| target=|_top|&gt;WBS&lt;/a&gt;</v>
      </c>
      <c r="AS1045" t="str">
        <f t="shared" si="4179"/>
        <v>&lt;/li&gt;&lt;li&gt;&lt;a href=|http://weymouthbible.com/acts/27.htm| title=|Weymouth New Testament| target=|_top|&gt;WEY&lt;/a&gt;</v>
      </c>
      <c r="AT1045" t="str">
        <f>CONCATENATE("&lt;/li&gt;&lt;li&gt;&lt;a href=|http://",AT1191,"/acts/27-1.htm","| ","title=|",AT1190,"| target=|_top|&gt;",AT1192,"&lt;/a&gt;")</f>
        <v>&lt;/li&gt;&lt;li&gt;&lt;a href=|http://biblebrowser.com/acts/27-1.htm| title=|Split View| target=|_top|&gt;Split&lt;/a&gt;</v>
      </c>
      <c r="AU1045" s="2" t="s">
        <v>1276</v>
      </c>
      <c r="AV1045" t="s">
        <v>64</v>
      </c>
    </row>
    <row r="1046" spans="1:48">
      <c r="A1046" t="s">
        <v>622</v>
      </c>
      <c r="B1046" t="s">
        <v>477</v>
      </c>
      <c r="C1046" t="s">
        <v>624</v>
      </c>
      <c r="D1046" t="s">
        <v>1268</v>
      </c>
      <c r="E1046" t="s">
        <v>1277</v>
      </c>
      <c r="F1046" t="s">
        <v>1304</v>
      </c>
      <c r="G1046" t="s">
        <v>1266</v>
      </c>
      <c r="H1046" t="s">
        <v>1305</v>
      </c>
      <c r="I1046" t="s">
        <v>1303</v>
      </c>
      <c r="J1046" t="s">
        <v>1267</v>
      </c>
      <c r="K1046" t="s">
        <v>1275</v>
      </c>
      <c r="L1046" s="2" t="s">
        <v>1274</v>
      </c>
      <c r="M1046" t="str">
        <f t="shared" ref="M1046:AB1046" si="4180">CONCATENATE("&lt;/li&gt;&lt;li&gt;&lt;a href=|http://",M1191,"/acts/28.htm","| ","title=|",M1190,"| target=|_top|&gt;",M1192,"&lt;/a&gt;")</f>
        <v>&lt;/li&gt;&lt;li&gt;&lt;a href=|http://niv.scripturetext.com/acts/28.htm| title=|New International Version| target=|_top|&gt;NIV&lt;/a&gt;</v>
      </c>
      <c r="N1046" t="str">
        <f t="shared" si="4180"/>
        <v>&lt;/li&gt;&lt;li&gt;&lt;a href=|http://nlt.scripturetext.com/acts/28.htm| title=|New Living Translation| target=|_top|&gt;NLT&lt;/a&gt;</v>
      </c>
      <c r="O1046" t="str">
        <f t="shared" si="4180"/>
        <v>&lt;/li&gt;&lt;li&gt;&lt;a href=|http://nasb.scripturetext.com/acts/28.htm| title=|New American Standard Bible| target=|_top|&gt;NAS&lt;/a&gt;</v>
      </c>
      <c r="P1046" t="str">
        <f t="shared" si="4180"/>
        <v>&lt;/li&gt;&lt;li&gt;&lt;a href=|http://gwt.scripturetext.com/acts/28.htm| title=|God's Word Translation| target=|_top|&gt;GWT&lt;/a&gt;</v>
      </c>
      <c r="Q1046" t="str">
        <f t="shared" si="4180"/>
        <v>&lt;/li&gt;&lt;li&gt;&lt;a href=|http://kingjbible.com/acts/28.htm| title=|King James Bible| target=|_top|&gt;KJV&lt;/a&gt;</v>
      </c>
      <c r="R1046" t="str">
        <f t="shared" si="4180"/>
        <v>&lt;/li&gt;&lt;li&gt;&lt;a href=|http://asvbible.com/acts/28.htm| title=|American Standard Version| target=|_top|&gt;ASV&lt;/a&gt;</v>
      </c>
      <c r="S1046" t="str">
        <f t="shared" si="4180"/>
        <v>&lt;/li&gt;&lt;li&gt;&lt;a href=|http://drb.scripturetext.com/acts/28.htm| title=|Douay-Rheims Bible| target=|_top|&gt;DRB&lt;/a&gt;</v>
      </c>
      <c r="T1046" t="str">
        <f t="shared" si="4180"/>
        <v>&lt;/li&gt;&lt;li&gt;&lt;a href=|http://erv.scripturetext.com/acts/28.htm| title=|English Revised Version| target=|_top|&gt;ERV&lt;/a&gt;</v>
      </c>
      <c r="U1046" t="str">
        <f>CONCATENATE("&lt;/li&gt;&lt;li&gt;&lt;a href=|http://",U1191,"/acts/28.htm","| ","title=|",U1190,"| target=|_top|&gt;",U1192,"&lt;/a&gt;")</f>
        <v>&lt;/li&gt;&lt;li&gt;&lt;a href=|http://study.interlinearbible.org/acts/28.htm| title=|Greek Study Bible| target=|_top|&gt;Grk Study&lt;/a&gt;</v>
      </c>
      <c r="W1046" t="str">
        <f t="shared" si="4180"/>
        <v>&lt;/li&gt;&lt;li&gt;&lt;a href=|http://apostolic.interlinearbible.org/acts/28.htm| title=|Apostolic Bible Polyglot Interlinear| target=|_top|&gt;Polyglot&lt;/a&gt;</v>
      </c>
      <c r="X1046" t="str">
        <f t="shared" si="4180"/>
        <v>&lt;/li&gt;&lt;li&gt;&lt;a href=|http://interlinearbible.org/acts/28.htm| title=|Interlinear Bible| target=|_top|&gt;Interlin&lt;/a&gt;</v>
      </c>
      <c r="Y1046" t="str">
        <f t="shared" ref="Y1046" si="4181">CONCATENATE("&lt;/li&gt;&lt;li&gt;&lt;a href=|http://",Y1191,"/acts/28.htm","| ","title=|",Y1190,"| target=|_top|&gt;",Y1192,"&lt;/a&gt;")</f>
        <v>&lt;/li&gt;&lt;li&gt;&lt;a href=|http://bibleoutline.org/acts/28.htm| title=|Outline with People and Places List| target=|_top|&gt;Outline&lt;/a&gt;</v>
      </c>
      <c r="Z1046" t="str">
        <f t="shared" si="4180"/>
        <v>&lt;/li&gt;&lt;li&gt;&lt;a href=|http://kjvs.scripturetext.com/acts/28.htm| title=|King James Bible with Strong's Numbers| target=|_top|&gt;Strong's&lt;/a&gt;</v>
      </c>
      <c r="AA1046" t="str">
        <f t="shared" si="4180"/>
        <v>&lt;/li&gt;&lt;li&gt;&lt;a href=|http://childrensbibleonline.com/acts/28.htm| title=|The Children's Bible| target=|_top|&gt;Children's&lt;/a&gt;</v>
      </c>
      <c r="AB1046" s="2" t="str">
        <f t="shared" si="4180"/>
        <v>&lt;/li&gt;&lt;li&gt;&lt;a href=|http://tsk.scripturetext.com/acts/28.htm| title=|Treasury of Scripture Knowledge| target=|_top|&gt;TSK&lt;/a&gt;</v>
      </c>
      <c r="AC1046" t="str">
        <f>CONCATENATE("&lt;a href=|http://",AC1191,"/acts/28.htm","| ","title=|",AC1190,"| target=|_top|&gt;",AC1192,"&lt;/a&gt;")</f>
        <v>&lt;a href=|http://parallelbible.com/acts/28.htm| title=|Parallel Chapters| target=|_top|&gt;PAR&lt;/a&gt;</v>
      </c>
      <c r="AD1046" s="2" t="str">
        <f t="shared" ref="AD1046:AI1046" si="4182">CONCATENATE("&lt;/li&gt;&lt;li&gt;&lt;a href=|http://",AD1191,"/acts/28.htm","| ","title=|",AD1190,"| target=|_top|&gt;",AD1192,"&lt;/a&gt;")</f>
        <v>&lt;/li&gt;&lt;li&gt;&lt;a href=|http://gsb.biblecommenter.com/acts/28.htm| title=|Geneva Study Bible| target=|_top|&gt;GSB&lt;/a&gt;</v>
      </c>
      <c r="AE1046" s="2" t="str">
        <f t="shared" si="4182"/>
        <v>&lt;/li&gt;&lt;li&gt;&lt;a href=|http://jfb.biblecommenter.com/acts/28.htm| title=|Jamieson-Fausset-Brown Bible Commentary| target=|_top|&gt;JFB&lt;/a&gt;</v>
      </c>
      <c r="AF1046" s="2" t="str">
        <f t="shared" si="4182"/>
        <v>&lt;/li&gt;&lt;li&gt;&lt;a href=|http://kjt.biblecommenter.com/acts/28.htm| title=|King James Translators' Notes| target=|_top|&gt;KJT&lt;/a&gt;</v>
      </c>
      <c r="AG1046" s="2" t="str">
        <f t="shared" si="4182"/>
        <v>&lt;/li&gt;&lt;li&gt;&lt;a href=|http://mhc.biblecommenter.com/acts/28.htm| title=|Matthew Henry's Concise Commentary| target=|_top|&gt;MHC&lt;/a&gt;</v>
      </c>
      <c r="AH1046" s="2" t="str">
        <f t="shared" si="4182"/>
        <v>&lt;/li&gt;&lt;li&gt;&lt;a href=|http://sco.biblecommenter.com/acts/28.htm| title=|Scofield Reference Notes| target=|_top|&gt;SCO&lt;/a&gt;</v>
      </c>
      <c r="AI1046" s="2" t="str">
        <f t="shared" si="4182"/>
        <v>&lt;/li&gt;&lt;li&gt;&lt;a href=|http://wes.biblecommenter.com/acts/28.htm| title=|Wesley's Notes on the Bible| target=|_top|&gt;WES&lt;/a&gt;</v>
      </c>
      <c r="AJ1046" t="str">
        <f>CONCATENATE("&lt;/li&gt;&lt;li&gt;&lt;a href=|http://",AJ1191,"/acts/28.htm","| ","title=|",AJ1190,"| target=|_top|&gt;",AJ1192,"&lt;/a&gt;")</f>
        <v>&lt;/li&gt;&lt;li&gt;&lt;a href=|http://worldebible.com/acts/28.htm| title=|World English Bible| target=|_top|&gt;WEB&lt;/a&gt;</v>
      </c>
      <c r="AK1046" t="str">
        <f>CONCATENATE("&lt;/li&gt;&lt;li&gt;&lt;a href=|http://",AK1191,"/acts/28.htm","| ","title=|",AK1190,"| target=|_top|&gt;",AK1192,"&lt;/a&gt;")</f>
        <v>&lt;/li&gt;&lt;li&gt;&lt;a href=|http://yltbible.com/acts/28.htm| title=|Young's Literal Translation| target=|_top|&gt;YLT&lt;/a&gt;</v>
      </c>
      <c r="AL1046" t="str">
        <f>CONCATENATE("&lt;a href=|http://",AL1191,"/acts/28.htm","| ","title=|",AL1190,"| target=|_top|&gt;",AL1192,"&lt;/a&gt;")</f>
        <v>&lt;a href=|http://kjv.us/acts/28.htm| title=|American King James Version| target=|_top|&gt;AKJ&lt;/a&gt;</v>
      </c>
      <c r="AM1046" t="str">
        <f t="shared" ref="AM1046:AS1046" si="4183">CONCATENATE("&lt;/li&gt;&lt;li&gt;&lt;a href=|http://",AM1191,"/acts/28.htm","| ","title=|",AM1190,"| target=|_top|&gt;",AM1192,"&lt;/a&gt;")</f>
        <v>&lt;/li&gt;&lt;li&gt;&lt;a href=|http://basicenglishbible.com/acts/28.htm| title=|Bible in Basic English| target=|_top|&gt;BBE&lt;/a&gt;</v>
      </c>
      <c r="AN1046" t="str">
        <f t="shared" si="4183"/>
        <v>&lt;/li&gt;&lt;li&gt;&lt;a href=|http://darbybible.com/acts/28.htm| title=|Darby Bible Translation| target=|_top|&gt;DBY&lt;/a&gt;</v>
      </c>
      <c r="AO1046" t="str">
        <f t="shared" si="4183"/>
        <v>&lt;/li&gt;&lt;li&gt;&lt;a href=|http://isv.scripturetext.com/acts/28.htm| title=|International Standard Version| target=|_top|&gt;ISV&lt;/a&gt;</v>
      </c>
      <c r="AP1046" t="str">
        <f t="shared" si="4183"/>
        <v>&lt;/li&gt;&lt;li&gt;&lt;a href=|http://tnt.scripturetext.com/acts/28.htm| title=|Tyndale New Testament| target=|_top|&gt;TNT&lt;/a&gt;</v>
      </c>
      <c r="AQ1046" s="2" t="str">
        <f t="shared" si="4183"/>
        <v>&lt;/li&gt;&lt;li&gt;&lt;a href=|http://pnt.biblecommenter.com/acts/28.htm| title=|People's New Testament| target=|_top|&gt;PNT&lt;/a&gt;</v>
      </c>
      <c r="AR1046" t="str">
        <f t="shared" si="4183"/>
        <v>&lt;/li&gt;&lt;li&gt;&lt;a href=|http://websterbible.com/acts/28.htm| title=|Webster's Bible Translation| target=|_top|&gt;WBS&lt;/a&gt;</v>
      </c>
      <c r="AS1046" t="str">
        <f t="shared" si="4183"/>
        <v>&lt;/li&gt;&lt;li&gt;&lt;a href=|http://weymouthbible.com/acts/28.htm| title=|Weymouth New Testament| target=|_top|&gt;WEY&lt;/a&gt;</v>
      </c>
      <c r="AT1046" t="str">
        <f>CONCATENATE("&lt;/li&gt;&lt;li&gt;&lt;a href=|http://",AT1191,"/acts/28-1.htm","| ","title=|",AT1190,"| target=|_top|&gt;",AT1192,"&lt;/a&gt;")</f>
        <v>&lt;/li&gt;&lt;li&gt;&lt;a href=|http://biblebrowser.com/acts/28-1.htm| title=|Split View| target=|_top|&gt;Split&lt;/a&gt;</v>
      </c>
      <c r="AU1046" s="2" t="s">
        <v>1276</v>
      </c>
      <c r="AV1046" t="s">
        <v>64</v>
      </c>
    </row>
    <row r="1047" spans="1:48">
      <c r="A1047" t="s">
        <v>622</v>
      </c>
      <c r="B1047" t="s">
        <v>478</v>
      </c>
      <c r="C1047" t="s">
        <v>624</v>
      </c>
      <c r="D1047" t="s">
        <v>1268</v>
      </c>
      <c r="E1047" t="s">
        <v>1277</v>
      </c>
      <c r="F1047" t="s">
        <v>1304</v>
      </c>
      <c r="G1047" t="s">
        <v>1266</v>
      </c>
      <c r="H1047" t="s">
        <v>1305</v>
      </c>
      <c r="I1047" t="s">
        <v>1303</v>
      </c>
      <c r="J1047" t="s">
        <v>1267</v>
      </c>
      <c r="K1047" t="s">
        <v>1275</v>
      </c>
      <c r="L1047" s="2" t="s">
        <v>1274</v>
      </c>
      <c r="M1047" t="str">
        <f t="shared" ref="M1047:AB1047" si="4184">CONCATENATE("&lt;/li&gt;&lt;li&gt;&lt;a href=|http://",M1191,"/romans/1.htm","| ","title=|",M1190,"| target=|_top|&gt;",M1192,"&lt;/a&gt;")</f>
        <v>&lt;/li&gt;&lt;li&gt;&lt;a href=|http://niv.scripturetext.com/romans/1.htm| title=|New International Version| target=|_top|&gt;NIV&lt;/a&gt;</v>
      </c>
      <c r="N1047" t="str">
        <f t="shared" si="4184"/>
        <v>&lt;/li&gt;&lt;li&gt;&lt;a href=|http://nlt.scripturetext.com/romans/1.htm| title=|New Living Translation| target=|_top|&gt;NLT&lt;/a&gt;</v>
      </c>
      <c r="O1047" t="str">
        <f t="shared" si="4184"/>
        <v>&lt;/li&gt;&lt;li&gt;&lt;a href=|http://nasb.scripturetext.com/romans/1.htm| title=|New American Standard Bible| target=|_top|&gt;NAS&lt;/a&gt;</v>
      </c>
      <c r="P1047" t="str">
        <f t="shared" si="4184"/>
        <v>&lt;/li&gt;&lt;li&gt;&lt;a href=|http://gwt.scripturetext.com/romans/1.htm| title=|God's Word Translation| target=|_top|&gt;GWT&lt;/a&gt;</v>
      </c>
      <c r="Q1047" t="str">
        <f t="shared" si="4184"/>
        <v>&lt;/li&gt;&lt;li&gt;&lt;a href=|http://kingjbible.com/romans/1.htm| title=|King James Bible| target=|_top|&gt;KJV&lt;/a&gt;</v>
      </c>
      <c r="R1047" t="str">
        <f t="shared" si="4184"/>
        <v>&lt;/li&gt;&lt;li&gt;&lt;a href=|http://asvbible.com/romans/1.htm| title=|American Standard Version| target=|_top|&gt;ASV&lt;/a&gt;</v>
      </c>
      <c r="S1047" t="str">
        <f t="shared" si="4184"/>
        <v>&lt;/li&gt;&lt;li&gt;&lt;a href=|http://drb.scripturetext.com/romans/1.htm| title=|Douay-Rheims Bible| target=|_top|&gt;DRB&lt;/a&gt;</v>
      </c>
      <c r="T1047" t="str">
        <f t="shared" si="4184"/>
        <v>&lt;/li&gt;&lt;li&gt;&lt;a href=|http://erv.scripturetext.com/romans/1.htm| title=|English Revised Version| target=|_top|&gt;ERV&lt;/a&gt;</v>
      </c>
      <c r="U1047" t="str">
        <f>CONCATENATE("&lt;/li&gt;&lt;li&gt;&lt;a href=|http://",U1191,"/romans/1.htm","| ","title=|",U1190,"| target=|_top|&gt;",U1192,"&lt;/a&gt;")</f>
        <v>&lt;/li&gt;&lt;li&gt;&lt;a href=|http://study.interlinearbible.org/romans/1.htm| title=|Greek Study Bible| target=|_top|&gt;Grk Study&lt;/a&gt;</v>
      </c>
      <c r="W1047" t="str">
        <f t="shared" si="4184"/>
        <v>&lt;/li&gt;&lt;li&gt;&lt;a href=|http://apostolic.interlinearbible.org/romans/1.htm| title=|Apostolic Bible Polyglot Interlinear| target=|_top|&gt;Polyglot&lt;/a&gt;</v>
      </c>
      <c r="X1047" t="str">
        <f t="shared" si="4184"/>
        <v>&lt;/li&gt;&lt;li&gt;&lt;a href=|http://interlinearbible.org/romans/1.htm| title=|Interlinear Bible| target=|_top|&gt;Interlin&lt;/a&gt;</v>
      </c>
      <c r="Y1047" t="str">
        <f t="shared" ref="Y1047" si="4185">CONCATENATE("&lt;/li&gt;&lt;li&gt;&lt;a href=|http://",Y1191,"/romans/1.htm","| ","title=|",Y1190,"| target=|_top|&gt;",Y1192,"&lt;/a&gt;")</f>
        <v>&lt;/li&gt;&lt;li&gt;&lt;a href=|http://bibleoutline.org/romans/1.htm| title=|Outline with People and Places List| target=|_top|&gt;Outline&lt;/a&gt;</v>
      </c>
      <c r="Z1047" t="str">
        <f t="shared" si="4184"/>
        <v>&lt;/li&gt;&lt;li&gt;&lt;a href=|http://kjvs.scripturetext.com/romans/1.htm| title=|King James Bible with Strong's Numbers| target=|_top|&gt;Strong's&lt;/a&gt;</v>
      </c>
      <c r="AA1047" t="str">
        <f t="shared" si="4184"/>
        <v>&lt;/li&gt;&lt;li&gt;&lt;a href=|http://childrensbibleonline.com/romans/1.htm| title=|The Children's Bible| target=|_top|&gt;Children's&lt;/a&gt;</v>
      </c>
      <c r="AB1047" s="2" t="str">
        <f t="shared" si="4184"/>
        <v>&lt;/li&gt;&lt;li&gt;&lt;a href=|http://tsk.scripturetext.com/romans/1.htm| title=|Treasury of Scripture Knowledge| target=|_top|&gt;TSK&lt;/a&gt;</v>
      </c>
      <c r="AC1047" t="str">
        <f>CONCATENATE("&lt;a href=|http://",AC1191,"/romans/1.htm","| ","title=|",AC1190,"| target=|_top|&gt;",AC1192,"&lt;/a&gt;")</f>
        <v>&lt;a href=|http://parallelbible.com/romans/1.htm| title=|Parallel Chapters| target=|_top|&gt;PAR&lt;/a&gt;</v>
      </c>
      <c r="AD1047" s="2" t="str">
        <f t="shared" ref="AD1047:AI1047" si="4186">CONCATENATE("&lt;/li&gt;&lt;li&gt;&lt;a href=|http://",AD1191,"/romans/1.htm","| ","title=|",AD1190,"| target=|_top|&gt;",AD1192,"&lt;/a&gt;")</f>
        <v>&lt;/li&gt;&lt;li&gt;&lt;a href=|http://gsb.biblecommenter.com/romans/1.htm| title=|Geneva Study Bible| target=|_top|&gt;GSB&lt;/a&gt;</v>
      </c>
      <c r="AE1047" s="2" t="str">
        <f t="shared" si="4186"/>
        <v>&lt;/li&gt;&lt;li&gt;&lt;a href=|http://jfb.biblecommenter.com/romans/1.htm| title=|Jamieson-Fausset-Brown Bible Commentary| target=|_top|&gt;JFB&lt;/a&gt;</v>
      </c>
      <c r="AF1047" s="2" t="str">
        <f t="shared" si="4186"/>
        <v>&lt;/li&gt;&lt;li&gt;&lt;a href=|http://kjt.biblecommenter.com/romans/1.htm| title=|King James Translators' Notes| target=|_top|&gt;KJT&lt;/a&gt;</v>
      </c>
      <c r="AG1047" s="2" t="str">
        <f t="shared" si="4186"/>
        <v>&lt;/li&gt;&lt;li&gt;&lt;a href=|http://mhc.biblecommenter.com/romans/1.htm| title=|Matthew Henry's Concise Commentary| target=|_top|&gt;MHC&lt;/a&gt;</v>
      </c>
      <c r="AH1047" s="2" t="str">
        <f t="shared" si="4186"/>
        <v>&lt;/li&gt;&lt;li&gt;&lt;a href=|http://sco.biblecommenter.com/romans/1.htm| title=|Scofield Reference Notes| target=|_top|&gt;SCO&lt;/a&gt;</v>
      </c>
      <c r="AI1047" s="2" t="str">
        <f t="shared" si="4186"/>
        <v>&lt;/li&gt;&lt;li&gt;&lt;a href=|http://wes.biblecommenter.com/romans/1.htm| title=|Wesley's Notes on the Bible| target=|_top|&gt;WES&lt;/a&gt;</v>
      </c>
      <c r="AJ1047" t="str">
        <f>CONCATENATE("&lt;/li&gt;&lt;li&gt;&lt;a href=|http://",AJ1191,"/romans/1.htm","| ","title=|",AJ1190,"| target=|_top|&gt;",AJ1192,"&lt;/a&gt;")</f>
        <v>&lt;/li&gt;&lt;li&gt;&lt;a href=|http://worldebible.com/romans/1.htm| title=|World English Bible| target=|_top|&gt;WEB&lt;/a&gt;</v>
      </c>
      <c r="AK1047" t="str">
        <f>CONCATENATE("&lt;/li&gt;&lt;li&gt;&lt;a href=|http://",AK1191,"/romans/1.htm","| ","title=|",AK1190,"| target=|_top|&gt;",AK1192,"&lt;/a&gt;")</f>
        <v>&lt;/li&gt;&lt;li&gt;&lt;a href=|http://yltbible.com/romans/1.htm| title=|Young's Literal Translation| target=|_top|&gt;YLT&lt;/a&gt;</v>
      </c>
      <c r="AL1047" t="str">
        <f>CONCATENATE("&lt;a href=|http://",AL1191,"/romans/1.htm","| ","title=|",AL1190,"| target=|_top|&gt;",AL1192,"&lt;/a&gt;")</f>
        <v>&lt;a href=|http://kjv.us/romans/1.htm| title=|American King James Version| target=|_top|&gt;AKJ&lt;/a&gt;</v>
      </c>
      <c r="AM1047" t="str">
        <f t="shared" ref="AM1047:AS1047" si="4187">CONCATENATE("&lt;/li&gt;&lt;li&gt;&lt;a href=|http://",AM1191,"/romans/1.htm","| ","title=|",AM1190,"| target=|_top|&gt;",AM1192,"&lt;/a&gt;")</f>
        <v>&lt;/li&gt;&lt;li&gt;&lt;a href=|http://basicenglishbible.com/romans/1.htm| title=|Bible in Basic English| target=|_top|&gt;BBE&lt;/a&gt;</v>
      </c>
      <c r="AN1047" t="str">
        <f t="shared" si="4187"/>
        <v>&lt;/li&gt;&lt;li&gt;&lt;a href=|http://darbybible.com/romans/1.htm| title=|Darby Bible Translation| target=|_top|&gt;DBY&lt;/a&gt;</v>
      </c>
      <c r="AO1047" t="str">
        <f t="shared" si="4187"/>
        <v>&lt;/li&gt;&lt;li&gt;&lt;a href=|http://isv.scripturetext.com/romans/1.htm| title=|International Standard Version| target=|_top|&gt;ISV&lt;/a&gt;</v>
      </c>
      <c r="AP1047" t="str">
        <f t="shared" si="4187"/>
        <v>&lt;/li&gt;&lt;li&gt;&lt;a href=|http://tnt.scripturetext.com/romans/1.htm| title=|Tyndale New Testament| target=|_top|&gt;TNT&lt;/a&gt;</v>
      </c>
      <c r="AQ1047" s="2" t="str">
        <f t="shared" si="4187"/>
        <v>&lt;/li&gt;&lt;li&gt;&lt;a href=|http://pnt.biblecommenter.com/romans/1.htm| title=|People's New Testament| target=|_top|&gt;PNT&lt;/a&gt;</v>
      </c>
      <c r="AR1047" t="str">
        <f t="shared" si="4187"/>
        <v>&lt;/li&gt;&lt;li&gt;&lt;a href=|http://websterbible.com/romans/1.htm| title=|Webster's Bible Translation| target=|_top|&gt;WBS&lt;/a&gt;</v>
      </c>
      <c r="AS1047" t="str">
        <f t="shared" si="4187"/>
        <v>&lt;/li&gt;&lt;li&gt;&lt;a href=|http://weymouthbible.com/romans/1.htm| title=|Weymouth New Testament| target=|_top|&gt;WEY&lt;/a&gt;</v>
      </c>
      <c r="AT1047" t="str">
        <f>CONCATENATE("&lt;/li&gt;&lt;li&gt;&lt;a href=|http://",AT1191,"/romans/1-1.htm","| ","title=|",AT1190,"| target=|_top|&gt;",AT1192,"&lt;/a&gt;")</f>
        <v>&lt;/li&gt;&lt;li&gt;&lt;a href=|http://biblebrowser.com/romans/1-1.htm| title=|Split View| target=|_top|&gt;Split&lt;/a&gt;</v>
      </c>
      <c r="AU1047" s="2" t="s">
        <v>1276</v>
      </c>
      <c r="AV1047" t="s">
        <v>64</v>
      </c>
    </row>
    <row r="1048" spans="1:48">
      <c r="A1048" t="s">
        <v>622</v>
      </c>
      <c r="B1048" t="s">
        <v>479</v>
      </c>
      <c r="C1048" t="s">
        <v>624</v>
      </c>
      <c r="D1048" t="s">
        <v>1268</v>
      </c>
      <c r="E1048" t="s">
        <v>1277</v>
      </c>
      <c r="F1048" t="s">
        <v>1304</v>
      </c>
      <c r="G1048" t="s">
        <v>1266</v>
      </c>
      <c r="H1048" t="s">
        <v>1305</v>
      </c>
      <c r="I1048" t="s">
        <v>1303</v>
      </c>
      <c r="J1048" t="s">
        <v>1267</v>
      </c>
      <c r="K1048" t="s">
        <v>1275</v>
      </c>
      <c r="L1048" s="2" t="s">
        <v>1274</v>
      </c>
      <c r="M1048" t="str">
        <f t="shared" ref="M1048:AB1048" si="4188">CONCATENATE("&lt;/li&gt;&lt;li&gt;&lt;a href=|http://",M1191,"/romans/2.htm","| ","title=|",M1190,"| target=|_top|&gt;",M1192,"&lt;/a&gt;")</f>
        <v>&lt;/li&gt;&lt;li&gt;&lt;a href=|http://niv.scripturetext.com/romans/2.htm| title=|New International Version| target=|_top|&gt;NIV&lt;/a&gt;</v>
      </c>
      <c r="N1048" t="str">
        <f t="shared" si="4188"/>
        <v>&lt;/li&gt;&lt;li&gt;&lt;a href=|http://nlt.scripturetext.com/romans/2.htm| title=|New Living Translation| target=|_top|&gt;NLT&lt;/a&gt;</v>
      </c>
      <c r="O1048" t="str">
        <f t="shared" si="4188"/>
        <v>&lt;/li&gt;&lt;li&gt;&lt;a href=|http://nasb.scripturetext.com/romans/2.htm| title=|New American Standard Bible| target=|_top|&gt;NAS&lt;/a&gt;</v>
      </c>
      <c r="P1048" t="str">
        <f t="shared" si="4188"/>
        <v>&lt;/li&gt;&lt;li&gt;&lt;a href=|http://gwt.scripturetext.com/romans/2.htm| title=|God's Word Translation| target=|_top|&gt;GWT&lt;/a&gt;</v>
      </c>
      <c r="Q1048" t="str">
        <f t="shared" si="4188"/>
        <v>&lt;/li&gt;&lt;li&gt;&lt;a href=|http://kingjbible.com/romans/2.htm| title=|King James Bible| target=|_top|&gt;KJV&lt;/a&gt;</v>
      </c>
      <c r="R1048" t="str">
        <f t="shared" si="4188"/>
        <v>&lt;/li&gt;&lt;li&gt;&lt;a href=|http://asvbible.com/romans/2.htm| title=|American Standard Version| target=|_top|&gt;ASV&lt;/a&gt;</v>
      </c>
      <c r="S1048" t="str">
        <f t="shared" si="4188"/>
        <v>&lt;/li&gt;&lt;li&gt;&lt;a href=|http://drb.scripturetext.com/romans/2.htm| title=|Douay-Rheims Bible| target=|_top|&gt;DRB&lt;/a&gt;</v>
      </c>
      <c r="T1048" t="str">
        <f t="shared" si="4188"/>
        <v>&lt;/li&gt;&lt;li&gt;&lt;a href=|http://erv.scripturetext.com/romans/2.htm| title=|English Revised Version| target=|_top|&gt;ERV&lt;/a&gt;</v>
      </c>
      <c r="U1048" t="str">
        <f>CONCATENATE("&lt;/li&gt;&lt;li&gt;&lt;a href=|http://",U1191,"/romans/2.htm","| ","title=|",U1190,"| target=|_top|&gt;",U1192,"&lt;/a&gt;")</f>
        <v>&lt;/li&gt;&lt;li&gt;&lt;a href=|http://study.interlinearbible.org/romans/2.htm| title=|Greek Study Bible| target=|_top|&gt;Grk Study&lt;/a&gt;</v>
      </c>
      <c r="W1048" t="str">
        <f t="shared" si="4188"/>
        <v>&lt;/li&gt;&lt;li&gt;&lt;a href=|http://apostolic.interlinearbible.org/romans/2.htm| title=|Apostolic Bible Polyglot Interlinear| target=|_top|&gt;Polyglot&lt;/a&gt;</v>
      </c>
      <c r="X1048" t="str">
        <f t="shared" si="4188"/>
        <v>&lt;/li&gt;&lt;li&gt;&lt;a href=|http://interlinearbible.org/romans/2.htm| title=|Interlinear Bible| target=|_top|&gt;Interlin&lt;/a&gt;</v>
      </c>
      <c r="Y1048" t="str">
        <f t="shared" ref="Y1048" si="4189">CONCATENATE("&lt;/li&gt;&lt;li&gt;&lt;a href=|http://",Y1191,"/romans/2.htm","| ","title=|",Y1190,"| target=|_top|&gt;",Y1192,"&lt;/a&gt;")</f>
        <v>&lt;/li&gt;&lt;li&gt;&lt;a href=|http://bibleoutline.org/romans/2.htm| title=|Outline with People and Places List| target=|_top|&gt;Outline&lt;/a&gt;</v>
      </c>
      <c r="Z1048" t="str">
        <f t="shared" si="4188"/>
        <v>&lt;/li&gt;&lt;li&gt;&lt;a href=|http://kjvs.scripturetext.com/romans/2.htm| title=|King James Bible with Strong's Numbers| target=|_top|&gt;Strong's&lt;/a&gt;</v>
      </c>
      <c r="AA1048" t="str">
        <f t="shared" si="4188"/>
        <v>&lt;/li&gt;&lt;li&gt;&lt;a href=|http://childrensbibleonline.com/romans/2.htm| title=|The Children's Bible| target=|_top|&gt;Children's&lt;/a&gt;</v>
      </c>
      <c r="AB1048" s="2" t="str">
        <f t="shared" si="4188"/>
        <v>&lt;/li&gt;&lt;li&gt;&lt;a href=|http://tsk.scripturetext.com/romans/2.htm| title=|Treasury of Scripture Knowledge| target=|_top|&gt;TSK&lt;/a&gt;</v>
      </c>
      <c r="AC1048" t="str">
        <f>CONCATENATE("&lt;a href=|http://",AC1191,"/romans/2.htm","| ","title=|",AC1190,"| target=|_top|&gt;",AC1192,"&lt;/a&gt;")</f>
        <v>&lt;a href=|http://parallelbible.com/romans/2.htm| title=|Parallel Chapters| target=|_top|&gt;PAR&lt;/a&gt;</v>
      </c>
      <c r="AD1048" s="2" t="str">
        <f t="shared" ref="AD1048:AI1048" si="4190">CONCATENATE("&lt;/li&gt;&lt;li&gt;&lt;a href=|http://",AD1191,"/romans/2.htm","| ","title=|",AD1190,"| target=|_top|&gt;",AD1192,"&lt;/a&gt;")</f>
        <v>&lt;/li&gt;&lt;li&gt;&lt;a href=|http://gsb.biblecommenter.com/romans/2.htm| title=|Geneva Study Bible| target=|_top|&gt;GSB&lt;/a&gt;</v>
      </c>
      <c r="AE1048" s="2" t="str">
        <f t="shared" si="4190"/>
        <v>&lt;/li&gt;&lt;li&gt;&lt;a href=|http://jfb.biblecommenter.com/romans/2.htm| title=|Jamieson-Fausset-Brown Bible Commentary| target=|_top|&gt;JFB&lt;/a&gt;</v>
      </c>
      <c r="AF1048" s="2" t="str">
        <f t="shared" si="4190"/>
        <v>&lt;/li&gt;&lt;li&gt;&lt;a href=|http://kjt.biblecommenter.com/romans/2.htm| title=|King James Translators' Notes| target=|_top|&gt;KJT&lt;/a&gt;</v>
      </c>
      <c r="AG1048" s="2" t="str">
        <f t="shared" si="4190"/>
        <v>&lt;/li&gt;&lt;li&gt;&lt;a href=|http://mhc.biblecommenter.com/romans/2.htm| title=|Matthew Henry's Concise Commentary| target=|_top|&gt;MHC&lt;/a&gt;</v>
      </c>
      <c r="AH1048" s="2" t="str">
        <f t="shared" si="4190"/>
        <v>&lt;/li&gt;&lt;li&gt;&lt;a href=|http://sco.biblecommenter.com/romans/2.htm| title=|Scofield Reference Notes| target=|_top|&gt;SCO&lt;/a&gt;</v>
      </c>
      <c r="AI1048" s="2" t="str">
        <f t="shared" si="4190"/>
        <v>&lt;/li&gt;&lt;li&gt;&lt;a href=|http://wes.biblecommenter.com/romans/2.htm| title=|Wesley's Notes on the Bible| target=|_top|&gt;WES&lt;/a&gt;</v>
      </c>
      <c r="AJ1048" t="str">
        <f>CONCATENATE("&lt;/li&gt;&lt;li&gt;&lt;a href=|http://",AJ1191,"/romans/2.htm","| ","title=|",AJ1190,"| target=|_top|&gt;",AJ1192,"&lt;/a&gt;")</f>
        <v>&lt;/li&gt;&lt;li&gt;&lt;a href=|http://worldebible.com/romans/2.htm| title=|World English Bible| target=|_top|&gt;WEB&lt;/a&gt;</v>
      </c>
      <c r="AK1048" t="str">
        <f>CONCATENATE("&lt;/li&gt;&lt;li&gt;&lt;a href=|http://",AK1191,"/romans/2.htm","| ","title=|",AK1190,"| target=|_top|&gt;",AK1192,"&lt;/a&gt;")</f>
        <v>&lt;/li&gt;&lt;li&gt;&lt;a href=|http://yltbible.com/romans/2.htm| title=|Young's Literal Translation| target=|_top|&gt;YLT&lt;/a&gt;</v>
      </c>
      <c r="AL1048" t="str">
        <f>CONCATENATE("&lt;a href=|http://",AL1191,"/romans/2.htm","| ","title=|",AL1190,"| target=|_top|&gt;",AL1192,"&lt;/a&gt;")</f>
        <v>&lt;a href=|http://kjv.us/romans/2.htm| title=|American King James Version| target=|_top|&gt;AKJ&lt;/a&gt;</v>
      </c>
      <c r="AM1048" t="str">
        <f t="shared" ref="AM1048:AS1048" si="4191">CONCATENATE("&lt;/li&gt;&lt;li&gt;&lt;a href=|http://",AM1191,"/romans/2.htm","| ","title=|",AM1190,"| target=|_top|&gt;",AM1192,"&lt;/a&gt;")</f>
        <v>&lt;/li&gt;&lt;li&gt;&lt;a href=|http://basicenglishbible.com/romans/2.htm| title=|Bible in Basic English| target=|_top|&gt;BBE&lt;/a&gt;</v>
      </c>
      <c r="AN1048" t="str">
        <f t="shared" si="4191"/>
        <v>&lt;/li&gt;&lt;li&gt;&lt;a href=|http://darbybible.com/romans/2.htm| title=|Darby Bible Translation| target=|_top|&gt;DBY&lt;/a&gt;</v>
      </c>
      <c r="AO1048" t="str">
        <f t="shared" si="4191"/>
        <v>&lt;/li&gt;&lt;li&gt;&lt;a href=|http://isv.scripturetext.com/romans/2.htm| title=|International Standard Version| target=|_top|&gt;ISV&lt;/a&gt;</v>
      </c>
      <c r="AP1048" t="str">
        <f t="shared" si="4191"/>
        <v>&lt;/li&gt;&lt;li&gt;&lt;a href=|http://tnt.scripturetext.com/romans/2.htm| title=|Tyndale New Testament| target=|_top|&gt;TNT&lt;/a&gt;</v>
      </c>
      <c r="AQ1048" s="2" t="str">
        <f t="shared" si="4191"/>
        <v>&lt;/li&gt;&lt;li&gt;&lt;a href=|http://pnt.biblecommenter.com/romans/2.htm| title=|People's New Testament| target=|_top|&gt;PNT&lt;/a&gt;</v>
      </c>
      <c r="AR1048" t="str">
        <f t="shared" si="4191"/>
        <v>&lt;/li&gt;&lt;li&gt;&lt;a href=|http://websterbible.com/romans/2.htm| title=|Webster's Bible Translation| target=|_top|&gt;WBS&lt;/a&gt;</v>
      </c>
      <c r="AS1048" t="str">
        <f t="shared" si="4191"/>
        <v>&lt;/li&gt;&lt;li&gt;&lt;a href=|http://weymouthbible.com/romans/2.htm| title=|Weymouth New Testament| target=|_top|&gt;WEY&lt;/a&gt;</v>
      </c>
      <c r="AT1048" t="str">
        <f>CONCATENATE("&lt;/li&gt;&lt;li&gt;&lt;a href=|http://",AT1191,"/romans/2-1.htm","| ","title=|",AT1190,"| target=|_top|&gt;",AT1192,"&lt;/a&gt;")</f>
        <v>&lt;/li&gt;&lt;li&gt;&lt;a href=|http://biblebrowser.com/romans/2-1.htm| title=|Split View| target=|_top|&gt;Split&lt;/a&gt;</v>
      </c>
      <c r="AU1048" s="2" t="s">
        <v>1276</v>
      </c>
      <c r="AV1048" t="s">
        <v>64</v>
      </c>
    </row>
    <row r="1049" spans="1:48">
      <c r="A1049" t="s">
        <v>622</v>
      </c>
      <c r="B1049" t="s">
        <v>480</v>
      </c>
      <c r="C1049" t="s">
        <v>624</v>
      </c>
      <c r="D1049" t="s">
        <v>1268</v>
      </c>
      <c r="E1049" t="s">
        <v>1277</v>
      </c>
      <c r="F1049" t="s">
        <v>1304</v>
      </c>
      <c r="G1049" t="s">
        <v>1266</v>
      </c>
      <c r="H1049" t="s">
        <v>1305</v>
      </c>
      <c r="I1049" t="s">
        <v>1303</v>
      </c>
      <c r="J1049" t="s">
        <v>1267</v>
      </c>
      <c r="K1049" t="s">
        <v>1275</v>
      </c>
      <c r="L1049" s="2" t="s">
        <v>1274</v>
      </c>
      <c r="M1049" t="str">
        <f t="shared" ref="M1049:AB1049" si="4192">CONCATENATE("&lt;/li&gt;&lt;li&gt;&lt;a href=|http://",M1191,"/romans/3.htm","| ","title=|",M1190,"| target=|_top|&gt;",M1192,"&lt;/a&gt;")</f>
        <v>&lt;/li&gt;&lt;li&gt;&lt;a href=|http://niv.scripturetext.com/romans/3.htm| title=|New International Version| target=|_top|&gt;NIV&lt;/a&gt;</v>
      </c>
      <c r="N1049" t="str">
        <f t="shared" si="4192"/>
        <v>&lt;/li&gt;&lt;li&gt;&lt;a href=|http://nlt.scripturetext.com/romans/3.htm| title=|New Living Translation| target=|_top|&gt;NLT&lt;/a&gt;</v>
      </c>
      <c r="O1049" t="str">
        <f t="shared" si="4192"/>
        <v>&lt;/li&gt;&lt;li&gt;&lt;a href=|http://nasb.scripturetext.com/romans/3.htm| title=|New American Standard Bible| target=|_top|&gt;NAS&lt;/a&gt;</v>
      </c>
      <c r="P1049" t="str">
        <f t="shared" si="4192"/>
        <v>&lt;/li&gt;&lt;li&gt;&lt;a href=|http://gwt.scripturetext.com/romans/3.htm| title=|God's Word Translation| target=|_top|&gt;GWT&lt;/a&gt;</v>
      </c>
      <c r="Q1049" t="str">
        <f t="shared" si="4192"/>
        <v>&lt;/li&gt;&lt;li&gt;&lt;a href=|http://kingjbible.com/romans/3.htm| title=|King James Bible| target=|_top|&gt;KJV&lt;/a&gt;</v>
      </c>
      <c r="R1049" t="str">
        <f t="shared" si="4192"/>
        <v>&lt;/li&gt;&lt;li&gt;&lt;a href=|http://asvbible.com/romans/3.htm| title=|American Standard Version| target=|_top|&gt;ASV&lt;/a&gt;</v>
      </c>
      <c r="S1049" t="str">
        <f t="shared" si="4192"/>
        <v>&lt;/li&gt;&lt;li&gt;&lt;a href=|http://drb.scripturetext.com/romans/3.htm| title=|Douay-Rheims Bible| target=|_top|&gt;DRB&lt;/a&gt;</v>
      </c>
      <c r="T1049" t="str">
        <f t="shared" si="4192"/>
        <v>&lt;/li&gt;&lt;li&gt;&lt;a href=|http://erv.scripturetext.com/romans/3.htm| title=|English Revised Version| target=|_top|&gt;ERV&lt;/a&gt;</v>
      </c>
      <c r="U1049" t="str">
        <f>CONCATENATE("&lt;/li&gt;&lt;li&gt;&lt;a href=|http://",U1191,"/romans/3.htm","| ","title=|",U1190,"| target=|_top|&gt;",U1192,"&lt;/a&gt;")</f>
        <v>&lt;/li&gt;&lt;li&gt;&lt;a href=|http://study.interlinearbible.org/romans/3.htm| title=|Greek Study Bible| target=|_top|&gt;Grk Study&lt;/a&gt;</v>
      </c>
      <c r="W1049" t="str">
        <f t="shared" si="4192"/>
        <v>&lt;/li&gt;&lt;li&gt;&lt;a href=|http://apostolic.interlinearbible.org/romans/3.htm| title=|Apostolic Bible Polyglot Interlinear| target=|_top|&gt;Polyglot&lt;/a&gt;</v>
      </c>
      <c r="X1049" t="str">
        <f t="shared" si="4192"/>
        <v>&lt;/li&gt;&lt;li&gt;&lt;a href=|http://interlinearbible.org/romans/3.htm| title=|Interlinear Bible| target=|_top|&gt;Interlin&lt;/a&gt;</v>
      </c>
      <c r="Y1049" t="str">
        <f t="shared" ref="Y1049" si="4193">CONCATENATE("&lt;/li&gt;&lt;li&gt;&lt;a href=|http://",Y1191,"/romans/3.htm","| ","title=|",Y1190,"| target=|_top|&gt;",Y1192,"&lt;/a&gt;")</f>
        <v>&lt;/li&gt;&lt;li&gt;&lt;a href=|http://bibleoutline.org/romans/3.htm| title=|Outline with People and Places List| target=|_top|&gt;Outline&lt;/a&gt;</v>
      </c>
      <c r="Z1049" t="str">
        <f t="shared" si="4192"/>
        <v>&lt;/li&gt;&lt;li&gt;&lt;a href=|http://kjvs.scripturetext.com/romans/3.htm| title=|King James Bible with Strong's Numbers| target=|_top|&gt;Strong's&lt;/a&gt;</v>
      </c>
      <c r="AA1049" t="str">
        <f t="shared" si="4192"/>
        <v>&lt;/li&gt;&lt;li&gt;&lt;a href=|http://childrensbibleonline.com/romans/3.htm| title=|The Children's Bible| target=|_top|&gt;Children's&lt;/a&gt;</v>
      </c>
      <c r="AB1049" s="2" t="str">
        <f t="shared" si="4192"/>
        <v>&lt;/li&gt;&lt;li&gt;&lt;a href=|http://tsk.scripturetext.com/romans/3.htm| title=|Treasury of Scripture Knowledge| target=|_top|&gt;TSK&lt;/a&gt;</v>
      </c>
      <c r="AC1049" t="str">
        <f>CONCATENATE("&lt;a href=|http://",AC1191,"/romans/3.htm","| ","title=|",AC1190,"| target=|_top|&gt;",AC1192,"&lt;/a&gt;")</f>
        <v>&lt;a href=|http://parallelbible.com/romans/3.htm| title=|Parallel Chapters| target=|_top|&gt;PAR&lt;/a&gt;</v>
      </c>
      <c r="AD1049" s="2" t="str">
        <f t="shared" ref="AD1049:AI1049" si="4194">CONCATENATE("&lt;/li&gt;&lt;li&gt;&lt;a href=|http://",AD1191,"/romans/3.htm","| ","title=|",AD1190,"| target=|_top|&gt;",AD1192,"&lt;/a&gt;")</f>
        <v>&lt;/li&gt;&lt;li&gt;&lt;a href=|http://gsb.biblecommenter.com/romans/3.htm| title=|Geneva Study Bible| target=|_top|&gt;GSB&lt;/a&gt;</v>
      </c>
      <c r="AE1049" s="2" t="str">
        <f t="shared" si="4194"/>
        <v>&lt;/li&gt;&lt;li&gt;&lt;a href=|http://jfb.biblecommenter.com/romans/3.htm| title=|Jamieson-Fausset-Brown Bible Commentary| target=|_top|&gt;JFB&lt;/a&gt;</v>
      </c>
      <c r="AF1049" s="2" t="str">
        <f t="shared" si="4194"/>
        <v>&lt;/li&gt;&lt;li&gt;&lt;a href=|http://kjt.biblecommenter.com/romans/3.htm| title=|King James Translators' Notes| target=|_top|&gt;KJT&lt;/a&gt;</v>
      </c>
      <c r="AG1049" s="2" t="str">
        <f t="shared" si="4194"/>
        <v>&lt;/li&gt;&lt;li&gt;&lt;a href=|http://mhc.biblecommenter.com/romans/3.htm| title=|Matthew Henry's Concise Commentary| target=|_top|&gt;MHC&lt;/a&gt;</v>
      </c>
      <c r="AH1049" s="2" t="str">
        <f t="shared" si="4194"/>
        <v>&lt;/li&gt;&lt;li&gt;&lt;a href=|http://sco.biblecommenter.com/romans/3.htm| title=|Scofield Reference Notes| target=|_top|&gt;SCO&lt;/a&gt;</v>
      </c>
      <c r="AI1049" s="2" t="str">
        <f t="shared" si="4194"/>
        <v>&lt;/li&gt;&lt;li&gt;&lt;a href=|http://wes.biblecommenter.com/romans/3.htm| title=|Wesley's Notes on the Bible| target=|_top|&gt;WES&lt;/a&gt;</v>
      </c>
      <c r="AJ1049" t="str">
        <f>CONCATENATE("&lt;/li&gt;&lt;li&gt;&lt;a href=|http://",AJ1191,"/romans/3.htm","| ","title=|",AJ1190,"| target=|_top|&gt;",AJ1192,"&lt;/a&gt;")</f>
        <v>&lt;/li&gt;&lt;li&gt;&lt;a href=|http://worldebible.com/romans/3.htm| title=|World English Bible| target=|_top|&gt;WEB&lt;/a&gt;</v>
      </c>
      <c r="AK1049" t="str">
        <f>CONCATENATE("&lt;/li&gt;&lt;li&gt;&lt;a href=|http://",AK1191,"/romans/3.htm","| ","title=|",AK1190,"| target=|_top|&gt;",AK1192,"&lt;/a&gt;")</f>
        <v>&lt;/li&gt;&lt;li&gt;&lt;a href=|http://yltbible.com/romans/3.htm| title=|Young's Literal Translation| target=|_top|&gt;YLT&lt;/a&gt;</v>
      </c>
      <c r="AL1049" t="str">
        <f>CONCATENATE("&lt;a href=|http://",AL1191,"/romans/3.htm","| ","title=|",AL1190,"| target=|_top|&gt;",AL1192,"&lt;/a&gt;")</f>
        <v>&lt;a href=|http://kjv.us/romans/3.htm| title=|American King James Version| target=|_top|&gt;AKJ&lt;/a&gt;</v>
      </c>
      <c r="AM1049" t="str">
        <f t="shared" ref="AM1049:AS1049" si="4195">CONCATENATE("&lt;/li&gt;&lt;li&gt;&lt;a href=|http://",AM1191,"/romans/3.htm","| ","title=|",AM1190,"| target=|_top|&gt;",AM1192,"&lt;/a&gt;")</f>
        <v>&lt;/li&gt;&lt;li&gt;&lt;a href=|http://basicenglishbible.com/romans/3.htm| title=|Bible in Basic English| target=|_top|&gt;BBE&lt;/a&gt;</v>
      </c>
      <c r="AN1049" t="str">
        <f t="shared" si="4195"/>
        <v>&lt;/li&gt;&lt;li&gt;&lt;a href=|http://darbybible.com/romans/3.htm| title=|Darby Bible Translation| target=|_top|&gt;DBY&lt;/a&gt;</v>
      </c>
      <c r="AO1049" t="str">
        <f t="shared" si="4195"/>
        <v>&lt;/li&gt;&lt;li&gt;&lt;a href=|http://isv.scripturetext.com/romans/3.htm| title=|International Standard Version| target=|_top|&gt;ISV&lt;/a&gt;</v>
      </c>
      <c r="AP1049" t="str">
        <f t="shared" si="4195"/>
        <v>&lt;/li&gt;&lt;li&gt;&lt;a href=|http://tnt.scripturetext.com/romans/3.htm| title=|Tyndale New Testament| target=|_top|&gt;TNT&lt;/a&gt;</v>
      </c>
      <c r="AQ1049" s="2" t="str">
        <f t="shared" si="4195"/>
        <v>&lt;/li&gt;&lt;li&gt;&lt;a href=|http://pnt.biblecommenter.com/romans/3.htm| title=|People's New Testament| target=|_top|&gt;PNT&lt;/a&gt;</v>
      </c>
      <c r="AR1049" t="str">
        <f t="shared" si="4195"/>
        <v>&lt;/li&gt;&lt;li&gt;&lt;a href=|http://websterbible.com/romans/3.htm| title=|Webster's Bible Translation| target=|_top|&gt;WBS&lt;/a&gt;</v>
      </c>
      <c r="AS1049" t="str">
        <f t="shared" si="4195"/>
        <v>&lt;/li&gt;&lt;li&gt;&lt;a href=|http://weymouthbible.com/romans/3.htm| title=|Weymouth New Testament| target=|_top|&gt;WEY&lt;/a&gt;</v>
      </c>
      <c r="AT1049" t="str">
        <f>CONCATENATE("&lt;/li&gt;&lt;li&gt;&lt;a href=|http://",AT1191,"/romans/3-1.htm","| ","title=|",AT1190,"| target=|_top|&gt;",AT1192,"&lt;/a&gt;")</f>
        <v>&lt;/li&gt;&lt;li&gt;&lt;a href=|http://biblebrowser.com/romans/3-1.htm| title=|Split View| target=|_top|&gt;Split&lt;/a&gt;</v>
      </c>
      <c r="AU1049" s="2" t="s">
        <v>1276</v>
      </c>
      <c r="AV1049" t="s">
        <v>64</v>
      </c>
    </row>
    <row r="1050" spans="1:48">
      <c r="A1050" t="s">
        <v>622</v>
      </c>
      <c r="B1050" t="s">
        <v>481</v>
      </c>
      <c r="C1050" t="s">
        <v>624</v>
      </c>
      <c r="D1050" t="s">
        <v>1268</v>
      </c>
      <c r="E1050" t="s">
        <v>1277</v>
      </c>
      <c r="F1050" t="s">
        <v>1304</v>
      </c>
      <c r="G1050" t="s">
        <v>1266</v>
      </c>
      <c r="H1050" t="s">
        <v>1305</v>
      </c>
      <c r="I1050" t="s">
        <v>1303</v>
      </c>
      <c r="J1050" t="s">
        <v>1267</v>
      </c>
      <c r="K1050" t="s">
        <v>1275</v>
      </c>
      <c r="L1050" s="2" t="s">
        <v>1274</v>
      </c>
      <c r="M1050" t="str">
        <f t="shared" ref="M1050:AB1050" si="4196">CONCATENATE("&lt;/li&gt;&lt;li&gt;&lt;a href=|http://",M1191,"/romans/4.htm","| ","title=|",M1190,"| target=|_top|&gt;",M1192,"&lt;/a&gt;")</f>
        <v>&lt;/li&gt;&lt;li&gt;&lt;a href=|http://niv.scripturetext.com/romans/4.htm| title=|New International Version| target=|_top|&gt;NIV&lt;/a&gt;</v>
      </c>
      <c r="N1050" t="str">
        <f t="shared" si="4196"/>
        <v>&lt;/li&gt;&lt;li&gt;&lt;a href=|http://nlt.scripturetext.com/romans/4.htm| title=|New Living Translation| target=|_top|&gt;NLT&lt;/a&gt;</v>
      </c>
      <c r="O1050" t="str">
        <f t="shared" si="4196"/>
        <v>&lt;/li&gt;&lt;li&gt;&lt;a href=|http://nasb.scripturetext.com/romans/4.htm| title=|New American Standard Bible| target=|_top|&gt;NAS&lt;/a&gt;</v>
      </c>
      <c r="P1050" t="str">
        <f t="shared" si="4196"/>
        <v>&lt;/li&gt;&lt;li&gt;&lt;a href=|http://gwt.scripturetext.com/romans/4.htm| title=|God's Word Translation| target=|_top|&gt;GWT&lt;/a&gt;</v>
      </c>
      <c r="Q1050" t="str">
        <f t="shared" si="4196"/>
        <v>&lt;/li&gt;&lt;li&gt;&lt;a href=|http://kingjbible.com/romans/4.htm| title=|King James Bible| target=|_top|&gt;KJV&lt;/a&gt;</v>
      </c>
      <c r="R1050" t="str">
        <f t="shared" si="4196"/>
        <v>&lt;/li&gt;&lt;li&gt;&lt;a href=|http://asvbible.com/romans/4.htm| title=|American Standard Version| target=|_top|&gt;ASV&lt;/a&gt;</v>
      </c>
      <c r="S1050" t="str">
        <f t="shared" si="4196"/>
        <v>&lt;/li&gt;&lt;li&gt;&lt;a href=|http://drb.scripturetext.com/romans/4.htm| title=|Douay-Rheims Bible| target=|_top|&gt;DRB&lt;/a&gt;</v>
      </c>
      <c r="T1050" t="str">
        <f t="shared" si="4196"/>
        <v>&lt;/li&gt;&lt;li&gt;&lt;a href=|http://erv.scripturetext.com/romans/4.htm| title=|English Revised Version| target=|_top|&gt;ERV&lt;/a&gt;</v>
      </c>
      <c r="U1050" t="str">
        <f>CONCATENATE("&lt;/li&gt;&lt;li&gt;&lt;a href=|http://",U1191,"/romans/4.htm","| ","title=|",U1190,"| target=|_top|&gt;",U1192,"&lt;/a&gt;")</f>
        <v>&lt;/li&gt;&lt;li&gt;&lt;a href=|http://study.interlinearbible.org/romans/4.htm| title=|Greek Study Bible| target=|_top|&gt;Grk Study&lt;/a&gt;</v>
      </c>
      <c r="W1050" t="str">
        <f t="shared" si="4196"/>
        <v>&lt;/li&gt;&lt;li&gt;&lt;a href=|http://apostolic.interlinearbible.org/romans/4.htm| title=|Apostolic Bible Polyglot Interlinear| target=|_top|&gt;Polyglot&lt;/a&gt;</v>
      </c>
      <c r="X1050" t="str">
        <f t="shared" si="4196"/>
        <v>&lt;/li&gt;&lt;li&gt;&lt;a href=|http://interlinearbible.org/romans/4.htm| title=|Interlinear Bible| target=|_top|&gt;Interlin&lt;/a&gt;</v>
      </c>
      <c r="Y1050" t="str">
        <f t="shared" ref="Y1050" si="4197">CONCATENATE("&lt;/li&gt;&lt;li&gt;&lt;a href=|http://",Y1191,"/romans/4.htm","| ","title=|",Y1190,"| target=|_top|&gt;",Y1192,"&lt;/a&gt;")</f>
        <v>&lt;/li&gt;&lt;li&gt;&lt;a href=|http://bibleoutline.org/romans/4.htm| title=|Outline with People and Places List| target=|_top|&gt;Outline&lt;/a&gt;</v>
      </c>
      <c r="Z1050" t="str">
        <f t="shared" si="4196"/>
        <v>&lt;/li&gt;&lt;li&gt;&lt;a href=|http://kjvs.scripturetext.com/romans/4.htm| title=|King James Bible with Strong's Numbers| target=|_top|&gt;Strong's&lt;/a&gt;</v>
      </c>
      <c r="AA1050" t="str">
        <f t="shared" si="4196"/>
        <v>&lt;/li&gt;&lt;li&gt;&lt;a href=|http://childrensbibleonline.com/romans/4.htm| title=|The Children's Bible| target=|_top|&gt;Children's&lt;/a&gt;</v>
      </c>
      <c r="AB1050" s="2" t="str">
        <f t="shared" si="4196"/>
        <v>&lt;/li&gt;&lt;li&gt;&lt;a href=|http://tsk.scripturetext.com/romans/4.htm| title=|Treasury of Scripture Knowledge| target=|_top|&gt;TSK&lt;/a&gt;</v>
      </c>
      <c r="AC1050" t="str">
        <f>CONCATENATE("&lt;a href=|http://",AC1191,"/romans/4.htm","| ","title=|",AC1190,"| target=|_top|&gt;",AC1192,"&lt;/a&gt;")</f>
        <v>&lt;a href=|http://parallelbible.com/romans/4.htm| title=|Parallel Chapters| target=|_top|&gt;PAR&lt;/a&gt;</v>
      </c>
      <c r="AD1050" s="2" t="str">
        <f t="shared" ref="AD1050:AI1050" si="4198">CONCATENATE("&lt;/li&gt;&lt;li&gt;&lt;a href=|http://",AD1191,"/romans/4.htm","| ","title=|",AD1190,"| target=|_top|&gt;",AD1192,"&lt;/a&gt;")</f>
        <v>&lt;/li&gt;&lt;li&gt;&lt;a href=|http://gsb.biblecommenter.com/romans/4.htm| title=|Geneva Study Bible| target=|_top|&gt;GSB&lt;/a&gt;</v>
      </c>
      <c r="AE1050" s="2" t="str">
        <f t="shared" si="4198"/>
        <v>&lt;/li&gt;&lt;li&gt;&lt;a href=|http://jfb.biblecommenter.com/romans/4.htm| title=|Jamieson-Fausset-Brown Bible Commentary| target=|_top|&gt;JFB&lt;/a&gt;</v>
      </c>
      <c r="AF1050" s="2" t="str">
        <f t="shared" si="4198"/>
        <v>&lt;/li&gt;&lt;li&gt;&lt;a href=|http://kjt.biblecommenter.com/romans/4.htm| title=|King James Translators' Notes| target=|_top|&gt;KJT&lt;/a&gt;</v>
      </c>
      <c r="AG1050" s="2" t="str">
        <f t="shared" si="4198"/>
        <v>&lt;/li&gt;&lt;li&gt;&lt;a href=|http://mhc.biblecommenter.com/romans/4.htm| title=|Matthew Henry's Concise Commentary| target=|_top|&gt;MHC&lt;/a&gt;</v>
      </c>
      <c r="AH1050" s="2" t="str">
        <f t="shared" si="4198"/>
        <v>&lt;/li&gt;&lt;li&gt;&lt;a href=|http://sco.biblecommenter.com/romans/4.htm| title=|Scofield Reference Notes| target=|_top|&gt;SCO&lt;/a&gt;</v>
      </c>
      <c r="AI1050" s="2" t="str">
        <f t="shared" si="4198"/>
        <v>&lt;/li&gt;&lt;li&gt;&lt;a href=|http://wes.biblecommenter.com/romans/4.htm| title=|Wesley's Notes on the Bible| target=|_top|&gt;WES&lt;/a&gt;</v>
      </c>
      <c r="AJ1050" t="str">
        <f>CONCATENATE("&lt;/li&gt;&lt;li&gt;&lt;a href=|http://",AJ1191,"/romans/4.htm","| ","title=|",AJ1190,"| target=|_top|&gt;",AJ1192,"&lt;/a&gt;")</f>
        <v>&lt;/li&gt;&lt;li&gt;&lt;a href=|http://worldebible.com/romans/4.htm| title=|World English Bible| target=|_top|&gt;WEB&lt;/a&gt;</v>
      </c>
      <c r="AK1050" t="str">
        <f>CONCATENATE("&lt;/li&gt;&lt;li&gt;&lt;a href=|http://",AK1191,"/romans/4.htm","| ","title=|",AK1190,"| target=|_top|&gt;",AK1192,"&lt;/a&gt;")</f>
        <v>&lt;/li&gt;&lt;li&gt;&lt;a href=|http://yltbible.com/romans/4.htm| title=|Young's Literal Translation| target=|_top|&gt;YLT&lt;/a&gt;</v>
      </c>
      <c r="AL1050" t="str">
        <f>CONCATENATE("&lt;a href=|http://",AL1191,"/romans/4.htm","| ","title=|",AL1190,"| target=|_top|&gt;",AL1192,"&lt;/a&gt;")</f>
        <v>&lt;a href=|http://kjv.us/romans/4.htm| title=|American King James Version| target=|_top|&gt;AKJ&lt;/a&gt;</v>
      </c>
      <c r="AM1050" t="str">
        <f t="shared" ref="AM1050:AS1050" si="4199">CONCATENATE("&lt;/li&gt;&lt;li&gt;&lt;a href=|http://",AM1191,"/romans/4.htm","| ","title=|",AM1190,"| target=|_top|&gt;",AM1192,"&lt;/a&gt;")</f>
        <v>&lt;/li&gt;&lt;li&gt;&lt;a href=|http://basicenglishbible.com/romans/4.htm| title=|Bible in Basic English| target=|_top|&gt;BBE&lt;/a&gt;</v>
      </c>
      <c r="AN1050" t="str">
        <f t="shared" si="4199"/>
        <v>&lt;/li&gt;&lt;li&gt;&lt;a href=|http://darbybible.com/romans/4.htm| title=|Darby Bible Translation| target=|_top|&gt;DBY&lt;/a&gt;</v>
      </c>
      <c r="AO1050" t="str">
        <f t="shared" si="4199"/>
        <v>&lt;/li&gt;&lt;li&gt;&lt;a href=|http://isv.scripturetext.com/romans/4.htm| title=|International Standard Version| target=|_top|&gt;ISV&lt;/a&gt;</v>
      </c>
      <c r="AP1050" t="str">
        <f t="shared" si="4199"/>
        <v>&lt;/li&gt;&lt;li&gt;&lt;a href=|http://tnt.scripturetext.com/romans/4.htm| title=|Tyndale New Testament| target=|_top|&gt;TNT&lt;/a&gt;</v>
      </c>
      <c r="AQ1050" s="2" t="str">
        <f t="shared" si="4199"/>
        <v>&lt;/li&gt;&lt;li&gt;&lt;a href=|http://pnt.biblecommenter.com/romans/4.htm| title=|People's New Testament| target=|_top|&gt;PNT&lt;/a&gt;</v>
      </c>
      <c r="AR1050" t="str">
        <f t="shared" si="4199"/>
        <v>&lt;/li&gt;&lt;li&gt;&lt;a href=|http://websterbible.com/romans/4.htm| title=|Webster's Bible Translation| target=|_top|&gt;WBS&lt;/a&gt;</v>
      </c>
      <c r="AS1050" t="str">
        <f t="shared" si="4199"/>
        <v>&lt;/li&gt;&lt;li&gt;&lt;a href=|http://weymouthbible.com/romans/4.htm| title=|Weymouth New Testament| target=|_top|&gt;WEY&lt;/a&gt;</v>
      </c>
      <c r="AT1050" t="str">
        <f>CONCATENATE("&lt;/li&gt;&lt;li&gt;&lt;a href=|http://",AT1191,"/romans/4-1.htm","| ","title=|",AT1190,"| target=|_top|&gt;",AT1192,"&lt;/a&gt;")</f>
        <v>&lt;/li&gt;&lt;li&gt;&lt;a href=|http://biblebrowser.com/romans/4-1.htm| title=|Split View| target=|_top|&gt;Split&lt;/a&gt;</v>
      </c>
      <c r="AU1050" s="2" t="s">
        <v>1276</v>
      </c>
      <c r="AV1050" t="s">
        <v>64</v>
      </c>
    </row>
    <row r="1051" spans="1:48">
      <c r="A1051" t="s">
        <v>622</v>
      </c>
      <c r="B1051" t="s">
        <v>482</v>
      </c>
      <c r="C1051" t="s">
        <v>624</v>
      </c>
      <c r="D1051" t="s">
        <v>1268</v>
      </c>
      <c r="E1051" t="s">
        <v>1277</v>
      </c>
      <c r="F1051" t="s">
        <v>1304</v>
      </c>
      <c r="G1051" t="s">
        <v>1266</v>
      </c>
      <c r="H1051" t="s">
        <v>1305</v>
      </c>
      <c r="I1051" t="s">
        <v>1303</v>
      </c>
      <c r="J1051" t="s">
        <v>1267</v>
      </c>
      <c r="K1051" t="s">
        <v>1275</v>
      </c>
      <c r="L1051" s="2" t="s">
        <v>1274</v>
      </c>
      <c r="M1051" t="str">
        <f t="shared" ref="M1051:AB1051" si="4200">CONCATENATE("&lt;/li&gt;&lt;li&gt;&lt;a href=|http://",M1191,"/romans/5.htm","| ","title=|",M1190,"| target=|_top|&gt;",M1192,"&lt;/a&gt;")</f>
        <v>&lt;/li&gt;&lt;li&gt;&lt;a href=|http://niv.scripturetext.com/romans/5.htm| title=|New International Version| target=|_top|&gt;NIV&lt;/a&gt;</v>
      </c>
      <c r="N1051" t="str">
        <f t="shared" si="4200"/>
        <v>&lt;/li&gt;&lt;li&gt;&lt;a href=|http://nlt.scripturetext.com/romans/5.htm| title=|New Living Translation| target=|_top|&gt;NLT&lt;/a&gt;</v>
      </c>
      <c r="O1051" t="str">
        <f t="shared" si="4200"/>
        <v>&lt;/li&gt;&lt;li&gt;&lt;a href=|http://nasb.scripturetext.com/romans/5.htm| title=|New American Standard Bible| target=|_top|&gt;NAS&lt;/a&gt;</v>
      </c>
      <c r="P1051" t="str">
        <f t="shared" si="4200"/>
        <v>&lt;/li&gt;&lt;li&gt;&lt;a href=|http://gwt.scripturetext.com/romans/5.htm| title=|God's Word Translation| target=|_top|&gt;GWT&lt;/a&gt;</v>
      </c>
      <c r="Q1051" t="str">
        <f t="shared" si="4200"/>
        <v>&lt;/li&gt;&lt;li&gt;&lt;a href=|http://kingjbible.com/romans/5.htm| title=|King James Bible| target=|_top|&gt;KJV&lt;/a&gt;</v>
      </c>
      <c r="R1051" t="str">
        <f t="shared" si="4200"/>
        <v>&lt;/li&gt;&lt;li&gt;&lt;a href=|http://asvbible.com/romans/5.htm| title=|American Standard Version| target=|_top|&gt;ASV&lt;/a&gt;</v>
      </c>
      <c r="S1051" t="str">
        <f t="shared" si="4200"/>
        <v>&lt;/li&gt;&lt;li&gt;&lt;a href=|http://drb.scripturetext.com/romans/5.htm| title=|Douay-Rheims Bible| target=|_top|&gt;DRB&lt;/a&gt;</v>
      </c>
      <c r="T1051" t="str">
        <f t="shared" si="4200"/>
        <v>&lt;/li&gt;&lt;li&gt;&lt;a href=|http://erv.scripturetext.com/romans/5.htm| title=|English Revised Version| target=|_top|&gt;ERV&lt;/a&gt;</v>
      </c>
      <c r="U1051" t="str">
        <f>CONCATENATE("&lt;/li&gt;&lt;li&gt;&lt;a href=|http://",U1191,"/romans/5.htm","| ","title=|",U1190,"| target=|_top|&gt;",U1192,"&lt;/a&gt;")</f>
        <v>&lt;/li&gt;&lt;li&gt;&lt;a href=|http://study.interlinearbible.org/romans/5.htm| title=|Greek Study Bible| target=|_top|&gt;Grk Study&lt;/a&gt;</v>
      </c>
      <c r="W1051" t="str">
        <f t="shared" si="4200"/>
        <v>&lt;/li&gt;&lt;li&gt;&lt;a href=|http://apostolic.interlinearbible.org/romans/5.htm| title=|Apostolic Bible Polyglot Interlinear| target=|_top|&gt;Polyglot&lt;/a&gt;</v>
      </c>
      <c r="X1051" t="str">
        <f t="shared" si="4200"/>
        <v>&lt;/li&gt;&lt;li&gt;&lt;a href=|http://interlinearbible.org/romans/5.htm| title=|Interlinear Bible| target=|_top|&gt;Interlin&lt;/a&gt;</v>
      </c>
      <c r="Y1051" t="str">
        <f t="shared" ref="Y1051" si="4201">CONCATENATE("&lt;/li&gt;&lt;li&gt;&lt;a href=|http://",Y1191,"/romans/5.htm","| ","title=|",Y1190,"| target=|_top|&gt;",Y1192,"&lt;/a&gt;")</f>
        <v>&lt;/li&gt;&lt;li&gt;&lt;a href=|http://bibleoutline.org/romans/5.htm| title=|Outline with People and Places List| target=|_top|&gt;Outline&lt;/a&gt;</v>
      </c>
      <c r="Z1051" t="str">
        <f t="shared" si="4200"/>
        <v>&lt;/li&gt;&lt;li&gt;&lt;a href=|http://kjvs.scripturetext.com/romans/5.htm| title=|King James Bible with Strong's Numbers| target=|_top|&gt;Strong's&lt;/a&gt;</v>
      </c>
      <c r="AA1051" t="str">
        <f t="shared" si="4200"/>
        <v>&lt;/li&gt;&lt;li&gt;&lt;a href=|http://childrensbibleonline.com/romans/5.htm| title=|The Children's Bible| target=|_top|&gt;Children's&lt;/a&gt;</v>
      </c>
      <c r="AB1051" s="2" t="str">
        <f t="shared" si="4200"/>
        <v>&lt;/li&gt;&lt;li&gt;&lt;a href=|http://tsk.scripturetext.com/romans/5.htm| title=|Treasury of Scripture Knowledge| target=|_top|&gt;TSK&lt;/a&gt;</v>
      </c>
      <c r="AC1051" t="str">
        <f>CONCATENATE("&lt;a href=|http://",AC1191,"/romans/5.htm","| ","title=|",AC1190,"| target=|_top|&gt;",AC1192,"&lt;/a&gt;")</f>
        <v>&lt;a href=|http://parallelbible.com/romans/5.htm| title=|Parallel Chapters| target=|_top|&gt;PAR&lt;/a&gt;</v>
      </c>
      <c r="AD1051" s="2" t="str">
        <f t="shared" ref="AD1051:AI1051" si="4202">CONCATENATE("&lt;/li&gt;&lt;li&gt;&lt;a href=|http://",AD1191,"/romans/5.htm","| ","title=|",AD1190,"| target=|_top|&gt;",AD1192,"&lt;/a&gt;")</f>
        <v>&lt;/li&gt;&lt;li&gt;&lt;a href=|http://gsb.biblecommenter.com/romans/5.htm| title=|Geneva Study Bible| target=|_top|&gt;GSB&lt;/a&gt;</v>
      </c>
      <c r="AE1051" s="2" t="str">
        <f t="shared" si="4202"/>
        <v>&lt;/li&gt;&lt;li&gt;&lt;a href=|http://jfb.biblecommenter.com/romans/5.htm| title=|Jamieson-Fausset-Brown Bible Commentary| target=|_top|&gt;JFB&lt;/a&gt;</v>
      </c>
      <c r="AF1051" s="2" t="str">
        <f t="shared" si="4202"/>
        <v>&lt;/li&gt;&lt;li&gt;&lt;a href=|http://kjt.biblecommenter.com/romans/5.htm| title=|King James Translators' Notes| target=|_top|&gt;KJT&lt;/a&gt;</v>
      </c>
      <c r="AG1051" s="2" t="str">
        <f t="shared" si="4202"/>
        <v>&lt;/li&gt;&lt;li&gt;&lt;a href=|http://mhc.biblecommenter.com/romans/5.htm| title=|Matthew Henry's Concise Commentary| target=|_top|&gt;MHC&lt;/a&gt;</v>
      </c>
      <c r="AH1051" s="2" t="str">
        <f t="shared" si="4202"/>
        <v>&lt;/li&gt;&lt;li&gt;&lt;a href=|http://sco.biblecommenter.com/romans/5.htm| title=|Scofield Reference Notes| target=|_top|&gt;SCO&lt;/a&gt;</v>
      </c>
      <c r="AI1051" s="2" t="str">
        <f t="shared" si="4202"/>
        <v>&lt;/li&gt;&lt;li&gt;&lt;a href=|http://wes.biblecommenter.com/romans/5.htm| title=|Wesley's Notes on the Bible| target=|_top|&gt;WES&lt;/a&gt;</v>
      </c>
      <c r="AJ1051" t="str">
        <f>CONCATENATE("&lt;/li&gt;&lt;li&gt;&lt;a href=|http://",AJ1191,"/romans/5.htm","| ","title=|",AJ1190,"| target=|_top|&gt;",AJ1192,"&lt;/a&gt;")</f>
        <v>&lt;/li&gt;&lt;li&gt;&lt;a href=|http://worldebible.com/romans/5.htm| title=|World English Bible| target=|_top|&gt;WEB&lt;/a&gt;</v>
      </c>
      <c r="AK1051" t="str">
        <f>CONCATENATE("&lt;/li&gt;&lt;li&gt;&lt;a href=|http://",AK1191,"/romans/5.htm","| ","title=|",AK1190,"| target=|_top|&gt;",AK1192,"&lt;/a&gt;")</f>
        <v>&lt;/li&gt;&lt;li&gt;&lt;a href=|http://yltbible.com/romans/5.htm| title=|Young's Literal Translation| target=|_top|&gt;YLT&lt;/a&gt;</v>
      </c>
      <c r="AL1051" t="str">
        <f>CONCATENATE("&lt;a href=|http://",AL1191,"/romans/5.htm","| ","title=|",AL1190,"| target=|_top|&gt;",AL1192,"&lt;/a&gt;")</f>
        <v>&lt;a href=|http://kjv.us/romans/5.htm| title=|American King James Version| target=|_top|&gt;AKJ&lt;/a&gt;</v>
      </c>
      <c r="AM1051" t="str">
        <f t="shared" ref="AM1051:AS1051" si="4203">CONCATENATE("&lt;/li&gt;&lt;li&gt;&lt;a href=|http://",AM1191,"/romans/5.htm","| ","title=|",AM1190,"| target=|_top|&gt;",AM1192,"&lt;/a&gt;")</f>
        <v>&lt;/li&gt;&lt;li&gt;&lt;a href=|http://basicenglishbible.com/romans/5.htm| title=|Bible in Basic English| target=|_top|&gt;BBE&lt;/a&gt;</v>
      </c>
      <c r="AN1051" t="str">
        <f t="shared" si="4203"/>
        <v>&lt;/li&gt;&lt;li&gt;&lt;a href=|http://darbybible.com/romans/5.htm| title=|Darby Bible Translation| target=|_top|&gt;DBY&lt;/a&gt;</v>
      </c>
      <c r="AO1051" t="str">
        <f t="shared" si="4203"/>
        <v>&lt;/li&gt;&lt;li&gt;&lt;a href=|http://isv.scripturetext.com/romans/5.htm| title=|International Standard Version| target=|_top|&gt;ISV&lt;/a&gt;</v>
      </c>
      <c r="AP1051" t="str">
        <f t="shared" si="4203"/>
        <v>&lt;/li&gt;&lt;li&gt;&lt;a href=|http://tnt.scripturetext.com/romans/5.htm| title=|Tyndale New Testament| target=|_top|&gt;TNT&lt;/a&gt;</v>
      </c>
      <c r="AQ1051" s="2" t="str">
        <f t="shared" si="4203"/>
        <v>&lt;/li&gt;&lt;li&gt;&lt;a href=|http://pnt.biblecommenter.com/romans/5.htm| title=|People's New Testament| target=|_top|&gt;PNT&lt;/a&gt;</v>
      </c>
      <c r="AR1051" t="str">
        <f t="shared" si="4203"/>
        <v>&lt;/li&gt;&lt;li&gt;&lt;a href=|http://websterbible.com/romans/5.htm| title=|Webster's Bible Translation| target=|_top|&gt;WBS&lt;/a&gt;</v>
      </c>
      <c r="AS1051" t="str">
        <f t="shared" si="4203"/>
        <v>&lt;/li&gt;&lt;li&gt;&lt;a href=|http://weymouthbible.com/romans/5.htm| title=|Weymouth New Testament| target=|_top|&gt;WEY&lt;/a&gt;</v>
      </c>
      <c r="AT1051" t="str">
        <f>CONCATENATE("&lt;/li&gt;&lt;li&gt;&lt;a href=|http://",AT1191,"/romans/5-1.htm","| ","title=|",AT1190,"| target=|_top|&gt;",AT1192,"&lt;/a&gt;")</f>
        <v>&lt;/li&gt;&lt;li&gt;&lt;a href=|http://biblebrowser.com/romans/5-1.htm| title=|Split View| target=|_top|&gt;Split&lt;/a&gt;</v>
      </c>
      <c r="AU1051" s="2" t="s">
        <v>1276</v>
      </c>
      <c r="AV1051" t="s">
        <v>64</v>
      </c>
    </row>
    <row r="1052" spans="1:48">
      <c r="A1052" t="s">
        <v>622</v>
      </c>
      <c r="B1052" t="s">
        <v>483</v>
      </c>
      <c r="C1052" t="s">
        <v>624</v>
      </c>
      <c r="D1052" t="s">
        <v>1268</v>
      </c>
      <c r="E1052" t="s">
        <v>1277</v>
      </c>
      <c r="F1052" t="s">
        <v>1304</v>
      </c>
      <c r="G1052" t="s">
        <v>1266</v>
      </c>
      <c r="H1052" t="s">
        <v>1305</v>
      </c>
      <c r="I1052" t="s">
        <v>1303</v>
      </c>
      <c r="J1052" t="s">
        <v>1267</v>
      </c>
      <c r="K1052" t="s">
        <v>1275</v>
      </c>
      <c r="L1052" s="2" t="s">
        <v>1274</v>
      </c>
      <c r="M1052" t="str">
        <f t="shared" ref="M1052:AB1052" si="4204">CONCATENATE("&lt;/li&gt;&lt;li&gt;&lt;a href=|http://",M1191,"/romans/6.htm","| ","title=|",M1190,"| target=|_top|&gt;",M1192,"&lt;/a&gt;")</f>
        <v>&lt;/li&gt;&lt;li&gt;&lt;a href=|http://niv.scripturetext.com/romans/6.htm| title=|New International Version| target=|_top|&gt;NIV&lt;/a&gt;</v>
      </c>
      <c r="N1052" t="str">
        <f t="shared" si="4204"/>
        <v>&lt;/li&gt;&lt;li&gt;&lt;a href=|http://nlt.scripturetext.com/romans/6.htm| title=|New Living Translation| target=|_top|&gt;NLT&lt;/a&gt;</v>
      </c>
      <c r="O1052" t="str">
        <f t="shared" si="4204"/>
        <v>&lt;/li&gt;&lt;li&gt;&lt;a href=|http://nasb.scripturetext.com/romans/6.htm| title=|New American Standard Bible| target=|_top|&gt;NAS&lt;/a&gt;</v>
      </c>
      <c r="P1052" t="str">
        <f t="shared" si="4204"/>
        <v>&lt;/li&gt;&lt;li&gt;&lt;a href=|http://gwt.scripturetext.com/romans/6.htm| title=|God's Word Translation| target=|_top|&gt;GWT&lt;/a&gt;</v>
      </c>
      <c r="Q1052" t="str">
        <f t="shared" si="4204"/>
        <v>&lt;/li&gt;&lt;li&gt;&lt;a href=|http://kingjbible.com/romans/6.htm| title=|King James Bible| target=|_top|&gt;KJV&lt;/a&gt;</v>
      </c>
      <c r="R1052" t="str">
        <f t="shared" si="4204"/>
        <v>&lt;/li&gt;&lt;li&gt;&lt;a href=|http://asvbible.com/romans/6.htm| title=|American Standard Version| target=|_top|&gt;ASV&lt;/a&gt;</v>
      </c>
      <c r="S1052" t="str">
        <f t="shared" si="4204"/>
        <v>&lt;/li&gt;&lt;li&gt;&lt;a href=|http://drb.scripturetext.com/romans/6.htm| title=|Douay-Rheims Bible| target=|_top|&gt;DRB&lt;/a&gt;</v>
      </c>
      <c r="T1052" t="str">
        <f t="shared" si="4204"/>
        <v>&lt;/li&gt;&lt;li&gt;&lt;a href=|http://erv.scripturetext.com/romans/6.htm| title=|English Revised Version| target=|_top|&gt;ERV&lt;/a&gt;</v>
      </c>
      <c r="U1052" t="str">
        <f>CONCATENATE("&lt;/li&gt;&lt;li&gt;&lt;a href=|http://",U1191,"/romans/6.htm","| ","title=|",U1190,"| target=|_top|&gt;",U1192,"&lt;/a&gt;")</f>
        <v>&lt;/li&gt;&lt;li&gt;&lt;a href=|http://study.interlinearbible.org/romans/6.htm| title=|Greek Study Bible| target=|_top|&gt;Grk Study&lt;/a&gt;</v>
      </c>
      <c r="W1052" t="str">
        <f t="shared" si="4204"/>
        <v>&lt;/li&gt;&lt;li&gt;&lt;a href=|http://apostolic.interlinearbible.org/romans/6.htm| title=|Apostolic Bible Polyglot Interlinear| target=|_top|&gt;Polyglot&lt;/a&gt;</v>
      </c>
      <c r="X1052" t="str">
        <f t="shared" si="4204"/>
        <v>&lt;/li&gt;&lt;li&gt;&lt;a href=|http://interlinearbible.org/romans/6.htm| title=|Interlinear Bible| target=|_top|&gt;Interlin&lt;/a&gt;</v>
      </c>
      <c r="Y1052" t="str">
        <f t="shared" ref="Y1052" si="4205">CONCATENATE("&lt;/li&gt;&lt;li&gt;&lt;a href=|http://",Y1191,"/romans/6.htm","| ","title=|",Y1190,"| target=|_top|&gt;",Y1192,"&lt;/a&gt;")</f>
        <v>&lt;/li&gt;&lt;li&gt;&lt;a href=|http://bibleoutline.org/romans/6.htm| title=|Outline with People and Places List| target=|_top|&gt;Outline&lt;/a&gt;</v>
      </c>
      <c r="Z1052" t="str">
        <f t="shared" si="4204"/>
        <v>&lt;/li&gt;&lt;li&gt;&lt;a href=|http://kjvs.scripturetext.com/romans/6.htm| title=|King James Bible with Strong's Numbers| target=|_top|&gt;Strong's&lt;/a&gt;</v>
      </c>
      <c r="AA1052" t="str">
        <f t="shared" si="4204"/>
        <v>&lt;/li&gt;&lt;li&gt;&lt;a href=|http://childrensbibleonline.com/romans/6.htm| title=|The Children's Bible| target=|_top|&gt;Children's&lt;/a&gt;</v>
      </c>
      <c r="AB1052" s="2" t="str">
        <f t="shared" si="4204"/>
        <v>&lt;/li&gt;&lt;li&gt;&lt;a href=|http://tsk.scripturetext.com/romans/6.htm| title=|Treasury of Scripture Knowledge| target=|_top|&gt;TSK&lt;/a&gt;</v>
      </c>
      <c r="AC1052" t="str">
        <f>CONCATENATE("&lt;a href=|http://",AC1191,"/romans/6.htm","| ","title=|",AC1190,"| target=|_top|&gt;",AC1192,"&lt;/a&gt;")</f>
        <v>&lt;a href=|http://parallelbible.com/romans/6.htm| title=|Parallel Chapters| target=|_top|&gt;PAR&lt;/a&gt;</v>
      </c>
      <c r="AD1052" s="2" t="str">
        <f t="shared" ref="AD1052:AI1052" si="4206">CONCATENATE("&lt;/li&gt;&lt;li&gt;&lt;a href=|http://",AD1191,"/romans/6.htm","| ","title=|",AD1190,"| target=|_top|&gt;",AD1192,"&lt;/a&gt;")</f>
        <v>&lt;/li&gt;&lt;li&gt;&lt;a href=|http://gsb.biblecommenter.com/romans/6.htm| title=|Geneva Study Bible| target=|_top|&gt;GSB&lt;/a&gt;</v>
      </c>
      <c r="AE1052" s="2" t="str">
        <f t="shared" si="4206"/>
        <v>&lt;/li&gt;&lt;li&gt;&lt;a href=|http://jfb.biblecommenter.com/romans/6.htm| title=|Jamieson-Fausset-Brown Bible Commentary| target=|_top|&gt;JFB&lt;/a&gt;</v>
      </c>
      <c r="AF1052" s="2" t="str">
        <f t="shared" si="4206"/>
        <v>&lt;/li&gt;&lt;li&gt;&lt;a href=|http://kjt.biblecommenter.com/romans/6.htm| title=|King James Translators' Notes| target=|_top|&gt;KJT&lt;/a&gt;</v>
      </c>
      <c r="AG1052" s="2" t="str">
        <f t="shared" si="4206"/>
        <v>&lt;/li&gt;&lt;li&gt;&lt;a href=|http://mhc.biblecommenter.com/romans/6.htm| title=|Matthew Henry's Concise Commentary| target=|_top|&gt;MHC&lt;/a&gt;</v>
      </c>
      <c r="AH1052" s="2" t="str">
        <f t="shared" si="4206"/>
        <v>&lt;/li&gt;&lt;li&gt;&lt;a href=|http://sco.biblecommenter.com/romans/6.htm| title=|Scofield Reference Notes| target=|_top|&gt;SCO&lt;/a&gt;</v>
      </c>
      <c r="AI1052" s="2" t="str">
        <f t="shared" si="4206"/>
        <v>&lt;/li&gt;&lt;li&gt;&lt;a href=|http://wes.biblecommenter.com/romans/6.htm| title=|Wesley's Notes on the Bible| target=|_top|&gt;WES&lt;/a&gt;</v>
      </c>
      <c r="AJ1052" t="str">
        <f>CONCATENATE("&lt;/li&gt;&lt;li&gt;&lt;a href=|http://",AJ1191,"/romans/6.htm","| ","title=|",AJ1190,"| target=|_top|&gt;",AJ1192,"&lt;/a&gt;")</f>
        <v>&lt;/li&gt;&lt;li&gt;&lt;a href=|http://worldebible.com/romans/6.htm| title=|World English Bible| target=|_top|&gt;WEB&lt;/a&gt;</v>
      </c>
      <c r="AK1052" t="str">
        <f>CONCATENATE("&lt;/li&gt;&lt;li&gt;&lt;a href=|http://",AK1191,"/romans/6.htm","| ","title=|",AK1190,"| target=|_top|&gt;",AK1192,"&lt;/a&gt;")</f>
        <v>&lt;/li&gt;&lt;li&gt;&lt;a href=|http://yltbible.com/romans/6.htm| title=|Young's Literal Translation| target=|_top|&gt;YLT&lt;/a&gt;</v>
      </c>
      <c r="AL1052" t="str">
        <f>CONCATENATE("&lt;a href=|http://",AL1191,"/romans/6.htm","| ","title=|",AL1190,"| target=|_top|&gt;",AL1192,"&lt;/a&gt;")</f>
        <v>&lt;a href=|http://kjv.us/romans/6.htm| title=|American King James Version| target=|_top|&gt;AKJ&lt;/a&gt;</v>
      </c>
      <c r="AM1052" t="str">
        <f t="shared" ref="AM1052:AS1052" si="4207">CONCATENATE("&lt;/li&gt;&lt;li&gt;&lt;a href=|http://",AM1191,"/romans/6.htm","| ","title=|",AM1190,"| target=|_top|&gt;",AM1192,"&lt;/a&gt;")</f>
        <v>&lt;/li&gt;&lt;li&gt;&lt;a href=|http://basicenglishbible.com/romans/6.htm| title=|Bible in Basic English| target=|_top|&gt;BBE&lt;/a&gt;</v>
      </c>
      <c r="AN1052" t="str">
        <f t="shared" si="4207"/>
        <v>&lt;/li&gt;&lt;li&gt;&lt;a href=|http://darbybible.com/romans/6.htm| title=|Darby Bible Translation| target=|_top|&gt;DBY&lt;/a&gt;</v>
      </c>
      <c r="AO1052" t="str">
        <f t="shared" si="4207"/>
        <v>&lt;/li&gt;&lt;li&gt;&lt;a href=|http://isv.scripturetext.com/romans/6.htm| title=|International Standard Version| target=|_top|&gt;ISV&lt;/a&gt;</v>
      </c>
      <c r="AP1052" t="str">
        <f t="shared" si="4207"/>
        <v>&lt;/li&gt;&lt;li&gt;&lt;a href=|http://tnt.scripturetext.com/romans/6.htm| title=|Tyndale New Testament| target=|_top|&gt;TNT&lt;/a&gt;</v>
      </c>
      <c r="AQ1052" s="2" t="str">
        <f t="shared" si="4207"/>
        <v>&lt;/li&gt;&lt;li&gt;&lt;a href=|http://pnt.biblecommenter.com/romans/6.htm| title=|People's New Testament| target=|_top|&gt;PNT&lt;/a&gt;</v>
      </c>
      <c r="AR1052" t="str">
        <f t="shared" si="4207"/>
        <v>&lt;/li&gt;&lt;li&gt;&lt;a href=|http://websterbible.com/romans/6.htm| title=|Webster's Bible Translation| target=|_top|&gt;WBS&lt;/a&gt;</v>
      </c>
      <c r="AS1052" t="str">
        <f t="shared" si="4207"/>
        <v>&lt;/li&gt;&lt;li&gt;&lt;a href=|http://weymouthbible.com/romans/6.htm| title=|Weymouth New Testament| target=|_top|&gt;WEY&lt;/a&gt;</v>
      </c>
      <c r="AT1052" t="str">
        <f>CONCATENATE("&lt;/li&gt;&lt;li&gt;&lt;a href=|http://",AT1191,"/romans/6-1.htm","| ","title=|",AT1190,"| target=|_top|&gt;",AT1192,"&lt;/a&gt;")</f>
        <v>&lt;/li&gt;&lt;li&gt;&lt;a href=|http://biblebrowser.com/romans/6-1.htm| title=|Split View| target=|_top|&gt;Split&lt;/a&gt;</v>
      </c>
      <c r="AU1052" s="2" t="s">
        <v>1276</v>
      </c>
      <c r="AV1052" t="s">
        <v>64</v>
      </c>
    </row>
    <row r="1053" spans="1:48">
      <c r="A1053" t="s">
        <v>622</v>
      </c>
      <c r="B1053" t="s">
        <v>484</v>
      </c>
      <c r="C1053" t="s">
        <v>624</v>
      </c>
      <c r="D1053" t="s">
        <v>1268</v>
      </c>
      <c r="E1053" t="s">
        <v>1277</v>
      </c>
      <c r="F1053" t="s">
        <v>1304</v>
      </c>
      <c r="G1053" t="s">
        <v>1266</v>
      </c>
      <c r="H1053" t="s">
        <v>1305</v>
      </c>
      <c r="I1053" t="s">
        <v>1303</v>
      </c>
      <c r="J1053" t="s">
        <v>1267</v>
      </c>
      <c r="K1053" t="s">
        <v>1275</v>
      </c>
      <c r="L1053" s="2" t="s">
        <v>1274</v>
      </c>
      <c r="M1053" t="str">
        <f t="shared" ref="M1053:AB1053" si="4208">CONCATENATE("&lt;/li&gt;&lt;li&gt;&lt;a href=|http://",M1191,"/romans/7.htm","| ","title=|",M1190,"| target=|_top|&gt;",M1192,"&lt;/a&gt;")</f>
        <v>&lt;/li&gt;&lt;li&gt;&lt;a href=|http://niv.scripturetext.com/romans/7.htm| title=|New International Version| target=|_top|&gt;NIV&lt;/a&gt;</v>
      </c>
      <c r="N1053" t="str">
        <f t="shared" si="4208"/>
        <v>&lt;/li&gt;&lt;li&gt;&lt;a href=|http://nlt.scripturetext.com/romans/7.htm| title=|New Living Translation| target=|_top|&gt;NLT&lt;/a&gt;</v>
      </c>
      <c r="O1053" t="str">
        <f t="shared" si="4208"/>
        <v>&lt;/li&gt;&lt;li&gt;&lt;a href=|http://nasb.scripturetext.com/romans/7.htm| title=|New American Standard Bible| target=|_top|&gt;NAS&lt;/a&gt;</v>
      </c>
      <c r="P1053" t="str">
        <f t="shared" si="4208"/>
        <v>&lt;/li&gt;&lt;li&gt;&lt;a href=|http://gwt.scripturetext.com/romans/7.htm| title=|God's Word Translation| target=|_top|&gt;GWT&lt;/a&gt;</v>
      </c>
      <c r="Q1053" t="str">
        <f t="shared" si="4208"/>
        <v>&lt;/li&gt;&lt;li&gt;&lt;a href=|http://kingjbible.com/romans/7.htm| title=|King James Bible| target=|_top|&gt;KJV&lt;/a&gt;</v>
      </c>
      <c r="R1053" t="str">
        <f t="shared" si="4208"/>
        <v>&lt;/li&gt;&lt;li&gt;&lt;a href=|http://asvbible.com/romans/7.htm| title=|American Standard Version| target=|_top|&gt;ASV&lt;/a&gt;</v>
      </c>
      <c r="S1053" t="str">
        <f t="shared" si="4208"/>
        <v>&lt;/li&gt;&lt;li&gt;&lt;a href=|http://drb.scripturetext.com/romans/7.htm| title=|Douay-Rheims Bible| target=|_top|&gt;DRB&lt;/a&gt;</v>
      </c>
      <c r="T1053" t="str">
        <f t="shared" si="4208"/>
        <v>&lt;/li&gt;&lt;li&gt;&lt;a href=|http://erv.scripturetext.com/romans/7.htm| title=|English Revised Version| target=|_top|&gt;ERV&lt;/a&gt;</v>
      </c>
      <c r="U1053" t="str">
        <f>CONCATENATE("&lt;/li&gt;&lt;li&gt;&lt;a href=|http://",U1191,"/romans/7.htm","| ","title=|",U1190,"| target=|_top|&gt;",U1192,"&lt;/a&gt;")</f>
        <v>&lt;/li&gt;&lt;li&gt;&lt;a href=|http://study.interlinearbible.org/romans/7.htm| title=|Greek Study Bible| target=|_top|&gt;Grk Study&lt;/a&gt;</v>
      </c>
      <c r="W1053" t="str">
        <f t="shared" si="4208"/>
        <v>&lt;/li&gt;&lt;li&gt;&lt;a href=|http://apostolic.interlinearbible.org/romans/7.htm| title=|Apostolic Bible Polyglot Interlinear| target=|_top|&gt;Polyglot&lt;/a&gt;</v>
      </c>
      <c r="X1053" t="str">
        <f t="shared" si="4208"/>
        <v>&lt;/li&gt;&lt;li&gt;&lt;a href=|http://interlinearbible.org/romans/7.htm| title=|Interlinear Bible| target=|_top|&gt;Interlin&lt;/a&gt;</v>
      </c>
      <c r="Y1053" t="str">
        <f t="shared" ref="Y1053" si="4209">CONCATENATE("&lt;/li&gt;&lt;li&gt;&lt;a href=|http://",Y1191,"/romans/7.htm","| ","title=|",Y1190,"| target=|_top|&gt;",Y1192,"&lt;/a&gt;")</f>
        <v>&lt;/li&gt;&lt;li&gt;&lt;a href=|http://bibleoutline.org/romans/7.htm| title=|Outline with People and Places List| target=|_top|&gt;Outline&lt;/a&gt;</v>
      </c>
      <c r="Z1053" t="str">
        <f t="shared" si="4208"/>
        <v>&lt;/li&gt;&lt;li&gt;&lt;a href=|http://kjvs.scripturetext.com/romans/7.htm| title=|King James Bible with Strong's Numbers| target=|_top|&gt;Strong's&lt;/a&gt;</v>
      </c>
      <c r="AA1053" t="str">
        <f t="shared" si="4208"/>
        <v>&lt;/li&gt;&lt;li&gt;&lt;a href=|http://childrensbibleonline.com/romans/7.htm| title=|The Children's Bible| target=|_top|&gt;Children's&lt;/a&gt;</v>
      </c>
      <c r="AB1053" s="2" t="str">
        <f t="shared" si="4208"/>
        <v>&lt;/li&gt;&lt;li&gt;&lt;a href=|http://tsk.scripturetext.com/romans/7.htm| title=|Treasury of Scripture Knowledge| target=|_top|&gt;TSK&lt;/a&gt;</v>
      </c>
      <c r="AC1053" t="str">
        <f>CONCATENATE("&lt;a href=|http://",AC1191,"/romans/7.htm","| ","title=|",AC1190,"| target=|_top|&gt;",AC1192,"&lt;/a&gt;")</f>
        <v>&lt;a href=|http://parallelbible.com/romans/7.htm| title=|Parallel Chapters| target=|_top|&gt;PAR&lt;/a&gt;</v>
      </c>
      <c r="AD1053" s="2" t="str">
        <f t="shared" ref="AD1053:AI1053" si="4210">CONCATENATE("&lt;/li&gt;&lt;li&gt;&lt;a href=|http://",AD1191,"/romans/7.htm","| ","title=|",AD1190,"| target=|_top|&gt;",AD1192,"&lt;/a&gt;")</f>
        <v>&lt;/li&gt;&lt;li&gt;&lt;a href=|http://gsb.biblecommenter.com/romans/7.htm| title=|Geneva Study Bible| target=|_top|&gt;GSB&lt;/a&gt;</v>
      </c>
      <c r="AE1053" s="2" t="str">
        <f t="shared" si="4210"/>
        <v>&lt;/li&gt;&lt;li&gt;&lt;a href=|http://jfb.biblecommenter.com/romans/7.htm| title=|Jamieson-Fausset-Brown Bible Commentary| target=|_top|&gt;JFB&lt;/a&gt;</v>
      </c>
      <c r="AF1053" s="2" t="str">
        <f t="shared" si="4210"/>
        <v>&lt;/li&gt;&lt;li&gt;&lt;a href=|http://kjt.biblecommenter.com/romans/7.htm| title=|King James Translators' Notes| target=|_top|&gt;KJT&lt;/a&gt;</v>
      </c>
      <c r="AG1053" s="2" t="str">
        <f t="shared" si="4210"/>
        <v>&lt;/li&gt;&lt;li&gt;&lt;a href=|http://mhc.biblecommenter.com/romans/7.htm| title=|Matthew Henry's Concise Commentary| target=|_top|&gt;MHC&lt;/a&gt;</v>
      </c>
      <c r="AH1053" s="2" t="str">
        <f t="shared" si="4210"/>
        <v>&lt;/li&gt;&lt;li&gt;&lt;a href=|http://sco.biblecommenter.com/romans/7.htm| title=|Scofield Reference Notes| target=|_top|&gt;SCO&lt;/a&gt;</v>
      </c>
      <c r="AI1053" s="2" t="str">
        <f t="shared" si="4210"/>
        <v>&lt;/li&gt;&lt;li&gt;&lt;a href=|http://wes.biblecommenter.com/romans/7.htm| title=|Wesley's Notes on the Bible| target=|_top|&gt;WES&lt;/a&gt;</v>
      </c>
      <c r="AJ1053" t="str">
        <f>CONCATENATE("&lt;/li&gt;&lt;li&gt;&lt;a href=|http://",AJ1191,"/romans/7.htm","| ","title=|",AJ1190,"| target=|_top|&gt;",AJ1192,"&lt;/a&gt;")</f>
        <v>&lt;/li&gt;&lt;li&gt;&lt;a href=|http://worldebible.com/romans/7.htm| title=|World English Bible| target=|_top|&gt;WEB&lt;/a&gt;</v>
      </c>
      <c r="AK1053" t="str">
        <f>CONCATENATE("&lt;/li&gt;&lt;li&gt;&lt;a href=|http://",AK1191,"/romans/7.htm","| ","title=|",AK1190,"| target=|_top|&gt;",AK1192,"&lt;/a&gt;")</f>
        <v>&lt;/li&gt;&lt;li&gt;&lt;a href=|http://yltbible.com/romans/7.htm| title=|Young's Literal Translation| target=|_top|&gt;YLT&lt;/a&gt;</v>
      </c>
      <c r="AL1053" t="str">
        <f>CONCATENATE("&lt;a href=|http://",AL1191,"/romans/7.htm","| ","title=|",AL1190,"| target=|_top|&gt;",AL1192,"&lt;/a&gt;")</f>
        <v>&lt;a href=|http://kjv.us/romans/7.htm| title=|American King James Version| target=|_top|&gt;AKJ&lt;/a&gt;</v>
      </c>
      <c r="AM1053" t="str">
        <f t="shared" ref="AM1053:AS1053" si="4211">CONCATENATE("&lt;/li&gt;&lt;li&gt;&lt;a href=|http://",AM1191,"/romans/7.htm","| ","title=|",AM1190,"| target=|_top|&gt;",AM1192,"&lt;/a&gt;")</f>
        <v>&lt;/li&gt;&lt;li&gt;&lt;a href=|http://basicenglishbible.com/romans/7.htm| title=|Bible in Basic English| target=|_top|&gt;BBE&lt;/a&gt;</v>
      </c>
      <c r="AN1053" t="str">
        <f t="shared" si="4211"/>
        <v>&lt;/li&gt;&lt;li&gt;&lt;a href=|http://darbybible.com/romans/7.htm| title=|Darby Bible Translation| target=|_top|&gt;DBY&lt;/a&gt;</v>
      </c>
      <c r="AO1053" t="str">
        <f t="shared" si="4211"/>
        <v>&lt;/li&gt;&lt;li&gt;&lt;a href=|http://isv.scripturetext.com/romans/7.htm| title=|International Standard Version| target=|_top|&gt;ISV&lt;/a&gt;</v>
      </c>
      <c r="AP1053" t="str">
        <f t="shared" si="4211"/>
        <v>&lt;/li&gt;&lt;li&gt;&lt;a href=|http://tnt.scripturetext.com/romans/7.htm| title=|Tyndale New Testament| target=|_top|&gt;TNT&lt;/a&gt;</v>
      </c>
      <c r="AQ1053" s="2" t="str">
        <f t="shared" si="4211"/>
        <v>&lt;/li&gt;&lt;li&gt;&lt;a href=|http://pnt.biblecommenter.com/romans/7.htm| title=|People's New Testament| target=|_top|&gt;PNT&lt;/a&gt;</v>
      </c>
      <c r="AR1053" t="str">
        <f t="shared" si="4211"/>
        <v>&lt;/li&gt;&lt;li&gt;&lt;a href=|http://websterbible.com/romans/7.htm| title=|Webster's Bible Translation| target=|_top|&gt;WBS&lt;/a&gt;</v>
      </c>
      <c r="AS1053" t="str">
        <f t="shared" si="4211"/>
        <v>&lt;/li&gt;&lt;li&gt;&lt;a href=|http://weymouthbible.com/romans/7.htm| title=|Weymouth New Testament| target=|_top|&gt;WEY&lt;/a&gt;</v>
      </c>
      <c r="AT1053" t="str">
        <f>CONCATENATE("&lt;/li&gt;&lt;li&gt;&lt;a href=|http://",AT1191,"/romans/7-1.htm","| ","title=|",AT1190,"| target=|_top|&gt;",AT1192,"&lt;/a&gt;")</f>
        <v>&lt;/li&gt;&lt;li&gt;&lt;a href=|http://biblebrowser.com/romans/7-1.htm| title=|Split View| target=|_top|&gt;Split&lt;/a&gt;</v>
      </c>
      <c r="AU1053" s="2" t="s">
        <v>1276</v>
      </c>
      <c r="AV1053" t="s">
        <v>64</v>
      </c>
    </row>
    <row r="1054" spans="1:48">
      <c r="A1054" t="s">
        <v>622</v>
      </c>
      <c r="B1054" t="s">
        <v>485</v>
      </c>
      <c r="C1054" t="s">
        <v>624</v>
      </c>
      <c r="D1054" t="s">
        <v>1268</v>
      </c>
      <c r="E1054" t="s">
        <v>1277</v>
      </c>
      <c r="F1054" t="s">
        <v>1304</v>
      </c>
      <c r="G1054" t="s">
        <v>1266</v>
      </c>
      <c r="H1054" t="s">
        <v>1305</v>
      </c>
      <c r="I1054" t="s">
        <v>1303</v>
      </c>
      <c r="J1054" t="s">
        <v>1267</v>
      </c>
      <c r="K1054" t="s">
        <v>1275</v>
      </c>
      <c r="L1054" s="2" t="s">
        <v>1274</v>
      </c>
      <c r="M1054" t="str">
        <f t="shared" ref="M1054:AB1054" si="4212">CONCATENATE("&lt;/li&gt;&lt;li&gt;&lt;a href=|http://",M1191,"/romans/8.htm","| ","title=|",M1190,"| target=|_top|&gt;",M1192,"&lt;/a&gt;")</f>
        <v>&lt;/li&gt;&lt;li&gt;&lt;a href=|http://niv.scripturetext.com/romans/8.htm| title=|New International Version| target=|_top|&gt;NIV&lt;/a&gt;</v>
      </c>
      <c r="N1054" t="str">
        <f t="shared" si="4212"/>
        <v>&lt;/li&gt;&lt;li&gt;&lt;a href=|http://nlt.scripturetext.com/romans/8.htm| title=|New Living Translation| target=|_top|&gt;NLT&lt;/a&gt;</v>
      </c>
      <c r="O1054" t="str">
        <f t="shared" si="4212"/>
        <v>&lt;/li&gt;&lt;li&gt;&lt;a href=|http://nasb.scripturetext.com/romans/8.htm| title=|New American Standard Bible| target=|_top|&gt;NAS&lt;/a&gt;</v>
      </c>
      <c r="P1054" t="str">
        <f t="shared" si="4212"/>
        <v>&lt;/li&gt;&lt;li&gt;&lt;a href=|http://gwt.scripturetext.com/romans/8.htm| title=|God's Word Translation| target=|_top|&gt;GWT&lt;/a&gt;</v>
      </c>
      <c r="Q1054" t="str">
        <f t="shared" si="4212"/>
        <v>&lt;/li&gt;&lt;li&gt;&lt;a href=|http://kingjbible.com/romans/8.htm| title=|King James Bible| target=|_top|&gt;KJV&lt;/a&gt;</v>
      </c>
      <c r="R1054" t="str">
        <f t="shared" si="4212"/>
        <v>&lt;/li&gt;&lt;li&gt;&lt;a href=|http://asvbible.com/romans/8.htm| title=|American Standard Version| target=|_top|&gt;ASV&lt;/a&gt;</v>
      </c>
      <c r="S1054" t="str">
        <f t="shared" si="4212"/>
        <v>&lt;/li&gt;&lt;li&gt;&lt;a href=|http://drb.scripturetext.com/romans/8.htm| title=|Douay-Rheims Bible| target=|_top|&gt;DRB&lt;/a&gt;</v>
      </c>
      <c r="T1054" t="str">
        <f t="shared" si="4212"/>
        <v>&lt;/li&gt;&lt;li&gt;&lt;a href=|http://erv.scripturetext.com/romans/8.htm| title=|English Revised Version| target=|_top|&gt;ERV&lt;/a&gt;</v>
      </c>
      <c r="U1054" t="str">
        <f>CONCATENATE("&lt;/li&gt;&lt;li&gt;&lt;a href=|http://",U1191,"/romans/8.htm","| ","title=|",U1190,"| target=|_top|&gt;",U1192,"&lt;/a&gt;")</f>
        <v>&lt;/li&gt;&lt;li&gt;&lt;a href=|http://study.interlinearbible.org/romans/8.htm| title=|Greek Study Bible| target=|_top|&gt;Grk Study&lt;/a&gt;</v>
      </c>
      <c r="W1054" t="str">
        <f t="shared" si="4212"/>
        <v>&lt;/li&gt;&lt;li&gt;&lt;a href=|http://apostolic.interlinearbible.org/romans/8.htm| title=|Apostolic Bible Polyglot Interlinear| target=|_top|&gt;Polyglot&lt;/a&gt;</v>
      </c>
      <c r="X1054" t="str">
        <f t="shared" si="4212"/>
        <v>&lt;/li&gt;&lt;li&gt;&lt;a href=|http://interlinearbible.org/romans/8.htm| title=|Interlinear Bible| target=|_top|&gt;Interlin&lt;/a&gt;</v>
      </c>
      <c r="Y1054" t="str">
        <f t="shared" ref="Y1054" si="4213">CONCATENATE("&lt;/li&gt;&lt;li&gt;&lt;a href=|http://",Y1191,"/romans/8.htm","| ","title=|",Y1190,"| target=|_top|&gt;",Y1192,"&lt;/a&gt;")</f>
        <v>&lt;/li&gt;&lt;li&gt;&lt;a href=|http://bibleoutline.org/romans/8.htm| title=|Outline with People and Places List| target=|_top|&gt;Outline&lt;/a&gt;</v>
      </c>
      <c r="Z1054" t="str">
        <f t="shared" si="4212"/>
        <v>&lt;/li&gt;&lt;li&gt;&lt;a href=|http://kjvs.scripturetext.com/romans/8.htm| title=|King James Bible with Strong's Numbers| target=|_top|&gt;Strong's&lt;/a&gt;</v>
      </c>
      <c r="AA1054" t="str">
        <f t="shared" si="4212"/>
        <v>&lt;/li&gt;&lt;li&gt;&lt;a href=|http://childrensbibleonline.com/romans/8.htm| title=|The Children's Bible| target=|_top|&gt;Children's&lt;/a&gt;</v>
      </c>
      <c r="AB1054" s="2" t="str">
        <f t="shared" si="4212"/>
        <v>&lt;/li&gt;&lt;li&gt;&lt;a href=|http://tsk.scripturetext.com/romans/8.htm| title=|Treasury of Scripture Knowledge| target=|_top|&gt;TSK&lt;/a&gt;</v>
      </c>
      <c r="AC1054" t="str">
        <f>CONCATENATE("&lt;a href=|http://",AC1191,"/romans/8.htm","| ","title=|",AC1190,"| target=|_top|&gt;",AC1192,"&lt;/a&gt;")</f>
        <v>&lt;a href=|http://parallelbible.com/romans/8.htm| title=|Parallel Chapters| target=|_top|&gt;PAR&lt;/a&gt;</v>
      </c>
      <c r="AD1054" s="2" t="str">
        <f t="shared" ref="AD1054:AI1054" si="4214">CONCATENATE("&lt;/li&gt;&lt;li&gt;&lt;a href=|http://",AD1191,"/romans/8.htm","| ","title=|",AD1190,"| target=|_top|&gt;",AD1192,"&lt;/a&gt;")</f>
        <v>&lt;/li&gt;&lt;li&gt;&lt;a href=|http://gsb.biblecommenter.com/romans/8.htm| title=|Geneva Study Bible| target=|_top|&gt;GSB&lt;/a&gt;</v>
      </c>
      <c r="AE1054" s="2" t="str">
        <f t="shared" si="4214"/>
        <v>&lt;/li&gt;&lt;li&gt;&lt;a href=|http://jfb.biblecommenter.com/romans/8.htm| title=|Jamieson-Fausset-Brown Bible Commentary| target=|_top|&gt;JFB&lt;/a&gt;</v>
      </c>
      <c r="AF1054" s="2" t="str">
        <f t="shared" si="4214"/>
        <v>&lt;/li&gt;&lt;li&gt;&lt;a href=|http://kjt.biblecommenter.com/romans/8.htm| title=|King James Translators' Notes| target=|_top|&gt;KJT&lt;/a&gt;</v>
      </c>
      <c r="AG1054" s="2" t="str">
        <f t="shared" si="4214"/>
        <v>&lt;/li&gt;&lt;li&gt;&lt;a href=|http://mhc.biblecommenter.com/romans/8.htm| title=|Matthew Henry's Concise Commentary| target=|_top|&gt;MHC&lt;/a&gt;</v>
      </c>
      <c r="AH1054" s="2" t="str">
        <f t="shared" si="4214"/>
        <v>&lt;/li&gt;&lt;li&gt;&lt;a href=|http://sco.biblecommenter.com/romans/8.htm| title=|Scofield Reference Notes| target=|_top|&gt;SCO&lt;/a&gt;</v>
      </c>
      <c r="AI1054" s="2" t="str">
        <f t="shared" si="4214"/>
        <v>&lt;/li&gt;&lt;li&gt;&lt;a href=|http://wes.biblecommenter.com/romans/8.htm| title=|Wesley's Notes on the Bible| target=|_top|&gt;WES&lt;/a&gt;</v>
      </c>
      <c r="AJ1054" t="str">
        <f>CONCATENATE("&lt;/li&gt;&lt;li&gt;&lt;a href=|http://",AJ1191,"/romans/8.htm","| ","title=|",AJ1190,"| target=|_top|&gt;",AJ1192,"&lt;/a&gt;")</f>
        <v>&lt;/li&gt;&lt;li&gt;&lt;a href=|http://worldebible.com/romans/8.htm| title=|World English Bible| target=|_top|&gt;WEB&lt;/a&gt;</v>
      </c>
      <c r="AK1054" t="str">
        <f>CONCATENATE("&lt;/li&gt;&lt;li&gt;&lt;a href=|http://",AK1191,"/romans/8.htm","| ","title=|",AK1190,"| target=|_top|&gt;",AK1192,"&lt;/a&gt;")</f>
        <v>&lt;/li&gt;&lt;li&gt;&lt;a href=|http://yltbible.com/romans/8.htm| title=|Young's Literal Translation| target=|_top|&gt;YLT&lt;/a&gt;</v>
      </c>
      <c r="AL1054" t="str">
        <f>CONCATENATE("&lt;a href=|http://",AL1191,"/romans/8.htm","| ","title=|",AL1190,"| target=|_top|&gt;",AL1192,"&lt;/a&gt;")</f>
        <v>&lt;a href=|http://kjv.us/romans/8.htm| title=|American King James Version| target=|_top|&gt;AKJ&lt;/a&gt;</v>
      </c>
      <c r="AM1054" t="str">
        <f t="shared" ref="AM1054:AS1054" si="4215">CONCATENATE("&lt;/li&gt;&lt;li&gt;&lt;a href=|http://",AM1191,"/romans/8.htm","| ","title=|",AM1190,"| target=|_top|&gt;",AM1192,"&lt;/a&gt;")</f>
        <v>&lt;/li&gt;&lt;li&gt;&lt;a href=|http://basicenglishbible.com/romans/8.htm| title=|Bible in Basic English| target=|_top|&gt;BBE&lt;/a&gt;</v>
      </c>
      <c r="AN1054" t="str">
        <f t="shared" si="4215"/>
        <v>&lt;/li&gt;&lt;li&gt;&lt;a href=|http://darbybible.com/romans/8.htm| title=|Darby Bible Translation| target=|_top|&gt;DBY&lt;/a&gt;</v>
      </c>
      <c r="AO1054" t="str">
        <f t="shared" si="4215"/>
        <v>&lt;/li&gt;&lt;li&gt;&lt;a href=|http://isv.scripturetext.com/romans/8.htm| title=|International Standard Version| target=|_top|&gt;ISV&lt;/a&gt;</v>
      </c>
      <c r="AP1054" t="str">
        <f t="shared" si="4215"/>
        <v>&lt;/li&gt;&lt;li&gt;&lt;a href=|http://tnt.scripturetext.com/romans/8.htm| title=|Tyndale New Testament| target=|_top|&gt;TNT&lt;/a&gt;</v>
      </c>
      <c r="AQ1054" s="2" t="str">
        <f t="shared" si="4215"/>
        <v>&lt;/li&gt;&lt;li&gt;&lt;a href=|http://pnt.biblecommenter.com/romans/8.htm| title=|People's New Testament| target=|_top|&gt;PNT&lt;/a&gt;</v>
      </c>
      <c r="AR1054" t="str">
        <f t="shared" si="4215"/>
        <v>&lt;/li&gt;&lt;li&gt;&lt;a href=|http://websterbible.com/romans/8.htm| title=|Webster's Bible Translation| target=|_top|&gt;WBS&lt;/a&gt;</v>
      </c>
      <c r="AS1054" t="str">
        <f t="shared" si="4215"/>
        <v>&lt;/li&gt;&lt;li&gt;&lt;a href=|http://weymouthbible.com/romans/8.htm| title=|Weymouth New Testament| target=|_top|&gt;WEY&lt;/a&gt;</v>
      </c>
      <c r="AT1054" t="str">
        <f>CONCATENATE("&lt;/li&gt;&lt;li&gt;&lt;a href=|http://",AT1191,"/romans/8-1.htm","| ","title=|",AT1190,"| target=|_top|&gt;",AT1192,"&lt;/a&gt;")</f>
        <v>&lt;/li&gt;&lt;li&gt;&lt;a href=|http://biblebrowser.com/romans/8-1.htm| title=|Split View| target=|_top|&gt;Split&lt;/a&gt;</v>
      </c>
      <c r="AU1054" s="2" t="s">
        <v>1276</v>
      </c>
      <c r="AV1054" t="s">
        <v>64</v>
      </c>
    </row>
    <row r="1055" spans="1:48">
      <c r="A1055" t="s">
        <v>622</v>
      </c>
      <c r="B1055" t="s">
        <v>486</v>
      </c>
      <c r="C1055" t="s">
        <v>624</v>
      </c>
      <c r="D1055" t="s">
        <v>1268</v>
      </c>
      <c r="E1055" t="s">
        <v>1277</v>
      </c>
      <c r="F1055" t="s">
        <v>1304</v>
      </c>
      <c r="G1055" t="s">
        <v>1266</v>
      </c>
      <c r="H1055" t="s">
        <v>1305</v>
      </c>
      <c r="I1055" t="s">
        <v>1303</v>
      </c>
      <c r="J1055" t="s">
        <v>1267</v>
      </c>
      <c r="K1055" t="s">
        <v>1275</v>
      </c>
      <c r="L1055" s="2" t="s">
        <v>1274</v>
      </c>
      <c r="M1055" t="str">
        <f t="shared" ref="M1055:AB1055" si="4216">CONCATENATE("&lt;/li&gt;&lt;li&gt;&lt;a href=|http://",M1191,"/romans/9.htm","| ","title=|",M1190,"| target=|_top|&gt;",M1192,"&lt;/a&gt;")</f>
        <v>&lt;/li&gt;&lt;li&gt;&lt;a href=|http://niv.scripturetext.com/romans/9.htm| title=|New International Version| target=|_top|&gt;NIV&lt;/a&gt;</v>
      </c>
      <c r="N1055" t="str">
        <f t="shared" si="4216"/>
        <v>&lt;/li&gt;&lt;li&gt;&lt;a href=|http://nlt.scripturetext.com/romans/9.htm| title=|New Living Translation| target=|_top|&gt;NLT&lt;/a&gt;</v>
      </c>
      <c r="O1055" t="str">
        <f t="shared" si="4216"/>
        <v>&lt;/li&gt;&lt;li&gt;&lt;a href=|http://nasb.scripturetext.com/romans/9.htm| title=|New American Standard Bible| target=|_top|&gt;NAS&lt;/a&gt;</v>
      </c>
      <c r="P1055" t="str">
        <f t="shared" si="4216"/>
        <v>&lt;/li&gt;&lt;li&gt;&lt;a href=|http://gwt.scripturetext.com/romans/9.htm| title=|God's Word Translation| target=|_top|&gt;GWT&lt;/a&gt;</v>
      </c>
      <c r="Q1055" t="str">
        <f t="shared" si="4216"/>
        <v>&lt;/li&gt;&lt;li&gt;&lt;a href=|http://kingjbible.com/romans/9.htm| title=|King James Bible| target=|_top|&gt;KJV&lt;/a&gt;</v>
      </c>
      <c r="R1055" t="str">
        <f t="shared" si="4216"/>
        <v>&lt;/li&gt;&lt;li&gt;&lt;a href=|http://asvbible.com/romans/9.htm| title=|American Standard Version| target=|_top|&gt;ASV&lt;/a&gt;</v>
      </c>
      <c r="S1055" t="str">
        <f t="shared" si="4216"/>
        <v>&lt;/li&gt;&lt;li&gt;&lt;a href=|http://drb.scripturetext.com/romans/9.htm| title=|Douay-Rheims Bible| target=|_top|&gt;DRB&lt;/a&gt;</v>
      </c>
      <c r="T1055" t="str">
        <f t="shared" si="4216"/>
        <v>&lt;/li&gt;&lt;li&gt;&lt;a href=|http://erv.scripturetext.com/romans/9.htm| title=|English Revised Version| target=|_top|&gt;ERV&lt;/a&gt;</v>
      </c>
      <c r="U1055" t="str">
        <f>CONCATENATE("&lt;/li&gt;&lt;li&gt;&lt;a href=|http://",U1191,"/romans/9.htm","| ","title=|",U1190,"| target=|_top|&gt;",U1192,"&lt;/a&gt;")</f>
        <v>&lt;/li&gt;&lt;li&gt;&lt;a href=|http://study.interlinearbible.org/romans/9.htm| title=|Greek Study Bible| target=|_top|&gt;Grk Study&lt;/a&gt;</v>
      </c>
      <c r="W1055" t="str">
        <f t="shared" si="4216"/>
        <v>&lt;/li&gt;&lt;li&gt;&lt;a href=|http://apostolic.interlinearbible.org/romans/9.htm| title=|Apostolic Bible Polyglot Interlinear| target=|_top|&gt;Polyglot&lt;/a&gt;</v>
      </c>
      <c r="X1055" t="str">
        <f t="shared" si="4216"/>
        <v>&lt;/li&gt;&lt;li&gt;&lt;a href=|http://interlinearbible.org/romans/9.htm| title=|Interlinear Bible| target=|_top|&gt;Interlin&lt;/a&gt;</v>
      </c>
      <c r="Y1055" t="str">
        <f t="shared" ref="Y1055" si="4217">CONCATENATE("&lt;/li&gt;&lt;li&gt;&lt;a href=|http://",Y1191,"/romans/9.htm","| ","title=|",Y1190,"| target=|_top|&gt;",Y1192,"&lt;/a&gt;")</f>
        <v>&lt;/li&gt;&lt;li&gt;&lt;a href=|http://bibleoutline.org/romans/9.htm| title=|Outline with People and Places List| target=|_top|&gt;Outline&lt;/a&gt;</v>
      </c>
      <c r="Z1055" t="str">
        <f t="shared" si="4216"/>
        <v>&lt;/li&gt;&lt;li&gt;&lt;a href=|http://kjvs.scripturetext.com/romans/9.htm| title=|King James Bible with Strong's Numbers| target=|_top|&gt;Strong's&lt;/a&gt;</v>
      </c>
      <c r="AA1055" t="str">
        <f t="shared" si="4216"/>
        <v>&lt;/li&gt;&lt;li&gt;&lt;a href=|http://childrensbibleonline.com/romans/9.htm| title=|The Children's Bible| target=|_top|&gt;Children's&lt;/a&gt;</v>
      </c>
      <c r="AB1055" s="2" t="str">
        <f t="shared" si="4216"/>
        <v>&lt;/li&gt;&lt;li&gt;&lt;a href=|http://tsk.scripturetext.com/romans/9.htm| title=|Treasury of Scripture Knowledge| target=|_top|&gt;TSK&lt;/a&gt;</v>
      </c>
      <c r="AC1055" t="str">
        <f>CONCATENATE("&lt;a href=|http://",AC1191,"/romans/9.htm","| ","title=|",AC1190,"| target=|_top|&gt;",AC1192,"&lt;/a&gt;")</f>
        <v>&lt;a href=|http://parallelbible.com/romans/9.htm| title=|Parallel Chapters| target=|_top|&gt;PAR&lt;/a&gt;</v>
      </c>
      <c r="AD1055" s="2" t="str">
        <f t="shared" ref="AD1055:AI1055" si="4218">CONCATENATE("&lt;/li&gt;&lt;li&gt;&lt;a href=|http://",AD1191,"/romans/9.htm","| ","title=|",AD1190,"| target=|_top|&gt;",AD1192,"&lt;/a&gt;")</f>
        <v>&lt;/li&gt;&lt;li&gt;&lt;a href=|http://gsb.biblecommenter.com/romans/9.htm| title=|Geneva Study Bible| target=|_top|&gt;GSB&lt;/a&gt;</v>
      </c>
      <c r="AE1055" s="2" t="str">
        <f t="shared" si="4218"/>
        <v>&lt;/li&gt;&lt;li&gt;&lt;a href=|http://jfb.biblecommenter.com/romans/9.htm| title=|Jamieson-Fausset-Brown Bible Commentary| target=|_top|&gt;JFB&lt;/a&gt;</v>
      </c>
      <c r="AF1055" s="2" t="str">
        <f t="shared" si="4218"/>
        <v>&lt;/li&gt;&lt;li&gt;&lt;a href=|http://kjt.biblecommenter.com/romans/9.htm| title=|King James Translators' Notes| target=|_top|&gt;KJT&lt;/a&gt;</v>
      </c>
      <c r="AG1055" s="2" t="str">
        <f t="shared" si="4218"/>
        <v>&lt;/li&gt;&lt;li&gt;&lt;a href=|http://mhc.biblecommenter.com/romans/9.htm| title=|Matthew Henry's Concise Commentary| target=|_top|&gt;MHC&lt;/a&gt;</v>
      </c>
      <c r="AH1055" s="2" t="str">
        <f t="shared" si="4218"/>
        <v>&lt;/li&gt;&lt;li&gt;&lt;a href=|http://sco.biblecommenter.com/romans/9.htm| title=|Scofield Reference Notes| target=|_top|&gt;SCO&lt;/a&gt;</v>
      </c>
      <c r="AI1055" s="2" t="str">
        <f t="shared" si="4218"/>
        <v>&lt;/li&gt;&lt;li&gt;&lt;a href=|http://wes.biblecommenter.com/romans/9.htm| title=|Wesley's Notes on the Bible| target=|_top|&gt;WES&lt;/a&gt;</v>
      </c>
      <c r="AJ1055" t="str">
        <f>CONCATENATE("&lt;/li&gt;&lt;li&gt;&lt;a href=|http://",AJ1191,"/romans/9.htm","| ","title=|",AJ1190,"| target=|_top|&gt;",AJ1192,"&lt;/a&gt;")</f>
        <v>&lt;/li&gt;&lt;li&gt;&lt;a href=|http://worldebible.com/romans/9.htm| title=|World English Bible| target=|_top|&gt;WEB&lt;/a&gt;</v>
      </c>
      <c r="AK1055" t="str">
        <f>CONCATENATE("&lt;/li&gt;&lt;li&gt;&lt;a href=|http://",AK1191,"/romans/9.htm","| ","title=|",AK1190,"| target=|_top|&gt;",AK1192,"&lt;/a&gt;")</f>
        <v>&lt;/li&gt;&lt;li&gt;&lt;a href=|http://yltbible.com/romans/9.htm| title=|Young's Literal Translation| target=|_top|&gt;YLT&lt;/a&gt;</v>
      </c>
      <c r="AL1055" t="str">
        <f>CONCATENATE("&lt;a href=|http://",AL1191,"/romans/9.htm","| ","title=|",AL1190,"| target=|_top|&gt;",AL1192,"&lt;/a&gt;")</f>
        <v>&lt;a href=|http://kjv.us/romans/9.htm| title=|American King James Version| target=|_top|&gt;AKJ&lt;/a&gt;</v>
      </c>
      <c r="AM1055" t="str">
        <f t="shared" ref="AM1055:AS1055" si="4219">CONCATENATE("&lt;/li&gt;&lt;li&gt;&lt;a href=|http://",AM1191,"/romans/9.htm","| ","title=|",AM1190,"| target=|_top|&gt;",AM1192,"&lt;/a&gt;")</f>
        <v>&lt;/li&gt;&lt;li&gt;&lt;a href=|http://basicenglishbible.com/romans/9.htm| title=|Bible in Basic English| target=|_top|&gt;BBE&lt;/a&gt;</v>
      </c>
      <c r="AN1055" t="str">
        <f t="shared" si="4219"/>
        <v>&lt;/li&gt;&lt;li&gt;&lt;a href=|http://darbybible.com/romans/9.htm| title=|Darby Bible Translation| target=|_top|&gt;DBY&lt;/a&gt;</v>
      </c>
      <c r="AO1055" t="str">
        <f t="shared" si="4219"/>
        <v>&lt;/li&gt;&lt;li&gt;&lt;a href=|http://isv.scripturetext.com/romans/9.htm| title=|International Standard Version| target=|_top|&gt;ISV&lt;/a&gt;</v>
      </c>
      <c r="AP1055" t="str">
        <f t="shared" si="4219"/>
        <v>&lt;/li&gt;&lt;li&gt;&lt;a href=|http://tnt.scripturetext.com/romans/9.htm| title=|Tyndale New Testament| target=|_top|&gt;TNT&lt;/a&gt;</v>
      </c>
      <c r="AQ1055" s="2" t="str">
        <f t="shared" si="4219"/>
        <v>&lt;/li&gt;&lt;li&gt;&lt;a href=|http://pnt.biblecommenter.com/romans/9.htm| title=|People's New Testament| target=|_top|&gt;PNT&lt;/a&gt;</v>
      </c>
      <c r="AR1055" t="str">
        <f t="shared" si="4219"/>
        <v>&lt;/li&gt;&lt;li&gt;&lt;a href=|http://websterbible.com/romans/9.htm| title=|Webster's Bible Translation| target=|_top|&gt;WBS&lt;/a&gt;</v>
      </c>
      <c r="AS1055" t="str">
        <f t="shared" si="4219"/>
        <v>&lt;/li&gt;&lt;li&gt;&lt;a href=|http://weymouthbible.com/romans/9.htm| title=|Weymouth New Testament| target=|_top|&gt;WEY&lt;/a&gt;</v>
      </c>
      <c r="AT1055" t="str">
        <f>CONCATENATE("&lt;/li&gt;&lt;li&gt;&lt;a href=|http://",AT1191,"/romans/9-1.htm","| ","title=|",AT1190,"| target=|_top|&gt;",AT1192,"&lt;/a&gt;")</f>
        <v>&lt;/li&gt;&lt;li&gt;&lt;a href=|http://biblebrowser.com/romans/9-1.htm| title=|Split View| target=|_top|&gt;Split&lt;/a&gt;</v>
      </c>
      <c r="AU1055" s="2" t="s">
        <v>1276</v>
      </c>
      <c r="AV1055" t="s">
        <v>64</v>
      </c>
    </row>
    <row r="1056" spans="1:48">
      <c r="A1056" t="s">
        <v>622</v>
      </c>
      <c r="B1056" t="s">
        <v>487</v>
      </c>
      <c r="C1056" t="s">
        <v>624</v>
      </c>
      <c r="D1056" t="s">
        <v>1268</v>
      </c>
      <c r="E1056" t="s">
        <v>1277</v>
      </c>
      <c r="F1056" t="s">
        <v>1304</v>
      </c>
      <c r="G1056" t="s">
        <v>1266</v>
      </c>
      <c r="H1056" t="s">
        <v>1305</v>
      </c>
      <c r="I1056" t="s">
        <v>1303</v>
      </c>
      <c r="J1056" t="s">
        <v>1267</v>
      </c>
      <c r="K1056" t="s">
        <v>1275</v>
      </c>
      <c r="L1056" s="2" t="s">
        <v>1274</v>
      </c>
      <c r="M1056" t="str">
        <f t="shared" ref="M1056:AB1056" si="4220">CONCATENATE("&lt;/li&gt;&lt;li&gt;&lt;a href=|http://",M1191,"/romans/10.htm","| ","title=|",M1190,"| target=|_top|&gt;",M1192,"&lt;/a&gt;")</f>
        <v>&lt;/li&gt;&lt;li&gt;&lt;a href=|http://niv.scripturetext.com/romans/10.htm| title=|New International Version| target=|_top|&gt;NIV&lt;/a&gt;</v>
      </c>
      <c r="N1056" t="str">
        <f t="shared" si="4220"/>
        <v>&lt;/li&gt;&lt;li&gt;&lt;a href=|http://nlt.scripturetext.com/romans/10.htm| title=|New Living Translation| target=|_top|&gt;NLT&lt;/a&gt;</v>
      </c>
      <c r="O1056" t="str">
        <f t="shared" si="4220"/>
        <v>&lt;/li&gt;&lt;li&gt;&lt;a href=|http://nasb.scripturetext.com/romans/10.htm| title=|New American Standard Bible| target=|_top|&gt;NAS&lt;/a&gt;</v>
      </c>
      <c r="P1056" t="str">
        <f t="shared" si="4220"/>
        <v>&lt;/li&gt;&lt;li&gt;&lt;a href=|http://gwt.scripturetext.com/romans/10.htm| title=|God's Word Translation| target=|_top|&gt;GWT&lt;/a&gt;</v>
      </c>
      <c r="Q1056" t="str">
        <f t="shared" si="4220"/>
        <v>&lt;/li&gt;&lt;li&gt;&lt;a href=|http://kingjbible.com/romans/10.htm| title=|King James Bible| target=|_top|&gt;KJV&lt;/a&gt;</v>
      </c>
      <c r="R1056" t="str">
        <f t="shared" si="4220"/>
        <v>&lt;/li&gt;&lt;li&gt;&lt;a href=|http://asvbible.com/romans/10.htm| title=|American Standard Version| target=|_top|&gt;ASV&lt;/a&gt;</v>
      </c>
      <c r="S1056" t="str">
        <f t="shared" si="4220"/>
        <v>&lt;/li&gt;&lt;li&gt;&lt;a href=|http://drb.scripturetext.com/romans/10.htm| title=|Douay-Rheims Bible| target=|_top|&gt;DRB&lt;/a&gt;</v>
      </c>
      <c r="T1056" t="str">
        <f t="shared" si="4220"/>
        <v>&lt;/li&gt;&lt;li&gt;&lt;a href=|http://erv.scripturetext.com/romans/10.htm| title=|English Revised Version| target=|_top|&gt;ERV&lt;/a&gt;</v>
      </c>
      <c r="U1056" t="str">
        <f>CONCATENATE("&lt;/li&gt;&lt;li&gt;&lt;a href=|http://",U1191,"/romans/10.htm","| ","title=|",U1190,"| target=|_top|&gt;",U1192,"&lt;/a&gt;")</f>
        <v>&lt;/li&gt;&lt;li&gt;&lt;a href=|http://study.interlinearbible.org/romans/10.htm| title=|Greek Study Bible| target=|_top|&gt;Grk Study&lt;/a&gt;</v>
      </c>
      <c r="W1056" t="str">
        <f t="shared" si="4220"/>
        <v>&lt;/li&gt;&lt;li&gt;&lt;a href=|http://apostolic.interlinearbible.org/romans/10.htm| title=|Apostolic Bible Polyglot Interlinear| target=|_top|&gt;Polyglot&lt;/a&gt;</v>
      </c>
      <c r="X1056" t="str">
        <f t="shared" si="4220"/>
        <v>&lt;/li&gt;&lt;li&gt;&lt;a href=|http://interlinearbible.org/romans/10.htm| title=|Interlinear Bible| target=|_top|&gt;Interlin&lt;/a&gt;</v>
      </c>
      <c r="Y1056" t="str">
        <f t="shared" ref="Y1056" si="4221">CONCATENATE("&lt;/li&gt;&lt;li&gt;&lt;a href=|http://",Y1191,"/romans/10.htm","| ","title=|",Y1190,"| target=|_top|&gt;",Y1192,"&lt;/a&gt;")</f>
        <v>&lt;/li&gt;&lt;li&gt;&lt;a href=|http://bibleoutline.org/romans/10.htm| title=|Outline with People and Places List| target=|_top|&gt;Outline&lt;/a&gt;</v>
      </c>
      <c r="Z1056" t="str">
        <f t="shared" si="4220"/>
        <v>&lt;/li&gt;&lt;li&gt;&lt;a href=|http://kjvs.scripturetext.com/romans/10.htm| title=|King James Bible with Strong's Numbers| target=|_top|&gt;Strong's&lt;/a&gt;</v>
      </c>
      <c r="AA1056" t="str">
        <f t="shared" si="4220"/>
        <v>&lt;/li&gt;&lt;li&gt;&lt;a href=|http://childrensbibleonline.com/romans/10.htm| title=|The Children's Bible| target=|_top|&gt;Children's&lt;/a&gt;</v>
      </c>
      <c r="AB1056" s="2" t="str">
        <f t="shared" si="4220"/>
        <v>&lt;/li&gt;&lt;li&gt;&lt;a href=|http://tsk.scripturetext.com/romans/10.htm| title=|Treasury of Scripture Knowledge| target=|_top|&gt;TSK&lt;/a&gt;</v>
      </c>
      <c r="AC1056" t="str">
        <f>CONCATENATE("&lt;a href=|http://",AC1191,"/romans/10.htm","| ","title=|",AC1190,"| target=|_top|&gt;",AC1192,"&lt;/a&gt;")</f>
        <v>&lt;a href=|http://parallelbible.com/romans/10.htm| title=|Parallel Chapters| target=|_top|&gt;PAR&lt;/a&gt;</v>
      </c>
      <c r="AD1056" s="2" t="str">
        <f t="shared" ref="AD1056:AI1056" si="4222">CONCATENATE("&lt;/li&gt;&lt;li&gt;&lt;a href=|http://",AD1191,"/romans/10.htm","| ","title=|",AD1190,"| target=|_top|&gt;",AD1192,"&lt;/a&gt;")</f>
        <v>&lt;/li&gt;&lt;li&gt;&lt;a href=|http://gsb.biblecommenter.com/romans/10.htm| title=|Geneva Study Bible| target=|_top|&gt;GSB&lt;/a&gt;</v>
      </c>
      <c r="AE1056" s="2" t="str">
        <f t="shared" si="4222"/>
        <v>&lt;/li&gt;&lt;li&gt;&lt;a href=|http://jfb.biblecommenter.com/romans/10.htm| title=|Jamieson-Fausset-Brown Bible Commentary| target=|_top|&gt;JFB&lt;/a&gt;</v>
      </c>
      <c r="AF1056" s="2" t="str">
        <f t="shared" si="4222"/>
        <v>&lt;/li&gt;&lt;li&gt;&lt;a href=|http://kjt.biblecommenter.com/romans/10.htm| title=|King James Translators' Notes| target=|_top|&gt;KJT&lt;/a&gt;</v>
      </c>
      <c r="AG1056" s="2" t="str">
        <f t="shared" si="4222"/>
        <v>&lt;/li&gt;&lt;li&gt;&lt;a href=|http://mhc.biblecommenter.com/romans/10.htm| title=|Matthew Henry's Concise Commentary| target=|_top|&gt;MHC&lt;/a&gt;</v>
      </c>
      <c r="AH1056" s="2" t="str">
        <f t="shared" si="4222"/>
        <v>&lt;/li&gt;&lt;li&gt;&lt;a href=|http://sco.biblecommenter.com/romans/10.htm| title=|Scofield Reference Notes| target=|_top|&gt;SCO&lt;/a&gt;</v>
      </c>
      <c r="AI1056" s="2" t="str">
        <f t="shared" si="4222"/>
        <v>&lt;/li&gt;&lt;li&gt;&lt;a href=|http://wes.biblecommenter.com/romans/10.htm| title=|Wesley's Notes on the Bible| target=|_top|&gt;WES&lt;/a&gt;</v>
      </c>
      <c r="AJ1056" t="str">
        <f>CONCATENATE("&lt;/li&gt;&lt;li&gt;&lt;a href=|http://",AJ1191,"/romans/10.htm","| ","title=|",AJ1190,"| target=|_top|&gt;",AJ1192,"&lt;/a&gt;")</f>
        <v>&lt;/li&gt;&lt;li&gt;&lt;a href=|http://worldebible.com/romans/10.htm| title=|World English Bible| target=|_top|&gt;WEB&lt;/a&gt;</v>
      </c>
      <c r="AK1056" t="str">
        <f>CONCATENATE("&lt;/li&gt;&lt;li&gt;&lt;a href=|http://",AK1191,"/romans/10.htm","| ","title=|",AK1190,"| target=|_top|&gt;",AK1192,"&lt;/a&gt;")</f>
        <v>&lt;/li&gt;&lt;li&gt;&lt;a href=|http://yltbible.com/romans/10.htm| title=|Young's Literal Translation| target=|_top|&gt;YLT&lt;/a&gt;</v>
      </c>
      <c r="AL1056" t="str">
        <f>CONCATENATE("&lt;a href=|http://",AL1191,"/romans/10.htm","| ","title=|",AL1190,"| target=|_top|&gt;",AL1192,"&lt;/a&gt;")</f>
        <v>&lt;a href=|http://kjv.us/romans/10.htm| title=|American King James Version| target=|_top|&gt;AKJ&lt;/a&gt;</v>
      </c>
      <c r="AM1056" t="str">
        <f t="shared" ref="AM1056:AS1056" si="4223">CONCATENATE("&lt;/li&gt;&lt;li&gt;&lt;a href=|http://",AM1191,"/romans/10.htm","| ","title=|",AM1190,"| target=|_top|&gt;",AM1192,"&lt;/a&gt;")</f>
        <v>&lt;/li&gt;&lt;li&gt;&lt;a href=|http://basicenglishbible.com/romans/10.htm| title=|Bible in Basic English| target=|_top|&gt;BBE&lt;/a&gt;</v>
      </c>
      <c r="AN1056" t="str">
        <f t="shared" si="4223"/>
        <v>&lt;/li&gt;&lt;li&gt;&lt;a href=|http://darbybible.com/romans/10.htm| title=|Darby Bible Translation| target=|_top|&gt;DBY&lt;/a&gt;</v>
      </c>
      <c r="AO1056" t="str">
        <f t="shared" si="4223"/>
        <v>&lt;/li&gt;&lt;li&gt;&lt;a href=|http://isv.scripturetext.com/romans/10.htm| title=|International Standard Version| target=|_top|&gt;ISV&lt;/a&gt;</v>
      </c>
      <c r="AP1056" t="str">
        <f t="shared" si="4223"/>
        <v>&lt;/li&gt;&lt;li&gt;&lt;a href=|http://tnt.scripturetext.com/romans/10.htm| title=|Tyndale New Testament| target=|_top|&gt;TNT&lt;/a&gt;</v>
      </c>
      <c r="AQ1056" s="2" t="str">
        <f t="shared" si="4223"/>
        <v>&lt;/li&gt;&lt;li&gt;&lt;a href=|http://pnt.biblecommenter.com/romans/10.htm| title=|People's New Testament| target=|_top|&gt;PNT&lt;/a&gt;</v>
      </c>
      <c r="AR1056" t="str">
        <f t="shared" si="4223"/>
        <v>&lt;/li&gt;&lt;li&gt;&lt;a href=|http://websterbible.com/romans/10.htm| title=|Webster's Bible Translation| target=|_top|&gt;WBS&lt;/a&gt;</v>
      </c>
      <c r="AS1056" t="str">
        <f t="shared" si="4223"/>
        <v>&lt;/li&gt;&lt;li&gt;&lt;a href=|http://weymouthbible.com/romans/10.htm| title=|Weymouth New Testament| target=|_top|&gt;WEY&lt;/a&gt;</v>
      </c>
      <c r="AT1056" t="str">
        <f>CONCATENATE("&lt;/li&gt;&lt;li&gt;&lt;a href=|http://",AT1191,"/romans/10-1.htm","| ","title=|",AT1190,"| target=|_top|&gt;",AT1192,"&lt;/a&gt;")</f>
        <v>&lt;/li&gt;&lt;li&gt;&lt;a href=|http://biblebrowser.com/romans/10-1.htm| title=|Split View| target=|_top|&gt;Split&lt;/a&gt;</v>
      </c>
      <c r="AU1056" s="2" t="s">
        <v>1276</v>
      </c>
      <c r="AV1056" t="s">
        <v>64</v>
      </c>
    </row>
    <row r="1057" spans="1:48">
      <c r="A1057" t="s">
        <v>622</v>
      </c>
      <c r="B1057" t="s">
        <v>488</v>
      </c>
      <c r="C1057" t="s">
        <v>624</v>
      </c>
      <c r="D1057" t="s">
        <v>1268</v>
      </c>
      <c r="E1057" t="s">
        <v>1277</v>
      </c>
      <c r="F1057" t="s">
        <v>1304</v>
      </c>
      <c r="G1057" t="s">
        <v>1266</v>
      </c>
      <c r="H1057" t="s">
        <v>1305</v>
      </c>
      <c r="I1057" t="s">
        <v>1303</v>
      </c>
      <c r="J1057" t="s">
        <v>1267</v>
      </c>
      <c r="K1057" t="s">
        <v>1275</v>
      </c>
      <c r="L1057" s="2" t="s">
        <v>1274</v>
      </c>
      <c r="M1057" t="str">
        <f t="shared" ref="M1057:AB1057" si="4224">CONCATENATE("&lt;/li&gt;&lt;li&gt;&lt;a href=|http://",M1191,"/romans/11.htm","| ","title=|",M1190,"| target=|_top|&gt;",M1192,"&lt;/a&gt;")</f>
        <v>&lt;/li&gt;&lt;li&gt;&lt;a href=|http://niv.scripturetext.com/romans/11.htm| title=|New International Version| target=|_top|&gt;NIV&lt;/a&gt;</v>
      </c>
      <c r="N1057" t="str">
        <f t="shared" si="4224"/>
        <v>&lt;/li&gt;&lt;li&gt;&lt;a href=|http://nlt.scripturetext.com/romans/11.htm| title=|New Living Translation| target=|_top|&gt;NLT&lt;/a&gt;</v>
      </c>
      <c r="O1057" t="str">
        <f t="shared" si="4224"/>
        <v>&lt;/li&gt;&lt;li&gt;&lt;a href=|http://nasb.scripturetext.com/romans/11.htm| title=|New American Standard Bible| target=|_top|&gt;NAS&lt;/a&gt;</v>
      </c>
      <c r="P1057" t="str">
        <f t="shared" si="4224"/>
        <v>&lt;/li&gt;&lt;li&gt;&lt;a href=|http://gwt.scripturetext.com/romans/11.htm| title=|God's Word Translation| target=|_top|&gt;GWT&lt;/a&gt;</v>
      </c>
      <c r="Q1057" t="str">
        <f t="shared" si="4224"/>
        <v>&lt;/li&gt;&lt;li&gt;&lt;a href=|http://kingjbible.com/romans/11.htm| title=|King James Bible| target=|_top|&gt;KJV&lt;/a&gt;</v>
      </c>
      <c r="R1057" t="str">
        <f t="shared" si="4224"/>
        <v>&lt;/li&gt;&lt;li&gt;&lt;a href=|http://asvbible.com/romans/11.htm| title=|American Standard Version| target=|_top|&gt;ASV&lt;/a&gt;</v>
      </c>
      <c r="S1057" t="str">
        <f t="shared" si="4224"/>
        <v>&lt;/li&gt;&lt;li&gt;&lt;a href=|http://drb.scripturetext.com/romans/11.htm| title=|Douay-Rheims Bible| target=|_top|&gt;DRB&lt;/a&gt;</v>
      </c>
      <c r="T1057" t="str">
        <f t="shared" si="4224"/>
        <v>&lt;/li&gt;&lt;li&gt;&lt;a href=|http://erv.scripturetext.com/romans/11.htm| title=|English Revised Version| target=|_top|&gt;ERV&lt;/a&gt;</v>
      </c>
      <c r="U1057" t="str">
        <f>CONCATENATE("&lt;/li&gt;&lt;li&gt;&lt;a href=|http://",U1191,"/romans/11.htm","| ","title=|",U1190,"| target=|_top|&gt;",U1192,"&lt;/a&gt;")</f>
        <v>&lt;/li&gt;&lt;li&gt;&lt;a href=|http://study.interlinearbible.org/romans/11.htm| title=|Greek Study Bible| target=|_top|&gt;Grk Study&lt;/a&gt;</v>
      </c>
      <c r="W1057" t="str">
        <f t="shared" si="4224"/>
        <v>&lt;/li&gt;&lt;li&gt;&lt;a href=|http://apostolic.interlinearbible.org/romans/11.htm| title=|Apostolic Bible Polyglot Interlinear| target=|_top|&gt;Polyglot&lt;/a&gt;</v>
      </c>
      <c r="X1057" t="str">
        <f t="shared" si="4224"/>
        <v>&lt;/li&gt;&lt;li&gt;&lt;a href=|http://interlinearbible.org/romans/11.htm| title=|Interlinear Bible| target=|_top|&gt;Interlin&lt;/a&gt;</v>
      </c>
      <c r="Y1057" t="str">
        <f t="shared" ref="Y1057" si="4225">CONCATENATE("&lt;/li&gt;&lt;li&gt;&lt;a href=|http://",Y1191,"/romans/11.htm","| ","title=|",Y1190,"| target=|_top|&gt;",Y1192,"&lt;/a&gt;")</f>
        <v>&lt;/li&gt;&lt;li&gt;&lt;a href=|http://bibleoutline.org/romans/11.htm| title=|Outline with People and Places List| target=|_top|&gt;Outline&lt;/a&gt;</v>
      </c>
      <c r="Z1057" t="str">
        <f t="shared" si="4224"/>
        <v>&lt;/li&gt;&lt;li&gt;&lt;a href=|http://kjvs.scripturetext.com/romans/11.htm| title=|King James Bible with Strong's Numbers| target=|_top|&gt;Strong's&lt;/a&gt;</v>
      </c>
      <c r="AA1057" t="str">
        <f t="shared" si="4224"/>
        <v>&lt;/li&gt;&lt;li&gt;&lt;a href=|http://childrensbibleonline.com/romans/11.htm| title=|The Children's Bible| target=|_top|&gt;Children's&lt;/a&gt;</v>
      </c>
      <c r="AB1057" s="2" t="str">
        <f t="shared" si="4224"/>
        <v>&lt;/li&gt;&lt;li&gt;&lt;a href=|http://tsk.scripturetext.com/romans/11.htm| title=|Treasury of Scripture Knowledge| target=|_top|&gt;TSK&lt;/a&gt;</v>
      </c>
      <c r="AC1057" t="str">
        <f>CONCATENATE("&lt;a href=|http://",AC1191,"/romans/11.htm","| ","title=|",AC1190,"| target=|_top|&gt;",AC1192,"&lt;/a&gt;")</f>
        <v>&lt;a href=|http://parallelbible.com/romans/11.htm| title=|Parallel Chapters| target=|_top|&gt;PAR&lt;/a&gt;</v>
      </c>
      <c r="AD1057" s="2" t="str">
        <f t="shared" ref="AD1057:AI1057" si="4226">CONCATENATE("&lt;/li&gt;&lt;li&gt;&lt;a href=|http://",AD1191,"/romans/11.htm","| ","title=|",AD1190,"| target=|_top|&gt;",AD1192,"&lt;/a&gt;")</f>
        <v>&lt;/li&gt;&lt;li&gt;&lt;a href=|http://gsb.biblecommenter.com/romans/11.htm| title=|Geneva Study Bible| target=|_top|&gt;GSB&lt;/a&gt;</v>
      </c>
      <c r="AE1057" s="2" t="str">
        <f t="shared" si="4226"/>
        <v>&lt;/li&gt;&lt;li&gt;&lt;a href=|http://jfb.biblecommenter.com/romans/11.htm| title=|Jamieson-Fausset-Brown Bible Commentary| target=|_top|&gt;JFB&lt;/a&gt;</v>
      </c>
      <c r="AF1057" s="2" t="str">
        <f t="shared" si="4226"/>
        <v>&lt;/li&gt;&lt;li&gt;&lt;a href=|http://kjt.biblecommenter.com/romans/11.htm| title=|King James Translators' Notes| target=|_top|&gt;KJT&lt;/a&gt;</v>
      </c>
      <c r="AG1057" s="2" t="str">
        <f t="shared" si="4226"/>
        <v>&lt;/li&gt;&lt;li&gt;&lt;a href=|http://mhc.biblecommenter.com/romans/11.htm| title=|Matthew Henry's Concise Commentary| target=|_top|&gt;MHC&lt;/a&gt;</v>
      </c>
      <c r="AH1057" s="2" t="str">
        <f t="shared" si="4226"/>
        <v>&lt;/li&gt;&lt;li&gt;&lt;a href=|http://sco.biblecommenter.com/romans/11.htm| title=|Scofield Reference Notes| target=|_top|&gt;SCO&lt;/a&gt;</v>
      </c>
      <c r="AI1057" s="2" t="str">
        <f t="shared" si="4226"/>
        <v>&lt;/li&gt;&lt;li&gt;&lt;a href=|http://wes.biblecommenter.com/romans/11.htm| title=|Wesley's Notes on the Bible| target=|_top|&gt;WES&lt;/a&gt;</v>
      </c>
      <c r="AJ1057" t="str">
        <f>CONCATENATE("&lt;/li&gt;&lt;li&gt;&lt;a href=|http://",AJ1191,"/romans/11.htm","| ","title=|",AJ1190,"| target=|_top|&gt;",AJ1192,"&lt;/a&gt;")</f>
        <v>&lt;/li&gt;&lt;li&gt;&lt;a href=|http://worldebible.com/romans/11.htm| title=|World English Bible| target=|_top|&gt;WEB&lt;/a&gt;</v>
      </c>
      <c r="AK1057" t="str">
        <f>CONCATENATE("&lt;/li&gt;&lt;li&gt;&lt;a href=|http://",AK1191,"/romans/11.htm","| ","title=|",AK1190,"| target=|_top|&gt;",AK1192,"&lt;/a&gt;")</f>
        <v>&lt;/li&gt;&lt;li&gt;&lt;a href=|http://yltbible.com/romans/11.htm| title=|Young's Literal Translation| target=|_top|&gt;YLT&lt;/a&gt;</v>
      </c>
      <c r="AL1057" t="str">
        <f>CONCATENATE("&lt;a href=|http://",AL1191,"/romans/11.htm","| ","title=|",AL1190,"| target=|_top|&gt;",AL1192,"&lt;/a&gt;")</f>
        <v>&lt;a href=|http://kjv.us/romans/11.htm| title=|American King James Version| target=|_top|&gt;AKJ&lt;/a&gt;</v>
      </c>
      <c r="AM1057" t="str">
        <f t="shared" ref="AM1057:AS1057" si="4227">CONCATENATE("&lt;/li&gt;&lt;li&gt;&lt;a href=|http://",AM1191,"/romans/11.htm","| ","title=|",AM1190,"| target=|_top|&gt;",AM1192,"&lt;/a&gt;")</f>
        <v>&lt;/li&gt;&lt;li&gt;&lt;a href=|http://basicenglishbible.com/romans/11.htm| title=|Bible in Basic English| target=|_top|&gt;BBE&lt;/a&gt;</v>
      </c>
      <c r="AN1057" t="str">
        <f t="shared" si="4227"/>
        <v>&lt;/li&gt;&lt;li&gt;&lt;a href=|http://darbybible.com/romans/11.htm| title=|Darby Bible Translation| target=|_top|&gt;DBY&lt;/a&gt;</v>
      </c>
      <c r="AO1057" t="str">
        <f t="shared" si="4227"/>
        <v>&lt;/li&gt;&lt;li&gt;&lt;a href=|http://isv.scripturetext.com/romans/11.htm| title=|International Standard Version| target=|_top|&gt;ISV&lt;/a&gt;</v>
      </c>
      <c r="AP1057" t="str">
        <f t="shared" si="4227"/>
        <v>&lt;/li&gt;&lt;li&gt;&lt;a href=|http://tnt.scripturetext.com/romans/11.htm| title=|Tyndale New Testament| target=|_top|&gt;TNT&lt;/a&gt;</v>
      </c>
      <c r="AQ1057" s="2" t="str">
        <f t="shared" si="4227"/>
        <v>&lt;/li&gt;&lt;li&gt;&lt;a href=|http://pnt.biblecommenter.com/romans/11.htm| title=|People's New Testament| target=|_top|&gt;PNT&lt;/a&gt;</v>
      </c>
      <c r="AR1057" t="str">
        <f t="shared" si="4227"/>
        <v>&lt;/li&gt;&lt;li&gt;&lt;a href=|http://websterbible.com/romans/11.htm| title=|Webster's Bible Translation| target=|_top|&gt;WBS&lt;/a&gt;</v>
      </c>
      <c r="AS1057" t="str">
        <f t="shared" si="4227"/>
        <v>&lt;/li&gt;&lt;li&gt;&lt;a href=|http://weymouthbible.com/romans/11.htm| title=|Weymouth New Testament| target=|_top|&gt;WEY&lt;/a&gt;</v>
      </c>
      <c r="AT1057" t="str">
        <f>CONCATENATE("&lt;/li&gt;&lt;li&gt;&lt;a href=|http://",AT1191,"/romans/11-1.htm","| ","title=|",AT1190,"| target=|_top|&gt;",AT1192,"&lt;/a&gt;")</f>
        <v>&lt;/li&gt;&lt;li&gt;&lt;a href=|http://biblebrowser.com/romans/11-1.htm| title=|Split View| target=|_top|&gt;Split&lt;/a&gt;</v>
      </c>
      <c r="AU1057" s="2" t="s">
        <v>1276</v>
      </c>
      <c r="AV1057" t="s">
        <v>64</v>
      </c>
    </row>
    <row r="1058" spans="1:48">
      <c r="A1058" t="s">
        <v>622</v>
      </c>
      <c r="B1058" t="s">
        <v>489</v>
      </c>
      <c r="C1058" t="s">
        <v>624</v>
      </c>
      <c r="D1058" t="s">
        <v>1268</v>
      </c>
      <c r="E1058" t="s">
        <v>1277</v>
      </c>
      <c r="F1058" t="s">
        <v>1304</v>
      </c>
      <c r="G1058" t="s">
        <v>1266</v>
      </c>
      <c r="H1058" t="s">
        <v>1305</v>
      </c>
      <c r="I1058" t="s">
        <v>1303</v>
      </c>
      <c r="J1058" t="s">
        <v>1267</v>
      </c>
      <c r="K1058" t="s">
        <v>1275</v>
      </c>
      <c r="L1058" s="2" t="s">
        <v>1274</v>
      </c>
      <c r="M1058" t="str">
        <f t="shared" ref="M1058:AB1058" si="4228">CONCATENATE("&lt;/li&gt;&lt;li&gt;&lt;a href=|http://",M1191,"/romans/12.htm","| ","title=|",M1190,"| target=|_top|&gt;",M1192,"&lt;/a&gt;")</f>
        <v>&lt;/li&gt;&lt;li&gt;&lt;a href=|http://niv.scripturetext.com/romans/12.htm| title=|New International Version| target=|_top|&gt;NIV&lt;/a&gt;</v>
      </c>
      <c r="N1058" t="str">
        <f t="shared" si="4228"/>
        <v>&lt;/li&gt;&lt;li&gt;&lt;a href=|http://nlt.scripturetext.com/romans/12.htm| title=|New Living Translation| target=|_top|&gt;NLT&lt;/a&gt;</v>
      </c>
      <c r="O1058" t="str">
        <f t="shared" si="4228"/>
        <v>&lt;/li&gt;&lt;li&gt;&lt;a href=|http://nasb.scripturetext.com/romans/12.htm| title=|New American Standard Bible| target=|_top|&gt;NAS&lt;/a&gt;</v>
      </c>
      <c r="P1058" t="str">
        <f t="shared" si="4228"/>
        <v>&lt;/li&gt;&lt;li&gt;&lt;a href=|http://gwt.scripturetext.com/romans/12.htm| title=|God's Word Translation| target=|_top|&gt;GWT&lt;/a&gt;</v>
      </c>
      <c r="Q1058" t="str">
        <f t="shared" si="4228"/>
        <v>&lt;/li&gt;&lt;li&gt;&lt;a href=|http://kingjbible.com/romans/12.htm| title=|King James Bible| target=|_top|&gt;KJV&lt;/a&gt;</v>
      </c>
      <c r="R1058" t="str">
        <f t="shared" si="4228"/>
        <v>&lt;/li&gt;&lt;li&gt;&lt;a href=|http://asvbible.com/romans/12.htm| title=|American Standard Version| target=|_top|&gt;ASV&lt;/a&gt;</v>
      </c>
      <c r="S1058" t="str">
        <f t="shared" si="4228"/>
        <v>&lt;/li&gt;&lt;li&gt;&lt;a href=|http://drb.scripturetext.com/romans/12.htm| title=|Douay-Rheims Bible| target=|_top|&gt;DRB&lt;/a&gt;</v>
      </c>
      <c r="T1058" t="str">
        <f t="shared" si="4228"/>
        <v>&lt;/li&gt;&lt;li&gt;&lt;a href=|http://erv.scripturetext.com/romans/12.htm| title=|English Revised Version| target=|_top|&gt;ERV&lt;/a&gt;</v>
      </c>
      <c r="U1058" t="str">
        <f>CONCATENATE("&lt;/li&gt;&lt;li&gt;&lt;a href=|http://",U1191,"/romans/12.htm","| ","title=|",U1190,"| target=|_top|&gt;",U1192,"&lt;/a&gt;")</f>
        <v>&lt;/li&gt;&lt;li&gt;&lt;a href=|http://study.interlinearbible.org/romans/12.htm| title=|Greek Study Bible| target=|_top|&gt;Grk Study&lt;/a&gt;</v>
      </c>
      <c r="W1058" t="str">
        <f t="shared" si="4228"/>
        <v>&lt;/li&gt;&lt;li&gt;&lt;a href=|http://apostolic.interlinearbible.org/romans/12.htm| title=|Apostolic Bible Polyglot Interlinear| target=|_top|&gt;Polyglot&lt;/a&gt;</v>
      </c>
      <c r="X1058" t="str">
        <f t="shared" si="4228"/>
        <v>&lt;/li&gt;&lt;li&gt;&lt;a href=|http://interlinearbible.org/romans/12.htm| title=|Interlinear Bible| target=|_top|&gt;Interlin&lt;/a&gt;</v>
      </c>
      <c r="Y1058" t="str">
        <f t="shared" ref="Y1058" si="4229">CONCATENATE("&lt;/li&gt;&lt;li&gt;&lt;a href=|http://",Y1191,"/romans/12.htm","| ","title=|",Y1190,"| target=|_top|&gt;",Y1192,"&lt;/a&gt;")</f>
        <v>&lt;/li&gt;&lt;li&gt;&lt;a href=|http://bibleoutline.org/romans/12.htm| title=|Outline with People and Places List| target=|_top|&gt;Outline&lt;/a&gt;</v>
      </c>
      <c r="Z1058" t="str">
        <f t="shared" si="4228"/>
        <v>&lt;/li&gt;&lt;li&gt;&lt;a href=|http://kjvs.scripturetext.com/romans/12.htm| title=|King James Bible with Strong's Numbers| target=|_top|&gt;Strong's&lt;/a&gt;</v>
      </c>
      <c r="AA1058" t="str">
        <f t="shared" si="4228"/>
        <v>&lt;/li&gt;&lt;li&gt;&lt;a href=|http://childrensbibleonline.com/romans/12.htm| title=|The Children's Bible| target=|_top|&gt;Children's&lt;/a&gt;</v>
      </c>
      <c r="AB1058" s="2" t="str">
        <f t="shared" si="4228"/>
        <v>&lt;/li&gt;&lt;li&gt;&lt;a href=|http://tsk.scripturetext.com/romans/12.htm| title=|Treasury of Scripture Knowledge| target=|_top|&gt;TSK&lt;/a&gt;</v>
      </c>
      <c r="AC1058" t="str">
        <f>CONCATENATE("&lt;a href=|http://",AC1191,"/romans/12.htm","| ","title=|",AC1190,"| target=|_top|&gt;",AC1192,"&lt;/a&gt;")</f>
        <v>&lt;a href=|http://parallelbible.com/romans/12.htm| title=|Parallel Chapters| target=|_top|&gt;PAR&lt;/a&gt;</v>
      </c>
      <c r="AD1058" s="2" t="str">
        <f t="shared" ref="AD1058:AI1058" si="4230">CONCATENATE("&lt;/li&gt;&lt;li&gt;&lt;a href=|http://",AD1191,"/romans/12.htm","| ","title=|",AD1190,"| target=|_top|&gt;",AD1192,"&lt;/a&gt;")</f>
        <v>&lt;/li&gt;&lt;li&gt;&lt;a href=|http://gsb.biblecommenter.com/romans/12.htm| title=|Geneva Study Bible| target=|_top|&gt;GSB&lt;/a&gt;</v>
      </c>
      <c r="AE1058" s="2" t="str">
        <f t="shared" si="4230"/>
        <v>&lt;/li&gt;&lt;li&gt;&lt;a href=|http://jfb.biblecommenter.com/romans/12.htm| title=|Jamieson-Fausset-Brown Bible Commentary| target=|_top|&gt;JFB&lt;/a&gt;</v>
      </c>
      <c r="AF1058" s="2" t="str">
        <f t="shared" si="4230"/>
        <v>&lt;/li&gt;&lt;li&gt;&lt;a href=|http://kjt.biblecommenter.com/romans/12.htm| title=|King James Translators' Notes| target=|_top|&gt;KJT&lt;/a&gt;</v>
      </c>
      <c r="AG1058" s="2" t="str">
        <f t="shared" si="4230"/>
        <v>&lt;/li&gt;&lt;li&gt;&lt;a href=|http://mhc.biblecommenter.com/romans/12.htm| title=|Matthew Henry's Concise Commentary| target=|_top|&gt;MHC&lt;/a&gt;</v>
      </c>
      <c r="AH1058" s="2" t="str">
        <f t="shared" si="4230"/>
        <v>&lt;/li&gt;&lt;li&gt;&lt;a href=|http://sco.biblecommenter.com/romans/12.htm| title=|Scofield Reference Notes| target=|_top|&gt;SCO&lt;/a&gt;</v>
      </c>
      <c r="AI1058" s="2" t="str">
        <f t="shared" si="4230"/>
        <v>&lt;/li&gt;&lt;li&gt;&lt;a href=|http://wes.biblecommenter.com/romans/12.htm| title=|Wesley's Notes on the Bible| target=|_top|&gt;WES&lt;/a&gt;</v>
      </c>
      <c r="AJ1058" t="str">
        <f>CONCATENATE("&lt;/li&gt;&lt;li&gt;&lt;a href=|http://",AJ1191,"/romans/12.htm","| ","title=|",AJ1190,"| target=|_top|&gt;",AJ1192,"&lt;/a&gt;")</f>
        <v>&lt;/li&gt;&lt;li&gt;&lt;a href=|http://worldebible.com/romans/12.htm| title=|World English Bible| target=|_top|&gt;WEB&lt;/a&gt;</v>
      </c>
      <c r="AK1058" t="str">
        <f>CONCATENATE("&lt;/li&gt;&lt;li&gt;&lt;a href=|http://",AK1191,"/romans/12.htm","| ","title=|",AK1190,"| target=|_top|&gt;",AK1192,"&lt;/a&gt;")</f>
        <v>&lt;/li&gt;&lt;li&gt;&lt;a href=|http://yltbible.com/romans/12.htm| title=|Young's Literal Translation| target=|_top|&gt;YLT&lt;/a&gt;</v>
      </c>
      <c r="AL1058" t="str">
        <f>CONCATENATE("&lt;a href=|http://",AL1191,"/romans/12.htm","| ","title=|",AL1190,"| target=|_top|&gt;",AL1192,"&lt;/a&gt;")</f>
        <v>&lt;a href=|http://kjv.us/romans/12.htm| title=|American King James Version| target=|_top|&gt;AKJ&lt;/a&gt;</v>
      </c>
      <c r="AM1058" t="str">
        <f t="shared" ref="AM1058:AS1058" si="4231">CONCATENATE("&lt;/li&gt;&lt;li&gt;&lt;a href=|http://",AM1191,"/romans/12.htm","| ","title=|",AM1190,"| target=|_top|&gt;",AM1192,"&lt;/a&gt;")</f>
        <v>&lt;/li&gt;&lt;li&gt;&lt;a href=|http://basicenglishbible.com/romans/12.htm| title=|Bible in Basic English| target=|_top|&gt;BBE&lt;/a&gt;</v>
      </c>
      <c r="AN1058" t="str">
        <f t="shared" si="4231"/>
        <v>&lt;/li&gt;&lt;li&gt;&lt;a href=|http://darbybible.com/romans/12.htm| title=|Darby Bible Translation| target=|_top|&gt;DBY&lt;/a&gt;</v>
      </c>
      <c r="AO1058" t="str">
        <f t="shared" si="4231"/>
        <v>&lt;/li&gt;&lt;li&gt;&lt;a href=|http://isv.scripturetext.com/romans/12.htm| title=|International Standard Version| target=|_top|&gt;ISV&lt;/a&gt;</v>
      </c>
      <c r="AP1058" t="str">
        <f t="shared" si="4231"/>
        <v>&lt;/li&gt;&lt;li&gt;&lt;a href=|http://tnt.scripturetext.com/romans/12.htm| title=|Tyndale New Testament| target=|_top|&gt;TNT&lt;/a&gt;</v>
      </c>
      <c r="AQ1058" s="2" t="str">
        <f t="shared" si="4231"/>
        <v>&lt;/li&gt;&lt;li&gt;&lt;a href=|http://pnt.biblecommenter.com/romans/12.htm| title=|People's New Testament| target=|_top|&gt;PNT&lt;/a&gt;</v>
      </c>
      <c r="AR1058" t="str">
        <f t="shared" si="4231"/>
        <v>&lt;/li&gt;&lt;li&gt;&lt;a href=|http://websterbible.com/romans/12.htm| title=|Webster's Bible Translation| target=|_top|&gt;WBS&lt;/a&gt;</v>
      </c>
      <c r="AS1058" t="str">
        <f t="shared" si="4231"/>
        <v>&lt;/li&gt;&lt;li&gt;&lt;a href=|http://weymouthbible.com/romans/12.htm| title=|Weymouth New Testament| target=|_top|&gt;WEY&lt;/a&gt;</v>
      </c>
      <c r="AT1058" t="str">
        <f>CONCATENATE("&lt;/li&gt;&lt;li&gt;&lt;a href=|http://",AT1191,"/romans/12-1.htm","| ","title=|",AT1190,"| target=|_top|&gt;",AT1192,"&lt;/a&gt;")</f>
        <v>&lt;/li&gt;&lt;li&gt;&lt;a href=|http://biblebrowser.com/romans/12-1.htm| title=|Split View| target=|_top|&gt;Split&lt;/a&gt;</v>
      </c>
      <c r="AU1058" s="2" t="s">
        <v>1276</v>
      </c>
      <c r="AV1058" t="s">
        <v>64</v>
      </c>
    </row>
    <row r="1059" spans="1:48">
      <c r="A1059" t="s">
        <v>622</v>
      </c>
      <c r="B1059" t="s">
        <v>490</v>
      </c>
      <c r="C1059" t="s">
        <v>624</v>
      </c>
      <c r="D1059" t="s">
        <v>1268</v>
      </c>
      <c r="E1059" t="s">
        <v>1277</v>
      </c>
      <c r="F1059" t="s">
        <v>1304</v>
      </c>
      <c r="G1059" t="s">
        <v>1266</v>
      </c>
      <c r="H1059" t="s">
        <v>1305</v>
      </c>
      <c r="I1059" t="s">
        <v>1303</v>
      </c>
      <c r="J1059" t="s">
        <v>1267</v>
      </c>
      <c r="K1059" t="s">
        <v>1275</v>
      </c>
      <c r="L1059" s="2" t="s">
        <v>1274</v>
      </c>
      <c r="M1059" t="str">
        <f t="shared" ref="M1059:AB1059" si="4232">CONCATENATE("&lt;/li&gt;&lt;li&gt;&lt;a href=|http://",M1191,"/romans/13.htm","| ","title=|",M1190,"| target=|_top|&gt;",M1192,"&lt;/a&gt;")</f>
        <v>&lt;/li&gt;&lt;li&gt;&lt;a href=|http://niv.scripturetext.com/romans/13.htm| title=|New International Version| target=|_top|&gt;NIV&lt;/a&gt;</v>
      </c>
      <c r="N1059" t="str">
        <f t="shared" si="4232"/>
        <v>&lt;/li&gt;&lt;li&gt;&lt;a href=|http://nlt.scripturetext.com/romans/13.htm| title=|New Living Translation| target=|_top|&gt;NLT&lt;/a&gt;</v>
      </c>
      <c r="O1059" t="str">
        <f t="shared" si="4232"/>
        <v>&lt;/li&gt;&lt;li&gt;&lt;a href=|http://nasb.scripturetext.com/romans/13.htm| title=|New American Standard Bible| target=|_top|&gt;NAS&lt;/a&gt;</v>
      </c>
      <c r="P1059" t="str">
        <f t="shared" si="4232"/>
        <v>&lt;/li&gt;&lt;li&gt;&lt;a href=|http://gwt.scripturetext.com/romans/13.htm| title=|God's Word Translation| target=|_top|&gt;GWT&lt;/a&gt;</v>
      </c>
      <c r="Q1059" t="str">
        <f t="shared" si="4232"/>
        <v>&lt;/li&gt;&lt;li&gt;&lt;a href=|http://kingjbible.com/romans/13.htm| title=|King James Bible| target=|_top|&gt;KJV&lt;/a&gt;</v>
      </c>
      <c r="R1059" t="str">
        <f t="shared" si="4232"/>
        <v>&lt;/li&gt;&lt;li&gt;&lt;a href=|http://asvbible.com/romans/13.htm| title=|American Standard Version| target=|_top|&gt;ASV&lt;/a&gt;</v>
      </c>
      <c r="S1059" t="str">
        <f t="shared" si="4232"/>
        <v>&lt;/li&gt;&lt;li&gt;&lt;a href=|http://drb.scripturetext.com/romans/13.htm| title=|Douay-Rheims Bible| target=|_top|&gt;DRB&lt;/a&gt;</v>
      </c>
      <c r="T1059" t="str">
        <f t="shared" si="4232"/>
        <v>&lt;/li&gt;&lt;li&gt;&lt;a href=|http://erv.scripturetext.com/romans/13.htm| title=|English Revised Version| target=|_top|&gt;ERV&lt;/a&gt;</v>
      </c>
      <c r="U1059" t="str">
        <f>CONCATENATE("&lt;/li&gt;&lt;li&gt;&lt;a href=|http://",U1191,"/romans/13.htm","| ","title=|",U1190,"| target=|_top|&gt;",U1192,"&lt;/a&gt;")</f>
        <v>&lt;/li&gt;&lt;li&gt;&lt;a href=|http://study.interlinearbible.org/romans/13.htm| title=|Greek Study Bible| target=|_top|&gt;Grk Study&lt;/a&gt;</v>
      </c>
      <c r="W1059" t="str">
        <f t="shared" si="4232"/>
        <v>&lt;/li&gt;&lt;li&gt;&lt;a href=|http://apostolic.interlinearbible.org/romans/13.htm| title=|Apostolic Bible Polyglot Interlinear| target=|_top|&gt;Polyglot&lt;/a&gt;</v>
      </c>
      <c r="X1059" t="str">
        <f t="shared" si="4232"/>
        <v>&lt;/li&gt;&lt;li&gt;&lt;a href=|http://interlinearbible.org/romans/13.htm| title=|Interlinear Bible| target=|_top|&gt;Interlin&lt;/a&gt;</v>
      </c>
      <c r="Y1059" t="str">
        <f t="shared" ref="Y1059" si="4233">CONCATENATE("&lt;/li&gt;&lt;li&gt;&lt;a href=|http://",Y1191,"/romans/13.htm","| ","title=|",Y1190,"| target=|_top|&gt;",Y1192,"&lt;/a&gt;")</f>
        <v>&lt;/li&gt;&lt;li&gt;&lt;a href=|http://bibleoutline.org/romans/13.htm| title=|Outline with People and Places List| target=|_top|&gt;Outline&lt;/a&gt;</v>
      </c>
      <c r="Z1059" t="str">
        <f t="shared" si="4232"/>
        <v>&lt;/li&gt;&lt;li&gt;&lt;a href=|http://kjvs.scripturetext.com/romans/13.htm| title=|King James Bible with Strong's Numbers| target=|_top|&gt;Strong's&lt;/a&gt;</v>
      </c>
      <c r="AA1059" t="str">
        <f t="shared" si="4232"/>
        <v>&lt;/li&gt;&lt;li&gt;&lt;a href=|http://childrensbibleonline.com/romans/13.htm| title=|The Children's Bible| target=|_top|&gt;Children's&lt;/a&gt;</v>
      </c>
      <c r="AB1059" s="2" t="str">
        <f t="shared" si="4232"/>
        <v>&lt;/li&gt;&lt;li&gt;&lt;a href=|http://tsk.scripturetext.com/romans/13.htm| title=|Treasury of Scripture Knowledge| target=|_top|&gt;TSK&lt;/a&gt;</v>
      </c>
      <c r="AC1059" t="str">
        <f>CONCATENATE("&lt;a href=|http://",AC1191,"/romans/13.htm","| ","title=|",AC1190,"| target=|_top|&gt;",AC1192,"&lt;/a&gt;")</f>
        <v>&lt;a href=|http://parallelbible.com/romans/13.htm| title=|Parallel Chapters| target=|_top|&gt;PAR&lt;/a&gt;</v>
      </c>
      <c r="AD1059" s="2" t="str">
        <f t="shared" ref="AD1059:AI1059" si="4234">CONCATENATE("&lt;/li&gt;&lt;li&gt;&lt;a href=|http://",AD1191,"/romans/13.htm","| ","title=|",AD1190,"| target=|_top|&gt;",AD1192,"&lt;/a&gt;")</f>
        <v>&lt;/li&gt;&lt;li&gt;&lt;a href=|http://gsb.biblecommenter.com/romans/13.htm| title=|Geneva Study Bible| target=|_top|&gt;GSB&lt;/a&gt;</v>
      </c>
      <c r="AE1059" s="2" t="str">
        <f t="shared" si="4234"/>
        <v>&lt;/li&gt;&lt;li&gt;&lt;a href=|http://jfb.biblecommenter.com/romans/13.htm| title=|Jamieson-Fausset-Brown Bible Commentary| target=|_top|&gt;JFB&lt;/a&gt;</v>
      </c>
      <c r="AF1059" s="2" t="str">
        <f t="shared" si="4234"/>
        <v>&lt;/li&gt;&lt;li&gt;&lt;a href=|http://kjt.biblecommenter.com/romans/13.htm| title=|King James Translators' Notes| target=|_top|&gt;KJT&lt;/a&gt;</v>
      </c>
      <c r="AG1059" s="2" t="str">
        <f t="shared" si="4234"/>
        <v>&lt;/li&gt;&lt;li&gt;&lt;a href=|http://mhc.biblecommenter.com/romans/13.htm| title=|Matthew Henry's Concise Commentary| target=|_top|&gt;MHC&lt;/a&gt;</v>
      </c>
      <c r="AH1059" s="2" t="str">
        <f t="shared" si="4234"/>
        <v>&lt;/li&gt;&lt;li&gt;&lt;a href=|http://sco.biblecommenter.com/romans/13.htm| title=|Scofield Reference Notes| target=|_top|&gt;SCO&lt;/a&gt;</v>
      </c>
      <c r="AI1059" s="2" t="str">
        <f t="shared" si="4234"/>
        <v>&lt;/li&gt;&lt;li&gt;&lt;a href=|http://wes.biblecommenter.com/romans/13.htm| title=|Wesley's Notes on the Bible| target=|_top|&gt;WES&lt;/a&gt;</v>
      </c>
      <c r="AJ1059" t="str">
        <f>CONCATENATE("&lt;/li&gt;&lt;li&gt;&lt;a href=|http://",AJ1191,"/romans/13.htm","| ","title=|",AJ1190,"| target=|_top|&gt;",AJ1192,"&lt;/a&gt;")</f>
        <v>&lt;/li&gt;&lt;li&gt;&lt;a href=|http://worldebible.com/romans/13.htm| title=|World English Bible| target=|_top|&gt;WEB&lt;/a&gt;</v>
      </c>
      <c r="AK1059" t="str">
        <f>CONCATENATE("&lt;/li&gt;&lt;li&gt;&lt;a href=|http://",AK1191,"/romans/13.htm","| ","title=|",AK1190,"| target=|_top|&gt;",AK1192,"&lt;/a&gt;")</f>
        <v>&lt;/li&gt;&lt;li&gt;&lt;a href=|http://yltbible.com/romans/13.htm| title=|Young's Literal Translation| target=|_top|&gt;YLT&lt;/a&gt;</v>
      </c>
      <c r="AL1059" t="str">
        <f>CONCATENATE("&lt;a href=|http://",AL1191,"/romans/13.htm","| ","title=|",AL1190,"| target=|_top|&gt;",AL1192,"&lt;/a&gt;")</f>
        <v>&lt;a href=|http://kjv.us/romans/13.htm| title=|American King James Version| target=|_top|&gt;AKJ&lt;/a&gt;</v>
      </c>
      <c r="AM1059" t="str">
        <f t="shared" ref="AM1059:AS1059" si="4235">CONCATENATE("&lt;/li&gt;&lt;li&gt;&lt;a href=|http://",AM1191,"/romans/13.htm","| ","title=|",AM1190,"| target=|_top|&gt;",AM1192,"&lt;/a&gt;")</f>
        <v>&lt;/li&gt;&lt;li&gt;&lt;a href=|http://basicenglishbible.com/romans/13.htm| title=|Bible in Basic English| target=|_top|&gt;BBE&lt;/a&gt;</v>
      </c>
      <c r="AN1059" t="str">
        <f t="shared" si="4235"/>
        <v>&lt;/li&gt;&lt;li&gt;&lt;a href=|http://darbybible.com/romans/13.htm| title=|Darby Bible Translation| target=|_top|&gt;DBY&lt;/a&gt;</v>
      </c>
      <c r="AO1059" t="str">
        <f t="shared" si="4235"/>
        <v>&lt;/li&gt;&lt;li&gt;&lt;a href=|http://isv.scripturetext.com/romans/13.htm| title=|International Standard Version| target=|_top|&gt;ISV&lt;/a&gt;</v>
      </c>
      <c r="AP1059" t="str">
        <f t="shared" si="4235"/>
        <v>&lt;/li&gt;&lt;li&gt;&lt;a href=|http://tnt.scripturetext.com/romans/13.htm| title=|Tyndale New Testament| target=|_top|&gt;TNT&lt;/a&gt;</v>
      </c>
      <c r="AQ1059" s="2" t="str">
        <f t="shared" si="4235"/>
        <v>&lt;/li&gt;&lt;li&gt;&lt;a href=|http://pnt.biblecommenter.com/romans/13.htm| title=|People's New Testament| target=|_top|&gt;PNT&lt;/a&gt;</v>
      </c>
      <c r="AR1059" t="str">
        <f t="shared" si="4235"/>
        <v>&lt;/li&gt;&lt;li&gt;&lt;a href=|http://websterbible.com/romans/13.htm| title=|Webster's Bible Translation| target=|_top|&gt;WBS&lt;/a&gt;</v>
      </c>
      <c r="AS1059" t="str">
        <f t="shared" si="4235"/>
        <v>&lt;/li&gt;&lt;li&gt;&lt;a href=|http://weymouthbible.com/romans/13.htm| title=|Weymouth New Testament| target=|_top|&gt;WEY&lt;/a&gt;</v>
      </c>
      <c r="AT1059" t="str">
        <f>CONCATENATE("&lt;/li&gt;&lt;li&gt;&lt;a href=|http://",AT1191,"/romans/13-1.htm","| ","title=|",AT1190,"| target=|_top|&gt;",AT1192,"&lt;/a&gt;")</f>
        <v>&lt;/li&gt;&lt;li&gt;&lt;a href=|http://biblebrowser.com/romans/13-1.htm| title=|Split View| target=|_top|&gt;Split&lt;/a&gt;</v>
      </c>
      <c r="AU1059" s="2" t="s">
        <v>1276</v>
      </c>
      <c r="AV1059" t="s">
        <v>64</v>
      </c>
    </row>
    <row r="1060" spans="1:48">
      <c r="A1060" t="s">
        <v>622</v>
      </c>
      <c r="B1060" t="s">
        <v>491</v>
      </c>
      <c r="C1060" t="s">
        <v>624</v>
      </c>
      <c r="D1060" t="s">
        <v>1268</v>
      </c>
      <c r="E1060" t="s">
        <v>1277</v>
      </c>
      <c r="F1060" t="s">
        <v>1304</v>
      </c>
      <c r="G1060" t="s">
        <v>1266</v>
      </c>
      <c r="H1060" t="s">
        <v>1305</v>
      </c>
      <c r="I1060" t="s">
        <v>1303</v>
      </c>
      <c r="J1060" t="s">
        <v>1267</v>
      </c>
      <c r="K1060" t="s">
        <v>1275</v>
      </c>
      <c r="L1060" s="2" t="s">
        <v>1274</v>
      </c>
      <c r="M1060" t="str">
        <f t="shared" ref="M1060:AB1060" si="4236">CONCATENATE("&lt;/li&gt;&lt;li&gt;&lt;a href=|http://",M1191,"/romans/14.htm","| ","title=|",M1190,"| target=|_top|&gt;",M1192,"&lt;/a&gt;")</f>
        <v>&lt;/li&gt;&lt;li&gt;&lt;a href=|http://niv.scripturetext.com/romans/14.htm| title=|New International Version| target=|_top|&gt;NIV&lt;/a&gt;</v>
      </c>
      <c r="N1060" t="str">
        <f t="shared" si="4236"/>
        <v>&lt;/li&gt;&lt;li&gt;&lt;a href=|http://nlt.scripturetext.com/romans/14.htm| title=|New Living Translation| target=|_top|&gt;NLT&lt;/a&gt;</v>
      </c>
      <c r="O1060" t="str">
        <f t="shared" si="4236"/>
        <v>&lt;/li&gt;&lt;li&gt;&lt;a href=|http://nasb.scripturetext.com/romans/14.htm| title=|New American Standard Bible| target=|_top|&gt;NAS&lt;/a&gt;</v>
      </c>
      <c r="P1060" t="str">
        <f t="shared" si="4236"/>
        <v>&lt;/li&gt;&lt;li&gt;&lt;a href=|http://gwt.scripturetext.com/romans/14.htm| title=|God's Word Translation| target=|_top|&gt;GWT&lt;/a&gt;</v>
      </c>
      <c r="Q1060" t="str">
        <f t="shared" si="4236"/>
        <v>&lt;/li&gt;&lt;li&gt;&lt;a href=|http://kingjbible.com/romans/14.htm| title=|King James Bible| target=|_top|&gt;KJV&lt;/a&gt;</v>
      </c>
      <c r="R1060" t="str">
        <f t="shared" si="4236"/>
        <v>&lt;/li&gt;&lt;li&gt;&lt;a href=|http://asvbible.com/romans/14.htm| title=|American Standard Version| target=|_top|&gt;ASV&lt;/a&gt;</v>
      </c>
      <c r="S1060" t="str">
        <f t="shared" si="4236"/>
        <v>&lt;/li&gt;&lt;li&gt;&lt;a href=|http://drb.scripturetext.com/romans/14.htm| title=|Douay-Rheims Bible| target=|_top|&gt;DRB&lt;/a&gt;</v>
      </c>
      <c r="T1060" t="str">
        <f t="shared" si="4236"/>
        <v>&lt;/li&gt;&lt;li&gt;&lt;a href=|http://erv.scripturetext.com/romans/14.htm| title=|English Revised Version| target=|_top|&gt;ERV&lt;/a&gt;</v>
      </c>
      <c r="U1060" t="str">
        <f>CONCATENATE("&lt;/li&gt;&lt;li&gt;&lt;a href=|http://",U1191,"/romans/14.htm","| ","title=|",U1190,"| target=|_top|&gt;",U1192,"&lt;/a&gt;")</f>
        <v>&lt;/li&gt;&lt;li&gt;&lt;a href=|http://study.interlinearbible.org/romans/14.htm| title=|Greek Study Bible| target=|_top|&gt;Grk Study&lt;/a&gt;</v>
      </c>
      <c r="W1060" t="str">
        <f t="shared" si="4236"/>
        <v>&lt;/li&gt;&lt;li&gt;&lt;a href=|http://apostolic.interlinearbible.org/romans/14.htm| title=|Apostolic Bible Polyglot Interlinear| target=|_top|&gt;Polyglot&lt;/a&gt;</v>
      </c>
      <c r="X1060" t="str">
        <f t="shared" si="4236"/>
        <v>&lt;/li&gt;&lt;li&gt;&lt;a href=|http://interlinearbible.org/romans/14.htm| title=|Interlinear Bible| target=|_top|&gt;Interlin&lt;/a&gt;</v>
      </c>
      <c r="Y1060" t="str">
        <f t="shared" ref="Y1060" si="4237">CONCATENATE("&lt;/li&gt;&lt;li&gt;&lt;a href=|http://",Y1191,"/romans/14.htm","| ","title=|",Y1190,"| target=|_top|&gt;",Y1192,"&lt;/a&gt;")</f>
        <v>&lt;/li&gt;&lt;li&gt;&lt;a href=|http://bibleoutline.org/romans/14.htm| title=|Outline with People and Places List| target=|_top|&gt;Outline&lt;/a&gt;</v>
      </c>
      <c r="Z1060" t="str">
        <f t="shared" si="4236"/>
        <v>&lt;/li&gt;&lt;li&gt;&lt;a href=|http://kjvs.scripturetext.com/romans/14.htm| title=|King James Bible with Strong's Numbers| target=|_top|&gt;Strong's&lt;/a&gt;</v>
      </c>
      <c r="AA1060" t="str">
        <f t="shared" si="4236"/>
        <v>&lt;/li&gt;&lt;li&gt;&lt;a href=|http://childrensbibleonline.com/romans/14.htm| title=|The Children's Bible| target=|_top|&gt;Children's&lt;/a&gt;</v>
      </c>
      <c r="AB1060" s="2" t="str">
        <f t="shared" si="4236"/>
        <v>&lt;/li&gt;&lt;li&gt;&lt;a href=|http://tsk.scripturetext.com/romans/14.htm| title=|Treasury of Scripture Knowledge| target=|_top|&gt;TSK&lt;/a&gt;</v>
      </c>
      <c r="AC1060" t="str">
        <f>CONCATENATE("&lt;a href=|http://",AC1191,"/romans/14.htm","| ","title=|",AC1190,"| target=|_top|&gt;",AC1192,"&lt;/a&gt;")</f>
        <v>&lt;a href=|http://parallelbible.com/romans/14.htm| title=|Parallel Chapters| target=|_top|&gt;PAR&lt;/a&gt;</v>
      </c>
      <c r="AD1060" s="2" t="str">
        <f t="shared" ref="AD1060:AI1060" si="4238">CONCATENATE("&lt;/li&gt;&lt;li&gt;&lt;a href=|http://",AD1191,"/romans/14.htm","| ","title=|",AD1190,"| target=|_top|&gt;",AD1192,"&lt;/a&gt;")</f>
        <v>&lt;/li&gt;&lt;li&gt;&lt;a href=|http://gsb.biblecommenter.com/romans/14.htm| title=|Geneva Study Bible| target=|_top|&gt;GSB&lt;/a&gt;</v>
      </c>
      <c r="AE1060" s="2" t="str">
        <f t="shared" si="4238"/>
        <v>&lt;/li&gt;&lt;li&gt;&lt;a href=|http://jfb.biblecommenter.com/romans/14.htm| title=|Jamieson-Fausset-Brown Bible Commentary| target=|_top|&gt;JFB&lt;/a&gt;</v>
      </c>
      <c r="AF1060" s="2" t="str">
        <f t="shared" si="4238"/>
        <v>&lt;/li&gt;&lt;li&gt;&lt;a href=|http://kjt.biblecommenter.com/romans/14.htm| title=|King James Translators' Notes| target=|_top|&gt;KJT&lt;/a&gt;</v>
      </c>
      <c r="AG1060" s="2" t="str">
        <f t="shared" si="4238"/>
        <v>&lt;/li&gt;&lt;li&gt;&lt;a href=|http://mhc.biblecommenter.com/romans/14.htm| title=|Matthew Henry's Concise Commentary| target=|_top|&gt;MHC&lt;/a&gt;</v>
      </c>
      <c r="AH1060" s="2" t="str">
        <f t="shared" si="4238"/>
        <v>&lt;/li&gt;&lt;li&gt;&lt;a href=|http://sco.biblecommenter.com/romans/14.htm| title=|Scofield Reference Notes| target=|_top|&gt;SCO&lt;/a&gt;</v>
      </c>
      <c r="AI1060" s="2" t="str">
        <f t="shared" si="4238"/>
        <v>&lt;/li&gt;&lt;li&gt;&lt;a href=|http://wes.biblecommenter.com/romans/14.htm| title=|Wesley's Notes on the Bible| target=|_top|&gt;WES&lt;/a&gt;</v>
      </c>
      <c r="AJ1060" t="str">
        <f>CONCATENATE("&lt;/li&gt;&lt;li&gt;&lt;a href=|http://",AJ1191,"/romans/14.htm","| ","title=|",AJ1190,"| target=|_top|&gt;",AJ1192,"&lt;/a&gt;")</f>
        <v>&lt;/li&gt;&lt;li&gt;&lt;a href=|http://worldebible.com/romans/14.htm| title=|World English Bible| target=|_top|&gt;WEB&lt;/a&gt;</v>
      </c>
      <c r="AK1060" t="str">
        <f>CONCATENATE("&lt;/li&gt;&lt;li&gt;&lt;a href=|http://",AK1191,"/romans/14.htm","| ","title=|",AK1190,"| target=|_top|&gt;",AK1192,"&lt;/a&gt;")</f>
        <v>&lt;/li&gt;&lt;li&gt;&lt;a href=|http://yltbible.com/romans/14.htm| title=|Young's Literal Translation| target=|_top|&gt;YLT&lt;/a&gt;</v>
      </c>
      <c r="AL1060" t="str">
        <f>CONCATENATE("&lt;a href=|http://",AL1191,"/romans/14.htm","| ","title=|",AL1190,"| target=|_top|&gt;",AL1192,"&lt;/a&gt;")</f>
        <v>&lt;a href=|http://kjv.us/romans/14.htm| title=|American King James Version| target=|_top|&gt;AKJ&lt;/a&gt;</v>
      </c>
      <c r="AM1060" t="str">
        <f t="shared" ref="AM1060:AS1060" si="4239">CONCATENATE("&lt;/li&gt;&lt;li&gt;&lt;a href=|http://",AM1191,"/romans/14.htm","| ","title=|",AM1190,"| target=|_top|&gt;",AM1192,"&lt;/a&gt;")</f>
        <v>&lt;/li&gt;&lt;li&gt;&lt;a href=|http://basicenglishbible.com/romans/14.htm| title=|Bible in Basic English| target=|_top|&gt;BBE&lt;/a&gt;</v>
      </c>
      <c r="AN1060" t="str">
        <f t="shared" si="4239"/>
        <v>&lt;/li&gt;&lt;li&gt;&lt;a href=|http://darbybible.com/romans/14.htm| title=|Darby Bible Translation| target=|_top|&gt;DBY&lt;/a&gt;</v>
      </c>
      <c r="AO1060" t="str">
        <f t="shared" si="4239"/>
        <v>&lt;/li&gt;&lt;li&gt;&lt;a href=|http://isv.scripturetext.com/romans/14.htm| title=|International Standard Version| target=|_top|&gt;ISV&lt;/a&gt;</v>
      </c>
      <c r="AP1060" t="str">
        <f t="shared" si="4239"/>
        <v>&lt;/li&gt;&lt;li&gt;&lt;a href=|http://tnt.scripturetext.com/romans/14.htm| title=|Tyndale New Testament| target=|_top|&gt;TNT&lt;/a&gt;</v>
      </c>
      <c r="AQ1060" s="2" t="str">
        <f t="shared" si="4239"/>
        <v>&lt;/li&gt;&lt;li&gt;&lt;a href=|http://pnt.biblecommenter.com/romans/14.htm| title=|People's New Testament| target=|_top|&gt;PNT&lt;/a&gt;</v>
      </c>
      <c r="AR1060" t="str">
        <f t="shared" si="4239"/>
        <v>&lt;/li&gt;&lt;li&gt;&lt;a href=|http://websterbible.com/romans/14.htm| title=|Webster's Bible Translation| target=|_top|&gt;WBS&lt;/a&gt;</v>
      </c>
      <c r="AS1060" t="str">
        <f t="shared" si="4239"/>
        <v>&lt;/li&gt;&lt;li&gt;&lt;a href=|http://weymouthbible.com/romans/14.htm| title=|Weymouth New Testament| target=|_top|&gt;WEY&lt;/a&gt;</v>
      </c>
      <c r="AT1060" t="str">
        <f>CONCATENATE("&lt;/li&gt;&lt;li&gt;&lt;a href=|http://",AT1191,"/romans/14-1.htm","| ","title=|",AT1190,"| target=|_top|&gt;",AT1192,"&lt;/a&gt;")</f>
        <v>&lt;/li&gt;&lt;li&gt;&lt;a href=|http://biblebrowser.com/romans/14-1.htm| title=|Split View| target=|_top|&gt;Split&lt;/a&gt;</v>
      </c>
      <c r="AU1060" s="2" t="s">
        <v>1276</v>
      </c>
      <c r="AV1060" t="s">
        <v>64</v>
      </c>
    </row>
    <row r="1061" spans="1:48">
      <c r="A1061" t="s">
        <v>622</v>
      </c>
      <c r="B1061" t="s">
        <v>492</v>
      </c>
      <c r="C1061" t="s">
        <v>624</v>
      </c>
      <c r="D1061" t="s">
        <v>1268</v>
      </c>
      <c r="E1061" t="s">
        <v>1277</v>
      </c>
      <c r="F1061" t="s">
        <v>1304</v>
      </c>
      <c r="G1061" t="s">
        <v>1266</v>
      </c>
      <c r="H1061" t="s">
        <v>1305</v>
      </c>
      <c r="I1061" t="s">
        <v>1303</v>
      </c>
      <c r="J1061" t="s">
        <v>1267</v>
      </c>
      <c r="K1061" t="s">
        <v>1275</v>
      </c>
      <c r="L1061" s="2" t="s">
        <v>1274</v>
      </c>
      <c r="M1061" t="str">
        <f t="shared" ref="M1061:AB1061" si="4240">CONCATENATE("&lt;/li&gt;&lt;li&gt;&lt;a href=|http://",M1191,"/romans/15.htm","| ","title=|",M1190,"| target=|_top|&gt;",M1192,"&lt;/a&gt;")</f>
        <v>&lt;/li&gt;&lt;li&gt;&lt;a href=|http://niv.scripturetext.com/romans/15.htm| title=|New International Version| target=|_top|&gt;NIV&lt;/a&gt;</v>
      </c>
      <c r="N1061" t="str">
        <f t="shared" si="4240"/>
        <v>&lt;/li&gt;&lt;li&gt;&lt;a href=|http://nlt.scripturetext.com/romans/15.htm| title=|New Living Translation| target=|_top|&gt;NLT&lt;/a&gt;</v>
      </c>
      <c r="O1061" t="str">
        <f t="shared" si="4240"/>
        <v>&lt;/li&gt;&lt;li&gt;&lt;a href=|http://nasb.scripturetext.com/romans/15.htm| title=|New American Standard Bible| target=|_top|&gt;NAS&lt;/a&gt;</v>
      </c>
      <c r="P1061" t="str">
        <f t="shared" si="4240"/>
        <v>&lt;/li&gt;&lt;li&gt;&lt;a href=|http://gwt.scripturetext.com/romans/15.htm| title=|God's Word Translation| target=|_top|&gt;GWT&lt;/a&gt;</v>
      </c>
      <c r="Q1061" t="str">
        <f t="shared" si="4240"/>
        <v>&lt;/li&gt;&lt;li&gt;&lt;a href=|http://kingjbible.com/romans/15.htm| title=|King James Bible| target=|_top|&gt;KJV&lt;/a&gt;</v>
      </c>
      <c r="R1061" t="str">
        <f t="shared" si="4240"/>
        <v>&lt;/li&gt;&lt;li&gt;&lt;a href=|http://asvbible.com/romans/15.htm| title=|American Standard Version| target=|_top|&gt;ASV&lt;/a&gt;</v>
      </c>
      <c r="S1061" t="str">
        <f t="shared" si="4240"/>
        <v>&lt;/li&gt;&lt;li&gt;&lt;a href=|http://drb.scripturetext.com/romans/15.htm| title=|Douay-Rheims Bible| target=|_top|&gt;DRB&lt;/a&gt;</v>
      </c>
      <c r="T1061" t="str">
        <f t="shared" si="4240"/>
        <v>&lt;/li&gt;&lt;li&gt;&lt;a href=|http://erv.scripturetext.com/romans/15.htm| title=|English Revised Version| target=|_top|&gt;ERV&lt;/a&gt;</v>
      </c>
      <c r="U1061" t="str">
        <f>CONCATENATE("&lt;/li&gt;&lt;li&gt;&lt;a href=|http://",U1191,"/romans/15.htm","| ","title=|",U1190,"| target=|_top|&gt;",U1192,"&lt;/a&gt;")</f>
        <v>&lt;/li&gt;&lt;li&gt;&lt;a href=|http://study.interlinearbible.org/romans/15.htm| title=|Greek Study Bible| target=|_top|&gt;Grk Study&lt;/a&gt;</v>
      </c>
      <c r="W1061" t="str">
        <f t="shared" si="4240"/>
        <v>&lt;/li&gt;&lt;li&gt;&lt;a href=|http://apostolic.interlinearbible.org/romans/15.htm| title=|Apostolic Bible Polyglot Interlinear| target=|_top|&gt;Polyglot&lt;/a&gt;</v>
      </c>
      <c r="X1061" t="str">
        <f t="shared" si="4240"/>
        <v>&lt;/li&gt;&lt;li&gt;&lt;a href=|http://interlinearbible.org/romans/15.htm| title=|Interlinear Bible| target=|_top|&gt;Interlin&lt;/a&gt;</v>
      </c>
      <c r="Y1061" t="str">
        <f t="shared" ref="Y1061" si="4241">CONCATENATE("&lt;/li&gt;&lt;li&gt;&lt;a href=|http://",Y1191,"/romans/15.htm","| ","title=|",Y1190,"| target=|_top|&gt;",Y1192,"&lt;/a&gt;")</f>
        <v>&lt;/li&gt;&lt;li&gt;&lt;a href=|http://bibleoutline.org/romans/15.htm| title=|Outline with People and Places List| target=|_top|&gt;Outline&lt;/a&gt;</v>
      </c>
      <c r="Z1061" t="str">
        <f t="shared" si="4240"/>
        <v>&lt;/li&gt;&lt;li&gt;&lt;a href=|http://kjvs.scripturetext.com/romans/15.htm| title=|King James Bible with Strong's Numbers| target=|_top|&gt;Strong's&lt;/a&gt;</v>
      </c>
      <c r="AA1061" t="str">
        <f t="shared" si="4240"/>
        <v>&lt;/li&gt;&lt;li&gt;&lt;a href=|http://childrensbibleonline.com/romans/15.htm| title=|The Children's Bible| target=|_top|&gt;Children's&lt;/a&gt;</v>
      </c>
      <c r="AB1061" s="2" t="str">
        <f t="shared" si="4240"/>
        <v>&lt;/li&gt;&lt;li&gt;&lt;a href=|http://tsk.scripturetext.com/romans/15.htm| title=|Treasury of Scripture Knowledge| target=|_top|&gt;TSK&lt;/a&gt;</v>
      </c>
      <c r="AC1061" t="str">
        <f>CONCATENATE("&lt;a href=|http://",AC1191,"/romans/15.htm","| ","title=|",AC1190,"| target=|_top|&gt;",AC1192,"&lt;/a&gt;")</f>
        <v>&lt;a href=|http://parallelbible.com/romans/15.htm| title=|Parallel Chapters| target=|_top|&gt;PAR&lt;/a&gt;</v>
      </c>
      <c r="AD1061" s="2" t="str">
        <f t="shared" ref="AD1061:AI1061" si="4242">CONCATENATE("&lt;/li&gt;&lt;li&gt;&lt;a href=|http://",AD1191,"/romans/15.htm","| ","title=|",AD1190,"| target=|_top|&gt;",AD1192,"&lt;/a&gt;")</f>
        <v>&lt;/li&gt;&lt;li&gt;&lt;a href=|http://gsb.biblecommenter.com/romans/15.htm| title=|Geneva Study Bible| target=|_top|&gt;GSB&lt;/a&gt;</v>
      </c>
      <c r="AE1061" s="2" t="str">
        <f t="shared" si="4242"/>
        <v>&lt;/li&gt;&lt;li&gt;&lt;a href=|http://jfb.biblecommenter.com/romans/15.htm| title=|Jamieson-Fausset-Brown Bible Commentary| target=|_top|&gt;JFB&lt;/a&gt;</v>
      </c>
      <c r="AF1061" s="2" t="str">
        <f t="shared" si="4242"/>
        <v>&lt;/li&gt;&lt;li&gt;&lt;a href=|http://kjt.biblecommenter.com/romans/15.htm| title=|King James Translators' Notes| target=|_top|&gt;KJT&lt;/a&gt;</v>
      </c>
      <c r="AG1061" s="2" t="str">
        <f t="shared" si="4242"/>
        <v>&lt;/li&gt;&lt;li&gt;&lt;a href=|http://mhc.biblecommenter.com/romans/15.htm| title=|Matthew Henry's Concise Commentary| target=|_top|&gt;MHC&lt;/a&gt;</v>
      </c>
      <c r="AH1061" s="2" t="str">
        <f t="shared" si="4242"/>
        <v>&lt;/li&gt;&lt;li&gt;&lt;a href=|http://sco.biblecommenter.com/romans/15.htm| title=|Scofield Reference Notes| target=|_top|&gt;SCO&lt;/a&gt;</v>
      </c>
      <c r="AI1061" s="2" t="str">
        <f t="shared" si="4242"/>
        <v>&lt;/li&gt;&lt;li&gt;&lt;a href=|http://wes.biblecommenter.com/romans/15.htm| title=|Wesley's Notes on the Bible| target=|_top|&gt;WES&lt;/a&gt;</v>
      </c>
      <c r="AJ1061" t="str">
        <f>CONCATENATE("&lt;/li&gt;&lt;li&gt;&lt;a href=|http://",AJ1191,"/romans/15.htm","| ","title=|",AJ1190,"| target=|_top|&gt;",AJ1192,"&lt;/a&gt;")</f>
        <v>&lt;/li&gt;&lt;li&gt;&lt;a href=|http://worldebible.com/romans/15.htm| title=|World English Bible| target=|_top|&gt;WEB&lt;/a&gt;</v>
      </c>
      <c r="AK1061" t="str">
        <f>CONCATENATE("&lt;/li&gt;&lt;li&gt;&lt;a href=|http://",AK1191,"/romans/15.htm","| ","title=|",AK1190,"| target=|_top|&gt;",AK1192,"&lt;/a&gt;")</f>
        <v>&lt;/li&gt;&lt;li&gt;&lt;a href=|http://yltbible.com/romans/15.htm| title=|Young's Literal Translation| target=|_top|&gt;YLT&lt;/a&gt;</v>
      </c>
      <c r="AL1061" t="str">
        <f>CONCATENATE("&lt;a href=|http://",AL1191,"/romans/15.htm","| ","title=|",AL1190,"| target=|_top|&gt;",AL1192,"&lt;/a&gt;")</f>
        <v>&lt;a href=|http://kjv.us/romans/15.htm| title=|American King James Version| target=|_top|&gt;AKJ&lt;/a&gt;</v>
      </c>
      <c r="AM1061" t="str">
        <f t="shared" ref="AM1061:AS1061" si="4243">CONCATENATE("&lt;/li&gt;&lt;li&gt;&lt;a href=|http://",AM1191,"/romans/15.htm","| ","title=|",AM1190,"| target=|_top|&gt;",AM1192,"&lt;/a&gt;")</f>
        <v>&lt;/li&gt;&lt;li&gt;&lt;a href=|http://basicenglishbible.com/romans/15.htm| title=|Bible in Basic English| target=|_top|&gt;BBE&lt;/a&gt;</v>
      </c>
      <c r="AN1061" t="str">
        <f t="shared" si="4243"/>
        <v>&lt;/li&gt;&lt;li&gt;&lt;a href=|http://darbybible.com/romans/15.htm| title=|Darby Bible Translation| target=|_top|&gt;DBY&lt;/a&gt;</v>
      </c>
      <c r="AO1061" t="str">
        <f t="shared" si="4243"/>
        <v>&lt;/li&gt;&lt;li&gt;&lt;a href=|http://isv.scripturetext.com/romans/15.htm| title=|International Standard Version| target=|_top|&gt;ISV&lt;/a&gt;</v>
      </c>
      <c r="AP1061" t="str">
        <f t="shared" si="4243"/>
        <v>&lt;/li&gt;&lt;li&gt;&lt;a href=|http://tnt.scripturetext.com/romans/15.htm| title=|Tyndale New Testament| target=|_top|&gt;TNT&lt;/a&gt;</v>
      </c>
      <c r="AQ1061" s="2" t="str">
        <f t="shared" si="4243"/>
        <v>&lt;/li&gt;&lt;li&gt;&lt;a href=|http://pnt.biblecommenter.com/romans/15.htm| title=|People's New Testament| target=|_top|&gt;PNT&lt;/a&gt;</v>
      </c>
      <c r="AR1061" t="str">
        <f t="shared" si="4243"/>
        <v>&lt;/li&gt;&lt;li&gt;&lt;a href=|http://websterbible.com/romans/15.htm| title=|Webster's Bible Translation| target=|_top|&gt;WBS&lt;/a&gt;</v>
      </c>
      <c r="AS1061" t="str">
        <f t="shared" si="4243"/>
        <v>&lt;/li&gt;&lt;li&gt;&lt;a href=|http://weymouthbible.com/romans/15.htm| title=|Weymouth New Testament| target=|_top|&gt;WEY&lt;/a&gt;</v>
      </c>
      <c r="AT1061" t="str">
        <f>CONCATENATE("&lt;/li&gt;&lt;li&gt;&lt;a href=|http://",AT1191,"/romans/15-1.htm","| ","title=|",AT1190,"| target=|_top|&gt;",AT1192,"&lt;/a&gt;")</f>
        <v>&lt;/li&gt;&lt;li&gt;&lt;a href=|http://biblebrowser.com/romans/15-1.htm| title=|Split View| target=|_top|&gt;Split&lt;/a&gt;</v>
      </c>
      <c r="AU1061" s="2" t="s">
        <v>1276</v>
      </c>
      <c r="AV1061" t="s">
        <v>64</v>
      </c>
    </row>
    <row r="1062" spans="1:48">
      <c r="A1062" t="s">
        <v>622</v>
      </c>
      <c r="B1062" t="s">
        <v>493</v>
      </c>
      <c r="C1062" t="s">
        <v>624</v>
      </c>
      <c r="D1062" t="s">
        <v>1268</v>
      </c>
      <c r="E1062" t="s">
        <v>1277</v>
      </c>
      <c r="F1062" t="s">
        <v>1304</v>
      </c>
      <c r="G1062" t="s">
        <v>1266</v>
      </c>
      <c r="H1062" t="s">
        <v>1305</v>
      </c>
      <c r="I1062" t="s">
        <v>1303</v>
      </c>
      <c r="J1062" t="s">
        <v>1267</v>
      </c>
      <c r="K1062" t="s">
        <v>1275</v>
      </c>
      <c r="L1062" s="2" t="s">
        <v>1274</v>
      </c>
      <c r="M1062" t="str">
        <f t="shared" ref="M1062:AB1062" si="4244">CONCATENATE("&lt;/li&gt;&lt;li&gt;&lt;a href=|http://",M1191,"/romans/16.htm","| ","title=|",M1190,"| target=|_top|&gt;",M1192,"&lt;/a&gt;")</f>
        <v>&lt;/li&gt;&lt;li&gt;&lt;a href=|http://niv.scripturetext.com/romans/16.htm| title=|New International Version| target=|_top|&gt;NIV&lt;/a&gt;</v>
      </c>
      <c r="N1062" t="str">
        <f t="shared" si="4244"/>
        <v>&lt;/li&gt;&lt;li&gt;&lt;a href=|http://nlt.scripturetext.com/romans/16.htm| title=|New Living Translation| target=|_top|&gt;NLT&lt;/a&gt;</v>
      </c>
      <c r="O1062" t="str">
        <f t="shared" si="4244"/>
        <v>&lt;/li&gt;&lt;li&gt;&lt;a href=|http://nasb.scripturetext.com/romans/16.htm| title=|New American Standard Bible| target=|_top|&gt;NAS&lt;/a&gt;</v>
      </c>
      <c r="P1062" t="str">
        <f t="shared" si="4244"/>
        <v>&lt;/li&gt;&lt;li&gt;&lt;a href=|http://gwt.scripturetext.com/romans/16.htm| title=|God's Word Translation| target=|_top|&gt;GWT&lt;/a&gt;</v>
      </c>
      <c r="Q1062" t="str">
        <f t="shared" si="4244"/>
        <v>&lt;/li&gt;&lt;li&gt;&lt;a href=|http://kingjbible.com/romans/16.htm| title=|King James Bible| target=|_top|&gt;KJV&lt;/a&gt;</v>
      </c>
      <c r="R1062" t="str">
        <f t="shared" si="4244"/>
        <v>&lt;/li&gt;&lt;li&gt;&lt;a href=|http://asvbible.com/romans/16.htm| title=|American Standard Version| target=|_top|&gt;ASV&lt;/a&gt;</v>
      </c>
      <c r="S1062" t="str">
        <f t="shared" si="4244"/>
        <v>&lt;/li&gt;&lt;li&gt;&lt;a href=|http://drb.scripturetext.com/romans/16.htm| title=|Douay-Rheims Bible| target=|_top|&gt;DRB&lt;/a&gt;</v>
      </c>
      <c r="T1062" t="str">
        <f t="shared" si="4244"/>
        <v>&lt;/li&gt;&lt;li&gt;&lt;a href=|http://erv.scripturetext.com/romans/16.htm| title=|English Revised Version| target=|_top|&gt;ERV&lt;/a&gt;</v>
      </c>
      <c r="U1062" t="str">
        <f>CONCATENATE("&lt;/li&gt;&lt;li&gt;&lt;a href=|http://",U1191,"/romans/16.htm","| ","title=|",U1190,"| target=|_top|&gt;",U1192,"&lt;/a&gt;")</f>
        <v>&lt;/li&gt;&lt;li&gt;&lt;a href=|http://study.interlinearbible.org/romans/16.htm| title=|Greek Study Bible| target=|_top|&gt;Grk Study&lt;/a&gt;</v>
      </c>
      <c r="W1062" t="str">
        <f t="shared" si="4244"/>
        <v>&lt;/li&gt;&lt;li&gt;&lt;a href=|http://apostolic.interlinearbible.org/romans/16.htm| title=|Apostolic Bible Polyglot Interlinear| target=|_top|&gt;Polyglot&lt;/a&gt;</v>
      </c>
      <c r="X1062" t="str">
        <f t="shared" si="4244"/>
        <v>&lt;/li&gt;&lt;li&gt;&lt;a href=|http://interlinearbible.org/romans/16.htm| title=|Interlinear Bible| target=|_top|&gt;Interlin&lt;/a&gt;</v>
      </c>
      <c r="Y1062" t="str">
        <f t="shared" ref="Y1062" si="4245">CONCATENATE("&lt;/li&gt;&lt;li&gt;&lt;a href=|http://",Y1191,"/romans/16.htm","| ","title=|",Y1190,"| target=|_top|&gt;",Y1192,"&lt;/a&gt;")</f>
        <v>&lt;/li&gt;&lt;li&gt;&lt;a href=|http://bibleoutline.org/romans/16.htm| title=|Outline with People and Places List| target=|_top|&gt;Outline&lt;/a&gt;</v>
      </c>
      <c r="Z1062" t="str">
        <f t="shared" si="4244"/>
        <v>&lt;/li&gt;&lt;li&gt;&lt;a href=|http://kjvs.scripturetext.com/romans/16.htm| title=|King James Bible with Strong's Numbers| target=|_top|&gt;Strong's&lt;/a&gt;</v>
      </c>
      <c r="AA1062" t="str">
        <f t="shared" si="4244"/>
        <v>&lt;/li&gt;&lt;li&gt;&lt;a href=|http://childrensbibleonline.com/romans/16.htm| title=|The Children's Bible| target=|_top|&gt;Children's&lt;/a&gt;</v>
      </c>
      <c r="AB1062" s="2" t="str">
        <f t="shared" si="4244"/>
        <v>&lt;/li&gt;&lt;li&gt;&lt;a href=|http://tsk.scripturetext.com/romans/16.htm| title=|Treasury of Scripture Knowledge| target=|_top|&gt;TSK&lt;/a&gt;</v>
      </c>
      <c r="AC1062" t="str">
        <f>CONCATENATE("&lt;a href=|http://",AC1191,"/romans/16.htm","| ","title=|",AC1190,"| target=|_top|&gt;",AC1192,"&lt;/a&gt;")</f>
        <v>&lt;a href=|http://parallelbible.com/romans/16.htm| title=|Parallel Chapters| target=|_top|&gt;PAR&lt;/a&gt;</v>
      </c>
      <c r="AD1062" s="2" t="str">
        <f t="shared" ref="AD1062:AI1062" si="4246">CONCATENATE("&lt;/li&gt;&lt;li&gt;&lt;a href=|http://",AD1191,"/romans/16.htm","| ","title=|",AD1190,"| target=|_top|&gt;",AD1192,"&lt;/a&gt;")</f>
        <v>&lt;/li&gt;&lt;li&gt;&lt;a href=|http://gsb.biblecommenter.com/romans/16.htm| title=|Geneva Study Bible| target=|_top|&gt;GSB&lt;/a&gt;</v>
      </c>
      <c r="AE1062" s="2" t="str">
        <f t="shared" si="4246"/>
        <v>&lt;/li&gt;&lt;li&gt;&lt;a href=|http://jfb.biblecommenter.com/romans/16.htm| title=|Jamieson-Fausset-Brown Bible Commentary| target=|_top|&gt;JFB&lt;/a&gt;</v>
      </c>
      <c r="AF1062" s="2" t="str">
        <f t="shared" si="4246"/>
        <v>&lt;/li&gt;&lt;li&gt;&lt;a href=|http://kjt.biblecommenter.com/romans/16.htm| title=|King James Translators' Notes| target=|_top|&gt;KJT&lt;/a&gt;</v>
      </c>
      <c r="AG1062" s="2" t="str">
        <f t="shared" si="4246"/>
        <v>&lt;/li&gt;&lt;li&gt;&lt;a href=|http://mhc.biblecommenter.com/romans/16.htm| title=|Matthew Henry's Concise Commentary| target=|_top|&gt;MHC&lt;/a&gt;</v>
      </c>
      <c r="AH1062" s="2" t="str">
        <f t="shared" si="4246"/>
        <v>&lt;/li&gt;&lt;li&gt;&lt;a href=|http://sco.biblecommenter.com/romans/16.htm| title=|Scofield Reference Notes| target=|_top|&gt;SCO&lt;/a&gt;</v>
      </c>
      <c r="AI1062" s="2" t="str">
        <f t="shared" si="4246"/>
        <v>&lt;/li&gt;&lt;li&gt;&lt;a href=|http://wes.biblecommenter.com/romans/16.htm| title=|Wesley's Notes on the Bible| target=|_top|&gt;WES&lt;/a&gt;</v>
      </c>
      <c r="AJ1062" t="str">
        <f>CONCATENATE("&lt;/li&gt;&lt;li&gt;&lt;a href=|http://",AJ1191,"/romans/16.htm","| ","title=|",AJ1190,"| target=|_top|&gt;",AJ1192,"&lt;/a&gt;")</f>
        <v>&lt;/li&gt;&lt;li&gt;&lt;a href=|http://worldebible.com/romans/16.htm| title=|World English Bible| target=|_top|&gt;WEB&lt;/a&gt;</v>
      </c>
      <c r="AK1062" t="str">
        <f>CONCATENATE("&lt;/li&gt;&lt;li&gt;&lt;a href=|http://",AK1191,"/romans/16.htm","| ","title=|",AK1190,"| target=|_top|&gt;",AK1192,"&lt;/a&gt;")</f>
        <v>&lt;/li&gt;&lt;li&gt;&lt;a href=|http://yltbible.com/romans/16.htm| title=|Young's Literal Translation| target=|_top|&gt;YLT&lt;/a&gt;</v>
      </c>
      <c r="AL1062" t="str">
        <f>CONCATENATE("&lt;a href=|http://",AL1191,"/romans/16.htm","| ","title=|",AL1190,"| target=|_top|&gt;",AL1192,"&lt;/a&gt;")</f>
        <v>&lt;a href=|http://kjv.us/romans/16.htm| title=|American King James Version| target=|_top|&gt;AKJ&lt;/a&gt;</v>
      </c>
      <c r="AM1062" t="str">
        <f t="shared" ref="AM1062:AS1062" si="4247">CONCATENATE("&lt;/li&gt;&lt;li&gt;&lt;a href=|http://",AM1191,"/romans/16.htm","| ","title=|",AM1190,"| target=|_top|&gt;",AM1192,"&lt;/a&gt;")</f>
        <v>&lt;/li&gt;&lt;li&gt;&lt;a href=|http://basicenglishbible.com/romans/16.htm| title=|Bible in Basic English| target=|_top|&gt;BBE&lt;/a&gt;</v>
      </c>
      <c r="AN1062" t="str">
        <f t="shared" si="4247"/>
        <v>&lt;/li&gt;&lt;li&gt;&lt;a href=|http://darbybible.com/romans/16.htm| title=|Darby Bible Translation| target=|_top|&gt;DBY&lt;/a&gt;</v>
      </c>
      <c r="AO1062" t="str">
        <f t="shared" si="4247"/>
        <v>&lt;/li&gt;&lt;li&gt;&lt;a href=|http://isv.scripturetext.com/romans/16.htm| title=|International Standard Version| target=|_top|&gt;ISV&lt;/a&gt;</v>
      </c>
      <c r="AP1062" t="str">
        <f t="shared" si="4247"/>
        <v>&lt;/li&gt;&lt;li&gt;&lt;a href=|http://tnt.scripturetext.com/romans/16.htm| title=|Tyndale New Testament| target=|_top|&gt;TNT&lt;/a&gt;</v>
      </c>
      <c r="AQ1062" s="2" t="str">
        <f t="shared" si="4247"/>
        <v>&lt;/li&gt;&lt;li&gt;&lt;a href=|http://pnt.biblecommenter.com/romans/16.htm| title=|People's New Testament| target=|_top|&gt;PNT&lt;/a&gt;</v>
      </c>
      <c r="AR1062" t="str">
        <f t="shared" si="4247"/>
        <v>&lt;/li&gt;&lt;li&gt;&lt;a href=|http://websterbible.com/romans/16.htm| title=|Webster's Bible Translation| target=|_top|&gt;WBS&lt;/a&gt;</v>
      </c>
      <c r="AS1062" t="str">
        <f t="shared" si="4247"/>
        <v>&lt;/li&gt;&lt;li&gt;&lt;a href=|http://weymouthbible.com/romans/16.htm| title=|Weymouth New Testament| target=|_top|&gt;WEY&lt;/a&gt;</v>
      </c>
      <c r="AT1062" t="str">
        <f>CONCATENATE("&lt;/li&gt;&lt;li&gt;&lt;a href=|http://",AT1191,"/romans/16-1.htm","| ","title=|",AT1190,"| target=|_top|&gt;",AT1192,"&lt;/a&gt;")</f>
        <v>&lt;/li&gt;&lt;li&gt;&lt;a href=|http://biblebrowser.com/romans/16-1.htm| title=|Split View| target=|_top|&gt;Split&lt;/a&gt;</v>
      </c>
      <c r="AU1062" s="2" t="s">
        <v>1276</v>
      </c>
      <c r="AV1062" t="s">
        <v>64</v>
      </c>
    </row>
    <row r="1063" spans="1:48">
      <c r="A1063" t="s">
        <v>622</v>
      </c>
      <c r="B1063" t="s">
        <v>494</v>
      </c>
      <c r="C1063" t="s">
        <v>624</v>
      </c>
      <c r="D1063" t="s">
        <v>1268</v>
      </c>
      <c r="E1063" t="s">
        <v>1277</v>
      </c>
      <c r="F1063" t="s">
        <v>1304</v>
      </c>
      <c r="G1063" t="s">
        <v>1266</v>
      </c>
      <c r="H1063" t="s">
        <v>1305</v>
      </c>
      <c r="I1063" t="s">
        <v>1303</v>
      </c>
      <c r="J1063" t="s">
        <v>1267</v>
      </c>
      <c r="K1063" t="s">
        <v>1275</v>
      </c>
      <c r="L1063" s="2" t="s">
        <v>1274</v>
      </c>
      <c r="M1063" t="str">
        <f t="shared" ref="M1063:AB1063" si="4248">CONCATENATE("&lt;/li&gt;&lt;li&gt;&lt;a href=|http://",M1191,"/1_corinthians/1.htm","| ","title=|",M1190,"| target=|_top|&gt;",M1192,"&lt;/a&gt;")</f>
        <v>&lt;/li&gt;&lt;li&gt;&lt;a href=|http://niv.scripturetext.com/1_corinthians/1.htm| title=|New International Version| target=|_top|&gt;NIV&lt;/a&gt;</v>
      </c>
      <c r="N1063" t="str">
        <f t="shared" si="4248"/>
        <v>&lt;/li&gt;&lt;li&gt;&lt;a href=|http://nlt.scripturetext.com/1_corinthians/1.htm| title=|New Living Translation| target=|_top|&gt;NLT&lt;/a&gt;</v>
      </c>
      <c r="O1063" t="str">
        <f t="shared" si="4248"/>
        <v>&lt;/li&gt;&lt;li&gt;&lt;a href=|http://nasb.scripturetext.com/1_corinthians/1.htm| title=|New American Standard Bible| target=|_top|&gt;NAS&lt;/a&gt;</v>
      </c>
      <c r="P1063" t="str">
        <f t="shared" si="4248"/>
        <v>&lt;/li&gt;&lt;li&gt;&lt;a href=|http://gwt.scripturetext.com/1_corinthians/1.htm| title=|God's Word Translation| target=|_top|&gt;GWT&lt;/a&gt;</v>
      </c>
      <c r="Q1063" t="str">
        <f t="shared" si="4248"/>
        <v>&lt;/li&gt;&lt;li&gt;&lt;a href=|http://kingjbible.com/1_corinthians/1.htm| title=|King James Bible| target=|_top|&gt;KJV&lt;/a&gt;</v>
      </c>
      <c r="R1063" t="str">
        <f t="shared" si="4248"/>
        <v>&lt;/li&gt;&lt;li&gt;&lt;a href=|http://asvbible.com/1_corinthians/1.htm| title=|American Standard Version| target=|_top|&gt;ASV&lt;/a&gt;</v>
      </c>
      <c r="S1063" t="str">
        <f t="shared" si="4248"/>
        <v>&lt;/li&gt;&lt;li&gt;&lt;a href=|http://drb.scripturetext.com/1_corinthians/1.htm| title=|Douay-Rheims Bible| target=|_top|&gt;DRB&lt;/a&gt;</v>
      </c>
      <c r="T1063" t="str">
        <f t="shared" si="4248"/>
        <v>&lt;/li&gt;&lt;li&gt;&lt;a href=|http://erv.scripturetext.com/1_corinthians/1.htm| title=|English Revised Version| target=|_top|&gt;ERV&lt;/a&gt;</v>
      </c>
      <c r="U1063" t="str">
        <f>CONCATENATE("&lt;/li&gt;&lt;li&gt;&lt;a href=|http://",U1191,"/1_corinthians/1.htm","| ","title=|",U1190,"| target=|_top|&gt;",U1192,"&lt;/a&gt;")</f>
        <v>&lt;/li&gt;&lt;li&gt;&lt;a href=|http://study.interlinearbible.org/1_corinthians/1.htm| title=|Greek Study Bible| target=|_top|&gt;Grk Study&lt;/a&gt;</v>
      </c>
      <c r="W1063" t="str">
        <f t="shared" si="4248"/>
        <v>&lt;/li&gt;&lt;li&gt;&lt;a href=|http://apostolic.interlinearbible.org/1_corinthians/1.htm| title=|Apostolic Bible Polyglot Interlinear| target=|_top|&gt;Polyglot&lt;/a&gt;</v>
      </c>
      <c r="X1063" t="str">
        <f t="shared" si="4248"/>
        <v>&lt;/li&gt;&lt;li&gt;&lt;a href=|http://interlinearbible.org/1_corinthians/1.htm| title=|Interlinear Bible| target=|_top|&gt;Interlin&lt;/a&gt;</v>
      </c>
      <c r="Y1063" t="str">
        <f t="shared" ref="Y1063" si="4249">CONCATENATE("&lt;/li&gt;&lt;li&gt;&lt;a href=|http://",Y1191,"/1_corinthians/1.htm","| ","title=|",Y1190,"| target=|_top|&gt;",Y1192,"&lt;/a&gt;")</f>
        <v>&lt;/li&gt;&lt;li&gt;&lt;a href=|http://bibleoutline.org/1_corinthians/1.htm| title=|Outline with People and Places List| target=|_top|&gt;Outline&lt;/a&gt;</v>
      </c>
      <c r="Z1063" t="str">
        <f t="shared" si="4248"/>
        <v>&lt;/li&gt;&lt;li&gt;&lt;a href=|http://kjvs.scripturetext.com/1_corinthians/1.htm| title=|King James Bible with Strong's Numbers| target=|_top|&gt;Strong's&lt;/a&gt;</v>
      </c>
      <c r="AA1063" t="str">
        <f t="shared" si="4248"/>
        <v>&lt;/li&gt;&lt;li&gt;&lt;a href=|http://childrensbibleonline.com/1_corinthians/1.htm| title=|The Children's Bible| target=|_top|&gt;Children's&lt;/a&gt;</v>
      </c>
      <c r="AB1063" s="2" t="str">
        <f t="shared" si="4248"/>
        <v>&lt;/li&gt;&lt;li&gt;&lt;a href=|http://tsk.scripturetext.com/1_corinthians/1.htm| title=|Treasury of Scripture Knowledge| target=|_top|&gt;TSK&lt;/a&gt;</v>
      </c>
      <c r="AC1063" t="str">
        <f>CONCATENATE("&lt;a href=|http://",AC1191,"/1_corinthians/1.htm","| ","title=|",AC1190,"| target=|_top|&gt;",AC1192,"&lt;/a&gt;")</f>
        <v>&lt;a href=|http://parallelbible.com/1_corinthians/1.htm| title=|Parallel Chapters| target=|_top|&gt;PAR&lt;/a&gt;</v>
      </c>
      <c r="AD1063" s="2" t="str">
        <f t="shared" ref="AD1063:AI1063" si="4250">CONCATENATE("&lt;/li&gt;&lt;li&gt;&lt;a href=|http://",AD1191,"/1_corinthians/1.htm","| ","title=|",AD1190,"| target=|_top|&gt;",AD1192,"&lt;/a&gt;")</f>
        <v>&lt;/li&gt;&lt;li&gt;&lt;a href=|http://gsb.biblecommenter.com/1_corinthians/1.htm| title=|Geneva Study Bible| target=|_top|&gt;GSB&lt;/a&gt;</v>
      </c>
      <c r="AE1063" s="2" t="str">
        <f t="shared" si="4250"/>
        <v>&lt;/li&gt;&lt;li&gt;&lt;a href=|http://jfb.biblecommenter.com/1_corinthians/1.htm| title=|Jamieson-Fausset-Brown Bible Commentary| target=|_top|&gt;JFB&lt;/a&gt;</v>
      </c>
      <c r="AF1063" s="2" t="str">
        <f t="shared" si="4250"/>
        <v>&lt;/li&gt;&lt;li&gt;&lt;a href=|http://kjt.biblecommenter.com/1_corinthians/1.htm| title=|King James Translators' Notes| target=|_top|&gt;KJT&lt;/a&gt;</v>
      </c>
      <c r="AG1063" s="2" t="str">
        <f t="shared" si="4250"/>
        <v>&lt;/li&gt;&lt;li&gt;&lt;a href=|http://mhc.biblecommenter.com/1_corinthians/1.htm| title=|Matthew Henry's Concise Commentary| target=|_top|&gt;MHC&lt;/a&gt;</v>
      </c>
      <c r="AH1063" s="2" t="str">
        <f t="shared" si="4250"/>
        <v>&lt;/li&gt;&lt;li&gt;&lt;a href=|http://sco.biblecommenter.com/1_corinthians/1.htm| title=|Scofield Reference Notes| target=|_top|&gt;SCO&lt;/a&gt;</v>
      </c>
      <c r="AI1063" s="2" t="str">
        <f t="shared" si="4250"/>
        <v>&lt;/li&gt;&lt;li&gt;&lt;a href=|http://wes.biblecommenter.com/1_corinthians/1.htm| title=|Wesley's Notes on the Bible| target=|_top|&gt;WES&lt;/a&gt;</v>
      </c>
      <c r="AJ1063" t="str">
        <f>CONCATENATE("&lt;/li&gt;&lt;li&gt;&lt;a href=|http://",AJ1191,"/1_corinthians/1.htm","| ","title=|",AJ1190,"| target=|_top|&gt;",AJ1192,"&lt;/a&gt;")</f>
        <v>&lt;/li&gt;&lt;li&gt;&lt;a href=|http://worldebible.com/1_corinthians/1.htm| title=|World English Bible| target=|_top|&gt;WEB&lt;/a&gt;</v>
      </c>
      <c r="AK1063" t="str">
        <f>CONCATENATE("&lt;/li&gt;&lt;li&gt;&lt;a href=|http://",AK1191,"/1_corinthians/1.htm","| ","title=|",AK1190,"| target=|_top|&gt;",AK1192,"&lt;/a&gt;")</f>
        <v>&lt;/li&gt;&lt;li&gt;&lt;a href=|http://yltbible.com/1_corinthians/1.htm| title=|Young's Literal Translation| target=|_top|&gt;YLT&lt;/a&gt;</v>
      </c>
      <c r="AL1063" t="str">
        <f>CONCATENATE("&lt;a href=|http://",AL1191,"/1_corinthians/1.htm","| ","title=|",AL1190,"| target=|_top|&gt;",AL1192,"&lt;/a&gt;")</f>
        <v>&lt;a href=|http://kjv.us/1_corinthians/1.htm| title=|American King James Version| target=|_top|&gt;AKJ&lt;/a&gt;</v>
      </c>
      <c r="AM1063" t="str">
        <f t="shared" ref="AM1063:AS1063" si="4251">CONCATENATE("&lt;/li&gt;&lt;li&gt;&lt;a href=|http://",AM1191,"/1_corinthians/1.htm","| ","title=|",AM1190,"| target=|_top|&gt;",AM1192,"&lt;/a&gt;")</f>
        <v>&lt;/li&gt;&lt;li&gt;&lt;a href=|http://basicenglishbible.com/1_corinthians/1.htm| title=|Bible in Basic English| target=|_top|&gt;BBE&lt;/a&gt;</v>
      </c>
      <c r="AN1063" t="str">
        <f t="shared" si="4251"/>
        <v>&lt;/li&gt;&lt;li&gt;&lt;a href=|http://darbybible.com/1_corinthians/1.htm| title=|Darby Bible Translation| target=|_top|&gt;DBY&lt;/a&gt;</v>
      </c>
      <c r="AO1063" t="str">
        <f t="shared" si="4251"/>
        <v>&lt;/li&gt;&lt;li&gt;&lt;a href=|http://isv.scripturetext.com/1_corinthians/1.htm| title=|International Standard Version| target=|_top|&gt;ISV&lt;/a&gt;</v>
      </c>
      <c r="AP1063" t="str">
        <f t="shared" si="4251"/>
        <v>&lt;/li&gt;&lt;li&gt;&lt;a href=|http://tnt.scripturetext.com/1_corinthians/1.htm| title=|Tyndale New Testament| target=|_top|&gt;TNT&lt;/a&gt;</v>
      </c>
      <c r="AQ1063" s="2" t="str">
        <f t="shared" si="4251"/>
        <v>&lt;/li&gt;&lt;li&gt;&lt;a href=|http://pnt.biblecommenter.com/1_corinthians/1.htm| title=|People's New Testament| target=|_top|&gt;PNT&lt;/a&gt;</v>
      </c>
      <c r="AR1063" t="str">
        <f t="shared" si="4251"/>
        <v>&lt;/li&gt;&lt;li&gt;&lt;a href=|http://websterbible.com/1_corinthians/1.htm| title=|Webster's Bible Translation| target=|_top|&gt;WBS&lt;/a&gt;</v>
      </c>
      <c r="AS1063" t="str">
        <f t="shared" si="4251"/>
        <v>&lt;/li&gt;&lt;li&gt;&lt;a href=|http://weymouthbible.com/1_corinthians/1.htm| title=|Weymouth New Testament| target=|_top|&gt;WEY&lt;/a&gt;</v>
      </c>
      <c r="AT1063" t="str">
        <f>CONCATENATE("&lt;/li&gt;&lt;li&gt;&lt;a href=|http://",AT1191,"/1_corinthians/1-1.htm","| ","title=|",AT1190,"| target=|_top|&gt;",AT1192,"&lt;/a&gt;")</f>
        <v>&lt;/li&gt;&lt;li&gt;&lt;a href=|http://biblebrowser.com/1_corinthians/1-1.htm| title=|Split View| target=|_top|&gt;Split&lt;/a&gt;</v>
      </c>
      <c r="AU1063" s="2" t="s">
        <v>1276</v>
      </c>
      <c r="AV1063" t="s">
        <v>64</v>
      </c>
    </row>
    <row r="1064" spans="1:48">
      <c r="A1064" t="s">
        <v>622</v>
      </c>
      <c r="B1064" t="s">
        <v>495</v>
      </c>
      <c r="C1064" t="s">
        <v>624</v>
      </c>
      <c r="D1064" t="s">
        <v>1268</v>
      </c>
      <c r="E1064" t="s">
        <v>1277</v>
      </c>
      <c r="F1064" t="s">
        <v>1304</v>
      </c>
      <c r="G1064" t="s">
        <v>1266</v>
      </c>
      <c r="H1064" t="s">
        <v>1305</v>
      </c>
      <c r="I1064" t="s">
        <v>1303</v>
      </c>
      <c r="J1064" t="s">
        <v>1267</v>
      </c>
      <c r="K1064" t="s">
        <v>1275</v>
      </c>
      <c r="L1064" s="2" t="s">
        <v>1274</v>
      </c>
      <c r="M1064" t="str">
        <f t="shared" ref="M1064:AB1064" si="4252">CONCATENATE("&lt;/li&gt;&lt;li&gt;&lt;a href=|http://",M1191,"/1_corinthians/2.htm","| ","title=|",M1190,"| target=|_top|&gt;",M1192,"&lt;/a&gt;")</f>
        <v>&lt;/li&gt;&lt;li&gt;&lt;a href=|http://niv.scripturetext.com/1_corinthians/2.htm| title=|New International Version| target=|_top|&gt;NIV&lt;/a&gt;</v>
      </c>
      <c r="N1064" t="str">
        <f t="shared" si="4252"/>
        <v>&lt;/li&gt;&lt;li&gt;&lt;a href=|http://nlt.scripturetext.com/1_corinthians/2.htm| title=|New Living Translation| target=|_top|&gt;NLT&lt;/a&gt;</v>
      </c>
      <c r="O1064" t="str">
        <f t="shared" si="4252"/>
        <v>&lt;/li&gt;&lt;li&gt;&lt;a href=|http://nasb.scripturetext.com/1_corinthians/2.htm| title=|New American Standard Bible| target=|_top|&gt;NAS&lt;/a&gt;</v>
      </c>
      <c r="P1064" t="str">
        <f t="shared" si="4252"/>
        <v>&lt;/li&gt;&lt;li&gt;&lt;a href=|http://gwt.scripturetext.com/1_corinthians/2.htm| title=|God's Word Translation| target=|_top|&gt;GWT&lt;/a&gt;</v>
      </c>
      <c r="Q1064" t="str">
        <f t="shared" si="4252"/>
        <v>&lt;/li&gt;&lt;li&gt;&lt;a href=|http://kingjbible.com/1_corinthians/2.htm| title=|King James Bible| target=|_top|&gt;KJV&lt;/a&gt;</v>
      </c>
      <c r="R1064" t="str">
        <f t="shared" si="4252"/>
        <v>&lt;/li&gt;&lt;li&gt;&lt;a href=|http://asvbible.com/1_corinthians/2.htm| title=|American Standard Version| target=|_top|&gt;ASV&lt;/a&gt;</v>
      </c>
      <c r="S1064" t="str">
        <f t="shared" si="4252"/>
        <v>&lt;/li&gt;&lt;li&gt;&lt;a href=|http://drb.scripturetext.com/1_corinthians/2.htm| title=|Douay-Rheims Bible| target=|_top|&gt;DRB&lt;/a&gt;</v>
      </c>
      <c r="T1064" t="str">
        <f t="shared" si="4252"/>
        <v>&lt;/li&gt;&lt;li&gt;&lt;a href=|http://erv.scripturetext.com/1_corinthians/2.htm| title=|English Revised Version| target=|_top|&gt;ERV&lt;/a&gt;</v>
      </c>
      <c r="U1064" t="str">
        <f>CONCATENATE("&lt;/li&gt;&lt;li&gt;&lt;a href=|http://",U1191,"/1_corinthians/2.htm","| ","title=|",U1190,"| target=|_top|&gt;",U1192,"&lt;/a&gt;")</f>
        <v>&lt;/li&gt;&lt;li&gt;&lt;a href=|http://study.interlinearbible.org/1_corinthians/2.htm| title=|Greek Study Bible| target=|_top|&gt;Grk Study&lt;/a&gt;</v>
      </c>
      <c r="W1064" t="str">
        <f t="shared" si="4252"/>
        <v>&lt;/li&gt;&lt;li&gt;&lt;a href=|http://apostolic.interlinearbible.org/1_corinthians/2.htm| title=|Apostolic Bible Polyglot Interlinear| target=|_top|&gt;Polyglot&lt;/a&gt;</v>
      </c>
      <c r="X1064" t="str">
        <f t="shared" si="4252"/>
        <v>&lt;/li&gt;&lt;li&gt;&lt;a href=|http://interlinearbible.org/1_corinthians/2.htm| title=|Interlinear Bible| target=|_top|&gt;Interlin&lt;/a&gt;</v>
      </c>
      <c r="Y1064" t="str">
        <f t="shared" ref="Y1064" si="4253">CONCATENATE("&lt;/li&gt;&lt;li&gt;&lt;a href=|http://",Y1191,"/1_corinthians/2.htm","| ","title=|",Y1190,"| target=|_top|&gt;",Y1192,"&lt;/a&gt;")</f>
        <v>&lt;/li&gt;&lt;li&gt;&lt;a href=|http://bibleoutline.org/1_corinthians/2.htm| title=|Outline with People and Places List| target=|_top|&gt;Outline&lt;/a&gt;</v>
      </c>
      <c r="Z1064" t="str">
        <f t="shared" si="4252"/>
        <v>&lt;/li&gt;&lt;li&gt;&lt;a href=|http://kjvs.scripturetext.com/1_corinthians/2.htm| title=|King James Bible with Strong's Numbers| target=|_top|&gt;Strong's&lt;/a&gt;</v>
      </c>
      <c r="AA1064" t="str">
        <f t="shared" si="4252"/>
        <v>&lt;/li&gt;&lt;li&gt;&lt;a href=|http://childrensbibleonline.com/1_corinthians/2.htm| title=|The Children's Bible| target=|_top|&gt;Children's&lt;/a&gt;</v>
      </c>
      <c r="AB1064" s="2" t="str">
        <f t="shared" si="4252"/>
        <v>&lt;/li&gt;&lt;li&gt;&lt;a href=|http://tsk.scripturetext.com/1_corinthians/2.htm| title=|Treasury of Scripture Knowledge| target=|_top|&gt;TSK&lt;/a&gt;</v>
      </c>
      <c r="AC1064" t="str">
        <f>CONCATENATE("&lt;a href=|http://",AC1191,"/1_corinthians/2.htm","| ","title=|",AC1190,"| target=|_top|&gt;",AC1192,"&lt;/a&gt;")</f>
        <v>&lt;a href=|http://parallelbible.com/1_corinthians/2.htm| title=|Parallel Chapters| target=|_top|&gt;PAR&lt;/a&gt;</v>
      </c>
      <c r="AD1064" s="2" t="str">
        <f t="shared" ref="AD1064:AI1064" si="4254">CONCATENATE("&lt;/li&gt;&lt;li&gt;&lt;a href=|http://",AD1191,"/1_corinthians/2.htm","| ","title=|",AD1190,"| target=|_top|&gt;",AD1192,"&lt;/a&gt;")</f>
        <v>&lt;/li&gt;&lt;li&gt;&lt;a href=|http://gsb.biblecommenter.com/1_corinthians/2.htm| title=|Geneva Study Bible| target=|_top|&gt;GSB&lt;/a&gt;</v>
      </c>
      <c r="AE1064" s="2" t="str">
        <f t="shared" si="4254"/>
        <v>&lt;/li&gt;&lt;li&gt;&lt;a href=|http://jfb.biblecommenter.com/1_corinthians/2.htm| title=|Jamieson-Fausset-Brown Bible Commentary| target=|_top|&gt;JFB&lt;/a&gt;</v>
      </c>
      <c r="AF1064" s="2" t="str">
        <f t="shared" si="4254"/>
        <v>&lt;/li&gt;&lt;li&gt;&lt;a href=|http://kjt.biblecommenter.com/1_corinthians/2.htm| title=|King James Translators' Notes| target=|_top|&gt;KJT&lt;/a&gt;</v>
      </c>
      <c r="AG1064" s="2" t="str">
        <f t="shared" si="4254"/>
        <v>&lt;/li&gt;&lt;li&gt;&lt;a href=|http://mhc.biblecommenter.com/1_corinthians/2.htm| title=|Matthew Henry's Concise Commentary| target=|_top|&gt;MHC&lt;/a&gt;</v>
      </c>
      <c r="AH1064" s="2" t="str">
        <f t="shared" si="4254"/>
        <v>&lt;/li&gt;&lt;li&gt;&lt;a href=|http://sco.biblecommenter.com/1_corinthians/2.htm| title=|Scofield Reference Notes| target=|_top|&gt;SCO&lt;/a&gt;</v>
      </c>
      <c r="AI1064" s="2" t="str">
        <f t="shared" si="4254"/>
        <v>&lt;/li&gt;&lt;li&gt;&lt;a href=|http://wes.biblecommenter.com/1_corinthians/2.htm| title=|Wesley's Notes on the Bible| target=|_top|&gt;WES&lt;/a&gt;</v>
      </c>
      <c r="AJ1064" t="str">
        <f>CONCATENATE("&lt;/li&gt;&lt;li&gt;&lt;a href=|http://",AJ1191,"/1_corinthians/2.htm","| ","title=|",AJ1190,"| target=|_top|&gt;",AJ1192,"&lt;/a&gt;")</f>
        <v>&lt;/li&gt;&lt;li&gt;&lt;a href=|http://worldebible.com/1_corinthians/2.htm| title=|World English Bible| target=|_top|&gt;WEB&lt;/a&gt;</v>
      </c>
      <c r="AK1064" t="str">
        <f>CONCATENATE("&lt;/li&gt;&lt;li&gt;&lt;a href=|http://",AK1191,"/1_corinthians/2.htm","| ","title=|",AK1190,"| target=|_top|&gt;",AK1192,"&lt;/a&gt;")</f>
        <v>&lt;/li&gt;&lt;li&gt;&lt;a href=|http://yltbible.com/1_corinthians/2.htm| title=|Young's Literal Translation| target=|_top|&gt;YLT&lt;/a&gt;</v>
      </c>
      <c r="AL1064" t="str">
        <f>CONCATENATE("&lt;a href=|http://",AL1191,"/1_corinthians/2.htm","| ","title=|",AL1190,"| target=|_top|&gt;",AL1192,"&lt;/a&gt;")</f>
        <v>&lt;a href=|http://kjv.us/1_corinthians/2.htm| title=|American King James Version| target=|_top|&gt;AKJ&lt;/a&gt;</v>
      </c>
      <c r="AM1064" t="str">
        <f t="shared" ref="AM1064:AS1064" si="4255">CONCATENATE("&lt;/li&gt;&lt;li&gt;&lt;a href=|http://",AM1191,"/1_corinthians/2.htm","| ","title=|",AM1190,"| target=|_top|&gt;",AM1192,"&lt;/a&gt;")</f>
        <v>&lt;/li&gt;&lt;li&gt;&lt;a href=|http://basicenglishbible.com/1_corinthians/2.htm| title=|Bible in Basic English| target=|_top|&gt;BBE&lt;/a&gt;</v>
      </c>
      <c r="AN1064" t="str">
        <f t="shared" si="4255"/>
        <v>&lt;/li&gt;&lt;li&gt;&lt;a href=|http://darbybible.com/1_corinthians/2.htm| title=|Darby Bible Translation| target=|_top|&gt;DBY&lt;/a&gt;</v>
      </c>
      <c r="AO1064" t="str">
        <f t="shared" si="4255"/>
        <v>&lt;/li&gt;&lt;li&gt;&lt;a href=|http://isv.scripturetext.com/1_corinthians/2.htm| title=|International Standard Version| target=|_top|&gt;ISV&lt;/a&gt;</v>
      </c>
      <c r="AP1064" t="str">
        <f t="shared" si="4255"/>
        <v>&lt;/li&gt;&lt;li&gt;&lt;a href=|http://tnt.scripturetext.com/1_corinthians/2.htm| title=|Tyndale New Testament| target=|_top|&gt;TNT&lt;/a&gt;</v>
      </c>
      <c r="AQ1064" s="2" t="str">
        <f t="shared" si="4255"/>
        <v>&lt;/li&gt;&lt;li&gt;&lt;a href=|http://pnt.biblecommenter.com/1_corinthians/2.htm| title=|People's New Testament| target=|_top|&gt;PNT&lt;/a&gt;</v>
      </c>
      <c r="AR1064" t="str">
        <f t="shared" si="4255"/>
        <v>&lt;/li&gt;&lt;li&gt;&lt;a href=|http://websterbible.com/1_corinthians/2.htm| title=|Webster's Bible Translation| target=|_top|&gt;WBS&lt;/a&gt;</v>
      </c>
      <c r="AS1064" t="str">
        <f t="shared" si="4255"/>
        <v>&lt;/li&gt;&lt;li&gt;&lt;a href=|http://weymouthbible.com/1_corinthians/2.htm| title=|Weymouth New Testament| target=|_top|&gt;WEY&lt;/a&gt;</v>
      </c>
      <c r="AT1064" t="str">
        <f>CONCATENATE("&lt;/li&gt;&lt;li&gt;&lt;a href=|http://",AT1191,"/1_corinthians/2-1.htm","| ","title=|",AT1190,"| target=|_top|&gt;",AT1192,"&lt;/a&gt;")</f>
        <v>&lt;/li&gt;&lt;li&gt;&lt;a href=|http://biblebrowser.com/1_corinthians/2-1.htm| title=|Split View| target=|_top|&gt;Split&lt;/a&gt;</v>
      </c>
      <c r="AU1064" s="2" t="s">
        <v>1276</v>
      </c>
      <c r="AV1064" t="s">
        <v>64</v>
      </c>
    </row>
    <row r="1065" spans="1:48">
      <c r="A1065" t="s">
        <v>622</v>
      </c>
      <c r="B1065" t="s">
        <v>496</v>
      </c>
      <c r="C1065" t="s">
        <v>624</v>
      </c>
      <c r="D1065" t="s">
        <v>1268</v>
      </c>
      <c r="E1065" t="s">
        <v>1277</v>
      </c>
      <c r="F1065" t="s">
        <v>1304</v>
      </c>
      <c r="G1065" t="s">
        <v>1266</v>
      </c>
      <c r="H1065" t="s">
        <v>1305</v>
      </c>
      <c r="I1065" t="s">
        <v>1303</v>
      </c>
      <c r="J1065" t="s">
        <v>1267</v>
      </c>
      <c r="K1065" t="s">
        <v>1275</v>
      </c>
      <c r="L1065" s="2" t="s">
        <v>1274</v>
      </c>
      <c r="M1065" t="str">
        <f t="shared" ref="M1065:AB1065" si="4256">CONCATENATE("&lt;/li&gt;&lt;li&gt;&lt;a href=|http://",M1191,"/1_corinthians/3.htm","| ","title=|",M1190,"| target=|_top|&gt;",M1192,"&lt;/a&gt;")</f>
        <v>&lt;/li&gt;&lt;li&gt;&lt;a href=|http://niv.scripturetext.com/1_corinthians/3.htm| title=|New International Version| target=|_top|&gt;NIV&lt;/a&gt;</v>
      </c>
      <c r="N1065" t="str">
        <f t="shared" si="4256"/>
        <v>&lt;/li&gt;&lt;li&gt;&lt;a href=|http://nlt.scripturetext.com/1_corinthians/3.htm| title=|New Living Translation| target=|_top|&gt;NLT&lt;/a&gt;</v>
      </c>
      <c r="O1065" t="str">
        <f t="shared" si="4256"/>
        <v>&lt;/li&gt;&lt;li&gt;&lt;a href=|http://nasb.scripturetext.com/1_corinthians/3.htm| title=|New American Standard Bible| target=|_top|&gt;NAS&lt;/a&gt;</v>
      </c>
      <c r="P1065" t="str">
        <f t="shared" si="4256"/>
        <v>&lt;/li&gt;&lt;li&gt;&lt;a href=|http://gwt.scripturetext.com/1_corinthians/3.htm| title=|God's Word Translation| target=|_top|&gt;GWT&lt;/a&gt;</v>
      </c>
      <c r="Q1065" t="str">
        <f t="shared" si="4256"/>
        <v>&lt;/li&gt;&lt;li&gt;&lt;a href=|http://kingjbible.com/1_corinthians/3.htm| title=|King James Bible| target=|_top|&gt;KJV&lt;/a&gt;</v>
      </c>
      <c r="R1065" t="str">
        <f t="shared" si="4256"/>
        <v>&lt;/li&gt;&lt;li&gt;&lt;a href=|http://asvbible.com/1_corinthians/3.htm| title=|American Standard Version| target=|_top|&gt;ASV&lt;/a&gt;</v>
      </c>
      <c r="S1065" t="str">
        <f t="shared" si="4256"/>
        <v>&lt;/li&gt;&lt;li&gt;&lt;a href=|http://drb.scripturetext.com/1_corinthians/3.htm| title=|Douay-Rheims Bible| target=|_top|&gt;DRB&lt;/a&gt;</v>
      </c>
      <c r="T1065" t="str">
        <f t="shared" si="4256"/>
        <v>&lt;/li&gt;&lt;li&gt;&lt;a href=|http://erv.scripturetext.com/1_corinthians/3.htm| title=|English Revised Version| target=|_top|&gt;ERV&lt;/a&gt;</v>
      </c>
      <c r="U1065" t="str">
        <f>CONCATENATE("&lt;/li&gt;&lt;li&gt;&lt;a href=|http://",U1191,"/1_corinthians/3.htm","| ","title=|",U1190,"| target=|_top|&gt;",U1192,"&lt;/a&gt;")</f>
        <v>&lt;/li&gt;&lt;li&gt;&lt;a href=|http://study.interlinearbible.org/1_corinthians/3.htm| title=|Greek Study Bible| target=|_top|&gt;Grk Study&lt;/a&gt;</v>
      </c>
      <c r="W1065" t="str">
        <f t="shared" si="4256"/>
        <v>&lt;/li&gt;&lt;li&gt;&lt;a href=|http://apostolic.interlinearbible.org/1_corinthians/3.htm| title=|Apostolic Bible Polyglot Interlinear| target=|_top|&gt;Polyglot&lt;/a&gt;</v>
      </c>
      <c r="X1065" t="str">
        <f t="shared" si="4256"/>
        <v>&lt;/li&gt;&lt;li&gt;&lt;a href=|http://interlinearbible.org/1_corinthians/3.htm| title=|Interlinear Bible| target=|_top|&gt;Interlin&lt;/a&gt;</v>
      </c>
      <c r="Y1065" t="str">
        <f t="shared" ref="Y1065" si="4257">CONCATENATE("&lt;/li&gt;&lt;li&gt;&lt;a href=|http://",Y1191,"/1_corinthians/3.htm","| ","title=|",Y1190,"| target=|_top|&gt;",Y1192,"&lt;/a&gt;")</f>
        <v>&lt;/li&gt;&lt;li&gt;&lt;a href=|http://bibleoutline.org/1_corinthians/3.htm| title=|Outline with People and Places List| target=|_top|&gt;Outline&lt;/a&gt;</v>
      </c>
      <c r="Z1065" t="str">
        <f t="shared" si="4256"/>
        <v>&lt;/li&gt;&lt;li&gt;&lt;a href=|http://kjvs.scripturetext.com/1_corinthians/3.htm| title=|King James Bible with Strong's Numbers| target=|_top|&gt;Strong's&lt;/a&gt;</v>
      </c>
      <c r="AA1065" t="str">
        <f t="shared" si="4256"/>
        <v>&lt;/li&gt;&lt;li&gt;&lt;a href=|http://childrensbibleonline.com/1_corinthians/3.htm| title=|The Children's Bible| target=|_top|&gt;Children's&lt;/a&gt;</v>
      </c>
      <c r="AB1065" s="2" t="str">
        <f t="shared" si="4256"/>
        <v>&lt;/li&gt;&lt;li&gt;&lt;a href=|http://tsk.scripturetext.com/1_corinthians/3.htm| title=|Treasury of Scripture Knowledge| target=|_top|&gt;TSK&lt;/a&gt;</v>
      </c>
      <c r="AC1065" t="str">
        <f>CONCATENATE("&lt;a href=|http://",AC1191,"/1_corinthians/3.htm","| ","title=|",AC1190,"| target=|_top|&gt;",AC1192,"&lt;/a&gt;")</f>
        <v>&lt;a href=|http://parallelbible.com/1_corinthians/3.htm| title=|Parallel Chapters| target=|_top|&gt;PAR&lt;/a&gt;</v>
      </c>
      <c r="AD1065" s="2" t="str">
        <f t="shared" ref="AD1065:AI1065" si="4258">CONCATENATE("&lt;/li&gt;&lt;li&gt;&lt;a href=|http://",AD1191,"/1_corinthians/3.htm","| ","title=|",AD1190,"| target=|_top|&gt;",AD1192,"&lt;/a&gt;")</f>
        <v>&lt;/li&gt;&lt;li&gt;&lt;a href=|http://gsb.biblecommenter.com/1_corinthians/3.htm| title=|Geneva Study Bible| target=|_top|&gt;GSB&lt;/a&gt;</v>
      </c>
      <c r="AE1065" s="2" t="str">
        <f t="shared" si="4258"/>
        <v>&lt;/li&gt;&lt;li&gt;&lt;a href=|http://jfb.biblecommenter.com/1_corinthians/3.htm| title=|Jamieson-Fausset-Brown Bible Commentary| target=|_top|&gt;JFB&lt;/a&gt;</v>
      </c>
      <c r="AF1065" s="2" t="str">
        <f t="shared" si="4258"/>
        <v>&lt;/li&gt;&lt;li&gt;&lt;a href=|http://kjt.biblecommenter.com/1_corinthians/3.htm| title=|King James Translators' Notes| target=|_top|&gt;KJT&lt;/a&gt;</v>
      </c>
      <c r="AG1065" s="2" t="str">
        <f t="shared" si="4258"/>
        <v>&lt;/li&gt;&lt;li&gt;&lt;a href=|http://mhc.biblecommenter.com/1_corinthians/3.htm| title=|Matthew Henry's Concise Commentary| target=|_top|&gt;MHC&lt;/a&gt;</v>
      </c>
      <c r="AH1065" s="2" t="str">
        <f t="shared" si="4258"/>
        <v>&lt;/li&gt;&lt;li&gt;&lt;a href=|http://sco.biblecommenter.com/1_corinthians/3.htm| title=|Scofield Reference Notes| target=|_top|&gt;SCO&lt;/a&gt;</v>
      </c>
      <c r="AI1065" s="2" t="str">
        <f t="shared" si="4258"/>
        <v>&lt;/li&gt;&lt;li&gt;&lt;a href=|http://wes.biblecommenter.com/1_corinthians/3.htm| title=|Wesley's Notes on the Bible| target=|_top|&gt;WES&lt;/a&gt;</v>
      </c>
      <c r="AJ1065" t="str">
        <f>CONCATENATE("&lt;/li&gt;&lt;li&gt;&lt;a href=|http://",AJ1191,"/1_corinthians/3.htm","| ","title=|",AJ1190,"| target=|_top|&gt;",AJ1192,"&lt;/a&gt;")</f>
        <v>&lt;/li&gt;&lt;li&gt;&lt;a href=|http://worldebible.com/1_corinthians/3.htm| title=|World English Bible| target=|_top|&gt;WEB&lt;/a&gt;</v>
      </c>
      <c r="AK1065" t="str">
        <f>CONCATENATE("&lt;/li&gt;&lt;li&gt;&lt;a href=|http://",AK1191,"/1_corinthians/3.htm","| ","title=|",AK1190,"| target=|_top|&gt;",AK1192,"&lt;/a&gt;")</f>
        <v>&lt;/li&gt;&lt;li&gt;&lt;a href=|http://yltbible.com/1_corinthians/3.htm| title=|Young's Literal Translation| target=|_top|&gt;YLT&lt;/a&gt;</v>
      </c>
      <c r="AL1065" t="str">
        <f>CONCATENATE("&lt;a href=|http://",AL1191,"/1_corinthians/3.htm","| ","title=|",AL1190,"| target=|_top|&gt;",AL1192,"&lt;/a&gt;")</f>
        <v>&lt;a href=|http://kjv.us/1_corinthians/3.htm| title=|American King James Version| target=|_top|&gt;AKJ&lt;/a&gt;</v>
      </c>
      <c r="AM1065" t="str">
        <f t="shared" ref="AM1065:AS1065" si="4259">CONCATENATE("&lt;/li&gt;&lt;li&gt;&lt;a href=|http://",AM1191,"/1_corinthians/3.htm","| ","title=|",AM1190,"| target=|_top|&gt;",AM1192,"&lt;/a&gt;")</f>
        <v>&lt;/li&gt;&lt;li&gt;&lt;a href=|http://basicenglishbible.com/1_corinthians/3.htm| title=|Bible in Basic English| target=|_top|&gt;BBE&lt;/a&gt;</v>
      </c>
      <c r="AN1065" t="str">
        <f t="shared" si="4259"/>
        <v>&lt;/li&gt;&lt;li&gt;&lt;a href=|http://darbybible.com/1_corinthians/3.htm| title=|Darby Bible Translation| target=|_top|&gt;DBY&lt;/a&gt;</v>
      </c>
      <c r="AO1065" t="str">
        <f t="shared" si="4259"/>
        <v>&lt;/li&gt;&lt;li&gt;&lt;a href=|http://isv.scripturetext.com/1_corinthians/3.htm| title=|International Standard Version| target=|_top|&gt;ISV&lt;/a&gt;</v>
      </c>
      <c r="AP1065" t="str">
        <f t="shared" si="4259"/>
        <v>&lt;/li&gt;&lt;li&gt;&lt;a href=|http://tnt.scripturetext.com/1_corinthians/3.htm| title=|Tyndale New Testament| target=|_top|&gt;TNT&lt;/a&gt;</v>
      </c>
      <c r="AQ1065" s="2" t="str">
        <f t="shared" si="4259"/>
        <v>&lt;/li&gt;&lt;li&gt;&lt;a href=|http://pnt.biblecommenter.com/1_corinthians/3.htm| title=|People's New Testament| target=|_top|&gt;PNT&lt;/a&gt;</v>
      </c>
      <c r="AR1065" t="str">
        <f t="shared" si="4259"/>
        <v>&lt;/li&gt;&lt;li&gt;&lt;a href=|http://websterbible.com/1_corinthians/3.htm| title=|Webster's Bible Translation| target=|_top|&gt;WBS&lt;/a&gt;</v>
      </c>
      <c r="AS1065" t="str">
        <f t="shared" si="4259"/>
        <v>&lt;/li&gt;&lt;li&gt;&lt;a href=|http://weymouthbible.com/1_corinthians/3.htm| title=|Weymouth New Testament| target=|_top|&gt;WEY&lt;/a&gt;</v>
      </c>
      <c r="AT1065" t="str">
        <f>CONCATENATE("&lt;/li&gt;&lt;li&gt;&lt;a href=|http://",AT1191,"/1_corinthians/3-1.htm","| ","title=|",AT1190,"| target=|_top|&gt;",AT1192,"&lt;/a&gt;")</f>
        <v>&lt;/li&gt;&lt;li&gt;&lt;a href=|http://biblebrowser.com/1_corinthians/3-1.htm| title=|Split View| target=|_top|&gt;Split&lt;/a&gt;</v>
      </c>
      <c r="AU1065" s="2" t="s">
        <v>1276</v>
      </c>
      <c r="AV1065" t="s">
        <v>64</v>
      </c>
    </row>
    <row r="1066" spans="1:48">
      <c r="A1066" t="s">
        <v>622</v>
      </c>
      <c r="B1066" t="s">
        <v>497</v>
      </c>
      <c r="C1066" t="s">
        <v>624</v>
      </c>
      <c r="D1066" t="s">
        <v>1268</v>
      </c>
      <c r="E1066" t="s">
        <v>1277</v>
      </c>
      <c r="F1066" t="s">
        <v>1304</v>
      </c>
      <c r="G1066" t="s">
        <v>1266</v>
      </c>
      <c r="H1066" t="s">
        <v>1305</v>
      </c>
      <c r="I1066" t="s">
        <v>1303</v>
      </c>
      <c r="J1066" t="s">
        <v>1267</v>
      </c>
      <c r="K1066" t="s">
        <v>1275</v>
      </c>
      <c r="L1066" s="2" t="s">
        <v>1274</v>
      </c>
      <c r="M1066" t="str">
        <f t="shared" ref="M1066:AB1066" si="4260">CONCATENATE("&lt;/li&gt;&lt;li&gt;&lt;a href=|http://",M1191,"/1_corinthians/4.htm","| ","title=|",M1190,"| target=|_top|&gt;",M1192,"&lt;/a&gt;")</f>
        <v>&lt;/li&gt;&lt;li&gt;&lt;a href=|http://niv.scripturetext.com/1_corinthians/4.htm| title=|New International Version| target=|_top|&gt;NIV&lt;/a&gt;</v>
      </c>
      <c r="N1066" t="str">
        <f t="shared" si="4260"/>
        <v>&lt;/li&gt;&lt;li&gt;&lt;a href=|http://nlt.scripturetext.com/1_corinthians/4.htm| title=|New Living Translation| target=|_top|&gt;NLT&lt;/a&gt;</v>
      </c>
      <c r="O1066" t="str">
        <f t="shared" si="4260"/>
        <v>&lt;/li&gt;&lt;li&gt;&lt;a href=|http://nasb.scripturetext.com/1_corinthians/4.htm| title=|New American Standard Bible| target=|_top|&gt;NAS&lt;/a&gt;</v>
      </c>
      <c r="P1066" t="str">
        <f t="shared" si="4260"/>
        <v>&lt;/li&gt;&lt;li&gt;&lt;a href=|http://gwt.scripturetext.com/1_corinthians/4.htm| title=|God's Word Translation| target=|_top|&gt;GWT&lt;/a&gt;</v>
      </c>
      <c r="Q1066" t="str">
        <f t="shared" si="4260"/>
        <v>&lt;/li&gt;&lt;li&gt;&lt;a href=|http://kingjbible.com/1_corinthians/4.htm| title=|King James Bible| target=|_top|&gt;KJV&lt;/a&gt;</v>
      </c>
      <c r="R1066" t="str">
        <f t="shared" si="4260"/>
        <v>&lt;/li&gt;&lt;li&gt;&lt;a href=|http://asvbible.com/1_corinthians/4.htm| title=|American Standard Version| target=|_top|&gt;ASV&lt;/a&gt;</v>
      </c>
      <c r="S1066" t="str">
        <f t="shared" si="4260"/>
        <v>&lt;/li&gt;&lt;li&gt;&lt;a href=|http://drb.scripturetext.com/1_corinthians/4.htm| title=|Douay-Rheims Bible| target=|_top|&gt;DRB&lt;/a&gt;</v>
      </c>
      <c r="T1066" t="str">
        <f t="shared" si="4260"/>
        <v>&lt;/li&gt;&lt;li&gt;&lt;a href=|http://erv.scripturetext.com/1_corinthians/4.htm| title=|English Revised Version| target=|_top|&gt;ERV&lt;/a&gt;</v>
      </c>
      <c r="U1066" t="str">
        <f>CONCATENATE("&lt;/li&gt;&lt;li&gt;&lt;a href=|http://",U1191,"/1_corinthians/4.htm","| ","title=|",U1190,"| target=|_top|&gt;",U1192,"&lt;/a&gt;")</f>
        <v>&lt;/li&gt;&lt;li&gt;&lt;a href=|http://study.interlinearbible.org/1_corinthians/4.htm| title=|Greek Study Bible| target=|_top|&gt;Grk Study&lt;/a&gt;</v>
      </c>
      <c r="W1066" t="str">
        <f t="shared" si="4260"/>
        <v>&lt;/li&gt;&lt;li&gt;&lt;a href=|http://apostolic.interlinearbible.org/1_corinthians/4.htm| title=|Apostolic Bible Polyglot Interlinear| target=|_top|&gt;Polyglot&lt;/a&gt;</v>
      </c>
      <c r="X1066" t="str">
        <f t="shared" si="4260"/>
        <v>&lt;/li&gt;&lt;li&gt;&lt;a href=|http://interlinearbible.org/1_corinthians/4.htm| title=|Interlinear Bible| target=|_top|&gt;Interlin&lt;/a&gt;</v>
      </c>
      <c r="Y1066" t="str">
        <f t="shared" ref="Y1066" si="4261">CONCATENATE("&lt;/li&gt;&lt;li&gt;&lt;a href=|http://",Y1191,"/1_corinthians/4.htm","| ","title=|",Y1190,"| target=|_top|&gt;",Y1192,"&lt;/a&gt;")</f>
        <v>&lt;/li&gt;&lt;li&gt;&lt;a href=|http://bibleoutline.org/1_corinthians/4.htm| title=|Outline with People and Places List| target=|_top|&gt;Outline&lt;/a&gt;</v>
      </c>
      <c r="Z1066" t="str">
        <f t="shared" si="4260"/>
        <v>&lt;/li&gt;&lt;li&gt;&lt;a href=|http://kjvs.scripturetext.com/1_corinthians/4.htm| title=|King James Bible with Strong's Numbers| target=|_top|&gt;Strong's&lt;/a&gt;</v>
      </c>
      <c r="AA1066" t="str">
        <f t="shared" si="4260"/>
        <v>&lt;/li&gt;&lt;li&gt;&lt;a href=|http://childrensbibleonline.com/1_corinthians/4.htm| title=|The Children's Bible| target=|_top|&gt;Children's&lt;/a&gt;</v>
      </c>
      <c r="AB1066" s="2" t="str">
        <f t="shared" si="4260"/>
        <v>&lt;/li&gt;&lt;li&gt;&lt;a href=|http://tsk.scripturetext.com/1_corinthians/4.htm| title=|Treasury of Scripture Knowledge| target=|_top|&gt;TSK&lt;/a&gt;</v>
      </c>
      <c r="AC1066" t="str">
        <f>CONCATENATE("&lt;a href=|http://",AC1191,"/1_corinthians/4.htm","| ","title=|",AC1190,"| target=|_top|&gt;",AC1192,"&lt;/a&gt;")</f>
        <v>&lt;a href=|http://parallelbible.com/1_corinthians/4.htm| title=|Parallel Chapters| target=|_top|&gt;PAR&lt;/a&gt;</v>
      </c>
      <c r="AD1066" s="2" t="str">
        <f t="shared" ref="AD1066:AI1066" si="4262">CONCATENATE("&lt;/li&gt;&lt;li&gt;&lt;a href=|http://",AD1191,"/1_corinthians/4.htm","| ","title=|",AD1190,"| target=|_top|&gt;",AD1192,"&lt;/a&gt;")</f>
        <v>&lt;/li&gt;&lt;li&gt;&lt;a href=|http://gsb.biblecommenter.com/1_corinthians/4.htm| title=|Geneva Study Bible| target=|_top|&gt;GSB&lt;/a&gt;</v>
      </c>
      <c r="AE1066" s="2" t="str">
        <f t="shared" si="4262"/>
        <v>&lt;/li&gt;&lt;li&gt;&lt;a href=|http://jfb.biblecommenter.com/1_corinthians/4.htm| title=|Jamieson-Fausset-Brown Bible Commentary| target=|_top|&gt;JFB&lt;/a&gt;</v>
      </c>
      <c r="AF1066" s="2" t="str">
        <f t="shared" si="4262"/>
        <v>&lt;/li&gt;&lt;li&gt;&lt;a href=|http://kjt.biblecommenter.com/1_corinthians/4.htm| title=|King James Translators' Notes| target=|_top|&gt;KJT&lt;/a&gt;</v>
      </c>
      <c r="AG1066" s="2" t="str">
        <f t="shared" si="4262"/>
        <v>&lt;/li&gt;&lt;li&gt;&lt;a href=|http://mhc.biblecommenter.com/1_corinthians/4.htm| title=|Matthew Henry's Concise Commentary| target=|_top|&gt;MHC&lt;/a&gt;</v>
      </c>
      <c r="AH1066" s="2" t="str">
        <f t="shared" si="4262"/>
        <v>&lt;/li&gt;&lt;li&gt;&lt;a href=|http://sco.biblecommenter.com/1_corinthians/4.htm| title=|Scofield Reference Notes| target=|_top|&gt;SCO&lt;/a&gt;</v>
      </c>
      <c r="AI1066" s="2" t="str">
        <f t="shared" si="4262"/>
        <v>&lt;/li&gt;&lt;li&gt;&lt;a href=|http://wes.biblecommenter.com/1_corinthians/4.htm| title=|Wesley's Notes on the Bible| target=|_top|&gt;WES&lt;/a&gt;</v>
      </c>
      <c r="AJ1066" t="str">
        <f>CONCATENATE("&lt;/li&gt;&lt;li&gt;&lt;a href=|http://",AJ1191,"/1_corinthians/4.htm","| ","title=|",AJ1190,"| target=|_top|&gt;",AJ1192,"&lt;/a&gt;")</f>
        <v>&lt;/li&gt;&lt;li&gt;&lt;a href=|http://worldebible.com/1_corinthians/4.htm| title=|World English Bible| target=|_top|&gt;WEB&lt;/a&gt;</v>
      </c>
      <c r="AK1066" t="str">
        <f>CONCATENATE("&lt;/li&gt;&lt;li&gt;&lt;a href=|http://",AK1191,"/1_corinthians/4.htm","| ","title=|",AK1190,"| target=|_top|&gt;",AK1192,"&lt;/a&gt;")</f>
        <v>&lt;/li&gt;&lt;li&gt;&lt;a href=|http://yltbible.com/1_corinthians/4.htm| title=|Young's Literal Translation| target=|_top|&gt;YLT&lt;/a&gt;</v>
      </c>
      <c r="AL1066" t="str">
        <f>CONCATENATE("&lt;a href=|http://",AL1191,"/1_corinthians/4.htm","| ","title=|",AL1190,"| target=|_top|&gt;",AL1192,"&lt;/a&gt;")</f>
        <v>&lt;a href=|http://kjv.us/1_corinthians/4.htm| title=|American King James Version| target=|_top|&gt;AKJ&lt;/a&gt;</v>
      </c>
      <c r="AM1066" t="str">
        <f t="shared" ref="AM1066:AS1066" si="4263">CONCATENATE("&lt;/li&gt;&lt;li&gt;&lt;a href=|http://",AM1191,"/1_corinthians/4.htm","| ","title=|",AM1190,"| target=|_top|&gt;",AM1192,"&lt;/a&gt;")</f>
        <v>&lt;/li&gt;&lt;li&gt;&lt;a href=|http://basicenglishbible.com/1_corinthians/4.htm| title=|Bible in Basic English| target=|_top|&gt;BBE&lt;/a&gt;</v>
      </c>
      <c r="AN1066" t="str">
        <f t="shared" si="4263"/>
        <v>&lt;/li&gt;&lt;li&gt;&lt;a href=|http://darbybible.com/1_corinthians/4.htm| title=|Darby Bible Translation| target=|_top|&gt;DBY&lt;/a&gt;</v>
      </c>
      <c r="AO1066" t="str">
        <f t="shared" si="4263"/>
        <v>&lt;/li&gt;&lt;li&gt;&lt;a href=|http://isv.scripturetext.com/1_corinthians/4.htm| title=|International Standard Version| target=|_top|&gt;ISV&lt;/a&gt;</v>
      </c>
      <c r="AP1066" t="str">
        <f t="shared" si="4263"/>
        <v>&lt;/li&gt;&lt;li&gt;&lt;a href=|http://tnt.scripturetext.com/1_corinthians/4.htm| title=|Tyndale New Testament| target=|_top|&gt;TNT&lt;/a&gt;</v>
      </c>
      <c r="AQ1066" s="2" t="str">
        <f t="shared" si="4263"/>
        <v>&lt;/li&gt;&lt;li&gt;&lt;a href=|http://pnt.biblecommenter.com/1_corinthians/4.htm| title=|People's New Testament| target=|_top|&gt;PNT&lt;/a&gt;</v>
      </c>
      <c r="AR1066" t="str">
        <f t="shared" si="4263"/>
        <v>&lt;/li&gt;&lt;li&gt;&lt;a href=|http://websterbible.com/1_corinthians/4.htm| title=|Webster's Bible Translation| target=|_top|&gt;WBS&lt;/a&gt;</v>
      </c>
      <c r="AS1066" t="str">
        <f t="shared" si="4263"/>
        <v>&lt;/li&gt;&lt;li&gt;&lt;a href=|http://weymouthbible.com/1_corinthians/4.htm| title=|Weymouth New Testament| target=|_top|&gt;WEY&lt;/a&gt;</v>
      </c>
      <c r="AT1066" t="str">
        <f>CONCATENATE("&lt;/li&gt;&lt;li&gt;&lt;a href=|http://",AT1191,"/1_corinthians/4-1.htm","| ","title=|",AT1190,"| target=|_top|&gt;",AT1192,"&lt;/a&gt;")</f>
        <v>&lt;/li&gt;&lt;li&gt;&lt;a href=|http://biblebrowser.com/1_corinthians/4-1.htm| title=|Split View| target=|_top|&gt;Split&lt;/a&gt;</v>
      </c>
      <c r="AU1066" s="2" t="s">
        <v>1276</v>
      </c>
      <c r="AV1066" t="s">
        <v>64</v>
      </c>
    </row>
    <row r="1067" spans="1:48">
      <c r="A1067" t="s">
        <v>622</v>
      </c>
      <c r="B1067" t="s">
        <v>498</v>
      </c>
      <c r="C1067" t="s">
        <v>624</v>
      </c>
      <c r="D1067" t="s">
        <v>1268</v>
      </c>
      <c r="E1067" t="s">
        <v>1277</v>
      </c>
      <c r="F1067" t="s">
        <v>1304</v>
      </c>
      <c r="G1067" t="s">
        <v>1266</v>
      </c>
      <c r="H1067" t="s">
        <v>1305</v>
      </c>
      <c r="I1067" t="s">
        <v>1303</v>
      </c>
      <c r="J1067" t="s">
        <v>1267</v>
      </c>
      <c r="K1067" t="s">
        <v>1275</v>
      </c>
      <c r="L1067" s="2" t="s">
        <v>1274</v>
      </c>
      <c r="M1067" t="str">
        <f t="shared" ref="M1067:AB1067" si="4264">CONCATENATE("&lt;/li&gt;&lt;li&gt;&lt;a href=|http://",M1191,"/1_corinthians/5.htm","| ","title=|",M1190,"| target=|_top|&gt;",M1192,"&lt;/a&gt;")</f>
        <v>&lt;/li&gt;&lt;li&gt;&lt;a href=|http://niv.scripturetext.com/1_corinthians/5.htm| title=|New International Version| target=|_top|&gt;NIV&lt;/a&gt;</v>
      </c>
      <c r="N1067" t="str">
        <f t="shared" si="4264"/>
        <v>&lt;/li&gt;&lt;li&gt;&lt;a href=|http://nlt.scripturetext.com/1_corinthians/5.htm| title=|New Living Translation| target=|_top|&gt;NLT&lt;/a&gt;</v>
      </c>
      <c r="O1067" t="str">
        <f t="shared" si="4264"/>
        <v>&lt;/li&gt;&lt;li&gt;&lt;a href=|http://nasb.scripturetext.com/1_corinthians/5.htm| title=|New American Standard Bible| target=|_top|&gt;NAS&lt;/a&gt;</v>
      </c>
      <c r="P1067" t="str">
        <f t="shared" si="4264"/>
        <v>&lt;/li&gt;&lt;li&gt;&lt;a href=|http://gwt.scripturetext.com/1_corinthians/5.htm| title=|God's Word Translation| target=|_top|&gt;GWT&lt;/a&gt;</v>
      </c>
      <c r="Q1067" t="str">
        <f t="shared" si="4264"/>
        <v>&lt;/li&gt;&lt;li&gt;&lt;a href=|http://kingjbible.com/1_corinthians/5.htm| title=|King James Bible| target=|_top|&gt;KJV&lt;/a&gt;</v>
      </c>
      <c r="R1067" t="str">
        <f t="shared" si="4264"/>
        <v>&lt;/li&gt;&lt;li&gt;&lt;a href=|http://asvbible.com/1_corinthians/5.htm| title=|American Standard Version| target=|_top|&gt;ASV&lt;/a&gt;</v>
      </c>
      <c r="S1067" t="str">
        <f t="shared" si="4264"/>
        <v>&lt;/li&gt;&lt;li&gt;&lt;a href=|http://drb.scripturetext.com/1_corinthians/5.htm| title=|Douay-Rheims Bible| target=|_top|&gt;DRB&lt;/a&gt;</v>
      </c>
      <c r="T1067" t="str">
        <f t="shared" si="4264"/>
        <v>&lt;/li&gt;&lt;li&gt;&lt;a href=|http://erv.scripturetext.com/1_corinthians/5.htm| title=|English Revised Version| target=|_top|&gt;ERV&lt;/a&gt;</v>
      </c>
      <c r="U1067" t="str">
        <f>CONCATENATE("&lt;/li&gt;&lt;li&gt;&lt;a href=|http://",U1191,"/1_corinthians/5.htm","| ","title=|",U1190,"| target=|_top|&gt;",U1192,"&lt;/a&gt;")</f>
        <v>&lt;/li&gt;&lt;li&gt;&lt;a href=|http://study.interlinearbible.org/1_corinthians/5.htm| title=|Greek Study Bible| target=|_top|&gt;Grk Study&lt;/a&gt;</v>
      </c>
      <c r="W1067" t="str">
        <f t="shared" si="4264"/>
        <v>&lt;/li&gt;&lt;li&gt;&lt;a href=|http://apostolic.interlinearbible.org/1_corinthians/5.htm| title=|Apostolic Bible Polyglot Interlinear| target=|_top|&gt;Polyglot&lt;/a&gt;</v>
      </c>
      <c r="X1067" t="str">
        <f t="shared" si="4264"/>
        <v>&lt;/li&gt;&lt;li&gt;&lt;a href=|http://interlinearbible.org/1_corinthians/5.htm| title=|Interlinear Bible| target=|_top|&gt;Interlin&lt;/a&gt;</v>
      </c>
      <c r="Y1067" t="str">
        <f t="shared" ref="Y1067" si="4265">CONCATENATE("&lt;/li&gt;&lt;li&gt;&lt;a href=|http://",Y1191,"/1_corinthians/5.htm","| ","title=|",Y1190,"| target=|_top|&gt;",Y1192,"&lt;/a&gt;")</f>
        <v>&lt;/li&gt;&lt;li&gt;&lt;a href=|http://bibleoutline.org/1_corinthians/5.htm| title=|Outline with People and Places List| target=|_top|&gt;Outline&lt;/a&gt;</v>
      </c>
      <c r="Z1067" t="str">
        <f t="shared" si="4264"/>
        <v>&lt;/li&gt;&lt;li&gt;&lt;a href=|http://kjvs.scripturetext.com/1_corinthians/5.htm| title=|King James Bible with Strong's Numbers| target=|_top|&gt;Strong's&lt;/a&gt;</v>
      </c>
      <c r="AA1067" t="str">
        <f t="shared" si="4264"/>
        <v>&lt;/li&gt;&lt;li&gt;&lt;a href=|http://childrensbibleonline.com/1_corinthians/5.htm| title=|The Children's Bible| target=|_top|&gt;Children's&lt;/a&gt;</v>
      </c>
      <c r="AB1067" s="2" t="str">
        <f t="shared" si="4264"/>
        <v>&lt;/li&gt;&lt;li&gt;&lt;a href=|http://tsk.scripturetext.com/1_corinthians/5.htm| title=|Treasury of Scripture Knowledge| target=|_top|&gt;TSK&lt;/a&gt;</v>
      </c>
      <c r="AC1067" t="str">
        <f>CONCATENATE("&lt;a href=|http://",AC1191,"/1_corinthians/5.htm","| ","title=|",AC1190,"| target=|_top|&gt;",AC1192,"&lt;/a&gt;")</f>
        <v>&lt;a href=|http://parallelbible.com/1_corinthians/5.htm| title=|Parallel Chapters| target=|_top|&gt;PAR&lt;/a&gt;</v>
      </c>
      <c r="AD1067" s="2" t="str">
        <f t="shared" ref="AD1067:AI1067" si="4266">CONCATENATE("&lt;/li&gt;&lt;li&gt;&lt;a href=|http://",AD1191,"/1_corinthians/5.htm","| ","title=|",AD1190,"| target=|_top|&gt;",AD1192,"&lt;/a&gt;")</f>
        <v>&lt;/li&gt;&lt;li&gt;&lt;a href=|http://gsb.biblecommenter.com/1_corinthians/5.htm| title=|Geneva Study Bible| target=|_top|&gt;GSB&lt;/a&gt;</v>
      </c>
      <c r="AE1067" s="2" t="str">
        <f t="shared" si="4266"/>
        <v>&lt;/li&gt;&lt;li&gt;&lt;a href=|http://jfb.biblecommenter.com/1_corinthians/5.htm| title=|Jamieson-Fausset-Brown Bible Commentary| target=|_top|&gt;JFB&lt;/a&gt;</v>
      </c>
      <c r="AF1067" s="2" t="str">
        <f t="shared" si="4266"/>
        <v>&lt;/li&gt;&lt;li&gt;&lt;a href=|http://kjt.biblecommenter.com/1_corinthians/5.htm| title=|King James Translators' Notes| target=|_top|&gt;KJT&lt;/a&gt;</v>
      </c>
      <c r="AG1067" s="2" t="str">
        <f t="shared" si="4266"/>
        <v>&lt;/li&gt;&lt;li&gt;&lt;a href=|http://mhc.biblecommenter.com/1_corinthians/5.htm| title=|Matthew Henry's Concise Commentary| target=|_top|&gt;MHC&lt;/a&gt;</v>
      </c>
      <c r="AH1067" s="2" t="str">
        <f t="shared" si="4266"/>
        <v>&lt;/li&gt;&lt;li&gt;&lt;a href=|http://sco.biblecommenter.com/1_corinthians/5.htm| title=|Scofield Reference Notes| target=|_top|&gt;SCO&lt;/a&gt;</v>
      </c>
      <c r="AI1067" s="2" t="str">
        <f t="shared" si="4266"/>
        <v>&lt;/li&gt;&lt;li&gt;&lt;a href=|http://wes.biblecommenter.com/1_corinthians/5.htm| title=|Wesley's Notes on the Bible| target=|_top|&gt;WES&lt;/a&gt;</v>
      </c>
      <c r="AJ1067" t="str">
        <f>CONCATENATE("&lt;/li&gt;&lt;li&gt;&lt;a href=|http://",AJ1191,"/1_corinthians/5.htm","| ","title=|",AJ1190,"| target=|_top|&gt;",AJ1192,"&lt;/a&gt;")</f>
        <v>&lt;/li&gt;&lt;li&gt;&lt;a href=|http://worldebible.com/1_corinthians/5.htm| title=|World English Bible| target=|_top|&gt;WEB&lt;/a&gt;</v>
      </c>
      <c r="AK1067" t="str">
        <f>CONCATENATE("&lt;/li&gt;&lt;li&gt;&lt;a href=|http://",AK1191,"/1_corinthians/5.htm","| ","title=|",AK1190,"| target=|_top|&gt;",AK1192,"&lt;/a&gt;")</f>
        <v>&lt;/li&gt;&lt;li&gt;&lt;a href=|http://yltbible.com/1_corinthians/5.htm| title=|Young's Literal Translation| target=|_top|&gt;YLT&lt;/a&gt;</v>
      </c>
      <c r="AL1067" t="str">
        <f>CONCATENATE("&lt;a href=|http://",AL1191,"/1_corinthians/5.htm","| ","title=|",AL1190,"| target=|_top|&gt;",AL1192,"&lt;/a&gt;")</f>
        <v>&lt;a href=|http://kjv.us/1_corinthians/5.htm| title=|American King James Version| target=|_top|&gt;AKJ&lt;/a&gt;</v>
      </c>
      <c r="AM1067" t="str">
        <f t="shared" ref="AM1067:AS1067" si="4267">CONCATENATE("&lt;/li&gt;&lt;li&gt;&lt;a href=|http://",AM1191,"/1_corinthians/5.htm","| ","title=|",AM1190,"| target=|_top|&gt;",AM1192,"&lt;/a&gt;")</f>
        <v>&lt;/li&gt;&lt;li&gt;&lt;a href=|http://basicenglishbible.com/1_corinthians/5.htm| title=|Bible in Basic English| target=|_top|&gt;BBE&lt;/a&gt;</v>
      </c>
      <c r="AN1067" t="str">
        <f t="shared" si="4267"/>
        <v>&lt;/li&gt;&lt;li&gt;&lt;a href=|http://darbybible.com/1_corinthians/5.htm| title=|Darby Bible Translation| target=|_top|&gt;DBY&lt;/a&gt;</v>
      </c>
      <c r="AO1067" t="str">
        <f t="shared" si="4267"/>
        <v>&lt;/li&gt;&lt;li&gt;&lt;a href=|http://isv.scripturetext.com/1_corinthians/5.htm| title=|International Standard Version| target=|_top|&gt;ISV&lt;/a&gt;</v>
      </c>
      <c r="AP1067" t="str">
        <f t="shared" si="4267"/>
        <v>&lt;/li&gt;&lt;li&gt;&lt;a href=|http://tnt.scripturetext.com/1_corinthians/5.htm| title=|Tyndale New Testament| target=|_top|&gt;TNT&lt;/a&gt;</v>
      </c>
      <c r="AQ1067" s="2" t="str">
        <f t="shared" si="4267"/>
        <v>&lt;/li&gt;&lt;li&gt;&lt;a href=|http://pnt.biblecommenter.com/1_corinthians/5.htm| title=|People's New Testament| target=|_top|&gt;PNT&lt;/a&gt;</v>
      </c>
      <c r="AR1067" t="str">
        <f t="shared" si="4267"/>
        <v>&lt;/li&gt;&lt;li&gt;&lt;a href=|http://websterbible.com/1_corinthians/5.htm| title=|Webster's Bible Translation| target=|_top|&gt;WBS&lt;/a&gt;</v>
      </c>
      <c r="AS1067" t="str">
        <f t="shared" si="4267"/>
        <v>&lt;/li&gt;&lt;li&gt;&lt;a href=|http://weymouthbible.com/1_corinthians/5.htm| title=|Weymouth New Testament| target=|_top|&gt;WEY&lt;/a&gt;</v>
      </c>
      <c r="AT1067" t="str">
        <f>CONCATENATE("&lt;/li&gt;&lt;li&gt;&lt;a href=|http://",AT1191,"/1_corinthians/5-1.htm","| ","title=|",AT1190,"| target=|_top|&gt;",AT1192,"&lt;/a&gt;")</f>
        <v>&lt;/li&gt;&lt;li&gt;&lt;a href=|http://biblebrowser.com/1_corinthians/5-1.htm| title=|Split View| target=|_top|&gt;Split&lt;/a&gt;</v>
      </c>
      <c r="AU1067" s="2" t="s">
        <v>1276</v>
      </c>
      <c r="AV1067" t="s">
        <v>64</v>
      </c>
    </row>
    <row r="1068" spans="1:48">
      <c r="A1068" t="s">
        <v>622</v>
      </c>
      <c r="B1068" t="s">
        <v>499</v>
      </c>
      <c r="C1068" t="s">
        <v>624</v>
      </c>
      <c r="D1068" t="s">
        <v>1268</v>
      </c>
      <c r="E1068" t="s">
        <v>1277</v>
      </c>
      <c r="F1068" t="s">
        <v>1304</v>
      </c>
      <c r="G1068" t="s">
        <v>1266</v>
      </c>
      <c r="H1068" t="s">
        <v>1305</v>
      </c>
      <c r="I1068" t="s">
        <v>1303</v>
      </c>
      <c r="J1068" t="s">
        <v>1267</v>
      </c>
      <c r="K1068" t="s">
        <v>1275</v>
      </c>
      <c r="L1068" s="2" t="s">
        <v>1274</v>
      </c>
      <c r="M1068" t="str">
        <f t="shared" ref="M1068:AB1068" si="4268">CONCATENATE("&lt;/li&gt;&lt;li&gt;&lt;a href=|http://",M1191,"/1_corinthians/6.htm","| ","title=|",M1190,"| target=|_top|&gt;",M1192,"&lt;/a&gt;")</f>
        <v>&lt;/li&gt;&lt;li&gt;&lt;a href=|http://niv.scripturetext.com/1_corinthians/6.htm| title=|New International Version| target=|_top|&gt;NIV&lt;/a&gt;</v>
      </c>
      <c r="N1068" t="str">
        <f t="shared" si="4268"/>
        <v>&lt;/li&gt;&lt;li&gt;&lt;a href=|http://nlt.scripturetext.com/1_corinthians/6.htm| title=|New Living Translation| target=|_top|&gt;NLT&lt;/a&gt;</v>
      </c>
      <c r="O1068" t="str">
        <f t="shared" si="4268"/>
        <v>&lt;/li&gt;&lt;li&gt;&lt;a href=|http://nasb.scripturetext.com/1_corinthians/6.htm| title=|New American Standard Bible| target=|_top|&gt;NAS&lt;/a&gt;</v>
      </c>
      <c r="P1068" t="str">
        <f t="shared" si="4268"/>
        <v>&lt;/li&gt;&lt;li&gt;&lt;a href=|http://gwt.scripturetext.com/1_corinthians/6.htm| title=|God's Word Translation| target=|_top|&gt;GWT&lt;/a&gt;</v>
      </c>
      <c r="Q1068" t="str">
        <f t="shared" si="4268"/>
        <v>&lt;/li&gt;&lt;li&gt;&lt;a href=|http://kingjbible.com/1_corinthians/6.htm| title=|King James Bible| target=|_top|&gt;KJV&lt;/a&gt;</v>
      </c>
      <c r="R1068" t="str">
        <f t="shared" si="4268"/>
        <v>&lt;/li&gt;&lt;li&gt;&lt;a href=|http://asvbible.com/1_corinthians/6.htm| title=|American Standard Version| target=|_top|&gt;ASV&lt;/a&gt;</v>
      </c>
      <c r="S1068" t="str">
        <f t="shared" si="4268"/>
        <v>&lt;/li&gt;&lt;li&gt;&lt;a href=|http://drb.scripturetext.com/1_corinthians/6.htm| title=|Douay-Rheims Bible| target=|_top|&gt;DRB&lt;/a&gt;</v>
      </c>
      <c r="T1068" t="str">
        <f t="shared" si="4268"/>
        <v>&lt;/li&gt;&lt;li&gt;&lt;a href=|http://erv.scripturetext.com/1_corinthians/6.htm| title=|English Revised Version| target=|_top|&gt;ERV&lt;/a&gt;</v>
      </c>
      <c r="U1068" t="str">
        <f>CONCATENATE("&lt;/li&gt;&lt;li&gt;&lt;a href=|http://",U1191,"/1_corinthians/6.htm","| ","title=|",U1190,"| target=|_top|&gt;",U1192,"&lt;/a&gt;")</f>
        <v>&lt;/li&gt;&lt;li&gt;&lt;a href=|http://study.interlinearbible.org/1_corinthians/6.htm| title=|Greek Study Bible| target=|_top|&gt;Grk Study&lt;/a&gt;</v>
      </c>
      <c r="W1068" t="str">
        <f t="shared" si="4268"/>
        <v>&lt;/li&gt;&lt;li&gt;&lt;a href=|http://apostolic.interlinearbible.org/1_corinthians/6.htm| title=|Apostolic Bible Polyglot Interlinear| target=|_top|&gt;Polyglot&lt;/a&gt;</v>
      </c>
      <c r="X1068" t="str">
        <f t="shared" si="4268"/>
        <v>&lt;/li&gt;&lt;li&gt;&lt;a href=|http://interlinearbible.org/1_corinthians/6.htm| title=|Interlinear Bible| target=|_top|&gt;Interlin&lt;/a&gt;</v>
      </c>
      <c r="Y1068" t="str">
        <f t="shared" ref="Y1068" si="4269">CONCATENATE("&lt;/li&gt;&lt;li&gt;&lt;a href=|http://",Y1191,"/1_corinthians/6.htm","| ","title=|",Y1190,"| target=|_top|&gt;",Y1192,"&lt;/a&gt;")</f>
        <v>&lt;/li&gt;&lt;li&gt;&lt;a href=|http://bibleoutline.org/1_corinthians/6.htm| title=|Outline with People and Places List| target=|_top|&gt;Outline&lt;/a&gt;</v>
      </c>
      <c r="Z1068" t="str">
        <f t="shared" si="4268"/>
        <v>&lt;/li&gt;&lt;li&gt;&lt;a href=|http://kjvs.scripturetext.com/1_corinthians/6.htm| title=|King James Bible with Strong's Numbers| target=|_top|&gt;Strong's&lt;/a&gt;</v>
      </c>
      <c r="AA1068" t="str">
        <f t="shared" si="4268"/>
        <v>&lt;/li&gt;&lt;li&gt;&lt;a href=|http://childrensbibleonline.com/1_corinthians/6.htm| title=|The Children's Bible| target=|_top|&gt;Children's&lt;/a&gt;</v>
      </c>
      <c r="AB1068" s="2" t="str">
        <f t="shared" si="4268"/>
        <v>&lt;/li&gt;&lt;li&gt;&lt;a href=|http://tsk.scripturetext.com/1_corinthians/6.htm| title=|Treasury of Scripture Knowledge| target=|_top|&gt;TSK&lt;/a&gt;</v>
      </c>
      <c r="AC1068" t="str">
        <f>CONCATENATE("&lt;a href=|http://",AC1191,"/1_corinthians/6.htm","| ","title=|",AC1190,"| target=|_top|&gt;",AC1192,"&lt;/a&gt;")</f>
        <v>&lt;a href=|http://parallelbible.com/1_corinthians/6.htm| title=|Parallel Chapters| target=|_top|&gt;PAR&lt;/a&gt;</v>
      </c>
      <c r="AD1068" s="2" t="str">
        <f t="shared" ref="AD1068:AI1068" si="4270">CONCATENATE("&lt;/li&gt;&lt;li&gt;&lt;a href=|http://",AD1191,"/1_corinthians/6.htm","| ","title=|",AD1190,"| target=|_top|&gt;",AD1192,"&lt;/a&gt;")</f>
        <v>&lt;/li&gt;&lt;li&gt;&lt;a href=|http://gsb.biblecommenter.com/1_corinthians/6.htm| title=|Geneva Study Bible| target=|_top|&gt;GSB&lt;/a&gt;</v>
      </c>
      <c r="AE1068" s="2" t="str">
        <f t="shared" si="4270"/>
        <v>&lt;/li&gt;&lt;li&gt;&lt;a href=|http://jfb.biblecommenter.com/1_corinthians/6.htm| title=|Jamieson-Fausset-Brown Bible Commentary| target=|_top|&gt;JFB&lt;/a&gt;</v>
      </c>
      <c r="AF1068" s="2" t="str">
        <f t="shared" si="4270"/>
        <v>&lt;/li&gt;&lt;li&gt;&lt;a href=|http://kjt.biblecommenter.com/1_corinthians/6.htm| title=|King James Translators' Notes| target=|_top|&gt;KJT&lt;/a&gt;</v>
      </c>
      <c r="AG1068" s="2" t="str">
        <f t="shared" si="4270"/>
        <v>&lt;/li&gt;&lt;li&gt;&lt;a href=|http://mhc.biblecommenter.com/1_corinthians/6.htm| title=|Matthew Henry's Concise Commentary| target=|_top|&gt;MHC&lt;/a&gt;</v>
      </c>
      <c r="AH1068" s="2" t="str">
        <f t="shared" si="4270"/>
        <v>&lt;/li&gt;&lt;li&gt;&lt;a href=|http://sco.biblecommenter.com/1_corinthians/6.htm| title=|Scofield Reference Notes| target=|_top|&gt;SCO&lt;/a&gt;</v>
      </c>
      <c r="AI1068" s="2" t="str">
        <f t="shared" si="4270"/>
        <v>&lt;/li&gt;&lt;li&gt;&lt;a href=|http://wes.biblecommenter.com/1_corinthians/6.htm| title=|Wesley's Notes on the Bible| target=|_top|&gt;WES&lt;/a&gt;</v>
      </c>
      <c r="AJ1068" t="str">
        <f>CONCATENATE("&lt;/li&gt;&lt;li&gt;&lt;a href=|http://",AJ1191,"/1_corinthians/6.htm","| ","title=|",AJ1190,"| target=|_top|&gt;",AJ1192,"&lt;/a&gt;")</f>
        <v>&lt;/li&gt;&lt;li&gt;&lt;a href=|http://worldebible.com/1_corinthians/6.htm| title=|World English Bible| target=|_top|&gt;WEB&lt;/a&gt;</v>
      </c>
      <c r="AK1068" t="str">
        <f>CONCATENATE("&lt;/li&gt;&lt;li&gt;&lt;a href=|http://",AK1191,"/1_corinthians/6.htm","| ","title=|",AK1190,"| target=|_top|&gt;",AK1192,"&lt;/a&gt;")</f>
        <v>&lt;/li&gt;&lt;li&gt;&lt;a href=|http://yltbible.com/1_corinthians/6.htm| title=|Young's Literal Translation| target=|_top|&gt;YLT&lt;/a&gt;</v>
      </c>
      <c r="AL1068" t="str">
        <f>CONCATENATE("&lt;a href=|http://",AL1191,"/1_corinthians/6.htm","| ","title=|",AL1190,"| target=|_top|&gt;",AL1192,"&lt;/a&gt;")</f>
        <v>&lt;a href=|http://kjv.us/1_corinthians/6.htm| title=|American King James Version| target=|_top|&gt;AKJ&lt;/a&gt;</v>
      </c>
      <c r="AM1068" t="str">
        <f t="shared" ref="AM1068:AS1068" si="4271">CONCATENATE("&lt;/li&gt;&lt;li&gt;&lt;a href=|http://",AM1191,"/1_corinthians/6.htm","| ","title=|",AM1190,"| target=|_top|&gt;",AM1192,"&lt;/a&gt;")</f>
        <v>&lt;/li&gt;&lt;li&gt;&lt;a href=|http://basicenglishbible.com/1_corinthians/6.htm| title=|Bible in Basic English| target=|_top|&gt;BBE&lt;/a&gt;</v>
      </c>
      <c r="AN1068" t="str">
        <f t="shared" si="4271"/>
        <v>&lt;/li&gt;&lt;li&gt;&lt;a href=|http://darbybible.com/1_corinthians/6.htm| title=|Darby Bible Translation| target=|_top|&gt;DBY&lt;/a&gt;</v>
      </c>
      <c r="AO1068" t="str">
        <f t="shared" si="4271"/>
        <v>&lt;/li&gt;&lt;li&gt;&lt;a href=|http://isv.scripturetext.com/1_corinthians/6.htm| title=|International Standard Version| target=|_top|&gt;ISV&lt;/a&gt;</v>
      </c>
      <c r="AP1068" t="str">
        <f t="shared" si="4271"/>
        <v>&lt;/li&gt;&lt;li&gt;&lt;a href=|http://tnt.scripturetext.com/1_corinthians/6.htm| title=|Tyndale New Testament| target=|_top|&gt;TNT&lt;/a&gt;</v>
      </c>
      <c r="AQ1068" s="2" t="str">
        <f t="shared" si="4271"/>
        <v>&lt;/li&gt;&lt;li&gt;&lt;a href=|http://pnt.biblecommenter.com/1_corinthians/6.htm| title=|People's New Testament| target=|_top|&gt;PNT&lt;/a&gt;</v>
      </c>
      <c r="AR1068" t="str">
        <f t="shared" si="4271"/>
        <v>&lt;/li&gt;&lt;li&gt;&lt;a href=|http://websterbible.com/1_corinthians/6.htm| title=|Webster's Bible Translation| target=|_top|&gt;WBS&lt;/a&gt;</v>
      </c>
      <c r="AS1068" t="str">
        <f t="shared" si="4271"/>
        <v>&lt;/li&gt;&lt;li&gt;&lt;a href=|http://weymouthbible.com/1_corinthians/6.htm| title=|Weymouth New Testament| target=|_top|&gt;WEY&lt;/a&gt;</v>
      </c>
      <c r="AT1068" t="str">
        <f>CONCATENATE("&lt;/li&gt;&lt;li&gt;&lt;a href=|http://",AT1191,"/1_corinthians/6-1.htm","| ","title=|",AT1190,"| target=|_top|&gt;",AT1192,"&lt;/a&gt;")</f>
        <v>&lt;/li&gt;&lt;li&gt;&lt;a href=|http://biblebrowser.com/1_corinthians/6-1.htm| title=|Split View| target=|_top|&gt;Split&lt;/a&gt;</v>
      </c>
      <c r="AU1068" s="2" t="s">
        <v>1276</v>
      </c>
      <c r="AV1068" t="s">
        <v>64</v>
      </c>
    </row>
    <row r="1069" spans="1:48">
      <c r="A1069" t="s">
        <v>622</v>
      </c>
      <c r="B1069" t="s">
        <v>500</v>
      </c>
      <c r="C1069" t="s">
        <v>624</v>
      </c>
      <c r="D1069" t="s">
        <v>1268</v>
      </c>
      <c r="E1069" t="s">
        <v>1277</v>
      </c>
      <c r="F1069" t="s">
        <v>1304</v>
      </c>
      <c r="G1069" t="s">
        <v>1266</v>
      </c>
      <c r="H1069" t="s">
        <v>1305</v>
      </c>
      <c r="I1069" t="s">
        <v>1303</v>
      </c>
      <c r="J1069" t="s">
        <v>1267</v>
      </c>
      <c r="K1069" t="s">
        <v>1275</v>
      </c>
      <c r="L1069" s="2" t="s">
        <v>1274</v>
      </c>
      <c r="M1069" t="str">
        <f t="shared" ref="M1069:AB1069" si="4272">CONCATENATE("&lt;/li&gt;&lt;li&gt;&lt;a href=|http://",M1191,"/1_corinthians/7.htm","| ","title=|",M1190,"| target=|_top|&gt;",M1192,"&lt;/a&gt;")</f>
        <v>&lt;/li&gt;&lt;li&gt;&lt;a href=|http://niv.scripturetext.com/1_corinthians/7.htm| title=|New International Version| target=|_top|&gt;NIV&lt;/a&gt;</v>
      </c>
      <c r="N1069" t="str">
        <f t="shared" si="4272"/>
        <v>&lt;/li&gt;&lt;li&gt;&lt;a href=|http://nlt.scripturetext.com/1_corinthians/7.htm| title=|New Living Translation| target=|_top|&gt;NLT&lt;/a&gt;</v>
      </c>
      <c r="O1069" t="str">
        <f t="shared" si="4272"/>
        <v>&lt;/li&gt;&lt;li&gt;&lt;a href=|http://nasb.scripturetext.com/1_corinthians/7.htm| title=|New American Standard Bible| target=|_top|&gt;NAS&lt;/a&gt;</v>
      </c>
      <c r="P1069" t="str">
        <f t="shared" si="4272"/>
        <v>&lt;/li&gt;&lt;li&gt;&lt;a href=|http://gwt.scripturetext.com/1_corinthians/7.htm| title=|God's Word Translation| target=|_top|&gt;GWT&lt;/a&gt;</v>
      </c>
      <c r="Q1069" t="str">
        <f t="shared" si="4272"/>
        <v>&lt;/li&gt;&lt;li&gt;&lt;a href=|http://kingjbible.com/1_corinthians/7.htm| title=|King James Bible| target=|_top|&gt;KJV&lt;/a&gt;</v>
      </c>
      <c r="R1069" t="str">
        <f t="shared" si="4272"/>
        <v>&lt;/li&gt;&lt;li&gt;&lt;a href=|http://asvbible.com/1_corinthians/7.htm| title=|American Standard Version| target=|_top|&gt;ASV&lt;/a&gt;</v>
      </c>
      <c r="S1069" t="str">
        <f t="shared" si="4272"/>
        <v>&lt;/li&gt;&lt;li&gt;&lt;a href=|http://drb.scripturetext.com/1_corinthians/7.htm| title=|Douay-Rheims Bible| target=|_top|&gt;DRB&lt;/a&gt;</v>
      </c>
      <c r="T1069" t="str">
        <f t="shared" si="4272"/>
        <v>&lt;/li&gt;&lt;li&gt;&lt;a href=|http://erv.scripturetext.com/1_corinthians/7.htm| title=|English Revised Version| target=|_top|&gt;ERV&lt;/a&gt;</v>
      </c>
      <c r="U1069" t="str">
        <f>CONCATENATE("&lt;/li&gt;&lt;li&gt;&lt;a href=|http://",U1191,"/1_corinthians/7.htm","| ","title=|",U1190,"| target=|_top|&gt;",U1192,"&lt;/a&gt;")</f>
        <v>&lt;/li&gt;&lt;li&gt;&lt;a href=|http://study.interlinearbible.org/1_corinthians/7.htm| title=|Greek Study Bible| target=|_top|&gt;Grk Study&lt;/a&gt;</v>
      </c>
      <c r="W1069" t="str">
        <f t="shared" si="4272"/>
        <v>&lt;/li&gt;&lt;li&gt;&lt;a href=|http://apostolic.interlinearbible.org/1_corinthians/7.htm| title=|Apostolic Bible Polyglot Interlinear| target=|_top|&gt;Polyglot&lt;/a&gt;</v>
      </c>
      <c r="X1069" t="str">
        <f t="shared" si="4272"/>
        <v>&lt;/li&gt;&lt;li&gt;&lt;a href=|http://interlinearbible.org/1_corinthians/7.htm| title=|Interlinear Bible| target=|_top|&gt;Interlin&lt;/a&gt;</v>
      </c>
      <c r="Y1069" t="str">
        <f t="shared" ref="Y1069" si="4273">CONCATENATE("&lt;/li&gt;&lt;li&gt;&lt;a href=|http://",Y1191,"/1_corinthians/7.htm","| ","title=|",Y1190,"| target=|_top|&gt;",Y1192,"&lt;/a&gt;")</f>
        <v>&lt;/li&gt;&lt;li&gt;&lt;a href=|http://bibleoutline.org/1_corinthians/7.htm| title=|Outline with People and Places List| target=|_top|&gt;Outline&lt;/a&gt;</v>
      </c>
      <c r="Z1069" t="str">
        <f t="shared" si="4272"/>
        <v>&lt;/li&gt;&lt;li&gt;&lt;a href=|http://kjvs.scripturetext.com/1_corinthians/7.htm| title=|King James Bible with Strong's Numbers| target=|_top|&gt;Strong's&lt;/a&gt;</v>
      </c>
      <c r="AA1069" t="str">
        <f t="shared" si="4272"/>
        <v>&lt;/li&gt;&lt;li&gt;&lt;a href=|http://childrensbibleonline.com/1_corinthians/7.htm| title=|The Children's Bible| target=|_top|&gt;Children's&lt;/a&gt;</v>
      </c>
      <c r="AB1069" s="2" t="str">
        <f t="shared" si="4272"/>
        <v>&lt;/li&gt;&lt;li&gt;&lt;a href=|http://tsk.scripturetext.com/1_corinthians/7.htm| title=|Treasury of Scripture Knowledge| target=|_top|&gt;TSK&lt;/a&gt;</v>
      </c>
      <c r="AC1069" t="str">
        <f>CONCATENATE("&lt;a href=|http://",AC1191,"/1_corinthians/7.htm","| ","title=|",AC1190,"| target=|_top|&gt;",AC1192,"&lt;/a&gt;")</f>
        <v>&lt;a href=|http://parallelbible.com/1_corinthians/7.htm| title=|Parallel Chapters| target=|_top|&gt;PAR&lt;/a&gt;</v>
      </c>
      <c r="AD1069" s="2" t="str">
        <f t="shared" ref="AD1069:AI1069" si="4274">CONCATENATE("&lt;/li&gt;&lt;li&gt;&lt;a href=|http://",AD1191,"/1_corinthians/7.htm","| ","title=|",AD1190,"| target=|_top|&gt;",AD1192,"&lt;/a&gt;")</f>
        <v>&lt;/li&gt;&lt;li&gt;&lt;a href=|http://gsb.biblecommenter.com/1_corinthians/7.htm| title=|Geneva Study Bible| target=|_top|&gt;GSB&lt;/a&gt;</v>
      </c>
      <c r="AE1069" s="2" t="str">
        <f t="shared" si="4274"/>
        <v>&lt;/li&gt;&lt;li&gt;&lt;a href=|http://jfb.biblecommenter.com/1_corinthians/7.htm| title=|Jamieson-Fausset-Brown Bible Commentary| target=|_top|&gt;JFB&lt;/a&gt;</v>
      </c>
      <c r="AF1069" s="2" t="str">
        <f t="shared" si="4274"/>
        <v>&lt;/li&gt;&lt;li&gt;&lt;a href=|http://kjt.biblecommenter.com/1_corinthians/7.htm| title=|King James Translators' Notes| target=|_top|&gt;KJT&lt;/a&gt;</v>
      </c>
      <c r="AG1069" s="2" t="str">
        <f t="shared" si="4274"/>
        <v>&lt;/li&gt;&lt;li&gt;&lt;a href=|http://mhc.biblecommenter.com/1_corinthians/7.htm| title=|Matthew Henry's Concise Commentary| target=|_top|&gt;MHC&lt;/a&gt;</v>
      </c>
      <c r="AH1069" s="2" t="str">
        <f t="shared" si="4274"/>
        <v>&lt;/li&gt;&lt;li&gt;&lt;a href=|http://sco.biblecommenter.com/1_corinthians/7.htm| title=|Scofield Reference Notes| target=|_top|&gt;SCO&lt;/a&gt;</v>
      </c>
      <c r="AI1069" s="2" t="str">
        <f t="shared" si="4274"/>
        <v>&lt;/li&gt;&lt;li&gt;&lt;a href=|http://wes.biblecommenter.com/1_corinthians/7.htm| title=|Wesley's Notes on the Bible| target=|_top|&gt;WES&lt;/a&gt;</v>
      </c>
      <c r="AJ1069" t="str">
        <f>CONCATENATE("&lt;/li&gt;&lt;li&gt;&lt;a href=|http://",AJ1191,"/1_corinthians/7.htm","| ","title=|",AJ1190,"| target=|_top|&gt;",AJ1192,"&lt;/a&gt;")</f>
        <v>&lt;/li&gt;&lt;li&gt;&lt;a href=|http://worldebible.com/1_corinthians/7.htm| title=|World English Bible| target=|_top|&gt;WEB&lt;/a&gt;</v>
      </c>
      <c r="AK1069" t="str">
        <f>CONCATENATE("&lt;/li&gt;&lt;li&gt;&lt;a href=|http://",AK1191,"/1_corinthians/7.htm","| ","title=|",AK1190,"| target=|_top|&gt;",AK1192,"&lt;/a&gt;")</f>
        <v>&lt;/li&gt;&lt;li&gt;&lt;a href=|http://yltbible.com/1_corinthians/7.htm| title=|Young's Literal Translation| target=|_top|&gt;YLT&lt;/a&gt;</v>
      </c>
      <c r="AL1069" t="str">
        <f>CONCATENATE("&lt;a href=|http://",AL1191,"/1_corinthians/7.htm","| ","title=|",AL1190,"| target=|_top|&gt;",AL1192,"&lt;/a&gt;")</f>
        <v>&lt;a href=|http://kjv.us/1_corinthians/7.htm| title=|American King James Version| target=|_top|&gt;AKJ&lt;/a&gt;</v>
      </c>
      <c r="AM1069" t="str">
        <f t="shared" ref="AM1069:AS1069" si="4275">CONCATENATE("&lt;/li&gt;&lt;li&gt;&lt;a href=|http://",AM1191,"/1_corinthians/7.htm","| ","title=|",AM1190,"| target=|_top|&gt;",AM1192,"&lt;/a&gt;")</f>
        <v>&lt;/li&gt;&lt;li&gt;&lt;a href=|http://basicenglishbible.com/1_corinthians/7.htm| title=|Bible in Basic English| target=|_top|&gt;BBE&lt;/a&gt;</v>
      </c>
      <c r="AN1069" t="str">
        <f t="shared" si="4275"/>
        <v>&lt;/li&gt;&lt;li&gt;&lt;a href=|http://darbybible.com/1_corinthians/7.htm| title=|Darby Bible Translation| target=|_top|&gt;DBY&lt;/a&gt;</v>
      </c>
      <c r="AO1069" t="str">
        <f t="shared" si="4275"/>
        <v>&lt;/li&gt;&lt;li&gt;&lt;a href=|http://isv.scripturetext.com/1_corinthians/7.htm| title=|International Standard Version| target=|_top|&gt;ISV&lt;/a&gt;</v>
      </c>
      <c r="AP1069" t="str">
        <f t="shared" si="4275"/>
        <v>&lt;/li&gt;&lt;li&gt;&lt;a href=|http://tnt.scripturetext.com/1_corinthians/7.htm| title=|Tyndale New Testament| target=|_top|&gt;TNT&lt;/a&gt;</v>
      </c>
      <c r="AQ1069" s="2" t="str">
        <f t="shared" si="4275"/>
        <v>&lt;/li&gt;&lt;li&gt;&lt;a href=|http://pnt.biblecommenter.com/1_corinthians/7.htm| title=|People's New Testament| target=|_top|&gt;PNT&lt;/a&gt;</v>
      </c>
      <c r="AR1069" t="str">
        <f t="shared" si="4275"/>
        <v>&lt;/li&gt;&lt;li&gt;&lt;a href=|http://websterbible.com/1_corinthians/7.htm| title=|Webster's Bible Translation| target=|_top|&gt;WBS&lt;/a&gt;</v>
      </c>
      <c r="AS1069" t="str">
        <f t="shared" si="4275"/>
        <v>&lt;/li&gt;&lt;li&gt;&lt;a href=|http://weymouthbible.com/1_corinthians/7.htm| title=|Weymouth New Testament| target=|_top|&gt;WEY&lt;/a&gt;</v>
      </c>
      <c r="AT1069" t="str">
        <f>CONCATENATE("&lt;/li&gt;&lt;li&gt;&lt;a href=|http://",AT1191,"/1_corinthians/7-1.htm","| ","title=|",AT1190,"| target=|_top|&gt;",AT1192,"&lt;/a&gt;")</f>
        <v>&lt;/li&gt;&lt;li&gt;&lt;a href=|http://biblebrowser.com/1_corinthians/7-1.htm| title=|Split View| target=|_top|&gt;Split&lt;/a&gt;</v>
      </c>
      <c r="AU1069" s="2" t="s">
        <v>1276</v>
      </c>
      <c r="AV1069" t="s">
        <v>64</v>
      </c>
    </row>
    <row r="1070" spans="1:48">
      <c r="A1070" t="s">
        <v>622</v>
      </c>
      <c r="B1070" t="s">
        <v>501</v>
      </c>
      <c r="C1070" t="s">
        <v>624</v>
      </c>
      <c r="D1070" t="s">
        <v>1268</v>
      </c>
      <c r="E1070" t="s">
        <v>1277</v>
      </c>
      <c r="F1070" t="s">
        <v>1304</v>
      </c>
      <c r="G1070" t="s">
        <v>1266</v>
      </c>
      <c r="H1070" t="s">
        <v>1305</v>
      </c>
      <c r="I1070" t="s">
        <v>1303</v>
      </c>
      <c r="J1070" t="s">
        <v>1267</v>
      </c>
      <c r="K1070" t="s">
        <v>1275</v>
      </c>
      <c r="L1070" s="2" t="s">
        <v>1274</v>
      </c>
      <c r="M1070" t="str">
        <f t="shared" ref="M1070:AB1070" si="4276">CONCATENATE("&lt;/li&gt;&lt;li&gt;&lt;a href=|http://",M1191,"/1_corinthians/8.htm","| ","title=|",M1190,"| target=|_top|&gt;",M1192,"&lt;/a&gt;")</f>
        <v>&lt;/li&gt;&lt;li&gt;&lt;a href=|http://niv.scripturetext.com/1_corinthians/8.htm| title=|New International Version| target=|_top|&gt;NIV&lt;/a&gt;</v>
      </c>
      <c r="N1070" t="str">
        <f t="shared" si="4276"/>
        <v>&lt;/li&gt;&lt;li&gt;&lt;a href=|http://nlt.scripturetext.com/1_corinthians/8.htm| title=|New Living Translation| target=|_top|&gt;NLT&lt;/a&gt;</v>
      </c>
      <c r="O1070" t="str">
        <f t="shared" si="4276"/>
        <v>&lt;/li&gt;&lt;li&gt;&lt;a href=|http://nasb.scripturetext.com/1_corinthians/8.htm| title=|New American Standard Bible| target=|_top|&gt;NAS&lt;/a&gt;</v>
      </c>
      <c r="P1070" t="str">
        <f t="shared" si="4276"/>
        <v>&lt;/li&gt;&lt;li&gt;&lt;a href=|http://gwt.scripturetext.com/1_corinthians/8.htm| title=|God's Word Translation| target=|_top|&gt;GWT&lt;/a&gt;</v>
      </c>
      <c r="Q1070" t="str">
        <f t="shared" si="4276"/>
        <v>&lt;/li&gt;&lt;li&gt;&lt;a href=|http://kingjbible.com/1_corinthians/8.htm| title=|King James Bible| target=|_top|&gt;KJV&lt;/a&gt;</v>
      </c>
      <c r="R1070" t="str">
        <f t="shared" si="4276"/>
        <v>&lt;/li&gt;&lt;li&gt;&lt;a href=|http://asvbible.com/1_corinthians/8.htm| title=|American Standard Version| target=|_top|&gt;ASV&lt;/a&gt;</v>
      </c>
      <c r="S1070" t="str">
        <f t="shared" si="4276"/>
        <v>&lt;/li&gt;&lt;li&gt;&lt;a href=|http://drb.scripturetext.com/1_corinthians/8.htm| title=|Douay-Rheims Bible| target=|_top|&gt;DRB&lt;/a&gt;</v>
      </c>
      <c r="T1070" t="str">
        <f t="shared" si="4276"/>
        <v>&lt;/li&gt;&lt;li&gt;&lt;a href=|http://erv.scripturetext.com/1_corinthians/8.htm| title=|English Revised Version| target=|_top|&gt;ERV&lt;/a&gt;</v>
      </c>
      <c r="U1070" t="str">
        <f>CONCATENATE("&lt;/li&gt;&lt;li&gt;&lt;a href=|http://",U1191,"/1_corinthians/8.htm","| ","title=|",U1190,"| target=|_top|&gt;",U1192,"&lt;/a&gt;")</f>
        <v>&lt;/li&gt;&lt;li&gt;&lt;a href=|http://study.interlinearbible.org/1_corinthians/8.htm| title=|Greek Study Bible| target=|_top|&gt;Grk Study&lt;/a&gt;</v>
      </c>
      <c r="W1070" t="str">
        <f t="shared" si="4276"/>
        <v>&lt;/li&gt;&lt;li&gt;&lt;a href=|http://apostolic.interlinearbible.org/1_corinthians/8.htm| title=|Apostolic Bible Polyglot Interlinear| target=|_top|&gt;Polyglot&lt;/a&gt;</v>
      </c>
      <c r="X1070" t="str">
        <f t="shared" si="4276"/>
        <v>&lt;/li&gt;&lt;li&gt;&lt;a href=|http://interlinearbible.org/1_corinthians/8.htm| title=|Interlinear Bible| target=|_top|&gt;Interlin&lt;/a&gt;</v>
      </c>
      <c r="Y1070" t="str">
        <f t="shared" ref="Y1070" si="4277">CONCATENATE("&lt;/li&gt;&lt;li&gt;&lt;a href=|http://",Y1191,"/1_corinthians/8.htm","| ","title=|",Y1190,"| target=|_top|&gt;",Y1192,"&lt;/a&gt;")</f>
        <v>&lt;/li&gt;&lt;li&gt;&lt;a href=|http://bibleoutline.org/1_corinthians/8.htm| title=|Outline with People and Places List| target=|_top|&gt;Outline&lt;/a&gt;</v>
      </c>
      <c r="Z1070" t="str">
        <f t="shared" si="4276"/>
        <v>&lt;/li&gt;&lt;li&gt;&lt;a href=|http://kjvs.scripturetext.com/1_corinthians/8.htm| title=|King James Bible with Strong's Numbers| target=|_top|&gt;Strong's&lt;/a&gt;</v>
      </c>
      <c r="AA1070" t="str">
        <f t="shared" si="4276"/>
        <v>&lt;/li&gt;&lt;li&gt;&lt;a href=|http://childrensbibleonline.com/1_corinthians/8.htm| title=|The Children's Bible| target=|_top|&gt;Children's&lt;/a&gt;</v>
      </c>
      <c r="AB1070" s="2" t="str">
        <f t="shared" si="4276"/>
        <v>&lt;/li&gt;&lt;li&gt;&lt;a href=|http://tsk.scripturetext.com/1_corinthians/8.htm| title=|Treasury of Scripture Knowledge| target=|_top|&gt;TSK&lt;/a&gt;</v>
      </c>
      <c r="AC1070" t="str">
        <f>CONCATENATE("&lt;a href=|http://",AC1191,"/1_corinthians/8.htm","| ","title=|",AC1190,"| target=|_top|&gt;",AC1192,"&lt;/a&gt;")</f>
        <v>&lt;a href=|http://parallelbible.com/1_corinthians/8.htm| title=|Parallel Chapters| target=|_top|&gt;PAR&lt;/a&gt;</v>
      </c>
      <c r="AD1070" s="2" t="str">
        <f t="shared" ref="AD1070:AI1070" si="4278">CONCATENATE("&lt;/li&gt;&lt;li&gt;&lt;a href=|http://",AD1191,"/1_corinthians/8.htm","| ","title=|",AD1190,"| target=|_top|&gt;",AD1192,"&lt;/a&gt;")</f>
        <v>&lt;/li&gt;&lt;li&gt;&lt;a href=|http://gsb.biblecommenter.com/1_corinthians/8.htm| title=|Geneva Study Bible| target=|_top|&gt;GSB&lt;/a&gt;</v>
      </c>
      <c r="AE1070" s="2" t="str">
        <f t="shared" si="4278"/>
        <v>&lt;/li&gt;&lt;li&gt;&lt;a href=|http://jfb.biblecommenter.com/1_corinthians/8.htm| title=|Jamieson-Fausset-Brown Bible Commentary| target=|_top|&gt;JFB&lt;/a&gt;</v>
      </c>
      <c r="AF1070" s="2" t="str">
        <f t="shared" si="4278"/>
        <v>&lt;/li&gt;&lt;li&gt;&lt;a href=|http://kjt.biblecommenter.com/1_corinthians/8.htm| title=|King James Translators' Notes| target=|_top|&gt;KJT&lt;/a&gt;</v>
      </c>
      <c r="AG1070" s="2" t="str">
        <f t="shared" si="4278"/>
        <v>&lt;/li&gt;&lt;li&gt;&lt;a href=|http://mhc.biblecommenter.com/1_corinthians/8.htm| title=|Matthew Henry's Concise Commentary| target=|_top|&gt;MHC&lt;/a&gt;</v>
      </c>
      <c r="AH1070" s="2" t="str">
        <f t="shared" si="4278"/>
        <v>&lt;/li&gt;&lt;li&gt;&lt;a href=|http://sco.biblecommenter.com/1_corinthians/8.htm| title=|Scofield Reference Notes| target=|_top|&gt;SCO&lt;/a&gt;</v>
      </c>
      <c r="AI1070" s="2" t="str">
        <f t="shared" si="4278"/>
        <v>&lt;/li&gt;&lt;li&gt;&lt;a href=|http://wes.biblecommenter.com/1_corinthians/8.htm| title=|Wesley's Notes on the Bible| target=|_top|&gt;WES&lt;/a&gt;</v>
      </c>
      <c r="AJ1070" t="str">
        <f>CONCATENATE("&lt;/li&gt;&lt;li&gt;&lt;a href=|http://",AJ1191,"/1_corinthians/8.htm","| ","title=|",AJ1190,"| target=|_top|&gt;",AJ1192,"&lt;/a&gt;")</f>
        <v>&lt;/li&gt;&lt;li&gt;&lt;a href=|http://worldebible.com/1_corinthians/8.htm| title=|World English Bible| target=|_top|&gt;WEB&lt;/a&gt;</v>
      </c>
      <c r="AK1070" t="str">
        <f>CONCATENATE("&lt;/li&gt;&lt;li&gt;&lt;a href=|http://",AK1191,"/1_corinthians/8.htm","| ","title=|",AK1190,"| target=|_top|&gt;",AK1192,"&lt;/a&gt;")</f>
        <v>&lt;/li&gt;&lt;li&gt;&lt;a href=|http://yltbible.com/1_corinthians/8.htm| title=|Young's Literal Translation| target=|_top|&gt;YLT&lt;/a&gt;</v>
      </c>
      <c r="AL1070" t="str">
        <f>CONCATENATE("&lt;a href=|http://",AL1191,"/1_corinthians/8.htm","| ","title=|",AL1190,"| target=|_top|&gt;",AL1192,"&lt;/a&gt;")</f>
        <v>&lt;a href=|http://kjv.us/1_corinthians/8.htm| title=|American King James Version| target=|_top|&gt;AKJ&lt;/a&gt;</v>
      </c>
      <c r="AM1070" t="str">
        <f t="shared" ref="AM1070:AS1070" si="4279">CONCATENATE("&lt;/li&gt;&lt;li&gt;&lt;a href=|http://",AM1191,"/1_corinthians/8.htm","| ","title=|",AM1190,"| target=|_top|&gt;",AM1192,"&lt;/a&gt;")</f>
        <v>&lt;/li&gt;&lt;li&gt;&lt;a href=|http://basicenglishbible.com/1_corinthians/8.htm| title=|Bible in Basic English| target=|_top|&gt;BBE&lt;/a&gt;</v>
      </c>
      <c r="AN1070" t="str">
        <f t="shared" si="4279"/>
        <v>&lt;/li&gt;&lt;li&gt;&lt;a href=|http://darbybible.com/1_corinthians/8.htm| title=|Darby Bible Translation| target=|_top|&gt;DBY&lt;/a&gt;</v>
      </c>
      <c r="AO1070" t="str">
        <f t="shared" si="4279"/>
        <v>&lt;/li&gt;&lt;li&gt;&lt;a href=|http://isv.scripturetext.com/1_corinthians/8.htm| title=|International Standard Version| target=|_top|&gt;ISV&lt;/a&gt;</v>
      </c>
      <c r="AP1070" t="str">
        <f t="shared" si="4279"/>
        <v>&lt;/li&gt;&lt;li&gt;&lt;a href=|http://tnt.scripturetext.com/1_corinthians/8.htm| title=|Tyndale New Testament| target=|_top|&gt;TNT&lt;/a&gt;</v>
      </c>
      <c r="AQ1070" s="2" t="str">
        <f t="shared" si="4279"/>
        <v>&lt;/li&gt;&lt;li&gt;&lt;a href=|http://pnt.biblecommenter.com/1_corinthians/8.htm| title=|People's New Testament| target=|_top|&gt;PNT&lt;/a&gt;</v>
      </c>
      <c r="AR1070" t="str">
        <f t="shared" si="4279"/>
        <v>&lt;/li&gt;&lt;li&gt;&lt;a href=|http://websterbible.com/1_corinthians/8.htm| title=|Webster's Bible Translation| target=|_top|&gt;WBS&lt;/a&gt;</v>
      </c>
      <c r="AS1070" t="str">
        <f t="shared" si="4279"/>
        <v>&lt;/li&gt;&lt;li&gt;&lt;a href=|http://weymouthbible.com/1_corinthians/8.htm| title=|Weymouth New Testament| target=|_top|&gt;WEY&lt;/a&gt;</v>
      </c>
      <c r="AT1070" t="str">
        <f>CONCATENATE("&lt;/li&gt;&lt;li&gt;&lt;a href=|http://",AT1191,"/1_corinthians/8-1.htm","| ","title=|",AT1190,"| target=|_top|&gt;",AT1192,"&lt;/a&gt;")</f>
        <v>&lt;/li&gt;&lt;li&gt;&lt;a href=|http://biblebrowser.com/1_corinthians/8-1.htm| title=|Split View| target=|_top|&gt;Split&lt;/a&gt;</v>
      </c>
      <c r="AU1070" s="2" t="s">
        <v>1276</v>
      </c>
      <c r="AV1070" t="s">
        <v>64</v>
      </c>
    </row>
    <row r="1071" spans="1:48">
      <c r="A1071" t="s">
        <v>622</v>
      </c>
      <c r="B1071" t="s">
        <v>502</v>
      </c>
      <c r="C1071" t="s">
        <v>624</v>
      </c>
      <c r="D1071" t="s">
        <v>1268</v>
      </c>
      <c r="E1071" t="s">
        <v>1277</v>
      </c>
      <c r="F1071" t="s">
        <v>1304</v>
      </c>
      <c r="G1071" t="s">
        <v>1266</v>
      </c>
      <c r="H1071" t="s">
        <v>1305</v>
      </c>
      <c r="I1071" t="s">
        <v>1303</v>
      </c>
      <c r="J1071" t="s">
        <v>1267</v>
      </c>
      <c r="K1071" t="s">
        <v>1275</v>
      </c>
      <c r="L1071" s="2" t="s">
        <v>1274</v>
      </c>
      <c r="M1071" t="str">
        <f t="shared" ref="M1071:AB1071" si="4280">CONCATENATE("&lt;/li&gt;&lt;li&gt;&lt;a href=|http://",M1191,"/1_corinthians/9.htm","| ","title=|",M1190,"| target=|_top|&gt;",M1192,"&lt;/a&gt;")</f>
        <v>&lt;/li&gt;&lt;li&gt;&lt;a href=|http://niv.scripturetext.com/1_corinthians/9.htm| title=|New International Version| target=|_top|&gt;NIV&lt;/a&gt;</v>
      </c>
      <c r="N1071" t="str">
        <f t="shared" si="4280"/>
        <v>&lt;/li&gt;&lt;li&gt;&lt;a href=|http://nlt.scripturetext.com/1_corinthians/9.htm| title=|New Living Translation| target=|_top|&gt;NLT&lt;/a&gt;</v>
      </c>
      <c r="O1071" t="str">
        <f t="shared" si="4280"/>
        <v>&lt;/li&gt;&lt;li&gt;&lt;a href=|http://nasb.scripturetext.com/1_corinthians/9.htm| title=|New American Standard Bible| target=|_top|&gt;NAS&lt;/a&gt;</v>
      </c>
      <c r="P1071" t="str">
        <f t="shared" si="4280"/>
        <v>&lt;/li&gt;&lt;li&gt;&lt;a href=|http://gwt.scripturetext.com/1_corinthians/9.htm| title=|God's Word Translation| target=|_top|&gt;GWT&lt;/a&gt;</v>
      </c>
      <c r="Q1071" t="str">
        <f t="shared" si="4280"/>
        <v>&lt;/li&gt;&lt;li&gt;&lt;a href=|http://kingjbible.com/1_corinthians/9.htm| title=|King James Bible| target=|_top|&gt;KJV&lt;/a&gt;</v>
      </c>
      <c r="R1071" t="str">
        <f t="shared" si="4280"/>
        <v>&lt;/li&gt;&lt;li&gt;&lt;a href=|http://asvbible.com/1_corinthians/9.htm| title=|American Standard Version| target=|_top|&gt;ASV&lt;/a&gt;</v>
      </c>
      <c r="S1071" t="str">
        <f t="shared" si="4280"/>
        <v>&lt;/li&gt;&lt;li&gt;&lt;a href=|http://drb.scripturetext.com/1_corinthians/9.htm| title=|Douay-Rheims Bible| target=|_top|&gt;DRB&lt;/a&gt;</v>
      </c>
      <c r="T1071" t="str">
        <f t="shared" si="4280"/>
        <v>&lt;/li&gt;&lt;li&gt;&lt;a href=|http://erv.scripturetext.com/1_corinthians/9.htm| title=|English Revised Version| target=|_top|&gt;ERV&lt;/a&gt;</v>
      </c>
      <c r="U1071" t="str">
        <f>CONCATENATE("&lt;/li&gt;&lt;li&gt;&lt;a href=|http://",U1191,"/1_corinthians/9.htm","| ","title=|",U1190,"| target=|_top|&gt;",U1192,"&lt;/a&gt;")</f>
        <v>&lt;/li&gt;&lt;li&gt;&lt;a href=|http://study.interlinearbible.org/1_corinthians/9.htm| title=|Greek Study Bible| target=|_top|&gt;Grk Study&lt;/a&gt;</v>
      </c>
      <c r="W1071" t="str">
        <f t="shared" si="4280"/>
        <v>&lt;/li&gt;&lt;li&gt;&lt;a href=|http://apostolic.interlinearbible.org/1_corinthians/9.htm| title=|Apostolic Bible Polyglot Interlinear| target=|_top|&gt;Polyglot&lt;/a&gt;</v>
      </c>
      <c r="X1071" t="str">
        <f t="shared" si="4280"/>
        <v>&lt;/li&gt;&lt;li&gt;&lt;a href=|http://interlinearbible.org/1_corinthians/9.htm| title=|Interlinear Bible| target=|_top|&gt;Interlin&lt;/a&gt;</v>
      </c>
      <c r="Y1071" t="str">
        <f t="shared" ref="Y1071" si="4281">CONCATENATE("&lt;/li&gt;&lt;li&gt;&lt;a href=|http://",Y1191,"/1_corinthians/9.htm","| ","title=|",Y1190,"| target=|_top|&gt;",Y1192,"&lt;/a&gt;")</f>
        <v>&lt;/li&gt;&lt;li&gt;&lt;a href=|http://bibleoutline.org/1_corinthians/9.htm| title=|Outline with People and Places List| target=|_top|&gt;Outline&lt;/a&gt;</v>
      </c>
      <c r="Z1071" t="str">
        <f t="shared" si="4280"/>
        <v>&lt;/li&gt;&lt;li&gt;&lt;a href=|http://kjvs.scripturetext.com/1_corinthians/9.htm| title=|King James Bible with Strong's Numbers| target=|_top|&gt;Strong's&lt;/a&gt;</v>
      </c>
      <c r="AA1071" t="str">
        <f t="shared" si="4280"/>
        <v>&lt;/li&gt;&lt;li&gt;&lt;a href=|http://childrensbibleonline.com/1_corinthians/9.htm| title=|The Children's Bible| target=|_top|&gt;Children's&lt;/a&gt;</v>
      </c>
      <c r="AB1071" s="2" t="str">
        <f t="shared" si="4280"/>
        <v>&lt;/li&gt;&lt;li&gt;&lt;a href=|http://tsk.scripturetext.com/1_corinthians/9.htm| title=|Treasury of Scripture Knowledge| target=|_top|&gt;TSK&lt;/a&gt;</v>
      </c>
      <c r="AC1071" t="str">
        <f>CONCATENATE("&lt;a href=|http://",AC1191,"/1_corinthians/9.htm","| ","title=|",AC1190,"| target=|_top|&gt;",AC1192,"&lt;/a&gt;")</f>
        <v>&lt;a href=|http://parallelbible.com/1_corinthians/9.htm| title=|Parallel Chapters| target=|_top|&gt;PAR&lt;/a&gt;</v>
      </c>
      <c r="AD1071" s="2" t="str">
        <f t="shared" ref="AD1071:AI1071" si="4282">CONCATENATE("&lt;/li&gt;&lt;li&gt;&lt;a href=|http://",AD1191,"/1_corinthians/9.htm","| ","title=|",AD1190,"| target=|_top|&gt;",AD1192,"&lt;/a&gt;")</f>
        <v>&lt;/li&gt;&lt;li&gt;&lt;a href=|http://gsb.biblecommenter.com/1_corinthians/9.htm| title=|Geneva Study Bible| target=|_top|&gt;GSB&lt;/a&gt;</v>
      </c>
      <c r="AE1071" s="2" t="str">
        <f t="shared" si="4282"/>
        <v>&lt;/li&gt;&lt;li&gt;&lt;a href=|http://jfb.biblecommenter.com/1_corinthians/9.htm| title=|Jamieson-Fausset-Brown Bible Commentary| target=|_top|&gt;JFB&lt;/a&gt;</v>
      </c>
      <c r="AF1071" s="2" t="str">
        <f t="shared" si="4282"/>
        <v>&lt;/li&gt;&lt;li&gt;&lt;a href=|http://kjt.biblecommenter.com/1_corinthians/9.htm| title=|King James Translators' Notes| target=|_top|&gt;KJT&lt;/a&gt;</v>
      </c>
      <c r="AG1071" s="2" t="str">
        <f t="shared" si="4282"/>
        <v>&lt;/li&gt;&lt;li&gt;&lt;a href=|http://mhc.biblecommenter.com/1_corinthians/9.htm| title=|Matthew Henry's Concise Commentary| target=|_top|&gt;MHC&lt;/a&gt;</v>
      </c>
      <c r="AH1071" s="2" t="str">
        <f t="shared" si="4282"/>
        <v>&lt;/li&gt;&lt;li&gt;&lt;a href=|http://sco.biblecommenter.com/1_corinthians/9.htm| title=|Scofield Reference Notes| target=|_top|&gt;SCO&lt;/a&gt;</v>
      </c>
      <c r="AI1071" s="2" t="str">
        <f t="shared" si="4282"/>
        <v>&lt;/li&gt;&lt;li&gt;&lt;a href=|http://wes.biblecommenter.com/1_corinthians/9.htm| title=|Wesley's Notes on the Bible| target=|_top|&gt;WES&lt;/a&gt;</v>
      </c>
      <c r="AJ1071" t="str">
        <f>CONCATENATE("&lt;/li&gt;&lt;li&gt;&lt;a href=|http://",AJ1191,"/1_corinthians/9.htm","| ","title=|",AJ1190,"| target=|_top|&gt;",AJ1192,"&lt;/a&gt;")</f>
        <v>&lt;/li&gt;&lt;li&gt;&lt;a href=|http://worldebible.com/1_corinthians/9.htm| title=|World English Bible| target=|_top|&gt;WEB&lt;/a&gt;</v>
      </c>
      <c r="AK1071" t="str">
        <f>CONCATENATE("&lt;/li&gt;&lt;li&gt;&lt;a href=|http://",AK1191,"/1_corinthians/9.htm","| ","title=|",AK1190,"| target=|_top|&gt;",AK1192,"&lt;/a&gt;")</f>
        <v>&lt;/li&gt;&lt;li&gt;&lt;a href=|http://yltbible.com/1_corinthians/9.htm| title=|Young's Literal Translation| target=|_top|&gt;YLT&lt;/a&gt;</v>
      </c>
      <c r="AL1071" t="str">
        <f>CONCATENATE("&lt;a href=|http://",AL1191,"/1_corinthians/9.htm","| ","title=|",AL1190,"| target=|_top|&gt;",AL1192,"&lt;/a&gt;")</f>
        <v>&lt;a href=|http://kjv.us/1_corinthians/9.htm| title=|American King James Version| target=|_top|&gt;AKJ&lt;/a&gt;</v>
      </c>
      <c r="AM1071" t="str">
        <f t="shared" ref="AM1071:AS1071" si="4283">CONCATENATE("&lt;/li&gt;&lt;li&gt;&lt;a href=|http://",AM1191,"/1_corinthians/9.htm","| ","title=|",AM1190,"| target=|_top|&gt;",AM1192,"&lt;/a&gt;")</f>
        <v>&lt;/li&gt;&lt;li&gt;&lt;a href=|http://basicenglishbible.com/1_corinthians/9.htm| title=|Bible in Basic English| target=|_top|&gt;BBE&lt;/a&gt;</v>
      </c>
      <c r="AN1071" t="str">
        <f t="shared" si="4283"/>
        <v>&lt;/li&gt;&lt;li&gt;&lt;a href=|http://darbybible.com/1_corinthians/9.htm| title=|Darby Bible Translation| target=|_top|&gt;DBY&lt;/a&gt;</v>
      </c>
      <c r="AO1071" t="str">
        <f t="shared" si="4283"/>
        <v>&lt;/li&gt;&lt;li&gt;&lt;a href=|http://isv.scripturetext.com/1_corinthians/9.htm| title=|International Standard Version| target=|_top|&gt;ISV&lt;/a&gt;</v>
      </c>
      <c r="AP1071" t="str">
        <f t="shared" si="4283"/>
        <v>&lt;/li&gt;&lt;li&gt;&lt;a href=|http://tnt.scripturetext.com/1_corinthians/9.htm| title=|Tyndale New Testament| target=|_top|&gt;TNT&lt;/a&gt;</v>
      </c>
      <c r="AQ1071" s="2" t="str">
        <f t="shared" si="4283"/>
        <v>&lt;/li&gt;&lt;li&gt;&lt;a href=|http://pnt.biblecommenter.com/1_corinthians/9.htm| title=|People's New Testament| target=|_top|&gt;PNT&lt;/a&gt;</v>
      </c>
      <c r="AR1071" t="str">
        <f t="shared" si="4283"/>
        <v>&lt;/li&gt;&lt;li&gt;&lt;a href=|http://websterbible.com/1_corinthians/9.htm| title=|Webster's Bible Translation| target=|_top|&gt;WBS&lt;/a&gt;</v>
      </c>
      <c r="AS1071" t="str">
        <f t="shared" si="4283"/>
        <v>&lt;/li&gt;&lt;li&gt;&lt;a href=|http://weymouthbible.com/1_corinthians/9.htm| title=|Weymouth New Testament| target=|_top|&gt;WEY&lt;/a&gt;</v>
      </c>
      <c r="AT1071" t="str">
        <f>CONCATENATE("&lt;/li&gt;&lt;li&gt;&lt;a href=|http://",AT1191,"/1_corinthians/9-1.htm","| ","title=|",AT1190,"| target=|_top|&gt;",AT1192,"&lt;/a&gt;")</f>
        <v>&lt;/li&gt;&lt;li&gt;&lt;a href=|http://biblebrowser.com/1_corinthians/9-1.htm| title=|Split View| target=|_top|&gt;Split&lt;/a&gt;</v>
      </c>
      <c r="AU1071" s="2" t="s">
        <v>1276</v>
      </c>
      <c r="AV1071" t="s">
        <v>64</v>
      </c>
    </row>
    <row r="1072" spans="1:48">
      <c r="A1072" t="s">
        <v>622</v>
      </c>
      <c r="B1072" t="s">
        <v>503</v>
      </c>
      <c r="C1072" t="s">
        <v>624</v>
      </c>
      <c r="D1072" t="s">
        <v>1268</v>
      </c>
      <c r="E1072" t="s">
        <v>1277</v>
      </c>
      <c r="F1072" t="s">
        <v>1304</v>
      </c>
      <c r="G1072" t="s">
        <v>1266</v>
      </c>
      <c r="H1072" t="s">
        <v>1305</v>
      </c>
      <c r="I1072" t="s">
        <v>1303</v>
      </c>
      <c r="J1072" t="s">
        <v>1267</v>
      </c>
      <c r="K1072" t="s">
        <v>1275</v>
      </c>
      <c r="L1072" s="2" t="s">
        <v>1274</v>
      </c>
      <c r="M1072" t="str">
        <f t="shared" ref="M1072:AB1072" si="4284">CONCATENATE("&lt;/li&gt;&lt;li&gt;&lt;a href=|http://",M1191,"/1_corinthians/10.htm","| ","title=|",M1190,"| target=|_top|&gt;",M1192,"&lt;/a&gt;")</f>
        <v>&lt;/li&gt;&lt;li&gt;&lt;a href=|http://niv.scripturetext.com/1_corinthians/10.htm| title=|New International Version| target=|_top|&gt;NIV&lt;/a&gt;</v>
      </c>
      <c r="N1072" t="str">
        <f t="shared" si="4284"/>
        <v>&lt;/li&gt;&lt;li&gt;&lt;a href=|http://nlt.scripturetext.com/1_corinthians/10.htm| title=|New Living Translation| target=|_top|&gt;NLT&lt;/a&gt;</v>
      </c>
      <c r="O1072" t="str">
        <f t="shared" si="4284"/>
        <v>&lt;/li&gt;&lt;li&gt;&lt;a href=|http://nasb.scripturetext.com/1_corinthians/10.htm| title=|New American Standard Bible| target=|_top|&gt;NAS&lt;/a&gt;</v>
      </c>
      <c r="P1072" t="str">
        <f t="shared" si="4284"/>
        <v>&lt;/li&gt;&lt;li&gt;&lt;a href=|http://gwt.scripturetext.com/1_corinthians/10.htm| title=|God's Word Translation| target=|_top|&gt;GWT&lt;/a&gt;</v>
      </c>
      <c r="Q1072" t="str">
        <f t="shared" si="4284"/>
        <v>&lt;/li&gt;&lt;li&gt;&lt;a href=|http://kingjbible.com/1_corinthians/10.htm| title=|King James Bible| target=|_top|&gt;KJV&lt;/a&gt;</v>
      </c>
      <c r="R1072" t="str">
        <f t="shared" si="4284"/>
        <v>&lt;/li&gt;&lt;li&gt;&lt;a href=|http://asvbible.com/1_corinthians/10.htm| title=|American Standard Version| target=|_top|&gt;ASV&lt;/a&gt;</v>
      </c>
      <c r="S1072" t="str">
        <f t="shared" si="4284"/>
        <v>&lt;/li&gt;&lt;li&gt;&lt;a href=|http://drb.scripturetext.com/1_corinthians/10.htm| title=|Douay-Rheims Bible| target=|_top|&gt;DRB&lt;/a&gt;</v>
      </c>
      <c r="T1072" t="str">
        <f t="shared" si="4284"/>
        <v>&lt;/li&gt;&lt;li&gt;&lt;a href=|http://erv.scripturetext.com/1_corinthians/10.htm| title=|English Revised Version| target=|_top|&gt;ERV&lt;/a&gt;</v>
      </c>
      <c r="U1072" t="str">
        <f>CONCATENATE("&lt;/li&gt;&lt;li&gt;&lt;a href=|http://",U1191,"/1_corinthians/10.htm","| ","title=|",U1190,"| target=|_top|&gt;",U1192,"&lt;/a&gt;")</f>
        <v>&lt;/li&gt;&lt;li&gt;&lt;a href=|http://study.interlinearbible.org/1_corinthians/10.htm| title=|Greek Study Bible| target=|_top|&gt;Grk Study&lt;/a&gt;</v>
      </c>
      <c r="W1072" t="str">
        <f t="shared" si="4284"/>
        <v>&lt;/li&gt;&lt;li&gt;&lt;a href=|http://apostolic.interlinearbible.org/1_corinthians/10.htm| title=|Apostolic Bible Polyglot Interlinear| target=|_top|&gt;Polyglot&lt;/a&gt;</v>
      </c>
      <c r="X1072" t="str">
        <f t="shared" si="4284"/>
        <v>&lt;/li&gt;&lt;li&gt;&lt;a href=|http://interlinearbible.org/1_corinthians/10.htm| title=|Interlinear Bible| target=|_top|&gt;Interlin&lt;/a&gt;</v>
      </c>
      <c r="Y1072" t="str">
        <f t="shared" ref="Y1072" si="4285">CONCATENATE("&lt;/li&gt;&lt;li&gt;&lt;a href=|http://",Y1191,"/1_corinthians/10.htm","| ","title=|",Y1190,"| target=|_top|&gt;",Y1192,"&lt;/a&gt;")</f>
        <v>&lt;/li&gt;&lt;li&gt;&lt;a href=|http://bibleoutline.org/1_corinthians/10.htm| title=|Outline with People and Places List| target=|_top|&gt;Outline&lt;/a&gt;</v>
      </c>
      <c r="Z1072" t="str">
        <f t="shared" si="4284"/>
        <v>&lt;/li&gt;&lt;li&gt;&lt;a href=|http://kjvs.scripturetext.com/1_corinthians/10.htm| title=|King James Bible with Strong's Numbers| target=|_top|&gt;Strong's&lt;/a&gt;</v>
      </c>
      <c r="AA1072" t="str">
        <f t="shared" si="4284"/>
        <v>&lt;/li&gt;&lt;li&gt;&lt;a href=|http://childrensbibleonline.com/1_corinthians/10.htm| title=|The Children's Bible| target=|_top|&gt;Children's&lt;/a&gt;</v>
      </c>
      <c r="AB1072" s="2" t="str">
        <f t="shared" si="4284"/>
        <v>&lt;/li&gt;&lt;li&gt;&lt;a href=|http://tsk.scripturetext.com/1_corinthians/10.htm| title=|Treasury of Scripture Knowledge| target=|_top|&gt;TSK&lt;/a&gt;</v>
      </c>
      <c r="AC1072" t="str">
        <f>CONCATENATE("&lt;a href=|http://",AC1191,"/1_corinthians/10.htm","| ","title=|",AC1190,"| target=|_top|&gt;",AC1192,"&lt;/a&gt;")</f>
        <v>&lt;a href=|http://parallelbible.com/1_corinthians/10.htm| title=|Parallel Chapters| target=|_top|&gt;PAR&lt;/a&gt;</v>
      </c>
      <c r="AD1072" s="2" t="str">
        <f t="shared" ref="AD1072:AI1072" si="4286">CONCATENATE("&lt;/li&gt;&lt;li&gt;&lt;a href=|http://",AD1191,"/1_corinthians/10.htm","| ","title=|",AD1190,"| target=|_top|&gt;",AD1192,"&lt;/a&gt;")</f>
        <v>&lt;/li&gt;&lt;li&gt;&lt;a href=|http://gsb.biblecommenter.com/1_corinthians/10.htm| title=|Geneva Study Bible| target=|_top|&gt;GSB&lt;/a&gt;</v>
      </c>
      <c r="AE1072" s="2" t="str">
        <f t="shared" si="4286"/>
        <v>&lt;/li&gt;&lt;li&gt;&lt;a href=|http://jfb.biblecommenter.com/1_corinthians/10.htm| title=|Jamieson-Fausset-Brown Bible Commentary| target=|_top|&gt;JFB&lt;/a&gt;</v>
      </c>
      <c r="AF1072" s="2" t="str">
        <f t="shared" si="4286"/>
        <v>&lt;/li&gt;&lt;li&gt;&lt;a href=|http://kjt.biblecommenter.com/1_corinthians/10.htm| title=|King James Translators' Notes| target=|_top|&gt;KJT&lt;/a&gt;</v>
      </c>
      <c r="AG1072" s="2" t="str">
        <f t="shared" si="4286"/>
        <v>&lt;/li&gt;&lt;li&gt;&lt;a href=|http://mhc.biblecommenter.com/1_corinthians/10.htm| title=|Matthew Henry's Concise Commentary| target=|_top|&gt;MHC&lt;/a&gt;</v>
      </c>
      <c r="AH1072" s="2" t="str">
        <f t="shared" si="4286"/>
        <v>&lt;/li&gt;&lt;li&gt;&lt;a href=|http://sco.biblecommenter.com/1_corinthians/10.htm| title=|Scofield Reference Notes| target=|_top|&gt;SCO&lt;/a&gt;</v>
      </c>
      <c r="AI1072" s="2" t="str">
        <f t="shared" si="4286"/>
        <v>&lt;/li&gt;&lt;li&gt;&lt;a href=|http://wes.biblecommenter.com/1_corinthians/10.htm| title=|Wesley's Notes on the Bible| target=|_top|&gt;WES&lt;/a&gt;</v>
      </c>
      <c r="AJ1072" t="str">
        <f>CONCATENATE("&lt;/li&gt;&lt;li&gt;&lt;a href=|http://",AJ1191,"/1_corinthians/10.htm","| ","title=|",AJ1190,"| target=|_top|&gt;",AJ1192,"&lt;/a&gt;")</f>
        <v>&lt;/li&gt;&lt;li&gt;&lt;a href=|http://worldebible.com/1_corinthians/10.htm| title=|World English Bible| target=|_top|&gt;WEB&lt;/a&gt;</v>
      </c>
      <c r="AK1072" t="str">
        <f>CONCATENATE("&lt;/li&gt;&lt;li&gt;&lt;a href=|http://",AK1191,"/1_corinthians/10.htm","| ","title=|",AK1190,"| target=|_top|&gt;",AK1192,"&lt;/a&gt;")</f>
        <v>&lt;/li&gt;&lt;li&gt;&lt;a href=|http://yltbible.com/1_corinthians/10.htm| title=|Young's Literal Translation| target=|_top|&gt;YLT&lt;/a&gt;</v>
      </c>
      <c r="AL1072" t="str">
        <f>CONCATENATE("&lt;a href=|http://",AL1191,"/1_corinthians/10.htm","| ","title=|",AL1190,"| target=|_top|&gt;",AL1192,"&lt;/a&gt;")</f>
        <v>&lt;a href=|http://kjv.us/1_corinthians/10.htm| title=|American King James Version| target=|_top|&gt;AKJ&lt;/a&gt;</v>
      </c>
      <c r="AM1072" t="str">
        <f t="shared" ref="AM1072:AS1072" si="4287">CONCATENATE("&lt;/li&gt;&lt;li&gt;&lt;a href=|http://",AM1191,"/1_corinthians/10.htm","| ","title=|",AM1190,"| target=|_top|&gt;",AM1192,"&lt;/a&gt;")</f>
        <v>&lt;/li&gt;&lt;li&gt;&lt;a href=|http://basicenglishbible.com/1_corinthians/10.htm| title=|Bible in Basic English| target=|_top|&gt;BBE&lt;/a&gt;</v>
      </c>
      <c r="AN1072" t="str">
        <f t="shared" si="4287"/>
        <v>&lt;/li&gt;&lt;li&gt;&lt;a href=|http://darbybible.com/1_corinthians/10.htm| title=|Darby Bible Translation| target=|_top|&gt;DBY&lt;/a&gt;</v>
      </c>
      <c r="AO1072" t="str">
        <f t="shared" si="4287"/>
        <v>&lt;/li&gt;&lt;li&gt;&lt;a href=|http://isv.scripturetext.com/1_corinthians/10.htm| title=|International Standard Version| target=|_top|&gt;ISV&lt;/a&gt;</v>
      </c>
      <c r="AP1072" t="str">
        <f t="shared" si="4287"/>
        <v>&lt;/li&gt;&lt;li&gt;&lt;a href=|http://tnt.scripturetext.com/1_corinthians/10.htm| title=|Tyndale New Testament| target=|_top|&gt;TNT&lt;/a&gt;</v>
      </c>
      <c r="AQ1072" s="2" t="str">
        <f t="shared" si="4287"/>
        <v>&lt;/li&gt;&lt;li&gt;&lt;a href=|http://pnt.biblecommenter.com/1_corinthians/10.htm| title=|People's New Testament| target=|_top|&gt;PNT&lt;/a&gt;</v>
      </c>
      <c r="AR1072" t="str">
        <f t="shared" si="4287"/>
        <v>&lt;/li&gt;&lt;li&gt;&lt;a href=|http://websterbible.com/1_corinthians/10.htm| title=|Webster's Bible Translation| target=|_top|&gt;WBS&lt;/a&gt;</v>
      </c>
      <c r="AS1072" t="str">
        <f t="shared" si="4287"/>
        <v>&lt;/li&gt;&lt;li&gt;&lt;a href=|http://weymouthbible.com/1_corinthians/10.htm| title=|Weymouth New Testament| target=|_top|&gt;WEY&lt;/a&gt;</v>
      </c>
      <c r="AT1072" t="str">
        <f>CONCATENATE("&lt;/li&gt;&lt;li&gt;&lt;a href=|http://",AT1191,"/1_corinthians/10-1.htm","| ","title=|",AT1190,"| target=|_top|&gt;",AT1192,"&lt;/a&gt;")</f>
        <v>&lt;/li&gt;&lt;li&gt;&lt;a href=|http://biblebrowser.com/1_corinthians/10-1.htm| title=|Split View| target=|_top|&gt;Split&lt;/a&gt;</v>
      </c>
      <c r="AU1072" s="2" t="s">
        <v>1276</v>
      </c>
      <c r="AV1072" t="s">
        <v>64</v>
      </c>
    </row>
    <row r="1073" spans="1:48">
      <c r="A1073" t="s">
        <v>622</v>
      </c>
      <c r="B1073" t="s">
        <v>504</v>
      </c>
      <c r="C1073" t="s">
        <v>624</v>
      </c>
      <c r="D1073" t="s">
        <v>1268</v>
      </c>
      <c r="E1073" t="s">
        <v>1277</v>
      </c>
      <c r="F1073" t="s">
        <v>1304</v>
      </c>
      <c r="G1073" t="s">
        <v>1266</v>
      </c>
      <c r="H1073" t="s">
        <v>1305</v>
      </c>
      <c r="I1073" t="s">
        <v>1303</v>
      </c>
      <c r="J1073" t="s">
        <v>1267</v>
      </c>
      <c r="K1073" t="s">
        <v>1275</v>
      </c>
      <c r="L1073" s="2" t="s">
        <v>1274</v>
      </c>
      <c r="M1073" t="str">
        <f t="shared" ref="M1073:AB1073" si="4288">CONCATENATE("&lt;/li&gt;&lt;li&gt;&lt;a href=|http://",M1191,"/1_corinthians/11.htm","| ","title=|",M1190,"| target=|_top|&gt;",M1192,"&lt;/a&gt;")</f>
        <v>&lt;/li&gt;&lt;li&gt;&lt;a href=|http://niv.scripturetext.com/1_corinthians/11.htm| title=|New International Version| target=|_top|&gt;NIV&lt;/a&gt;</v>
      </c>
      <c r="N1073" t="str">
        <f t="shared" si="4288"/>
        <v>&lt;/li&gt;&lt;li&gt;&lt;a href=|http://nlt.scripturetext.com/1_corinthians/11.htm| title=|New Living Translation| target=|_top|&gt;NLT&lt;/a&gt;</v>
      </c>
      <c r="O1073" t="str">
        <f t="shared" si="4288"/>
        <v>&lt;/li&gt;&lt;li&gt;&lt;a href=|http://nasb.scripturetext.com/1_corinthians/11.htm| title=|New American Standard Bible| target=|_top|&gt;NAS&lt;/a&gt;</v>
      </c>
      <c r="P1073" t="str">
        <f t="shared" si="4288"/>
        <v>&lt;/li&gt;&lt;li&gt;&lt;a href=|http://gwt.scripturetext.com/1_corinthians/11.htm| title=|God's Word Translation| target=|_top|&gt;GWT&lt;/a&gt;</v>
      </c>
      <c r="Q1073" t="str">
        <f t="shared" si="4288"/>
        <v>&lt;/li&gt;&lt;li&gt;&lt;a href=|http://kingjbible.com/1_corinthians/11.htm| title=|King James Bible| target=|_top|&gt;KJV&lt;/a&gt;</v>
      </c>
      <c r="R1073" t="str">
        <f t="shared" si="4288"/>
        <v>&lt;/li&gt;&lt;li&gt;&lt;a href=|http://asvbible.com/1_corinthians/11.htm| title=|American Standard Version| target=|_top|&gt;ASV&lt;/a&gt;</v>
      </c>
      <c r="S1073" t="str">
        <f t="shared" si="4288"/>
        <v>&lt;/li&gt;&lt;li&gt;&lt;a href=|http://drb.scripturetext.com/1_corinthians/11.htm| title=|Douay-Rheims Bible| target=|_top|&gt;DRB&lt;/a&gt;</v>
      </c>
      <c r="T1073" t="str">
        <f t="shared" si="4288"/>
        <v>&lt;/li&gt;&lt;li&gt;&lt;a href=|http://erv.scripturetext.com/1_corinthians/11.htm| title=|English Revised Version| target=|_top|&gt;ERV&lt;/a&gt;</v>
      </c>
      <c r="U1073" t="str">
        <f>CONCATENATE("&lt;/li&gt;&lt;li&gt;&lt;a href=|http://",U1191,"/1_corinthians/11.htm","| ","title=|",U1190,"| target=|_top|&gt;",U1192,"&lt;/a&gt;")</f>
        <v>&lt;/li&gt;&lt;li&gt;&lt;a href=|http://study.interlinearbible.org/1_corinthians/11.htm| title=|Greek Study Bible| target=|_top|&gt;Grk Study&lt;/a&gt;</v>
      </c>
      <c r="W1073" t="str">
        <f t="shared" si="4288"/>
        <v>&lt;/li&gt;&lt;li&gt;&lt;a href=|http://apostolic.interlinearbible.org/1_corinthians/11.htm| title=|Apostolic Bible Polyglot Interlinear| target=|_top|&gt;Polyglot&lt;/a&gt;</v>
      </c>
      <c r="X1073" t="str">
        <f t="shared" si="4288"/>
        <v>&lt;/li&gt;&lt;li&gt;&lt;a href=|http://interlinearbible.org/1_corinthians/11.htm| title=|Interlinear Bible| target=|_top|&gt;Interlin&lt;/a&gt;</v>
      </c>
      <c r="Y1073" t="str">
        <f t="shared" ref="Y1073" si="4289">CONCATENATE("&lt;/li&gt;&lt;li&gt;&lt;a href=|http://",Y1191,"/1_corinthians/11.htm","| ","title=|",Y1190,"| target=|_top|&gt;",Y1192,"&lt;/a&gt;")</f>
        <v>&lt;/li&gt;&lt;li&gt;&lt;a href=|http://bibleoutline.org/1_corinthians/11.htm| title=|Outline with People and Places List| target=|_top|&gt;Outline&lt;/a&gt;</v>
      </c>
      <c r="Z1073" t="str">
        <f t="shared" si="4288"/>
        <v>&lt;/li&gt;&lt;li&gt;&lt;a href=|http://kjvs.scripturetext.com/1_corinthians/11.htm| title=|King James Bible with Strong's Numbers| target=|_top|&gt;Strong's&lt;/a&gt;</v>
      </c>
      <c r="AA1073" t="str">
        <f t="shared" si="4288"/>
        <v>&lt;/li&gt;&lt;li&gt;&lt;a href=|http://childrensbibleonline.com/1_corinthians/11.htm| title=|The Children's Bible| target=|_top|&gt;Children's&lt;/a&gt;</v>
      </c>
      <c r="AB1073" s="2" t="str">
        <f t="shared" si="4288"/>
        <v>&lt;/li&gt;&lt;li&gt;&lt;a href=|http://tsk.scripturetext.com/1_corinthians/11.htm| title=|Treasury of Scripture Knowledge| target=|_top|&gt;TSK&lt;/a&gt;</v>
      </c>
      <c r="AC1073" t="str">
        <f>CONCATENATE("&lt;a href=|http://",AC1191,"/1_corinthians/11.htm","| ","title=|",AC1190,"| target=|_top|&gt;",AC1192,"&lt;/a&gt;")</f>
        <v>&lt;a href=|http://parallelbible.com/1_corinthians/11.htm| title=|Parallel Chapters| target=|_top|&gt;PAR&lt;/a&gt;</v>
      </c>
      <c r="AD1073" s="2" t="str">
        <f t="shared" ref="AD1073:AI1073" si="4290">CONCATENATE("&lt;/li&gt;&lt;li&gt;&lt;a href=|http://",AD1191,"/1_corinthians/11.htm","| ","title=|",AD1190,"| target=|_top|&gt;",AD1192,"&lt;/a&gt;")</f>
        <v>&lt;/li&gt;&lt;li&gt;&lt;a href=|http://gsb.biblecommenter.com/1_corinthians/11.htm| title=|Geneva Study Bible| target=|_top|&gt;GSB&lt;/a&gt;</v>
      </c>
      <c r="AE1073" s="2" t="str">
        <f t="shared" si="4290"/>
        <v>&lt;/li&gt;&lt;li&gt;&lt;a href=|http://jfb.biblecommenter.com/1_corinthians/11.htm| title=|Jamieson-Fausset-Brown Bible Commentary| target=|_top|&gt;JFB&lt;/a&gt;</v>
      </c>
      <c r="AF1073" s="2" t="str">
        <f t="shared" si="4290"/>
        <v>&lt;/li&gt;&lt;li&gt;&lt;a href=|http://kjt.biblecommenter.com/1_corinthians/11.htm| title=|King James Translators' Notes| target=|_top|&gt;KJT&lt;/a&gt;</v>
      </c>
      <c r="AG1073" s="2" t="str">
        <f t="shared" si="4290"/>
        <v>&lt;/li&gt;&lt;li&gt;&lt;a href=|http://mhc.biblecommenter.com/1_corinthians/11.htm| title=|Matthew Henry's Concise Commentary| target=|_top|&gt;MHC&lt;/a&gt;</v>
      </c>
      <c r="AH1073" s="2" t="str">
        <f t="shared" si="4290"/>
        <v>&lt;/li&gt;&lt;li&gt;&lt;a href=|http://sco.biblecommenter.com/1_corinthians/11.htm| title=|Scofield Reference Notes| target=|_top|&gt;SCO&lt;/a&gt;</v>
      </c>
      <c r="AI1073" s="2" t="str">
        <f t="shared" si="4290"/>
        <v>&lt;/li&gt;&lt;li&gt;&lt;a href=|http://wes.biblecommenter.com/1_corinthians/11.htm| title=|Wesley's Notes on the Bible| target=|_top|&gt;WES&lt;/a&gt;</v>
      </c>
      <c r="AJ1073" t="str">
        <f>CONCATENATE("&lt;/li&gt;&lt;li&gt;&lt;a href=|http://",AJ1191,"/1_corinthians/11.htm","| ","title=|",AJ1190,"| target=|_top|&gt;",AJ1192,"&lt;/a&gt;")</f>
        <v>&lt;/li&gt;&lt;li&gt;&lt;a href=|http://worldebible.com/1_corinthians/11.htm| title=|World English Bible| target=|_top|&gt;WEB&lt;/a&gt;</v>
      </c>
      <c r="AK1073" t="str">
        <f>CONCATENATE("&lt;/li&gt;&lt;li&gt;&lt;a href=|http://",AK1191,"/1_corinthians/11.htm","| ","title=|",AK1190,"| target=|_top|&gt;",AK1192,"&lt;/a&gt;")</f>
        <v>&lt;/li&gt;&lt;li&gt;&lt;a href=|http://yltbible.com/1_corinthians/11.htm| title=|Young's Literal Translation| target=|_top|&gt;YLT&lt;/a&gt;</v>
      </c>
      <c r="AL1073" t="str">
        <f>CONCATENATE("&lt;a href=|http://",AL1191,"/1_corinthians/11.htm","| ","title=|",AL1190,"| target=|_top|&gt;",AL1192,"&lt;/a&gt;")</f>
        <v>&lt;a href=|http://kjv.us/1_corinthians/11.htm| title=|American King James Version| target=|_top|&gt;AKJ&lt;/a&gt;</v>
      </c>
      <c r="AM1073" t="str">
        <f t="shared" ref="AM1073:AS1073" si="4291">CONCATENATE("&lt;/li&gt;&lt;li&gt;&lt;a href=|http://",AM1191,"/1_corinthians/11.htm","| ","title=|",AM1190,"| target=|_top|&gt;",AM1192,"&lt;/a&gt;")</f>
        <v>&lt;/li&gt;&lt;li&gt;&lt;a href=|http://basicenglishbible.com/1_corinthians/11.htm| title=|Bible in Basic English| target=|_top|&gt;BBE&lt;/a&gt;</v>
      </c>
      <c r="AN1073" t="str">
        <f t="shared" si="4291"/>
        <v>&lt;/li&gt;&lt;li&gt;&lt;a href=|http://darbybible.com/1_corinthians/11.htm| title=|Darby Bible Translation| target=|_top|&gt;DBY&lt;/a&gt;</v>
      </c>
      <c r="AO1073" t="str">
        <f t="shared" si="4291"/>
        <v>&lt;/li&gt;&lt;li&gt;&lt;a href=|http://isv.scripturetext.com/1_corinthians/11.htm| title=|International Standard Version| target=|_top|&gt;ISV&lt;/a&gt;</v>
      </c>
      <c r="AP1073" t="str">
        <f t="shared" si="4291"/>
        <v>&lt;/li&gt;&lt;li&gt;&lt;a href=|http://tnt.scripturetext.com/1_corinthians/11.htm| title=|Tyndale New Testament| target=|_top|&gt;TNT&lt;/a&gt;</v>
      </c>
      <c r="AQ1073" s="2" t="str">
        <f t="shared" si="4291"/>
        <v>&lt;/li&gt;&lt;li&gt;&lt;a href=|http://pnt.biblecommenter.com/1_corinthians/11.htm| title=|People's New Testament| target=|_top|&gt;PNT&lt;/a&gt;</v>
      </c>
      <c r="AR1073" t="str">
        <f t="shared" si="4291"/>
        <v>&lt;/li&gt;&lt;li&gt;&lt;a href=|http://websterbible.com/1_corinthians/11.htm| title=|Webster's Bible Translation| target=|_top|&gt;WBS&lt;/a&gt;</v>
      </c>
      <c r="AS1073" t="str">
        <f t="shared" si="4291"/>
        <v>&lt;/li&gt;&lt;li&gt;&lt;a href=|http://weymouthbible.com/1_corinthians/11.htm| title=|Weymouth New Testament| target=|_top|&gt;WEY&lt;/a&gt;</v>
      </c>
      <c r="AT1073" t="str">
        <f>CONCATENATE("&lt;/li&gt;&lt;li&gt;&lt;a href=|http://",AT1191,"/1_corinthians/11-1.htm","| ","title=|",AT1190,"| target=|_top|&gt;",AT1192,"&lt;/a&gt;")</f>
        <v>&lt;/li&gt;&lt;li&gt;&lt;a href=|http://biblebrowser.com/1_corinthians/11-1.htm| title=|Split View| target=|_top|&gt;Split&lt;/a&gt;</v>
      </c>
      <c r="AU1073" s="2" t="s">
        <v>1276</v>
      </c>
      <c r="AV1073" t="s">
        <v>64</v>
      </c>
    </row>
    <row r="1074" spans="1:48">
      <c r="A1074" t="s">
        <v>622</v>
      </c>
      <c r="B1074" t="s">
        <v>505</v>
      </c>
      <c r="C1074" t="s">
        <v>624</v>
      </c>
      <c r="D1074" t="s">
        <v>1268</v>
      </c>
      <c r="E1074" t="s">
        <v>1277</v>
      </c>
      <c r="F1074" t="s">
        <v>1304</v>
      </c>
      <c r="G1074" t="s">
        <v>1266</v>
      </c>
      <c r="H1074" t="s">
        <v>1305</v>
      </c>
      <c r="I1074" t="s">
        <v>1303</v>
      </c>
      <c r="J1074" t="s">
        <v>1267</v>
      </c>
      <c r="K1074" t="s">
        <v>1275</v>
      </c>
      <c r="L1074" s="2" t="s">
        <v>1274</v>
      </c>
      <c r="M1074" t="str">
        <f t="shared" ref="M1074:AB1074" si="4292">CONCATENATE("&lt;/li&gt;&lt;li&gt;&lt;a href=|http://",M1191,"/1_corinthians/12.htm","| ","title=|",M1190,"| target=|_top|&gt;",M1192,"&lt;/a&gt;")</f>
        <v>&lt;/li&gt;&lt;li&gt;&lt;a href=|http://niv.scripturetext.com/1_corinthians/12.htm| title=|New International Version| target=|_top|&gt;NIV&lt;/a&gt;</v>
      </c>
      <c r="N1074" t="str">
        <f t="shared" si="4292"/>
        <v>&lt;/li&gt;&lt;li&gt;&lt;a href=|http://nlt.scripturetext.com/1_corinthians/12.htm| title=|New Living Translation| target=|_top|&gt;NLT&lt;/a&gt;</v>
      </c>
      <c r="O1074" t="str">
        <f t="shared" si="4292"/>
        <v>&lt;/li&gt;&lt;li&gt;&lt;a href=|http://nasb.scripturetext.com/1_corinthians/12.htm| title=|New American Standard Bible| target=|_top|&gt;NAS&lt;/a&gt;</v>
      </c>
      <c r="P1074" t="str">
        <f t="shared" si="4292"/>
        <v>&lt;/li&gt;&lt;li&gt;&lt;a href=|http://gwt.scripturetext.com/1_corinthians/12.htm| title=|God's Word Translation| target=|_top|&gt;GWT&lt;/a&gt;</v>
      </c>
      <c r="Q1074" t="str">
        <f t="shared" si="4292"/>
        <v>&lt;/li&gt;&lt;li&gt;&lt;a href=|http://kingjbible.com/1_corinthians/12.htm| title=|King James Bible| target=|_top|&gt;KJV&lt;/a&gt;</v>
      </c>
      <c r="R1074" t="str">
        <f t="shared" si="4292"/>
        <v>&lt;/li&gt;&lt;li&gt;&lt;a href=|http://asvbible.com/1_corinthians/12.htm| title=|American Standard Version| target=|_top|&gt;ASV&lt;/a&gt;</v>
      </c>
      <c r="S1074" t="str">
        <f t="shared" si="4292"/>
        <v>&lt;/li&gt;&lt;li&gt;&lt;a href=|http://drb.scripturetext.com/1_corinthians/12.htm| title=|Douay-Rheims Bible| target=|_top|&gt;DRB&lt;/a&gt;</v>
      </c>
      <c r="T1074" t="str">
        <f t="shared" si="4292"/>
        <v>&lt;/li&gt;&lt;li&gt;&lt;a href=|http://erv.scripturetext.com/1_corinthians/12.htm| title=|English Revised Version| target=|_top|&gt;ERV&lt;/a&gt;</v>
      </c>
      <c r="U1074" t="str">
        <f>CONCATENATE("&lt;/li&gt;&lt;li&gt;&lt;a href=|http://",U1191,"/1_corinthians/12.htm","| ","title=|",U1190,"| target=|_top|&gt;",U1192,"&lt;/a&gt;")</f>
        <v>&lt;/li&gt;&lt;li&gt;&lt;a href=|http://study.interlinearbible.org/1_corinthians/12.htm| title=|Greek Study Bible| target=|_top|&gt;Grk Study&lt;/a&gt;</v>
      </c>
      <c r="W1074" t="str">
        <f t="shared" si="4292"/>
        <v>&lt;/li&gt;&lt;li&gt;&lt;a href=|http://apostolic.interlinearbible.org/1_corinthians/12.htm| title=|Apostolic Bible Polyglot Interlinear| target=|_top|&gt;Polyglot&lt;/a&gt;</v>
      </c>
      <c r="X1074" t="str">
        <f t="shared" si="4292"/>
        <v>&lt;/li&gt;&lt;li&gt;&lt;a href=|http://interlinearbible.org/1_corinthians/12.htm| title=|Interlinear Bible| target=|_top|&gt;Interlin&lt;/a&gt;</v>
      </c>
      <c r="Y1074" t="str">
        <f t="shared" ref="Y1074" si="4293">CONCATENATE("&lt;/li&gt;&lt;li&gt;&lt;a href=|http://",Y1191,"/1_corinthians/12.htm","| ","title=|",Y1190,"| target=|_top|&gt;",Y1192,"&lt;/a&gt;")</f>
        <v>&lt;/li&gt;&lt;li&gt;&lt;a href=|http://bibleoutline.org/1_corinthians/12.htm| title=|Outline with People and Places List| target=|_top|&gt;Outline&lt;/a&gt;</v>
      </c>
      <c r="Z1074" t="str">
        <f t="shared" si="4292"/>
        <v>&lt;/li&gt;&lt;li&gt;&lt;a href=|http://kjvs.scripturetext.com/1_corinthians/12.htm| title=|King James Bible with Strong's Numbers| target=|_top|&gt;Strong's&lt;/a&gt;</v>
      </c>
      <c r="AA1074" t="str">
        <f t="shared" si="4292"/>
        <v>&lt;/li&gt;&lt;li&gt;&lt;a href=|http://childrensbibleonline.com/1_corinthians/12.htm| title=|The Children's Bible| target=|_top|&gt;Children's&lt;/a&gt;</v>
      </c>
      <c r="AB1074" s="2" t="str">
        <f t="shared" si="4292"/>
        <v>&lt;/li&gt;&lt;li&gt;&lt;a href=|http://tsk.scripturetext.com/1_corinthians/12.htm| title=|Treasury of Scripture Knowledge| target=|_top|&gt;TSK&lt;/a&gt;</v>
      </c>
      <c r="AC1074" t="str">
        <f>CONCATENATE("&lt;a href=|http://",AC1191,"/1_corinthians/12.htm","| ","title=|",AC1190,"| target=|_top|&gt;",AC1192,"&lt;/a&gt;")</f>
        <v>&lt;a href=|http://parallelbible.com/1_corinthians/12.htm| title=|Parallel Chapters| target=|_top|&gt;PAR&lt;/a&gt;</v>
      </c>
      <c r="AD1074" s="2" t="str">
        <f t="shared" ref="AD1074:AI1074" si="4294">CONCATENATE("&lt;/li&gt;&lt;li&gt;&lt;a href=|http://",AD1191,"/1_corinthians/12.htm","| ","title=|",AD1190,"| target=|_top|&gt;",AD1192,"&lt;/a&gt;")</f>
        <v>&lt;/li&gt;&lt;li&gt;&lt;a href=|http://gsb.biblecommenter.com/1_corinthians/12.htm| title=|Geneva Study Bible| target=|_top|&gt;GSB&lt;/a&gt;</v>
      </c>
      <c r="AE1074" s="2" t="str">
        <f t="shared" si="4294"/>
        <v>&lt;/li&gt;&lt;li&gt;&lt;a href=|http://jfb.biblecommenter.com/1_corinthians/12.htm| title=|Jamieson-Fausset-Brown Bible Commentary| target=|_top|&gt;JFB&lt;/a&gt;</v>
      </c>
      <c r="AF1074" s="2" t="str">
        <f t="shared" si="4294"/>
        <v>&lt;/li&gt;&lt;li&gt;&lt;a href=|http://kjt.biblecommenter.com/1_corinthians/12.htm| title=|King James Translators' Notes| target=|_top|&gt;KJT&lt;/a&gt;</v>
      </c>
      <c r="AG1074" s="2" t="str">
        <f t="shared" si="4294"/>
        <v>&lt;/li&gt;&lt;li&gt;&lt;a href=|http://mhc.biblecommenter.com/1_corinthians/12.htm| title=|Matthew Henry's Concise Commentary| target=|_top|&gt;MHC&lt;/a&gt;</v>
      </c>
      <c r="AH1074" s="2" t="str">
        <f t="shared" si="4294"/>
        <v>&lt;/li&gt;&lt;li&gt;&lt;a href=|http://sco.biblecommenter.com/1_corinthians/12.htm| title=|Scofield Reference Notes| target=|_top|&gt;SCO&lt;/a&gt;</v>
      </c>
      <c r="AI1074" s="2" t="str">
        <f t="shared" si="4294"/>
        <v>&lt;/li&gt;&lt;li&gt;&lt;a href=|http://wes.biblecommenter.com/1_corinthians/12.htm| title=|Wesley's Notes on the Bible| target=|_top|&gt;WES&lt;/a&gt;</v>
      </c>
      <c r="AJ1074" t="str">
        <f>CONCATENATE("&lt;/li&gt;&lt;li&gt;&lt;a href=|http://",AJ1191,"/1_corinthians/12.htm","| ","title=|",AJ1190,"| target=|_top|&gt;",AJ1192,"&lt;/a&gt;")</f>
        <v>&lt;/li&gt;&lt;li&gt;&lt;a href=|http://worldebible.com/1_corinthians/12.htm| title=|World English Bible| target=|_top|&gt;WEB&lt;/a&gt;</v>
      </c>
      <c r="AK1074" t="str">
        <f>CONCATENATE("&lt;/li&gt;&lt;li&gt;&lt;a href=|http://",AK1191,"/1_corinthians/12.htm","| ","title=|",AK1190,"| target=|_top|&gt;",AK1192,"&lt;/a&gt;")</f>
        <v>&lt;/li&gt;&lt;li&gt;&lt;a href=|http://yltbible.com/1_corinthians/12.htm| title=|Young's Literal Translation| target=|_top|&gt;YLT&lt;/a&gt;</v>
      </c>
      <c r="AL1074" t="str">
        <f>CONCATENATE("&lt;a href=|http://",AL1191,"/1_corinthians/12.htm","| ","title=|",AL1190,"| target=|_top|&gt;",AL1192,"&lt;/a&gt;")</f>
        <v>&lt;a href=|http://kjv.us/1_corinthians/12.htm| title=|American King James Version| target=|_top|&gt;AKJ&lt;/a&gt;</v>
      </c>
      <c r="AM1074" t="str">
        <f t="shared" ref="AM1074:AS1074" si="4295">CONCATENATE("&lt;/li&gt;&lt;li&gt;&lt;a href=|http://",AM1191,"/1_corinthians/12.htm","| ","title=|",AM1190,"| target=|_top|&gt;",AM1192,"&lt;/a&gt;")</f>
        <v>&lt;/li&gt;&lt;li&gt;&lt;a href=|http://basicenglishbible.com/1_corinthians/12.htm| title=|Bible in Basic English| target=|_top|&gt;BBE&lt;/a&gt;</v>
      </c>
      <c r="AN1074" t="str">
        <f t="shared" si="4295"/>
        <v>&lt;/li&gt;&lt;li&gt;&lt;a href=|http://darbybible.com/1_corinthians/12.htm| title=|Darby Bible Translation| target=|_top|&gt;DBY&lt;/a&gt;</v>
      </c>
      <c r="AO1074" t="str">
        <f t="shared" si="4295"/>
        <v>&lt;/li&gt;&lt;li&gt;&lt;a href=|http://isv.scripturetext.com/1_corinthians/12.htm| title=|International Standard Version| target=|_top|&gt;ISV&lt;/a&gt;</v>
      </c>
      <c r="AP1074" t="str">
        <f t="shared" si="4295"/>
        <v>&lt;/li&gt;&lt;li&gt;&lt;a href=|http://tnt.scripturetext.com/1_corinthians/12.htm| title=|Tyndale New Testament| target=|_top|&gt;TNT&lt;/a&gt;</v>
      </c>
      <c r="AQ1074" s="2" t="str">
        <f t="shared" si="4295"/>
        <v>&lt;/li&gt;&lt;li&gt;&lt;a href=|http://pnt.biblecommenter.com/1_corinthians/12.htm| title=|People's New Testament| target=|_top|&gt;PNT&lt;/a&gt;</v>
      </c>
      <c r="AR1074" t="str">
        <f t="shared" si="4295"/>
        <v>&lt;/li&gt;&lt;li&gt;&lt;a href=|http://websterbible.com/1_corinthians/12.htm| title=|Webster's Bible Translation| target=|_top|&gt;WBS&lt;/a&gt;</v>
      </c>
      <c r="AS1074" t="str">
        <f t="shared" si="4295"/>
        <v>&lt;/li&gt;&lt;li&gt;&lt;a href=|http://weymouthbible.com/1_corinthians/12.htm| title=|Weymouth New Testament| target=|_top|&gt;WEY&lt;/a&gt;</v>
      </c>
      <c r="AT1074" t="str">
        <f>CONCATENATE("&lt;/li&gt;&lt;li&gt;&lt;a href=|http://",AT1191,"/1_corinthians/12-1.htm","| ","title=|",AT1190,"| target=|_top|&gt;",AT1192,"&lt;/a&gt;")</f>
        <v>&lt;/li&gt;&lt;li&gt;&lt;a href=|http://biblebrowser.com/1_corinthians/12-1.htm| title=|Split View| target=|_top|&gt;Split&lt;/a&gt;</v>
      </c>
      <c r="AU1074" s="2" t="s">
        <v>1276</v>
      </c>
      <c r="AV1074" t="s">
        <v>64</v>
      </c>
    </row>
    <row r="1075" spans="1:48">
      <c r="A1075" t="s">
        <v>622</v>
      </c>
      <c r="B1075" t="s">
        <v>506</v>
      </c>
      <c r="C1075" t="s">
        <v>624</v>
      </c>
      <c r="D1075" t="s">
        <v>1268</v>
      </c>
      <c r="E1075" t="s">
        <v>1277</v>
      </c>
      <c r="F1075" t="s">
        <v>1304</v>
      </c>
      <c r="G1075" t="s">
        <v>1266</v>
      </c>
      <c r="H1075" t="s">
        <v>1305</v>
      </c>
      <c r="I1075" t="s">
        <v>1303</v>
      </c>
      <c r="J1075" t="s">
        <v>1267</v>
      </c>
      <c r="K1075" t="s">
        <v>1275</v>
      </c>
      <c r="L1075" s="2" t="s">
        <v>1274</v>
      </c>
      <c r="M1075" t="str">
        <f t="shared" ref="M1075:AB1075" si="4296">CONCATENATE("&lt;/li&gt;&lt;li&gt;&lt;a href=|http://",M1191,"/1_corinthians/13.htm","| ","title=|",M1190,"| target=|_top|&gt;",M1192,"&lt;/a&gt;")</f>
        <v>&lt;/li&gt;&lt;li&gt;&lt;a href=|http://niv.scripturetext.com/1_corinthians/13.htm| title=|New International Version| target=|_top|&gt;NIV&lt;/a&gt;</v>
      </c>
      <c r="N1075" t="str">
        <f t="shared" si="4296"/>
        <v>&lt;/li&gt;&lt;li&gt;&lt;a href=|http://nlt.scripturetext.com/1_corinthians/13.htm| title=|New Living Translation| target=|_top|&gt;NLT&lt;/a&gt;</v>
      </c>
      <c r="O1075" t="str">
        <f t="shared" si="4296"/>
        <v>&lt;/li&gt;&lt;li&gt;&lt;a href=|http://nasb.scripturetext.com/1_corinthians/13.htm| title=|New American Standard Bible| target=|_top|&gt;NAS&lt;/a&gt;</v>
      </c>
      <c r="P1075" t="str">
        <f t="shared" si="4296"/>
        <v>&lt;/li&gt;&lt;li&gt;&lt;a href=|http://gwt.scripturetext.com/1_corinthians/13.htm| title=|God's Word Translation| target=|_top|&gt;GWT&lt;/a&gt;</v>
      </c>
      <c r="Q1075" t="str">
        <f t="shared" si="4296"/>
        <v>&lt;/li&gt;&lt;li&gt;&lt;a href=|http://kingjbible.com/1_corinthians/13.htm| title=|King James Bible| target=|_top|&gt;KJV&lt;/a&gt;</v>
      </c>
      <c r="R1075" t="str">
        <f t="shared" si="4296"/>
        <v>&lt;/li&gt;&lt;li&gt;&lt;a href=|http://asvbible.com/1_corinthians/13.htm| title=|American Standard Version| target=|_top|&gt;ASV&lt;/a&gt;</v>
      </c>
      <c r="S1075" t="str">
        <f t="shared" si="4296"/>
        <v>&lt;/li&gt;&lt;li&gt;&lt;a href=|http://drb.scripturetext.com/1_corinthians/13.htm| title=|Douay-Rheims Bible| target=|_top|&gt;DRB&lt;/a&gt;</v>
      </c>
      <c r="T1075" t="str">
        <f t="shared" si="4296"/>
        <v>&lt;/li&gt;&lt;li&gt;&lt;a href=|http://erv.scripturetext.com/1_corinthians/13.htm| title=|English Revised Version| target=|_top|&gt;ERV&lt;/a&gt;</v>
      </c>
      <c r="U1075" t="str">
        <f>CONCATENATE("&lt;/li&gt;&lt;li&gt;&lt;a href=|http://",U1191,"/1_corinthians/13.htm","| ","title=|",U1190,"| target=|_top|&gt;",U1192,"&lt;/a&gt;")</f>
        <v>&lt;/li&gt;&lt;li&gt;&lt;a href=|http://study.interlinearbible.org/1_corinthians/13.htm| title=|Greek Study Bible| target=|_top|&gt;Grk Study&lt;/a&gt;</v>
      </c>
      <c r="W1075" t="str">
        <f t="shared" si="4296"/>
        <v>&lt;/li&gt;&lt;li&gt;&lt;a href=|http://apostolic.interlinearbible.org/1_corinthians/13.htm| title=|Apostolic Bible Polyglot Interlinear| target=|_top|&gt;Polyglot&lt;/a&gt;</v>
      </c>
      <c r="X1075" t="str">
        <f t="shared" si="4296"/>
        <v>&lt;/li&gt;&lt;li&gt;&lt;a href=|http://interlinearbible.org/1_corinthians/13.htm| title=|Interlinear Bible| target=|_top|&gt;Interlin&lt;/a&gt;</v>
      </c>
      <c r="Y1075" t="str">
        <f t="shared" ref="Y1075" si="4297">CONCATENATE("&lt;/li&gt;&lt;li&gt;&lt;a href=|http://",Y1191,"/1_corinthians/13.htm","| ","title=|",Y1190,"| target=|_top|&gt;",Y1192,"&lt;/a&gt;")</f>
        <v>&lt;/li&gt;&lt;li&gt;&lt;a href=|http://bibleoutline.org/1_corinthians/13.htm| title=|Outline with People and Places List| target=|_top|&gt;Outline&lt;/a&gt;</v>
      </c>
      <c r="Z1075" t="str">
        <f t="shared" si="4296"/>
        <v>&lt;/li&gt;&lt;li&gt;&lt;a href=|http://kjvs.scripturetext.com/1_corinthians/13.htm| title=|King James Bible with Strong's Numbers| target=|_top|&gt;Strong's&lt;/a&gt;</v>
      </c>
      <c r="AA1075" t="str">
        <f t="shared" si="4296"/>
        <v>&lt;/li&gt;&lt;li&gt;&lt;a href=|http://childrensbibleonline.com/1_corinthians/13.htm| title=|The Children's Bible| target=|_top|&gt;Children's&lt;/a&gt;</v>
      </c>
      <c r="AB1075" s="2" t="str">
        <f t="shared" si="4296"/>
        <v>&lt;/li&gt;&lt;li&gt;&lt;a href=|http://tsk.scripturetext.com/1_corinthians/13.htm| title=|Treasury of Scripture Knowledge| target=|_top|&gt;TSK&lt;/a&gt;</v>
      </c>
      <c r="AC1075" t="str">
        <f>CONCATENATE("&lt;a href=|http://",AC1191,"/1_corinthians/13.htm","| ","title=|",AC1190,"| target=|_top|&gt;",AC1192,"&lt;/a&gt;")</f>
        <v>&lt;a href=|http://parallelbible.com/1_corinthians/13.htm| title=|Parallel Chapters| target=|_top|&gt;PAR&lt;/a&gt;</v>
      </c>
      <c r="AD1075" s="2" t="str">
        <f t="shared" ref="AD1075:AI1075" si="4298">CONCATENATE("&lt;/li&gt;&lt;li&gt;&lt;a href=|http://",AD1191,"/1_corinthians/13.htm","| ","title=|",AD1190,"| target=|_top|&gt;",AD1192,"&lt;/a&gt;")</f>
        <v>&lt;/li&gt;&lt;li&gt;&lt;a href=|http://gsb.biblecommenter.com/1_corinthians/13.htm| title=|Geneva Study Bible| target=|_top|&gt;GSB&lt;/a&gt;</v>
      </c>
      <c r="AE1075" s="2" t="str">
        <f t="shared" si="4298"/>
        <v>&lt;/li&gt;&lt;li&gt;&lt;a href=|http://jfb.biblecommenter.com/1_corinthians/13.htm| title=|Jamieson-Fausset-Brown Bible Commentary| target=|_top|&gt;JFB&lt;/a&gt;</v>
      </c>
      <c r="AF1075" s="2" t="str">
        <f t="shared" si="4298"/>
        <v>&lt;/li&gt;&lt;li&gt;&lt;a href=|http://kjt.biblecommenter.com/1_corinthians/13.htm| title=|King James Translators' Notes| target=|_top|&gt;KJT&lt;/a&gt;</v>
      </c>
      <c r="AG1075" s="2" t="str">
        <f t="shared" si="4298"/>
        <v>&lt;/li&gt;&lt;li&gt;&lt;a href=|http://mhc.biblecommenter.com/1_corinthians/13.htm| title=|Matthew Henry's Concise Commentary| target=|_top|&gt;MHC&lt;/a&gt;</v>
      </c>
      <c r="AH1075" s="2" t="str">
        <f t="shared" si="4298"/>
        <v>&lt;/li&gt;&lt;li&gt;&lt;a href=|http://sco.biblecommenter.com/1_corinthians/13.htm| title=|Scofield Reference Notes| target=|_top|&gt;SCO&lt;/a&gt;</v>
      </c>
      <c r="AI1075" s="2" t="str">
        <f t="shared" si="4298"/>
        <v>&lt;/li&gt;&lt;li&gt;&lt;a href=|http://wes.biblecommenter.com/1_corinthians/13.htm| title=|Wesley's Notes on the Bible| target=|_top|&gt;WES&lt;/a&gt;</v>
      </c>
      <c r="AJ1075" t="str">
        <f>CONCATENATE("&lt;/li&gt;&lt;li&gt;&lt;a href=|http://",AJ1191,"/1_corinthians/13.htm","| ","title=|",AJ1190,"| target=|_top|&gt;",AJ1192,"&lt;/a&gt;")</f>
        <v>&lt;/li&gt;&lt;li&gt;&lt;a href=|http://worldebible.com/1_corinthians/13.htm| title=|World English Bible| target=|_top|&gt;WEB&lt;/a&gt;</v>
      </c>
      <c r="AK1075" t="str">
        <f>CONCATENATE("&lt;/li&gt;&lt;li&gt;&lt;a href=|http://",AK1191,"/1_corinthians/13.htm","| ","title=|",AK1190,"| target=|_top|&gt;",AK1192,"&lt;/a&gt;")</f>
        <v>&lt;/li&gt;&lt;li&gt;&lt;a href=|http://yltbible.com/1_corinthians/13.htm| title=|Young's Literal Translation| target=|_top|&gt;YLT&lt;/a&gt;</v>
      </c>
      <c r="AL1075" t="str">
        <f>CONCATENATE("&lt;a href=|http://",AL1191,"/1_corinthians/13.htm","| ","title=|",AL1190,"| target=|_top|&gt;",AL1192,"&lt;/a&gt;")</f>
        <v>&lt;a href=|http://kjv.us/1_corinthians/13.htm| title=|American King James Version| target=|_top|&gt;AKJ&lt;/a&gt;</v>
      </c>
      <c r="AM1075" t="str">
        <f t="shared" ref="AM1075:AS1075" si="4299">CONCATENATE("&lt;/li&gt;&lt;li&gt;&lt;a href=|http://",AM1191,"/1_corinthians/13.htm","| ","title=|",AM1190,"| target=|_top|&gt;",AM1192,"&lt;/a&gt;")</f>
        <v>&lt;/li&gt;&lt;li&gt;&lt;a href=|http://basicenglishbible.com/1_corinthians/13.htm| title=|Bible in Basic English| target=|_top|&gt;BBE&lt;/a&gt;</v>
      </c>
      <c r="AN1075" t="str">
        <f t="shared" si="4299"/>
        <v>&lt;/li&gt;&lt;li&gt;&lt;a href=|http://darbybible.com/1_corinthians/13.htm| title=|Darby Bible Translation| target=|_top|&gt;DBY&lt;/a&gt;</v>
      </c>
      <c r="AO1075" t="str">
        <f t="shared" si="4299"/>
        <v>&lt;/li&gt;&lt;li&gt;&lt;a href=|http://isv.scripturetext.com/1_corinthians/13.htm| title=|International Standard Version| target=|_top|&gt;ISV&lt;/a&gt;</v>
      </c>
      <c r="AP1075" t="str">
        <f t="shared" si="4299"/>
        <v>&lt;/li&gt;&lt;li&gt;&lt;a href=|http://tnt.scripturetext.com/1_corinthians/13.htm| title=|Tyndale New Testament| target=|_top|&gt;TNT&lt;/a&gt;</v>
      </c>
      <c r="AQ1075" s="2" t="str">
        <f t="shared" si="4299"/>
        <v>&lt;/li&gt;&lt;li&gt;&lt;a href=|http://pnt.biblecommenter.com/1_corinthians/13.htm| title=|People's New Testament| target=|_top|&gt;PNT&lt;/a&gt;</v>
      </c>
      <c r="AR1075" t="str">
        <f t="shared" si="4299"/>
        <v>&lt;/li&gt;&lt;li&gt;&lt;a href=|http://websterbible.com/1_corinthians/13.htm| title=|Webster's Bible Translation| target=|_top|&gt;WBS&lt;/a&gt;</v>
      </c>
      <c r="AS1075" t="str">
        <f t="shared" si="4299"/>
        <v>&lt;/li&gt;&lt;li&gt;&lt;a href=|http://weymouthbible.com/1_corinthians/13.htm| title=|Weymouth New Testament| target=|_top|&gt;WEY&lt;/a&gt;</v>
      </c>
      <c r="AT1075" t="str">
        <f>CONCATENATE("&lt;/li&gt;&lt;li&gt;&lt;a href=|http://",AT1191,"/1_corinthians/13-1.htm","| ","title=|",AT1190,"| target=|_top|&gt;",AT1192,"&lt;/a&gt;")</f>
        <v>&lt;/li&gt;&lt;li&gt;&lt;a href=|http://biblebrowser.com/1_corinthians/13-1.htm| title=|Split View| target=|_top|&gt;Split&lt;/a&gt;</v>
      </c>
      <c r="AU1075" s="2" t="s">
        <v>1276</v>
      </c>
      <c r="AV1075" t="s">
        <v>64</v>
      </c>
    </row>
    <row r="1076" spans="1:48">
      <c r="A1076" t="s">
        <v>622</v>
      </c>
      <c r="B1076" t="s">
        <v>507</v>
      </c>
      <c r="C1076" t="s">
        <v>624</v>
      </c>
      <c r="D1076" t="s">
        <v>1268</v>
      </c>
      <c r="E1076" t="s">
        <v>1277</v>
      </c>
      <c r="F1076" t="s">
        <v>1304</v>
      </c>
      <c r="G1076" t="s">
        <v>1266</v>
      </c>
      <c r="H1076" t="s">
        <v>1305</v>
      </c>
      <c r="I1076" t="s">
        <v>1303</v>
      </c>
      <c r="J1076" t="s">
        <v>1267</v>
      </c>
      <c r="K1076" t="s">
        <v>1275</v>
      </c>
      <c r="L1076" s="2" t="s">
        <v>1274</v>
      </c>
      <c r="M1076" t="str">
        <f t="shared" ref="M1076:AB1076" si="4300">CONCATENATE("&lt;/li&gt;&lt;li&gt;&lt;a href=|http://",M1191,"/1_corinthians/14.htm","| ","title=|",M1190,"| target=|_top|&gt;",M1192,"&lt;/a&gt;")</f>
        <v>&lt;/li&gt;&lt;li&gt;&lt;a href=|http://niv.scripturetext.com/1_corinthians/14.htm| title=|New International Version| target=|_top|&gt;NIV&lt;/a&gt;</v>
      </c>
      <c r="N1076" t="str">
        <f t="shared" si="4300"/>
        <v>&lt;/li&gt;&lt;li&gt;&lt;a href=|http://nlt.scripturetext.com/1_corinthians/14.htm| title=|New Living Translation| target=|_top|&gt;NLT&lt;/a&gt;</v>
      </c>
      <c r="O1076" t="str">
        <f t="shared" si="4300"/>
        <v>&lt;/li&gt;&lt;li&gt;&lt;a href=|http://nasb.scripturetext.com/1_corinthians/14.htm| title=|New American Standard Bible| target=|_top|&gt;NAS&lt;/a&gt;</v>
      </c>
      <c r="P1076" t="str">
        <f t="shared" si="4300"/>
        <v>&lt;/li&gt;&lt;li&gt;&lt;a href=|http://gwt.scripturetext.com/1_corinthians/14.htm| title=|God's Word Translation| target=|_top|&gt;GWT&lt;/a&gt;</v>
      </c>
      <c r="Q1076" t="str">
        <f t="shared" si="4300"/>
        <v>&lt;/li&gt;&lt;li&gt;&lt;a href=|http://kingjbible.com/1_corinthians/14.htm| title=|King James Bible| target=|_top|&gt;KJV&lt;/a&gt;</v>
      </c>
      <c r="R1076" t="str">
        <f t="shared" si="4300"/>
        <v>&lt;/li&gt;&lt;li&gt;&lt;a href=|http://asvbible.com/1_corinthians/14.htm| title=|American Standard Version| target=|_top|&gt;ASV&lt;/a&gt;</v>
      </c>
      <c r="S1076" t="str">
        <f t="shared" si="4300"/>
        <v>&lt;/li&gt;&lt;li&gt;&lt;a href=|http://drb.scripturetext.com/1_corinthians/14.htm| title=|Douay-Rheims Bible| target=|_top|&gt;DRB&lt;/a&gt;</v>
      </c>
      <c r="T1076" t="str">
        <f t="shared" si="4300"/>
        <v>&lt;/li&gt;&lt;li&gt;&lt;a href=|http://erv.scripturetext.com/1_corinthians/14.htm| title=|English Revised Version| target=|_top|&gt;ERV&lt;/a&gt;</v>
      </c>
      <c r="U1076" t="str">
        <f>CONCATENATE("&lt;/li&gt;&lt;li&gt;&lt;a href=|http://",U1191,"/1_corinthians/14.htm","| ","title=|",U1190,"| target=|_top|&gt;",U1192,"&lt;/a&gt;")</f>
        <v>&lt;/li&gt;&lt;li&gt;&lt;a href=|http://study.interlinearbible.org/1_corinthians/14.htm| title=|Greek Study Bible| target=|_top|&gt;Grk Study&lt;/a&gt;</v>
      </c>
      <c r="W1076" t="str">
        <f t="shared" si="4300"/>
        <v>&lt;/li&gt;&lt;li&gt;&lt;a href=|http://apostolic.interlinearbible.org/1_corinthians/14.htm| title=|Apostolic Bible Polyglot Interlinear| target=|_top|&gt;Polyglot&lt;/a&gt;</v>
      </c>
      <c r="X1076" t="str">
        <f t="shared" si="4300"/>
        <v>&lt;/li&gt;&lt;li&gt;&lt;a href=|http://interlinearbible.org/1_corinthians/14.htm| title=|Interlinear Bible| target=|_top|&gt;Interlin&lt;/a&gt;</v>
      </c>
      <c r="Y1076" t="str">
        <f t="shared" ref="Y1076" si="4301">CONCATENATE("&lt;/li&gt;&lt;li&gt;&lt;a href=|http://",Y1191,"/1_corinthians/14.htm","| ","title=|",Y1190,"| target=|_top|&gt;",Y1192,"&lt;/a&gt;")</f>
        <v>&lt;/li&gt;&lt;li&gt;&lt;a href=|http://bibleoutline.org/1_corinthians/14.htm| title=|Outline with People and Places List| target=|_top|&gt;Outline&lt;/a&gt;</v>
      </c>
      <c r="Z1076" t="str">
        <f t="shared" si="4300"/>
        <v>&lt;/li&gt;&lt;li&gt;&lt;a href=|http://kjvs.scripturetext.com/1_corinthians/14.htm| title=|King James Bible with Strong's Numbers| target=|_top|&gt;Strong's&lt;/a&gt;</v>
      </c>
      <c r="AA1076" t="str">
        <f t="shared" si="4300"/>
        <v>&lt;/li&gt;&lt;li&gt;&lt;a href=|http://childrensbibleonline.com/1_corinthians/14.htm| title=|The Children's Bible| target=|_top|&gt;Children's&lt;/a&gt;</v>
      </c>
      <c r="AB1076" s="2" t="str">
        <f t="shared" si="4300"/>
        <v>&lt;/li&gt;&lt;li&gt;&lt;a href=|http://tsk.scripturetext.com/1_corinthians/14.htm| title=|Treasury of Scripture Knowledge| target=|_top|&gt;TSK&lt;/a&gt;</v>
      </c>
      <c r="AC1076" t="str">
        <f>CONCATENATE("&lt;a href=|http://",AC1191,"/1_corinthians/14.htm","| ","title=|",AC1190,"| target=|_top|&gt;",AC1192,"&lt;/a&gt;")</f>
        <v>&lt;a href=|http://parallelbible.com/1_corinthians/14.htm| title=|Parallel Chapters| target=|_top|&gt;PAR&lt;/a&gt;</v>
      </c>
      <c r="AD1076" s="2" t="str">
        <f t="shared" ref="AD1076:AI1076" si="4302">CONCATENATE("&lt;/li&gt;&lt;li&gt;&lt;a href=|http://",AD1191,"/1_corinthians/14.htm","| ","title=|",AD1190,"| target=|_top|&gt;",AD1192,"&lt;/a&gt;")</f>
        <v>&lt;/li&gt;&lt;li&gt;&lt;a href=|http://gsb.biblecommenter.com/1_corinthians/14.htm| title=|Geneva Study Bible| target=|_top|&gt;GSB&lt;/a&gt;</v>
      </c>
      <c r="AE1076" s="2" t="str">
        <f t="shared" si="4302"/>
        <v>&lt;/li&gt;&lt;li&gt;&lt;a href=|http://jfb.biblecommenter.com/1_corinthians/14.htm| title=|Jamieson-Fausset-Brown Bible Commentary| target=|_top|&gt;JFB&lt;/a&gt;</v>
      </c>
      <c r="AF1076" s="2" t="str">
        <f t="shared" si="4302"/>
        <v>&lt;/li&gt;&lt;li&gt;&lt;a href=|http://kjt.biblecommenter.com/1_corinthians/14.htm| title=|King James Translators' Notes| target=|_top|&gt;KJT&lt;/a&gt;</v>
      </c>
      <c r="AG1076" s="2" t="str">
        <f t="shared" si="4302"/>
        <v>&lt;/li&gt;&lt;li&gt;&lt;a href=|http://mhc.biblecommenter.com/1_corinthians/14.htm| title=|Matthew Henry's Concise Commentary| target=|_top|&gt;MHC&lt;/a&gt;</v>
      </c>
      <c r="AH1076" s="2" t="str">
        <f t="shared" si="4302"/>
        <v>&lt;/li&gt;&lt;li&gt;&lt;a href=|http://sco.biblecommenter.com/1_corinthians/14.htm| title=|Scofield Reference Notes| target=|_top|&gt;SCO&lt;/a&gt;</v>
      </c>
      <c r="AI1076" s="2" t="str">
        <f t="shared" si="4302"/>
        <v>&lt;/li&gt;&lt;li&gt;&lt;a href=|http://wes.biblecommenter.com/1_corinthians/14.htm| title=|Wesley's Notes on the Bible| target=|_top|&gt;WES&lt;/a&gt;</v>
      </c>
      <c r="AJ1076" t="str">
        <f>CONCATENATE("&lt;/li&gt;&lt;li&gt;&lt;a href=|http://",AJ1191,"/1_corinthians/14.htm","| ","title=|",AJ1190,"| target=|_top|&gt;",AJ1192,"&lt;/a&gt;")</f>
        <v>&lt;/li&gt;&lt;li&gt;&lt;a href=|http://worldebible.com/1_corinthians/14.htm| title=|World English Bible| target=|_top|&gt;WEB&lt;/a&gt;</v>
      </c>
      <c r="AK1076" t="str">
        <f>CONCATENATE("&lt;/li&gt;&lt;li&gt;&lt;a href=|http://",AK1191,"/1_corinthians/14.htm","| ","title=|",AK1190,"| target=|_top|&gt;",AK1192,"&lt;/a&gt;")</f>
        <v>&lt;/li&gt;&lt;li&gt;&lt;a href=|http://yltbible.com/1_corinthians/14.htm| title=|Young's Literal Translation| target=|_top|&gt;YLT&lt;/a&gt;</v>
      </c>
      <c r="AL1076" t="str">
        <f>CONCATENATE("&lt;a href=|http://",AL1191,"/1_corinthians/14.htm","| ","title=|",AL1190,"| target=|_top|&gt;",AL1192,"&lt;/a&gt;")</f>
        <v>&lt;a href=|http://kjv.us/1_corinthians/14.htm| title=|American King James Version| target=|_top|&gt;AKJ&lt;/a&gt;</v>
      </c>
      <c r="AM1076" t="str">
        <f t="shared" ref="AM1076:AS1076" si="4303">CONCATENATE("&lt;/li&gt;&lt;li&gt;&lt;a href=|http://",AM1191,"/1_corinthians/14.htm","| ","title=|",AM1190,"| target=|_top|&gt;",AM1192,"&lt;/a&gt;")</f>
        <v>&lt;/li&gt;&lt;li&gt;&lt;a href=|http://basicenglishbible.com/1_corinthians/14.htm| title=|Bible in Basic English| target=|_top|&gt;BBE&lt;/a&gt;</v>
      </c>
      <c r="AN1076" t="str">
        <f t="shared" si="4303"/>
        <v>&lt;/li&gt;&lt;li&gt;&lt;a href=|http://darbybible.com/1_corinthians/14.htm| title=|Darby Bible Translation| target=|_top|&gt;DBY&lt;/a&gt;</v>
      </c>
      <c r="AO1076" t="str">
        <f t="shared" si="4303"/>
        <v>&lt;/li&gt;&lt;li&gt;&lt;a href=|http://isv.scripturetext.com/1_corinthians/14.htm| title=|International Standard Version| target=|_top|&gt;ISV&lt;/a&gt;</v>
      </c>
      <c r="AP1076" t="str">
        <f t="shared" si="4303"/>
        <v>&lt;/li&gt;&lt;li&gt;&lt;a href=|http://tnt.scripturetext.com/1_corinthians/14.htm| title=|Tyndale New Testament| target=|_top|&gt;TNT&lt;/a&gt;</v>
      </c>
      <c r="AQ1076" s="2" t="str">
        <f t="shared" si="4303"/>
        <v>&lt;/li&gt;&lt;li&gt;&lt;a href=|http://pnt.biblecommenter.com/1_corinthians/14.htm| title=|People's New Testament| target=|_top|&gt;PNT&lt;/a&gt;</v>
      </c>
      <c r="AR1076" t="str">
        <f t="shared" si="4303"/>
        <v>&lt;/li&gt;&lt;li&gt;&lt;a href=|http://websterbible.com/1_corinthians/14.htm| title=|Webster's Bible Translation| target=|_top|&gt;WBS&lt;/a&gt;</v>
      </c>
      <c r="AS1076" t="str">
        <f t="shared" si="4303"/>
        <v>&lt;/li&gt;&lt;li&gt;&lt;a href=|http://weymouthbible.com/1_corinthians/14.htm| title=|Weymouth New Testament| target=|_top|&gt;WEY&lt;/a&gt;</v>
      </c>
      <c r="AT1076" t="str">
        <f>CONCATENATE("&lt;/li&gt;&lt;li&gt;&lt;a href=|http://",AT1191,"/1_corinthians/14-1.htm","| ","title=|",AT1190,"| target=|_top|&gt;",AT1192,"&lt;/a&gt;")</f>
        <v>&lt;/li&gt;&lt;li&gt;&lt;a href=|http://biblebrowser.com/1_corinthians/14-1.htm| title=|Split View| target=|_top|&gt;Split&lt;/a&gt;</v>
      </c>
      <c r="AU1076" s="2" t="s">
        <v>1276</v>
      </c>
      <c r="AV1076" t="s">
        <v>64</v>
      </c>
    </row>
    <row r="1077" spans="1:48">
      <c r="A1077" t="s">
        <v>622</v>
      </c>
      <c r="B1077" t="s">
        <v>508</v>
      </c>
      <c r="C1077" t="s">
        <v>624</v>
      </c>
      <c r="D1077" t="s">
        <v>1268</v>
      </c>
      <c r="E1077" t="s">
        <v>1277</v>
      </c>
      <c r="F1077" t="s">
        <v>1304</v>
      </c>
      <c r="G1077" t="s">
        <v>1266</v>
      </c>
      <c r="H1077" t="s">
        <v>1305</v>
      </c>
      <c r="I1077" t="s">
        <v>1303</v>
      </c>
      <c r="J1077" t="s">
        <v>1267</v>
      </c>
      <c r="K1077" t="s">
        <v>1275</v>
      </c>
      <c r="L1077" s="2" t="s">
        <v>1274</v>
      </c>
      <c r="M1077" t="str">
        <f t="shared" ref="M1077:AB1077" si="4304">CONCATENATE("&lt;/li&gt;&lt;li&gt;&lt;a href=|http://",M1191,"/1_corinthians/15.htm","| ","title=|",M1190,"| target=|_top|&gt;",M1192,"&lt;/a&gt;")</f>
        <v>&lt;/li&gt;&lt;li&gt;&lt;a href=|http://niv.scripturetext.com/1_corinthians/15.htm| title=|New International Version| target=|_top|&gt;NIV&lt;/a&gt;</v>
      </c>
      <c r="N1077" t="str">
        <f t="shared" si="4304"/>
        <v>&lt;/li&gt;&lt;li&gt;&lt;a href=|http://nlt.scripturetext.com/1_corinthians/15.htm| title=|New Living Translation| target=|_top|&gt;NLT&lt;/a&gt;</v>
      </c>
      <c r="O1077" t="str">
        <f t="shared" si="4304"/>
        <v>&lt;/li&gt;&lt;li&gt;&lt;a href=|http://nasb.scripturetext.com/1_corinthians/15.htm| title=|New American Standard Bible| target=|_top|&gt;NAS&lt;/a&gt;</v>
      </c>
      <c r="P1077" t="str">
        <f t="shared" si="4304"/>
        <v>&lt;/li&gt;&lt;li&gt;&lt;a href=|http://gwt.scripturetext.com/1_corinthians/15.htm| title=|God's Word Translation| target=|_top|&gt;GWT&lt;/a&gt;</v>
      </c>
      <c r="Q1077" t="str">
        <f t="shared" si="4304"/>
        <v>&lt;/li&gt;&lt;li&gt;&lt;a href=|http://kingjbible.com/1_corinthians/15.htm| title=|King James Bible| target=|_top|&gt;KJV&lt;/a&gt;</v>
      </c>
      <c r="R1077" t="str">
        <f t="shared" si="4304"/>
        <v>&lt;/li&gt;&lt;li&gt;&lt;a href=|http://asvbible.com/1_corinthians/15.htm| title=|American Standard Version| target=|_top|&gt;ASV&lt;/a&gt;</v>
      </c>
      <c r="S1077" t="str">
        <f t="shared" si="4304"/>
        <v>&lt;/li&gt;&lt;li&gt;&lt;a href=|http://drb.scripturetext.com/1_corinthians/15.htm| title=|Douay-Rheims Bible| target=|_top|&gt;DRB&lt;/a&gt;</v>
      </c>
      <c r="T1077" t="str">
        <f t="shared" si="4304"/>
        <v>&lt;/li&gt;&lt;li&gt;&lt;a href=|http://erv.scripturetext.com/1_corinthians/15.htm| title=|English Revised Version| target=|_top|&gt;ERV&lt;/a&gt;</v>
      </c>
      <c r="U1077" t="str">
        <f>CONCATENATE("&lt;/li&gt;&lt;li&gt;&lt;a href=|http://",U1191,"/1_corinthians/15.htm","| ","title=|",U1190,"| target=|_top|&gt;",U1192,"&lt;/a&gt;")</f>
        <v>&lt;/li&gt;&lt;li&gt;&lt;a href=|http://study.interlinearbible.org/1_corinthians/15.htm| title=|Greek Study Bible| target=|_top|&gt;Grk Study&lt;/a&gt;</v>
      </c>
      <c r="W1077" t="str">
        <f t="shared" si="4304"/>
        <v>&lt;/li&gt;&lt;li&gt;&lt;a href=|http://apostolic.interlinearbible.org/1_corinthians/15.htm| title=|Apostolic Bible Polyglot Interlinear| target=|_top|&gt;Polyglot&lt;/a&gt;</v>
      </c>
      <c r="X1077" t="str">
        <f t="shared" si="4304"/>
        <v>&lt;/li&gt;&lt;li&gt;&lt;a href=|http://interlinearbible.org/1_corinthians/15.htm| title=|Interlinear Bible| target=|_top|&gt;Interlin&lt;/a&gt;</v>
      </c>
      <c r="Y1077" t="str">
        <f t="shared" ref="Y1077" si="4305">CONCATENATE("&lt;/li&gt;&lt;li&gt;&lt;a href=|http://",Y1191,"/1_corinthians/15.htm","| ","title=|",Y1190,"| target=|_top|&gt;",Y1192,"&lt;/a&gt;")</f>
        <v>&lt;/li&gt;&lt;li&gt;&lt;a href=|http://bibleoutline.org/1_corinthians/15.htm| title=|Outline with People and Places List| target=|_top|&gt;Outline&lt;/a&gt;</v>
      </c>
      <c r="Z1077" t="str">
        <f t="shared" si="4304"/>
        <v>&lt;/li&gt;&lt;li&gt;&lt;a href=|http://kjvs.scripturetext.com/1_corinthians/15.htm| title=|King James Bible with Strong's Numbers| target=|_top|&gt;Strong's&lt;/a&gt;</v>
      </c>
      <c r="AA1077" t="str">
        <f t="shared" si="4304"/>
        <v>&lt;/li&gt;&lt;li&gt;&lt;a href=|http://childrensbibleonline.com/1_corinthians/15.htm| title=|The Children's Bible| target=|_top|&gt;Children's&lt;/a&gt;</v>
      </c>
      <c r="AB1077" s="2" t="str">
        <f t="shared" si="4304"/>
        <v>&lt;/li&gt;&lt;li&gt;&lt;a href=|http://tsk.scripturetext.com/1_corinthians/15.htm| title=|Treasury of Scripture Knowledge| target=|_top|&gt;TSK&lt;/a&gt;</v>
      </c>
      <c r="AC1077" t="str">
        <f>CONCATENATE("&lt;a href=|http://",AC1191,"/1_corinthians/15.htm","| ","title=|",AC1190,"| target=|_top|&gt;",AC1192,"&lt;/a&gt;")</f>
        <v>&lt;a href=|http://parallelbible.com/1_corinthians/15.htm| title=|Parallel Chapters| target=|_top|&gt;PAR&lt;/a&gt;</v>
      </c>
      <c r="AD1077" s="2" t="str">
        <f t="shared" ref="AD1077:AI1077" si="4306">CONCATENATE("&lt;/li&gt;&lt;li&gt;&lt;a href=|http://",AD1191,"/1_corinthians/15.htm","| ","title=|",AD1190,"| target=|_top|&gt;",AD1192,"&lt;/a&gt;")</f>
        <v>&lt;/li&gt;&lt;li&gt;&lt;a href=|http://gsb.biblecommenter.com/1_corinthians/15.htm| title=|Geneva Study Bible| target=|_top|&gt;GSB&lt;/a&gt;</v>
      </c>
      <c r="AE1077" s="2" t="str">
        <f t="shared" si="4306"/>
        <v>&lt;/li&gt;&lt;li&gt;&lt;a href=|http://jfb.biblecommenter.com/1_corinthians/15.htm| title=|Jamieson-Fausset-Brown Bible Commentary| target=|_top|&gt;JFB&lt;/a&gt;</v>
      </c>
      <c r="AF1077" s="2" t="str">
        <f t="shared" si="4306"/>
        <v>&lt;/li&gt;&lt;li&gt;&lt;a href=|http://kjt.biblecommenter.com/1_corinthians/15.htm| title=|King James Translators' Notes| target=|_top|&gt;KJT&lt;/a&gt;</v>
      </c>
      <c r="AG1077" s="2" t="str">
        <f t="shared" si="4306"/>
        <v>&lt;/li&gt;&lt;li&gt;&lt;a href=|http://mhc.biblecommenter.com/1_corinthians/15.htm| title=|Matthew Henry's Concise Commentary| target=|_top|&gt;MHC&lt;/a&gt;</v>
      </c>
      <c r="AH1077" s="2" t="str">
        <f t="shared" si="4306"/>
        <v>&lt;/li&gt;&lt;li&gt;&lt;a href=|http://sco.biblecommenter.com/1_corinthians/15.htm| title=|Scofield Reference Notes| target=|_top|&gt;SCO&lt;/a&gt;</v>
      </c>
      <c r="AI1077" s="2" t="str">
        <f t="shared" si="4306"/>
        <v>&lt;/li&gt;&lt;li&gt;&lt;a href=|http://wes.biblecommenter.com/1_corinthians/15.htm| title=|Wesley's Notes on the Bible| target=|_top|&gt;WES&lt;/a&gt;</v>
      </c>
      <c r="AJ1077" t="str">
        <f>CONCATENATE("&lt;/li&gt;&lt;li&gt;&lt;a href=|http://",AJ1191,"/1_corinthians/15.htm","| ","title=|",AJ1190,"| target=|_top|&gt;",AJ1192,"&lt;/a&gt;")</f>
        <v>&lt;/li&gt;&lt;li&gt;&lt;a href=|http://worldebible.com/1_corinthians/15.htm| title=|World English Bible| target=|_top|&gt;WEB&lt;/a&gt;</v>
      </c>
      <c r="AK1077" t="str">
        <f>CONCATENATE("&lt;/li&gt;&lt;li&gt;&lt;a href=|http://",AK1191,"/1_corinthians/15.htm","| ","title=|",AK1190,"| target=|_top|&gt;",AK1192,"&lt;/a&gt;")</f>
        <v>&lt;/li&gt;&lt;li&gt;&lt;a href=|http://yltbible.com/1_corinthians/15.htm| title=|Young's Literal Translation| target=|_top|&gt;YLT&lt;/a&gt;</v>
      </c>
      <c r="AL1077" t="str">
        <f>CONCATENATE("&lt;a href=|http://",AL1191,"/1_corinthians/15.htm","| ","title=|",AL1190,"| target=|_top|&gt;",AL1192,"&lt;/a&gt;")</f>
        <v>&lt;a href=|http://kjv.us/1_corinthians/15.htm| title=|American King James Version| target=|_top|&gt;AKJ&lt;/a&gt;</v>
      </c>
      <c r="AM1077" t="str">
        <f t="shared" ref="AM1077:AS1077" si="4307">CONCATENATE("&lt;/li&gt;&lt;li&gt;&lt;a href=|http://",AM1191,"/1_corinthians/15.htm","| ","title=|",AM1190,"| target=|_top|&gt;",AM1192,"&lt;/a&gt;")</f>
        <v>&lt;/li&gt;&lt;li&gt;&lt;a href=|http://basicenglishbible.com/1_corinthians/15.htm| title=|Bible in Basic English| target=|_top|&gt;BBE&lt;/a&gt;</v>
      </c>
      <c r="AN1077" t="str">
        <f t="shared" si="4307"/>
        <v>&lt;/li&gt;&lt;li&gt;&lt;a href=|http://darbybible.com/1_corinthians/15.htm| title=|Darby Bible Translation| target=|_top|&gt;DBY&lt;/a&gt;</v>
      </c>
      <c r="AO1077" t="str">
        <f t="shared" si="4307"/>
        <v>&lt;/li&gt;&lt;li&gt;&lt;a href=|http://isv.scripturetext.com/1_corinthians/15.htm| title=|International Standard Version| target=|_top|&gt;ISV&lt;/a&gt;</v>
      </c>
      <c r="AP1077" t="str">
        <f t="shared" si="4307"/>
        <v>&lt;/li&gt;&lt;li&gt;&lt;a href=|http://tnt.scripturetext.com/1_corinthians/15.htm| title=|Tyndale New Testament| target=|_top|&gt;TNT&lt;/a&gt;</v>
      </c>
      <c r="AQ1077" s="2" t="str">
        <f t="shared" si="4307"/>
        <v>&lt;/li&gt;&lt;li&gt;&lt;a href=|http://pnt.biblecommenter.com/1_corinthians/15.htm| title=|People's New Testament| target=|_top|&gt;PNT&lt;/a&gt;</v>
      </c>
      <c r="AR1077" t="str">
        <f t="shared" si="4307"/>
        <v>&lt;/li&gt;&lt;li&gt;&lt;a href=|http://websterbible.com/1_corinthians/15.htm| title=|Webster's Bible Translation| target=|_top|&gt;WBS&lt;/a&gt;</v>
      </c>
      <c r="AS1077" t="str">
        <f t="shared" si="4307"/>
        <v>&lt;/li&gt;&lt;li&gt;&lt;a href=|http://weymouthbible.com/1_corinthians/15.htm| title=|Weymouth New Testament| target=|_top|&gt;WEY&lt;/a&gt;</v>
      </c>
      <c r="AT1077" t="str">
        <f>CONCATENATE("&lt;/li&gt;&lt;li&gt;&lt;a href=|http://",AT1191,"/1_corinthians/15-1.htm","| ","title=|",AT1190,"| target=|_top|&gt;",AT1192,"&lt;/a&gt;")</f>
        <v>&lt;/li&gt;&lt;li&gt;&lt;a href=|http://biblebrowser.com/1_corinthians/15-1.htm| title=|Split View| target=|_top|&gt;Split&lt;/a&gt;</v>
      </c>
      <c r="AU1077" s="2" t="s">
        <v>1276</v>
      </c>
      <c r="AV1077" t="s">
        <v>64</v>
      </c>
    </row>
    <row r="1078" spans="1:48">
      <c r="A1078" t="s">
        <v>622</v>
      </c>
      <c r="B1078" t="s">
        <v>509</v>
      </c>
      <c r="C1078" t="s">
        <v>624</v>
      </c>
      <c r="D1078" t="s">
        <v>1268</v>
      </c>
      <c r="E1078" t="s">
        <v>1277</v>
      </c>
      <c r="F1078" t="s">
        <v>1304</v>
      </c>
      <c r="G1078" t="s">
        <v>1266</v>
      </c>
      <c r="H1078" t="s">
        <v>1305</v>
      </c>
      <c r="I1078" t="s">
        <v>1303</v>
      </c>
      <c r="J1078" t="s">
        <v>1267</v>
      </c>
      <c r="K1078" t="s">
        <v>1275</v>
      </c>
      <c r="L1078" s="2" t="s">
        <v>1274</v>
      </c>
      <c r="M1078" t="str">
        <f t="shared" ref="M1078:AB1078" si="4308">CONCATENATE("&lt;/li&gt;&lt;li&gt;&lt;a href=|http://",M1191,"/1_corinthians/16.htm","| ","title=|",M1190,"| target=|_top|&gt;",M1192,"&lt;/a&gt;")</f>
        <v>&lt;/li&gt;&lt;li&gt;&lt;a href=|http://niv.scripturetext.com/1_corinthians/16.htm| title=|New International Version| target=|_top|&gt;NIV&lt;/a&gt;</v>
      </c>
      <c r="N1078" t="str">
        <f t="shared" si="4308"/>
        <v>&lt;/li&gt;&lt;li&gt;&lt;a href=|http://nlt.scripturetext.com/1_corinthians/16.htm| title=|New Living Translation| target=|_top|&gt;NLT&lt;/a&gt;</v>
      </c>
      <c r="O1078" t="str">
        <f t="shared" si="4308"/>
        <v>&lt;/li&gt;&lt;li&gt;&lt;a href=|http://nasb.scripturetext.com/1_corinthians/16.htm| title=|New American Standard Bible| target=|_top|&gt;NAS&lt;/a&gt;</v>
      </c>
      <c r="P1078" t="str">
        <f t="shared" si="4308"/>
        <v>&lt;/li&gt;&lt;li&gt;&lt;a href=|http://gwt.scripturetext.com/1_corinthians/16.htm| title=|God's Word Translation| target=|_top|&gt;GWT&lt;/a&gt;</v>
      </c>
      <c r="Q1078" t="str">
        <f t="shared" si="4308"/>
        <v>&lt;/li&gt;&lt;li&gt;&lt;a href=|http://kingjbible.com/1_corinthians/16.htm| title=|King James Bible| target=|_top|&gt;KJV&lt;/a&gt;</v>
      </c>
      <c r="R1078" t="str">
        <f t="shared" si="4308"/>
        <v>&lt;/li&gt;&lt;li&gt;&lt;a href=|http://asvbible.com/1_corinthians/16.htm| title=|American Standard Version| target=|_top|&gt;ASV&lt;/a&gt;</v>
      </c>
      <c r="S1078" t="str">
        <f t="shared" si="4308"/>
        <v>&lt;/li&gt;&lt;li&gt;&lt;a href=|http://drb.scripturetext.com/1_corinthians/16.htm| title=|Douay-Rheims Bible| target=|_top|&gt;DRB&lt;/a&gt;</v>
      </c>
      <c r="T1078" t="str">
        <f t="shared" si="4308"/>
        <v>&lt;/li&gt;&lt;li&gt;&lt;a href=|http://erv.scripturetext.com/1_corinthians/16.htm| title=|English Revised Version| target=|_top|&gt;ERV&lt;/a&gt;</v>
      </c>
      <c r="U1078" t="str">
        <f>CONCATENATE("&lt;/li&gt;&lt;li&gt;&lt;a href=|http://",U1191,"/1_corinthians/16.htm","| ","title=|",U1190,"| target=|_top|&gt;",U1192,"&lt;/a&gt;")</f>
        <v>&lt;/li&gt;&lt;li&gt;&lt;a href=|http://study.interlinearbible.org/1_corinthians/16.htm| title=|Greek Study Bible| target=|_top|&gt;Grk Study&lt;/a&gt;</v>
      </c>
      <c r="W1078" t="str">
        <f t="shared" si="4308"/>
        <v>&lt;/li&gt;&lt;li&gt;&lt;a href=|http://apostolic.interlinearbible.org/1_corinthians/16.htm| title=|Apostolic Bible Polyglot Interlinear| target=|_top|&gt;Polyglot&lt;/a&gt;</v>
      </c>
      <c r="X1078" t="str">
        <f t="shared" si="4308"/>
        <v>&lt;/li&gt;&lt;li&gt;&lt;a href=|http://interlinearbible.org/1_corinthians/16.htm| title=|Interlinear Bible| target=|_top|&gt;Interlin&lt;/a&gt;</v>
      </c>
      <c r="Y1078" t="str">
        <f t="shared" ref="Y1078" si="4309">CONCATENATE("&lt;/li&gt;&lt;li&gt;&lt;a href=|http://",Y1191,"/1_corinthians/16.htm","| ","title=|",Y1190,"| target=|_top|&gt;",Y1192,"&lt;/a&gt;")</f>
        <v>&lt;/li&gt;&lt;li&gt;&lt;a href=|http://bibleoutline.org/1_corinthians/16.htm| title=|Outline with People and Places List| target=|_top|&gt;Outline&lt;/a&gt;</v>
      </c>
      <c r="Z1078" t="str">
        <f t="shared" si="4308"/>
        <v>&lt;/li&gt;&lt;li&gt;&lt;a href=|http://kjvs.scripturetext.com/1_corinthians/16.htm| title=|King James Bible with Strong's Numbers| target=|_top|&gt;Strong's&lt;/a&gt;</v>
      </c>
      <c r="AA1078" t="str">
        <f t="shared" si="4308"/>
        <v>&lt;/li&gt;&lt;li&gt;&lt;a href=|http://childrensbibleonline.com/1_corinthians/16.htm| title=|The Children's Bible| target=|_top|&gt;Children's&lt;/a&gt;</v>
      </c>
      <c r="AB1078" s="2" t="str">
        <f t="shared" si="4308"/>
        <v>&lt;/li&gt;&lt;li&gt;&lt;a href=|http://tsk.scripturetext.com/1_corinthians/16.htm| title=|Treasury of Scripture Knowledge| target=|_top|&gt;TSK&lt;/a&gt;</v>
      </c>
      <c r="AC1078" t="str">
        <f>CONCATENATE("&lt;a href=|http://",AC1191,"/1_corinthians/16.htm","| ","title=|",AC1190,"| target=|_top|&gt;",AC1192,"&lt;/a&gt;")</f>
        <v>&lt;a href=|http://parallelbible.com/1_corinthians/16.htm| title=|Parallel Chapters| target=|_top|&gt;PAR&lt;/a&gt;</v>
      </c>
      <c r="AD1078" s="2" t="str">
        <f t="shared" ref="AD1078:AI1078" si="4310">CONCATENATE("&lt;/li&gt;&lt;li&gt;&lt;a href=|http://",AD1191,"/1_corinthians/16.htm","| ","title=|",AD1190,"| target=|_top|&gt;",AD1192,"&lt;/a&gt;")</f>
        <v>&lt;/li&gt;&lt;li&gt;&lt;a href=|http://gsb.biblecommenter.com/1_corinthians/16.htm| title=|Geneva Study Bible| target=|_top|&gt;GSB&lt;/a&gt;</v>
      </c>
      <c r="AE1078" s="2" t="str">
        <f t="shared" si="4310"/>
        <v>&lt;/li&gt;&lt;li&gt;&lt;a href=|http://jfb.biblecommenter.com/1_corinthians/16.htm| title=|Jamieson-Fausset-Brown Bible Commentary| target=|_top|&gt;JFB&lt;/a&gt;</v>
      </c>
      <c r="AF1078" s="2" t="str">
        <f t="shared" si="4310"/>
        <v>&lt;/li&gt;&lt;li&gt;&lt;a href=|http://kjt.biblecommenter.com/1_corinthians/16.htm| title=|King James Translators' Notes| target=|_top|&gt;KJT&lt;/a&gt;</v>
      </c>
      <c r="AG1078" s="2" t="str">
        <f t="shared" si="4310"/>
        <v>&lt;/li&gt;&lt;li&gt;&lt;a href=|http://mhc.biblecommenter.com/1_corinthians/16.htm| title=|Matthew Henry's Concise Commentary| target=|_top|&gt;MHC&lt;/a&gt;</v>
      </c>
      <c r="AH1078" s="2" t="str">
        <f t="shared" si="4310"/>
        <v>&lt;/li&gt;&lt;li&gt;&lt;a href=|http://sco.biblecommenter.com/1_corinthians/16.htm| title=|Scofield Reference Notes| target=|_top|&gt;SCO&lt;/a&gt;</v>
      </c>
      <c r="AI1078" s="2" t="str">
        <f t="shared" si="4310"/>
        <v>&lt;/li&gt;&lt;li&gt;&lt;a href=|http://wes.biblecommenter.com/1_corinthians/16.htm| title=|Wesley's Notes on the Bible| target=|_top|&gt;WES&lt;/a&gt;</v>
      </c>
      <c r="AJ1078" t="str">
        <f>CONCATENATE("&lt;/li&gt;&lt;li&gt;&lt;a href=|http://",AJ1191,"/1_corinthians/16.htm","| ","title=|",AJ1190,"| target=|_top|&gt;",AJ1192,"&lt;/a&gt;")</f>
        <v>&lt;/li&gt;&lt;li&gt;&lt;a href=|http://worldebible.com/1_corinthians/16.htm| title=|World English Bible| target=|_top|&gt;WEB&lt;/a&gt;</v>
      </c>
      <c r="AK1078" t="str">
        <f>CONCATENATE("&lt;/li&gt;&lt;li&gt;&lt;a href=|http://",AK1191,"/1_corinthians/16.htm","| ","title=|",AK1190,"| target=|_top|&gt;",AK1192,"&lt;/a&gt;")</f>
        <v>&lt;/li&gt;&lt;li&gt;&lt;a href=|http://yltbible.com/1_corinthians/16.htm| title=|Young's Literal Translation| target=|_top|&gt;YLT&lt;/a&gt;</v>
      </c>
      <c r="AL1078" t="str">
        <f>CONCATENATE("&lt;a href=|http://",AL1191,"/1_corinthians/16.htm","| ","title=|",AL1190,"| target=|_top|&gt;",AL1192,"&lt;/a&gt;")</f>
        <v>&lt;a href=|http://kjv.us/1_corinthians/16.htm| title=|American King James Version| target=|_top|&gt;AKJ&lt;/a&gt;</v>
      </c>
      <c r="AM1078" t="str">
        <f t="shared" ref="AM1078:AS1078" si="4311">CONCATENATE("&lt;/li&gt;&lt;li&gt;&lt;a href=|http://",AM1191,"/1_corinthians/16.htm","| ","title=|",AM1190,"| target=|_top|&gt;",AM1192,"&lt;/a&gt;")</f>
        <v>&lt;/li&gt;&lt;li&gt;&lt;a href=|http://basicenglishbible.com/1_corinthians/16.htm| title=|Bible in Basic English| target=|_top|&gt;BBE&lt;/a&gt;</v>
      </c>
      <c r="AN1078" t="str">
        <f t="shared" si="4311"/>
        <v>&lt;/li&gt;&lt;li&gt;&lt;a href=|http://darbybible.com/1_corinthians/16.htm| title=|Darby Bible Translation| target=|_top|&gt;DBY&lt;/a&gt;</v>
      </c>
      <c r="AO1078" t="str">
        <f t="shared" si="4311"/>
        <v>&lt;/li&gt;&lt;li&gt;&lt;a href=|http://isv.scripturetext.com/1_corinthians/16.htm| title=|International Standard Version| target=|_top|&gt;ISV&lt;/a&gt;</v>
      </c>
      <c r="AP1078" t="str">
        <f t="shared" si="4311"/>
        <v>&lt;/li&gt;&lt;li&gt;&lt;a href=|http://tnt.scripturetext.com/1_corinthians/16.htm| title=|Tyndale New Testament| target=|_top|&gt;TNT&lt;/a&gt;</v>
      </c>
      <c r="AQ1078" s="2" t="str">
        <f t="shared" si="4311"/>
        <v>&lt;/li&gt;&lt;li&gt;&lt;a href=|http://pnt.biblecommenter.com/1_corinthians/16.htm| title=|People's New Testament| target=|_top|&gt;PNT&lt;/a&gt;</v>
      </c>
      <c r="AR1078" t="str">
        <f t="shared" si="4311"/>
        <v>&lt;/li&gt;&lt;li&gt;&lt;a href=|http://websterbible.com/1_corinthians/16.htm| title=|Webster's Bible Translation| target=|_top|&gt;WBS&lt;/a&gt;</v>
      </c>
      <c r="AS1078" t="str">
        <f t="shared" si="4311"/>
        <v>&lt;/li&gt;&lt;li&gt;&lt;a href=|http://weymouthbible.com/1_corinthians/16.htm| title=|Weymouth New Testament| target=|_top|&gt;WEY&lt;/a&gt;</v>
      </c>
      <c r="AT1078" t="str">
        <f>CONCATENATE("&lt;/li&gt;&lt;li&gt;&lt;a href=|http://",AT1191,"/1_corinthians/16-1.htm","| ","title=|",AT1190,"| target=|_top|&gt;",AT1192,"&lt;/a&gt;")</f>
        <v>&lt;/li&gt;&lt;li&gt;&lt;a href=|http://biblebrowser.com/1_corinthians/16-1.htm| title=|Split View| target=|_top|&gt;Split&lt;/a&gt;</v>
      </c>
      <c r="AU1078" s="2" t="s">
        <v>1276</v>
      </c>
      <c r="AV1078" t="s">
        <v>64</v>
      </c>
    </row>
    <row r="1079" spans="1:48">
      <c r="A1079" t="s">
        <v>622</v>
      </c>
      <c r="B1079" t="s">
        <v>510</v>
      </c>
      <c r="C1079" t="s">
        <v>624</v>
      </c>
      <c r="D1079" t="s">
        <v>1268</v>
      </c>
      <c r="E1079" t="s">
        <v>1277</v>
      </c>
      <c r="F1079" t="s">
        <v>1304</v>
      </c>
      <c r="G1079" t="s">
        <v>1266</v>
      </c>
      <c r="H1079" t="s">
        <v>1305</v>
      </c>
      <c r="I1079" t="s">
        <v>1303</v>
      </c>
      <c r="J1079" t="s">
        <v>1267</v>
      </c>
      <c r="K1079" t="s">
        <v>1275</v>
      </c>
      <c r="L1079" s="2" t="s">
        <v>1274</v>
      </c>
      <c r="M1079" t="str">
        <f t="shared" ref="M1079:AB1079" si="4312">CONCATENATE("&lt;/li&gt;&lt;li&gt;&lt;a href=|http://",M1191,"/2_corinthians/1.htm","| ","title=|",M1190,"| target=|_top|&gt;",M1192,"&lt;/a&gt;")</f>
        <v>&lt;/li&gt;&lt;li&gt;&lt;a href=|http://niv.scripturetext.com/2_corinthians/1.htm| title=|New International Version| target=|_top|&gt;NIV&lt;/a&gt;</v>
      </c>
      <c r="N1079" t="str">
        <f t="shared" si="4312"/>
        <v>&lt;/li&gt;&lt;li&gt;&lt;a href=|http://nlt.scripturetext.com/2_corinthians/1.htm| title=|New Living Translation| target=|_top|&gt;NLT&lt;/a&gt;</v>
      </c>
      <c r="O1079" t="str">
        <f t="shared" si="4312"/>
        <v>&lt;/li&gt;&lt;li&gt;&lt;a href=|http://nasb.scripturetext.com/2_corinthians/1.htm| title=|New American Standard Bible| target=|_top|&gt;NAS&lt;/a&gt;</v>
      </c>
      <c r="P1079" t="str">
        <f t="shared" si="4312"/>
        <v>&lt;/li&gt;&lt;li&gt;&lt;a href=|http://gwt.scripturetext.com/2_corinthians/1.htm| title=|God's Word Translation| target=|_top|&gt;GWT&lt;/a&gt;</v>
      </c>
      <c r="Q1079" t="str">
        <f t="shared" si="4312"/>
        <v>&lt;/li&gt;&lt;li&gt;&lt;a href=|http://kingjbible.com/2_corinthians/1.htm| title=|King James Bible| target=|_top|&gt;KJV&lt;/a&gt;</v>
      </c>
      <c r="R1079" t="str">
        <f t="shared" si="4312"/>
        <v>&lt;/li&gt;&lt;li&gt;&lt;a href=|http://asvbible.com/2_corinthians/1.htm| title=|American Standard Version| target=|_top|&gt;ASV&lt;/a&gt;</v>
      </c>
      <c r="S1079" t="str">
        <f t="shared" si="4312"/>
        <v>&lt;/li&gt;&lt;li&gt;&lt;a href=|http://drb.scripturetext.com/2_corinthians/1.htm| title=|Douay-Rheims Bible| target=|_top|&gt;DRB&lt;/a&gt;</v>
      </c>
      <c r="T1079" t="str">
        <f t="shared" si="4312"/>
        <v>&lt;/li&gt;&lt;li&gt;&lt;a href=|http://erv.scripturetext.com/2_corinthians/1.htm| title=|English Revised Version| target=|_top|&gt;ERV&lt;/a&gt;</v>
      </c>
      <c r="U1079" t="str">
        <f>CONCATENATE("&lt;/li&gt;&lt;li&gt;&lt;a href=|http://",U1191,"/2_corinthians/1.htm","| ","title=|",U1190,"| target=|_top|&gt;",U1192,"&lt;/a&gt;")</f>
        <v>&lt;/li&gt;&lt;li&gt;&lt;a href=|http://study.interlinearbible.org/2_corinthians/1.htm| title=|Greek Study Bible| target=|_top|&gt;Grk Study&lt;/a&gt;</v>
      </c>
      <c r="W1079" t="str">
        <f t="shared" si="4312"/>
        <v>&lt;/li&gt;&lt;li&gt;&lt;a href=|http://apostolic.interlinearbible.org/2_corinthians/1.htm| title=|Apostolic Bible Polyglot Interlinear| target=|_top|&gt;Polyglot&lt;/a&gt;</v>
      </c>
      <c r="X1079" t="str">
        <f t="shared" si="4312"/>
        <v>&lt;/li&gt;&lt;li&gt;&lt;a href=|http://interlinearbible.org/2_corinthians/1.htm| title=|Interlinear Bible| target=|_top|&gt;Interlin&lt;/a&gt;</v>
      </c>
      <c r="Y1079" t="str">
        <f t="shared" ref="Y1079" si="4313">CONCATENATE("&lt;/li&gt;&lt;li&gt;&lt;a href=|http://",Y1191,"/2_corinthians/1.htm","| ","title=|",Y1190,"| target=|_top|&gt;",Y1192,"&lt;/a&gt;")</f>
        <v>&lt;/li&gt;&lt;li&gt;&lt;a href=|http://bibleoutline.org/2_corinthians/1.htm| title=|Outline with People and Places List| target=|_top|&gt;Outline&lt;/a&gt;</v>
      </c>
      <c r="Z1079" t="str">
        <f t="shared" si="4312"/>
        <v>&lt;/li&gt;&lt;li&gt;&lt;a href=|http://kjvs.scripturetext.com/2_corinthians/1.htm| title=|King James Bible with Strong's Numbers| target=|_top|&gt;Strong's&lt;/a&gt;</v>
      </c>
      <c r="AA1079" t="str">
        <f t="shared" si="4312"/>
        <v>&lt;/li&gt;&lt;li&gt;&lt;a href=|http://childrensbibleonline.com/2_corinthians/1.htm| title=|The Children's Bible| target=|_top|&gt;Children's&lt;/a&gt;</v>
      </c>
      <c r="AB1079" s="2" t="str">
        <f t="shared" si="4312"/>
        <v>&lt;/li&gt;&lt;li&gt;&lt;a href=|http://tsk.scripturetext.com/2_corinthians/1.htm| title=|Treasury of Scripture Knowledge| target=|_top|&gt;TSK&lt;/a&gt;</v>
      </c>
      <c r="AC1079" t="str">
        <f>CONCATENATE("&lt;a href=|http://",AC1191,"/2_corinthians/1.htm","| ","title=|",AC1190,"| target=|_top|&gt;",AC1192,"&lt;/a&gt;")</f>
        <v>&lt;a href=|http://parallelbible.com/2_corinthians/1.htm| title=|Parallel Chapters| target=|_top|&gt;PAR&lt;/a&gt;</v>
      </c>
      <c r="AD1079" s="2" t="str">
        <f t="shared" ref="AD1079:AI1079" si="4314">CONCATENATE("&lt;/li&gt;&lt;li&gt;&lt;a href=|http://",AD1191,"/2_corinthians/1.htm","| ","title=|",AD1190,"| target=|_top|&gt;",AD1192,"&lt;/a&gt;")</f>
        <v>&lt;/li&gt;&lt;li&gt;&lt;a href=|http://gsb.biblecommenter.com/2_corinthians/1.htm| title=|Geneva Study Bible| target=|_top|&gt;GSB&lt;/a&gt;</v>
      </c>
      <c r="AE1079" s="2" t="str">
        <f t="shared" si="4314"/>
        <v>&lt;/li&gt;&lt;li&gt;&lt;a href=|http://jfb.biblecommenter.com/2_corinthians/1.htm| title=|Jamieson-Fausset-Brown Bible Commentary| target=|_top|&gt;JFB&lt;/a&gt;</v>
      </c>
      <c r="AF1079" s="2" t="str">
        <f t="shared" si="4314"/>
        <v>&lt;/li&gt;&lt;li&gt;&lt;a href=|http://kjt.biblecommenter.com/2_corinthians/1.htm| title=|King James Translators' Notes| target=|_top|&gt;KJT&lt;/a&gt;</v>
      </c>
      <c r="AG1079" s="2" t="str">
        <f t="shared" si="4314"/>
        <v>&lt;/li&gt;&lt;li&gt;&lt;a href=|http://mhc.biblecommenter.com/2_corinthians/1.htm| title=|Matthew Henry's Concise Commentary| target=|_top|&gt;MHC&lt;/a&gt;</v>
      </c>
      <c r="AH1079" s="2" t="str">
        <f t="shared" si="4314"/>
        <v>&lt;/li&gt;&lt;li&gt;&lt;a href=|http://sco.biblecommenter.com/2_corinthians/1.htm| title=|Scofield Reference Notes| target=|_top|&gt;SCO&lt;/a&gt;</v>
      </c>
      <c r="AI1079" s="2" t="str">
        <f t="shared" si="4314"/>
        <v>&lt;/li&gt;&lt;li&gt;&lt;a href=|http://wes.biblecommenter.com/2_corinthians/1.htm| title=|Wesley's Notes on the Bible| target=|_top|&gt;WES&lt;/a&gt;</v>
      </c>
      <c r="AJ1079" t="str">
        <f>CONCATENATE("&lt;/li&gt;&lt;li&gt;&lt;a href=|http://",AJ1191,"/2_corinthians/1.htm","| ","title=|",AJ1190,"| target=|_top|&gt;",AJ1192,"&lt;/a&gt;")</f>
        <v>&lt;/li&gt;&lt;li&gt;&lt;a href=|http://worldebible.com/2_corinthians/1.htm| title=|World English Bible| target=|_top|&gt;WEB&lt;/a&gt;</v>
      </c>
      <c r="AK1079" t="str">
        <f>CONCATENATE("&lt;/li&gt;&lt;li&gt;&lt;a href=|http://",AK1191,"/2_corinthians/1.htm","| ","title=|",AK1190,"| target=|_top|&gt;",AK1192,"&lt;/a&gt;")</f>
        <v>&lt;/li&gt;&lt;li&gt;&lt;a href=|http://yltbible.com/2_corinthians/1.htm| title=|Young's Literal Translation| target=|_top|&gt;YLT&lt;/a&gt;</v>
      </c>
      <c r="AL1079" t="str">
        <f>CONCATENATE("&lt;a href=|http://",AL1191,"/2_corinthians/1.htm","| ","title=|",AL1190,"| target=|_top|&gt;",AL1192,"&lt;/a&gt;")</f>
        <v>&lt;a href=|http://kjv.us/2_corinthians/1.htm| title=|American King James Version| target=|_top|&gt;AKJ&lt;/a&gt;</v>
      </c>
      <c r="AM1079" t="str">
        <f t="shared" ref="AM1079:AS1079" si="4315">CONCATENATE("&lt;/li&gt;&lt;li&gt;&lt;a href=|http://",AM1191,"/2_corinthians/1.htm","| ","title=|",AM1190,"| target=|_top|&gt;",AM1192,"&lt;/a&gt;")</f>
        <v>&lt;/li&gt;&lt;li&gt;&lt;a href=|http://basicenglishbible.com/2_corinthians/1.htm| title=|Bible in Basic English| target=|_top|&gt;BBE&lt;/a&gt;</v>
      </c>
      <c r="AN1079" t="str">
        <f t="shared" si="4315"/>
        <v>&lt;/li&gt;&lt;li&gt;&lt;a href=|http://darbybible.com/2_corinthians/1.htm| title=|Darby Bible Translation| target=|_top|&gt;DBY&lt;/a&gt;</v>
      </c>
      <c r="AO1079" t="str">
        <f t="shared" si="4315"/>
        <v>&lt;/li&gt;&lt;li&gt;&lt;a href=|http://isv.scripturetext.com/2_corinthians/1.htm| title=|International Standard Version| target=|_top|&gt;ISV&lt;/a&gt;</v>
      </c>
      <c r="AP1079" t="str">
        <f t="shared" si="4315"/>
        <v>&lt;/li&gt;&lt;li&gt;&lt;a href=|http://tnt.scripturetext.com/2_corinthians/1.htm| title=|Tyndale New Testament| target=|_top|&gt;TNT&lt;/a&gt;</v>
      </c>
      <c r="AQ1079" s="2" t="str">
        <f t="shared" si="4315"/>
        <v>&lt;/li&gt;&lt;li&gt;&lt;a href=|http://pnt.biblecommenter.com/2_corinthians/1.htm| title=|People's New Testament| target=|_top|&gt;PNT&lt;/a&gt;</v>
      </c>
      <c r="AR1079" t="str">
        <f t="shared" si="4315"/>
        <v>&lt;/li&gt;&lt;li&gt;&lt;a href=|http://websterbible.com/2_corinthians/1.htm| title=|Webster's Bible Translation| target=|_top|&gt;WBS&lt;/a&gt;</v>
      </c>
      <c r="AS1079" t="str">
        <f t="shared" si="4315"/>
        <v>&lt;/li&gt;&lt;li&gt;&lt;a href=|http://weymouthbible.com/2_corinthians/1.htm| title=|Weymouth New Testament| target=|_top|&gt;WEY&lt;/a&gt;</v>
      </c>
      <c r="AT1079" t="str">
        <f>CONCATENATE("&lt;/li&gt;&lt;li&gt;&lt;a href=|http://",AT1191,"/2_corinthians/1-1.htm","| ","title=|",AT1190,"| target=|_top|&gt;",AT1192,"&lt;/a&gt;")</f>
        <v>&lt;/li&gt;&lt;li&gt;&lt;a href=|http://biblebrowser.com/2_corinthians/1-1.htm| title=|Split View| target=|_top|&gt;Split&lt;/a&gt;</v>
      </c>
      <c r="AU1079" s="2" t="s">
        <v>1276</v>
      </c>
      <c r="AV1079" t="s">
        <v>64</v>
      </c>
    </row>
    <row r="1080" spans="1:48">
      <c r="A1080" t="s">
        <v>622</v>
      </c>
      <c r="B1080" t="s">
        <v>511</v>
      </c>
      <c r="C1080" t="s">
        <v>624</v>
      </c>
      <c r="D1080" t="s">
        <v>1268</v>
      </c>
      <c r="E1080" t="s">
        <v>1277</v>
      </c>
      <c r="F1080" t="s">
        <v>1304</v>
      </c>
      <c r="G1080" t="s">
        <v>1266</v>
      </c>
      <c r="H1080" t="s">
        <v>1305</v>
      </c>
      <c r="I1080" t="s">
        <v>1303</v>
      </c>
      <c r="J1080" t="s">
        <v>1267</v>
      </c>
      <c r="K1080" t="s">
        <v>1275</v>
      </c>
      <c r="L1080" s="2" t="s">
        <v>1274</v>
      </c>
      <c r="M1080" t="str">
        <f t="shared" ref="M1080:AB1080" si="4316">CONCATENATE("&lt;/li&gt;&lt;li&gt;&lt;a href=|http://",M1191,"/2_corinthians/2.htm","| ","title=|",M1190,"| target=|_top|&gt;",M1192,"&lt;/a&gt;")</f>
        <v>&lt;/li&gt;&lt;li&gt;&lt;a href=|http://niv.scripturetext.com/2_corinthians/2.htm| title=|New International Version| target=|_top|&gt;NIV&lt;/a&gt;</v>
      </c>
      <c r="N1080" t="str">
        <f t="shared" si="4316"/>
        <v>&lt;/li&gt;&lt;li&gt;&lt;a href=|http://nlt.scripturetext.com/2_corinthians/2.htm| title=|New Living Translation| target=|_top|&gt;NLT&lt;/a&gt;</v>
      </c>
      <c r="O1080" t="str">
        <f t="shared" si="4316"/>
        <v>&lt;/li&gt;&lt;li&gt;&lt;a href=|http://nasb.scripturetext.com/2_corinthians/2.htm| title=|New American Standard Bible| target=|_top|&gt;NAS&lt;/a&gt;</v>
      </c>
      <c r="P1080" t="str">
        <f t="shared" si="4316"/>
        <v>&lt;/li&gt;&lt;li&gt;&lt;a href=|http://gwt.scripturetext.com/2_corinthians/2.htm| title=|God's Word Translation| target=|_top|&gt;GWT&lt;/a&gt;</v>
      </c>
      <c r="Q1080" t="str">
        <f t="shared" si="4316"/>
        <v>&lt;/li&gt;&lt;li&gt;&lt;a href=|http://kingjbible.com/2_corinthians/2.htm| title=|King James Bible| target=|_top|&gt;KJV&lt;/a&gt;</v>
      </c>
      <c r="R1080" t="str">
        <f t="shared" si="4316"/>
        <v>&lt;/li&gt;&lt;li&gt;&lt;a href=|http://asvbible.com/2_corinthians/2.htm| title=|American Standard Version| target=|_top|&gt;ASV&lt;/a&gt;</v>
      </c>
      <c r="S1080" t="str">
        <f t="shared" si="4316"/>
        <v>&lt;/li&gt;&lt;li&gt;&lt;a href=|http://drb.scripturetext.com/2_corinthians/2.htm| title=|Douay-Rheims Bible| target=|_top|&gt;DRB&lt;/a&gt;</v>
      </c>
      <c r="T1080" t="str">
        <f t="shared" si="4316"/>
        <v>&lt;/li&gt;&lt;li&gt;&lt;a href=|http://erv.scripturetext.com/2_corinthians/2.htm| title=|English Revised Version| target=|_top|&gt;ERV&lt;/a&gt;</v>
      </c>
      <c r="U1080" t="str">
        <f>CONCATENATE("&lt;/li&gt;&lt;li&gt;&lt;a href=|http://",U1191,"/2_corinthians/2.htm","| ","title=|",U1190,"| target=|_top|&gt;",U1192,"&lt;/a&gt;")</f>
        <v>&lt;/li&gt;&lt;li&gt;&lt;a href=|http://study.interlinearbible.org/2_corinthians/2.htm| title=|Greek Study Bible| target=|_top|&gt;Grk Study&lt;/a&gt;</v>
      </c>
      <c r="W1080" t="str">
        <f t="shared" si="4316"/>
        <v>&lt;/li&gt;&lt;li&gt;&lt;a href=|http://apostolic.interlinearbible.org/2_corinthians/2.htm| title=|Apostolic Bible Polyglot Interlinear| target=|_top|&gt;Polyglot&lt;/a&gt;</v>
      </c>
      <c r="X1080" t="str">
        <f t="shared" si="4316"/>
        <v>&lt;/li&gt;&lt;li&gt;&lt;a href=|http://interlinearbible.org/2_corinthians/2.htm| title=|Interlinear Bible| target=|_top|&gt;Interlin&lt;/a&gt;</v>
      </c>
      <c r="Y1080" t="str">
        <f t="shared" ref="Y1080" si="4317">CONCATENATE("&lt;/li&gt;&lt;li&gt;&lt;a href=|http://",Y1191,"/2_corinthians/2.htm","| ","title=|",Y1190,"| target=|_top|&gt;",Y1192,"&lt;/a&gt;")</f>
        <v>&lt;/li&gt;&lt;li&gt;&lt;a href=|http://bibleoutline.org/2_corinthians/2.htm| title=|Outline with People and Places List| target=|_top|&gt;Outline&lt;/a&gt;</v>
      </c>
      <c r="Z1080" t="str">
        <f t="shared" si="4316"/>
        <v>&lt;/li&gt;&lt;li&gt;&lt;a href=|http://kjvs.scripturetext.com/2_corinthians/2.htm| title=|King James Bible with Strong's Numbers| target=|_top|&gt;Strong's&lt;/a&gt;</v>
      </c>
      <c r="AA1080" t="str">
        <f t="shared" si="4316"/>
        <v>&lt;/li&gt;&lt;li&gt;&lt;a href=|http://childrensbibleonline.com/2_corinthians/2.htm| title=|The Children's Bible| target=|_top|&gt;Children's&lt;/a&gt;</v>
      </c>
      <c r="AB1080" s="2" t="str">
        <f t="shared" si="4316"/>
        <v>&lt;/li&gt;&lt;li&gt;&lt;a href=|http://tsk.scripturetext.com/2_corinthians/2.htm| title=|Treasury of Scripture Knowledge| target=|_top|&gt;TSK&lt;/a&gt;</v>
      </c>
      <c r="AC1080" t="str">
        <f>CONCATENATE("&lt;a href=|http://",AC1191,"/2_corinthians/2.htm","| ","title=|",AC1190,"| target=|_top|&gt;",AC1192,"&lt;/a&gt;")</f>
        <v>&lt;a href=|http://parallelbible.com/2_corinthians/2.htm| title=|Parallel Chapters| target=|_top|&gt;PAR&lt;/a&gt;</v>
      </c>
      <c r="AD1080" s="2" t="str">
        <f t="shared" ref="AD1080:AI1080" si="4318">CONCATENATE("&lt;/li&gt;&lt;li&gt;&lt;a href=|http://",AD1191,"/2_corinthians/2.htm","| ","title=|",AD1190,"| target=|_top|&gt;",AD1192,"&lt;/a&gt;")</f>
        <v>&lt;/li&gt;&lt;li&gt;&lt;a href=|http://gsb.biblecommenter.com/2_corinthians/2.htm| title=|Geneva Study Bible| target=|_top|&gt;GSB&lt;/a&gt;</v>
      </c>
      <c r="AE1080" s="2" t="str">
        <f t="shared" si="4318"/>
        <v>&lt;/li&gt;&lt;li&gt;&lt;a href=|http://jfb.biblecommenter.com/2_corinthians/2.htm| title=|Jamieson-Fausset-Brown Bible Commentary| target=|_top|&gt;JFB&lt;/a&gt;</v>
      </c>
      <c r="AF1080" s="2" t="str">
        <f t="shared" si="4318"/>
        <v>&lt;/li&gt;&lt;li&gt;&lt;a href=|http://kjt.biblecommenter.com/2_corinthians/2.htm| title=|King James Translators' Notes| target=|_top|&gt;KJT&lt;/a&gt;</v>
      </c>
      <c r="AG1080" s="2" t="str">
        <f t="shared" si="4318"/>
        <v>&lt;/li&gt;&lt;li&gt;&lt;a href=|http://mhc.biblecommenter.com/2_corinthians/2.htm| title=|Matthew Henry's Concise Commentary| target=|_top|&gt;MHC&lt;/a&gt;</v>
      </c>
      <c r="AH1080" s="2" t="str">
        <f t="shared" si="4318"/>
        <v>&lt;/li&gt;&lt;li&gt;&lt;a href=|http://sco.biblecommenter.com/2_corinthians/2.htm| title=|Scofield Reference Notes| target=|_top|&gt;SCO&lt;/a&gt;</v>
      </c>
      <c r="AI1080" s="2" t="str">
        <f t="shared" si="4318"/>
        <v>&lt;/li&gt;&lt;li&gt;&lt;a href=|http://wes.biblecommenter.com/2_corinthians/2.htm| title=|Wesley's Notes on the Bible| target=|_top|&gt;WES&lt;/a&gt;</v>
      </c>
      <c r="AJ1080" t="str">
        <f>CONCATENATE("&lt;/li&gt;&lt;li&gt;&lt;a href=|http://",AJ1191,"/2_corinthians/2.htm","| ","title=|",AJ1190,"| target=|_top|&gt;",AJ1192,"&lt;/a&gt;")</f>
        <v>&lt;/li&gt;&lt;li&gt;&lt;a href=|http://worldebible.com/2_corinthians/2.htm| title=|World English Bible| target=|_top|&gt;WEB&lt;/a&gt;</v>
      </c>
      <c r="AK1080" t="str">
        <f>CONCATENATE("&lt;/li&gt;&lt;li&gt;&lt;a href=|http://",AK1191,"/2_corinthians/2.htm","| ","title=|",AK1190,"| target=|_top|&gt;",AK1192,"&lt;/a&gt;")</f>
        <v>&lt;/li&gt;&lt;li&gt;&lt;a href=|http://yltbible.com/2_corinthians/2.htm| title=|Young's Literal Translation| target=|_top|&gt;YLT&lt;/a&gt;</v>
      </c>
      <c r="AL1080" t="str">
        <f>CONCATENATE("&lt;a href=|http://",AL1191,"/2_corinthians/2.htm","| ","title=|",AL1190,"| target=|_top|&gt;",AL1192,"&lt;/a&gt;")</f>
        <v>&lt;a href=|http://kjv.us/2_corinthians/2.htm| title=|American King James Version| target=|_top|&gt;AKJ&lt;/a&gt;</v>
      </c>
      <c r="AM1080" t="str">
        <f t="shared" ref="AM1080:AS1080" si="4319">CONCATENATE("&lt;/li&gt;&lt;li&gt;&lt;a href=|http://",AM1191,"/2_corinthians/2.htm","| ","title=|",AM1190,"| target=|_top|&gt;",AM1192,"&lt;/a&gt;")</f>
        <v>&lt;/li&gt;&lt;li&gt;&lt;a href=|http://basicenglishbible.com/2_corinthians/2.htm| title=|Bible in Basic English| target=|_top|&gt;BBE&lt;/a&gt;</v>
      </c>
      <c r="AN1080" t="str">
        <f t="shared" si="4319"/>
        <v>&lt;/li&gt;&lt;li&gt;&lt;a href=|http://darbybible.com/2_corinthians/2.htm| title=|Darby Bible Translation| target=|_top|&gt;DBY&lt;/a&gt;</v>
      </c>
      <c r="AO1080" t="str">
        <f t="shared" si="4319"/>
        <v>&lt;/li&gt;&lt;li&gt;&lt;a href=|http://isv.scripturetext.com/2_corinthians/2.htm| title=|International Standard Version| target=|_top|&gt;ISV&lt;/a&gt;</v>
      </c>
      <c r="AP1080" t="str">
        <f t="shared" si="4319"/>
        <v>&lt;/li&gt;&lt;li&gt;&lt;a href=|http://tnt.scripturetext.com/2_corinthians/2.htm| title=|Tyndale New Testament| target=|_top|&gt;TNT&lt;/a&gt;</v>
      </c>
      <c r="AQ1080" s="2" t="str">
        <f t="shared" si="4319"/>
        <v>&lt;/li&gt;&lt;li&gt;&lt;a href=|http://pnt.biblecommenter.com/2_corinthians/2.htm| title=|People's New Testament| target=|_top|&gt;PNT&lt;/a&gt;</v>
      </c>
      <c r="AR1080" t="str">
        <f t="shared" si="4319"/>
        <v>&lt;/li&gt;&lt;li&gt;&lt;a href=|http://websterbible.com/2_corinthians/2.htm| title=|Webster's Bible Translation| target=|_top|&gt;WBS&lt;/a&gt;</v>
      </c>
      <c r="AS1080" t="str">
        <f t="shared" si="4319"/>
        <v>&lt;/li&gt;&lt;li&gt;&lt;a href=|http://weymouthbible.com/2_corinthians/2.htm| title=|Weymouth New Testament| target=|_top|&gt;WEY&lt;/a&gt;</v>
      </c>
      <c r="AT1080" t="str">
        <f>CONCATENATE("&lt;/li&gt;&lt;li&gt;&lt;a href=|http://",AT1191,"/2_corinthians/2-1.htm","| ","title=|",AT1190,"| target=|_top|&gt;",AT1192,"&lt;/a&gt;")</f>
        <v>&lt;/li&gt;&lt;li&gt;&lt;a href=|http://biblebrowser.com/2_corinthians/2-1.htm| title=|Split View| target=|_top|&gt;Split&lt;/a&gt;</v>
      </c>
      <c r="AU1080" s="2" t="s">
        <v>1276</v>
      </c>
      <c r="AV1080" t="s">
        <v>64</v>
      </c>
    </row>
    <row r="1081" spans="1:48">
      <c r="A1081" t="s">
        <v>622</v>
      </c>
      <c r="B1081" t="s">
        <v>512</v>
      </c>
      <c r="C1081" t="s">
        <v>624</v>
      </c>
      <c r="D1081" t="s">
        <v>1268</v>
      </c>
      <c r="E1081" t="s">
        <v>1277</v>
      </c>
      <c r="F1081" t="s">
        <v>1304</v>
      </c>
      <c r="G1081" t="s">
        <v>1266</v>
      </c>
      <c r="H1081" t="s">
        <v>1305</v>
      </c>
      <c r="I1081" t="s">
        <v>1303</v>
      </c>
      <c r="J1081" t="s">
        <v>1267</v>
      </c>
      <c r="K1081" t="s">
        <v>1275</v>
      </c>
      <c r="L1081" s="2" t="s">
        <v>1274</v>
      </c>
      <c r="M1081" t="str">
        <f t="shared" ref="M1081:AB1081" si="4320">CONCATENATE("&lt;/li&gt;&lt;li&gt;&lt;a href=|http://",M1191,"/2_corinthians/3.htm","| ","title=|",M1190,"| target=|_top|&gt;",M1192,"&lt;/a&gt;")</f>
        <v>&lt;/li&gt;&lt;li&gt;&lt;a href=|http://niv.scripturetext.com/2_corinthians/3.htm| title=|New International Version| target=|_top|&gt;NIV&lt;/a&gt;</v>
      </c>
      <c r="N1081" t="str">
        <f t="shared" si="4320"/>
        <v>&lt;/li&gt;&lt;li&gt;&lt;a href=|http://nlt.scripturetext.com/2_corinthians/3.htm| title=|New Living Translation| target=|_top|&gt;NLT&lt;/a&gt;</v>
      </c>
      <c r="O1081" t="str">
        <f t="shared" si="4320"/>
        <v>&lt;/li&gt;&lt;li&gt;&lt;a href=|http://nasb.scripturetext.com/2_corinthians/3.htm| title=|New American Standard Bible| target=|_top|&gt;NAS&lt;/a&gt;</v>
      </c>
      <c r="P1081" t="str">
        <f t="shared" si="4320"/>
        <v>&lt;/li&gt;&lt;li&gt;&lt;a href=|http://gwt.scripturetext.com/2_corinthians/3.htm| title=|God's Word Translation| target=|_top|&gt;GWT&lt;/a&gt;</v>
      </c>
      <c r="Q1081" t="str">
        <f t="shared" si="4320"/>
        <v>&lt;/li&gt;&lt;li&gt;&lt;a href=|http://kingjbible.com/2_corinthians/3.htm| title=|King James Bible| target=|_top|&gt;KJV&lt;/a&gt;</v>
      </c>
      <c r="R1081" t="str">
        <f t="shared" si="4320"/>
        <v>&lt;/li&gt;&lt;li&gt;&lt;a href=|http://asvbible.com/2_corinthians/3.htm| title=|American Standard Version| target=|_top|&gt;ASV&lt;/a&gt;</v>
      </c>
      <c r="S1081" t="str">
        <f t="shared" si="4320"/>
        <v>&lt;/li&gt;&lt;li&gt;&lt;a href=|http://drb.scripturetext.com/2_corinthians/3.htm| title=|Douay-Rheims Bible| target=|_top|&gt;DRB&lt;/a&gt;</v>
      </c>
      <c r="T1081" t="str">
        <f t="shared" si="4320"/>
        <v>&lt;/li&gt;&lt;li&gt;&lt;a href=|http://erv.scripturetext.com/2_corinthians/3.htm| title=|English Revised Version| target=|_top|&gt;ERV&lt;/a&gt;</v>
      </c>
      <c r="U1081" t="str">
        <f>CONCATENATE("&lt;/li&gt;&lt;li&gt;&lt;a href=|http://",U1191,"/2_corinthians/3.htm","| ","title=|",U1190,"| target=|_top|&gt;",U1192,"&lt;/a&gt;")</f>
        <v>&lt;/li&gt;&lt;li&gt;&lt;a href=|http://study.interlinearbible.org/2_corinthians/3.htm| title=|Greek Study Bible| target=|_top|&gt;Grk Study&lt;/a&gt;</v>
      </c>
      <c r="W1081" t="str">
        <f t="shared" si="4320"/>
        <v>&lt;/li&gt;&lt;li&gt;&lt;a href=|http://apostolic.interlinearbible.org/2_corinthians/3.htm| title=|Apostolic Bible Polyglot Interlinear| target=|_top|&gt;Polyglot&lt;/a&gt;</v>
      </c>
      <c r="X1081" t="str">
        <f t="shared" si="4320"/>
        <v>&lt;/li&gt;&lt;li&gt;&lt;a href=|http://interlinearbible.org/2_corinthians/3.htm| title=|Interlinear Bible| target=|_top|&gt;Interlin&lt;/a&gt;</v>
      </c>
      <c r="Y1081" t="str">
        <f t="shared" ref="Y1081" si="4321">CONCATENATE("&lt;/li&gt;&lt;li&gt;&lt;a href=|http://",Y1191,"/2_corinthians/3.htm","| ","title=|",Y1190,"| target=|_top|&gt;",Y1192,"&lt;/a&gt;")</f>
        <v>&lt;/li&gt;&lt;li&gt;&lt;a href=|http://bibleoutline.org/2_corinthians/3.htm| title=|Outline with People and Places List| target=|_top|&gt;Outline&lt;/a&gt;</v>
      </c>
      <c r="Z1081" t="str">
        <f t="shared" si="4320"/>
        <v>&lt;/li&gt;&lt;li&gt;&lt;a href=|http://kjvs.scripturetext.com/2_corinthians/3.htm| title=|King James Bible with Strong's Numbers| target=|_top|&gt;Strong's&lt;/a&gt;</v>
      </c>
      <c r="AA1081" t="str">
        <f t="shared" si="4320"/>
        <v>&lt;/li&gt;&lt;li&gt;&lt;a href=|http://childrensbibleonline.com/2_corinthians/3.htm| title=|The Children's Bible| target=|_top|&gt;Children's&lt;/a&gt;</v>
      </c>
      <c r="AB1081" s="2" t="str">
        <f t="shared" si="4320"/>
        <v>&lt;/li&gt;&lt;li&gt;&lt;a href=|http://tsk.scripturetext.com/2_corinthians/3.htm| title=|Treasury of Scripture Knowledge| target=|_top|&gt;TSK&lt;/a&gt;</v>
      </c>
      <c r="AC1081" t="str">
        <f>CONCATENATE("&lt;a href=|http://",AC1191,"/2_corinthians/3.htm","| ","title=|",AC1190,"| target=|_top|&gt;",AC1192,"&lt;/a&gt;")</f>
        <v>&lt;a href=|http://parallelbible.com/2_corinthians/3.htm| title=|Parallel Chapters| target=|_top|&gt;PAR&lt;/a&gt;</v>
      </c>
      <c r="AD1081" s="2" t="str">
        <f t="shared" ref="AD1081:AI1081" si="4322">CONCATENATE("&lt;/li&gt;&lt;li&gt;&lt;a href=|http://",AD1191,"/2_corinthians/3.htm","| ","title=|",AD1190,"| target=|_top|&gt;",AD1192,"&lt;/a&gt;")</f>
        <v>&lt;/li&gt;&lt;li&gt;&lt;a href=|http://gsb.biblecommenter.com/2_corinthians/3.htm| title=|Geneva Study Bible| target=|_top|&gt;GSB&lt;/a&gt;</v>
      </c>
      <c r="AE1081" s="2" t="str">
        <f t="shared" si="4322"/>
        <v>&lt;/li&gt;&lt;li&gt;&lt;a href=|http://jfb.biblecommenter.com/2_corinthians/3.htm| title=|Jamieson-Fausset-Brown Bible Commentary| target=|_top|&gt;JFB&lt;/a&gt;</v>
      </c>
      <c r="AF1081" s="2" t="str">
        <f t="shared" si="4322"/>
        <v>&lt;/li&gt;&lt;li&gt;&lt;a href=|http://kjt.biblecommenter.com/2_corinthians/3.htm| title=|King James Translators' Notes| target=|_top|&gt;KJT&lt;/a&gt;</v>
      </c>
      <c r="AG1081" s="2" t="str">
        <f t="shared" si="4322"/>
        <v>&lt;/li&gt;&lt;li&gt;&lt;a href=|http://mhc.biblecommenter.com/2_corinthians/3.htm| title=|Matthew Henry's Concise Commentary| target=|_top|&gt;MHC&lt;/a&gt;</v>
      </c>
      <c r="AH1081" s="2" t="str">
        <f t="shared" si="4322"/>
        <v>&lt;/li&gt;&lt;li&gt;&lt;a href=|http://sco.biblecommenter.com/2_corinthians/3.htm| title=|Scofield Reference Notes| target=|_top|&gt;SCO&lt;/a&gt;</v>
      </c>
      <c r="AI1081" s="2" t="str">
        <f t="shared" si="4322"/>
        <v>&lt;/li&gt;&lt;li&gt;&lt;a href=|http://wes.biblecommenter.com/2_corinthians/3.htm| title=|Wesley's Notes on the Bible| target=|_top|&gt;WES&lt;/a&gt;</v>
      </c>
      <c r="AJ1081" t="str">
        <f>CONCATENATE("&lt;/li&gt;&lt;li&gt;&lt;a href=|http://",AJ1191,"/2_corinthians/3.htm","| ","title=|",AJ1190,"| target=|_top|&gt;",AJ1192,"&lt;/a&gt;")</f>
        <v>&lt;/li&gt;&lt;li&gt;&lt;a href=|http://worldebible.com/2_corinthians/3.htm| title=|World English Bible| target=|_top|&gt;WEB&lt;/a&gt;</v>
      </c>
      <c r="AK1081" t="str">
        <f>CONCATENATE("&lt;/li&gt;&lt;li&gt;&lt;a href=|http://",AK1191,"/2_corinthians/3.htm","| ","title=|",AK1190,"| target=|_top|&gt;",AK1192,"&lt;/a&gt;")</f>
        <v>&lt;/li&gt;&lt;li&gt;&lt;a href=|http://yltbible.com/2_corinthians/3.htm| title=|Young's Literal Translation| target=|_top|&gt;YLT&lt;/a&gt;</v>
      </c>
      <c r="AL1081" t="str">
        <f>CONCATENATE("&lt;a href=|http://",AL1191,"/2_corinthians/3.htm","| ","title=|",AL1190,"| target=|_top|&gt;",AL1192,"&lt;/a&gt;")</f>
        <v>&lt;a href=|http://kjv.us/2_corinthians/3.htm| title=|American King James Version| target=|_top|&gt;AKJ&lt;/a&gt;</v>
      </c>
      <c r="AM1081" t="str">
        <f t="shared" ref="AM1081:AS1081" si="4323">CONCATENATE("&lt;/li&gt;&lt;li&gt;&lt;a href=|http://",AM1191,"/2_corinthians/3.htm","| ","title=|",AM1190,"| target=|_top|&gt;",AM1192,"&lt;/a&gt;")</f>
        <v>&lt;/li&gt;&lt;li&gt;&lt;a href=|http://basicenglishbible.com/2_corinthians/3.htm| title=|Bible in Basic English| target=|_top|&gt;BBE&lt;/a&gt;</v>
      </c>
      <c r="AN1081" t="str">
        <f t="shared" si="4323"/>
        <v>&lt;/li&gt;&lt;li&gt;&lt;a href=|http://darbybible.com/2_corinthians/3.htm| title=|Darby Bible Translation| target=|_top|&gt;DBY&lt;/a&gt;</v>
      </c>
      <c r="AO1081" t="str">
        <f t="shared" si="4323"/>
        <v>&lt;/li&gt;&lt;li&gt;&lt;a href=|http://isv.scripturetext.com/2_corinthians/3.htm| title=|International Standard Version| target=|_top|&gt;ISV&lt;/a&gt;</v>
      </c>
      <c r="AP1081" t="str">
        <f t="shared" si="4323"/>
        <v>&lt;/li&gt;&lt;li&gt;&lt;a href=|http://tnt.scripturetext.com/2_corinthians/3.htm| title=|Tyndale New Testament| target=|_top|&gt;TNT&lt;/a&gt;</v>
      </c>
      <c r="AQ1081" s="2" t="str">
        <f t="shared" si="4323"/>
        <v>&lt;/li&gt;&lt;li&gt;&lt;a href=|http://pnt.biblecommenter.com/2_corinthians/3.htm| title=|People's New Testament| target=|_top|&gt;PNT&lt;/a&gt;</v>
      </c>
      <c r="AR1081" t="str">
        <f t="shared" si="4323"/>
        <v>&lt;/li&gt;&lt;li&gt;&lt;a href=|http://websterbible.com/2_corinthians/3.htm| title=|Webster's Bible Translation| target=|_top|&gt;WBS&lt;/a&gt;</v>
      </c>
      <c r="AS1081" t="str">
        <f t="shared" si="4323"/>
        <v>&lt;/li&gt;&lt;li&gt;&lt;a href=|http://weymouthbible.com/2_corinthians/3.htm| title=|Weymouth New Testament| target=|_top|&gt;WEY&lt;/a&gt;</v>
      </c>
      <c r="AT1081" t="str">
        <f>CONCATENATE("&lt;/li&gt;&lt;li&gt;&lt;a href=|http://",AT1191,"/2_corinthians/3-1.htm","| ","title=|",AT1190,"| target=|_top|&gt;",AT1192,"&lt;/a&gt;")</f>
        <v>&lt;/li&gt;&lt;li&gt;&lt;a href=|http://biblebrowser.com/2_corinthians/3-1.htm| title=|Split View| target=|_top|&gt;Split&lt;/a&gt;</v>
      </c>
      <c r="AU1081" s="2" t="s">
        <v>1276</v>
      </c>
      <c r="AV1081" t="s">
        <v>64</v>
      </c>
    </row>
    <row r="1082" spans="1:48">
      <c r="A1082" t="s">
        <v>622</v>
      </c>
      <c r="B1082" t="s">
        <v>513</v>
      </c>
      <c r="C1082" t="s">
        <v>624</v>
      </c>
      <c r="D1082" t="s">
        <v>1268</v>
      </c>
      <c r="E1082" t="s">
        <v>1277</v>
      </c>
      <c r="F1082" t="s">
        <v>1304</v>
      </c>
      <c r="G1082" t="s">
        <v>1266</v>
      </c>
      <c r="H1082" t="s">
        <v>1305</v>
      </c>
      <c r="I1082" t="s">
        <v>1303</v>
      </c>
      <c r="J1082" t="s">
        <v>1267</v>
      </c>
      <c r="K1082" t="s">
        <v>1275</v>
      </c>
      <c r="L1082" s="2" t="s">
        <v>1274</v>
      </c>
      <c r="M1082" t="str">
        <f t="shared" ref="M1082:AB1082" si="4324">CONCATENATE("&lt;/li&gt;&lt;li&gt;&lt;a href=|http://",M1191,"/2_corinthians/4.htm","| ","title=|",M1190,"| target=|_top|&gt;",M1192,"&lt;/a&gt;")</f>
        <v>&lt;/li&gt;&lt;li&gt;&lt;a href=|http://niv.scripturetext.com/2_corinthians/4.htm| title=|New International Version| target=|_top|&gt;NIV&lt;/a&gt;</v>
      </c>
      <c r="N1082" t="str">
        <f t="shared" si="4324"/>
        <v>&lt;/li&gt;&lt;li&gt;&lt;a href=|http://nlt.scripturetext.com/2_corinthians/4.htm| title=|New Living Translation| target=|_top|&gt;NLT&lt;/a&gt;</v>
      </c>
      <c r="O1082" t="str">
        <f t="shared" si="4324"/>
        <v>&lt;/li&gt;&lt;li&gt;&lt;a href=|http://nasb.scripturetext.com/2_corinthians/4.htm| title=|New American Standard Bible| target=|_top|&gt;NAS&lt;/a&gt;</v>
      </c>
      <c r="P1082" t="str">
        <f t="shared" si="4324"/>
        <v>&lt;/li&gt;&lt;li&gt;&lt;a href=|http://gwt.scripturetext.com/2_corinthians/4.htm| title=|God's Word Translation| target=|_top|&gt;GWT&lt;/a&gt;</v>
      </c>
      <c r="Q1082" t="str">
        <f t="shared" si="4324"/>
        <v>&lt;/li&gt;&lt;li&gt;&lt;a href=|http://kingjbible.com/2_corinthians/4.htm| title=|King James Bible| target=|_top|&gt;KJV&lt;/a&gt;</v>
      </c>
      <c r="R1082" t="str">
        <f t="shared" si="4324"/>
        <v>&lt;/li&gt;&lt;li&gt;&lt;a href=|http://asvbible.com/2_corinthians/4.htm| title=|American Standard Version| target=|_top|&gt;ASV&lt;/a&gt;</v>
      </c>
      <c r="S1082" t="str">
        <f t="shared" si="4324"/>
        <v>&lt;/li&gt;&lt;li&gt;&lt;a href=|http://drb.scripturetext.com/2_corinthians/4.htm| title=|Douay-Rheims Bible| target=|_top|&gt;DRB&lt;/a&gt;</v>
      </c>
      <c r="T1082" t="str">
        <f t="shared" si="4324"/>
        <v>&lt;/li&gt;&lt;li&gt;&lt;a href=|http://erv.scripturetext.com/2_corinthians/4.htm| title=|English Revised Version| target=|_top|&gt;ERV&lt;/a&gt;</v>
      </c>
      <c r="U1082" t="str">
        <f>CONCATENATE("&lt;/li&gt;&lt;li&gt;&lt;a href=|http://",U1191,"/2_corinthians/4.htm","| ","title=|",U1190,"| target=|_top|&gt;",U1192,"&lt;/a&gt;")</f>
        <v>&lt;/li&gt;&lt;li&gt;&lt;a href=|http://study.interlinearbible.org/2_corinthians/4.htm| title=|Greek Study Bible| target=|_top|&gt;Grk Study&lt;/a&gt;</v>
      </c>
      <c r="W1082" t="str">
        <f t="shared" si="4324"/>
        <v>&lt;/li&gt;&lt;li&gt;&lt;a href=|http://apostolic.interlinearbible.org/2_corinthians/4.htm| title=|Apostolic Bible Polyglot Interlinear| target=|_top|&gt;Polyglot&lt;/a&gt;</v>
      </c>
      <c r="X1082" t="str">
        <f t="shared" si="4324"/>
        <v>&lt;/li&gt;&lt;li&gt;&lt;a href=|http://interlinearbible.org/2_corinthians/4.htm| title=|Interlinear Bible| target=|_top|&gt;Interlin&lt;/a&gt;</v>
      </c>
      <c r="Y1082" t="str">
        <f t="shared" ref="Y1082" si="4325">CONCATENATE("&lt;/li&gt;&lt;li&gt;&lt;a href=|http://",Y1191,"/2_corinthians/4.htm","| ","title=|",Y1190,"| target=|_top|&gt;",Y1192,"&lt;/a&gt;")</f>
        <v>&lt;/li&gt;&lt;li&gt;&lt;a href=|http://bibleoutline.org/2_corinthians/4.htm| title=|Outline with People and Places List| target=|_top|&gt;Outline&lt;/a&gt;</v>
      </c>
      <c r="Z1082" t="str">
        <f t="shared" si="4324"/>
        <v>&lt;/li&gt;&lt;li&gt;&lt;a href=|http://kjvs.scripturetext.com/2_corinthians/4.htm| title=|King James Bible with Strong's Numbers| target=|_top|&gt;Strong's&lt;/a&gt;</v>
      </c>
      <c r="AA1082" t="str">
        <f t="shared" si="4324"/>
        <v>&lt;/li&gt;&lt;li&gt;&lt;a href=|http://childrensbibleonline.com/2_corinthians/4.htm| title=|The Children's Bible| target=|_top|&gt;Children's&lt;/a&gt;</v>
      </c>
      <c r="AB1082" s="2" t="str">
        <f t="shared" si="4324"/>
        <v>&lt;/li&gt;&lt;li&gt;&lt;a href=|http://tsk.scripturetext.com/2_corinthians/4.htm| title=|Treasury of Scripture Knowledge| target=|_top|&gt;TSK&lt;/a&gt;</v>
      </c>
      <c r="AC1082" t="str">
        <f>CONCATENATE("&lt;a href=|http://",AC1191,"/2_corinthians/4.htm","| ","title=|",AC1190,"| target=|_top|&gt;",AC1192,"&lt;/a&gt;")</f>
        <v>&lt;a href=|http://parallelbible.com/2_corinthians/4.htm| title=|Parallel Chapters| target=|_top|&gt;PAR&lt;/a&gt;</v>
      </c>
      <c r="AD1082" s="2" t="str">
        <f t="shared" ref="AD1082:AI1082" si="4326">CONCATENATE("&lt;/li&gt;&lt;li&gt;&lt;a href=|http://",AD1191,"/2_corinthians/4.htm","| ","title=|",AD1190,"| target=|_top|&gt;",AD1192,"&lt;/a&gt;")</f>
        <v>&lt;/li&gt;&lt;li&gt;&lt;a href=|http://gsb.biblecommenter.com/2_corinthians/4.htm| title=|Geneva Study Bible| target=|_top|&gt;GSB&lt;/a&gt;</v>
      </c>
      <c r="AE1082" s="2" t="str">
        <f t="shared" si="4326"/>
        <v>&lt;/li&gt;&lt;li&gt;&lt;a href=|http://jfb.biblecommenter.com/2_corinthians/4.htm| title=|Jamieson-Fausset-Brown Bible Commentary| target=|_top|&gt;JFB&lt;/a&gt;</v>
      </c>
      <c r="AF1082" s="2" t="str">
        <f t="shared" si="4326"/>
        <v>&lt;/li&gt;&lt;li&gt;&lt;a href=|http://kjt.biblecommenter.com/2_corinthians/4.htm| title=|King James Translators' Notes| target=|_top|&gt;KJT&lt;/a&gt;</v>
      </c>
      <c r="AG1082" s="2" t="str">
        <f t="shared" si="4326"/>
        <v>&lt;/li&gt;&lt;li&gt;&lt;a href=|http://mhc.biblecommenter.com/2_corinthians/4.htm| title=|Matthew Henry's Concise Commentary| target=|_top|&gt;MHC&lt;/a&gt;</v>
      </c>
      <c r="AH1082" s="2" t="str">
        <f t="shared" si="4326"/>
        <v>&lt;/li&gt;&lt;li&gt;&lt;a href=|http://sco.biblecommenter.com/2_corinthians/4.htm| title=|Scofield Reference Notes| target=|_top|&gt;SCO&lt;/a&gt;</v>
      </c>
      <c r="AI1082" s="2" t="str">
        <f t="shared" si="4326"/>
        <v>&lt;/li&gt;&lt;li&gt;&lt;a href=|http://wes.biblecommenter.com/2_corinthians/4.htm| title=|Wesley's Notes on the Bible| target=|_top|&gt;WES&lt;/a&gt;</v>
      </c>
      <c r="AJ1082" t="str">
        <f>CONCATENATE("&lt;/li&gt;&lt;li&gt;&lt;a href=|http://",AJ1191,"/2_corinthians/4.htm","| ","title=|",AJ1190,"| target=|_top|&gt;",AJ1192,"&lt;/a&gt;")</f>
        <v>&lt;/li&gt;&lt;li&gt;&lt;a href=|http://worldebible.com/2_corinthians/4.htm| title=|World English Bible| target=|_top|&gt;WEB&lt;/a&gt;</v>
      </c>
      <c r="AK1082" t="str">
        <f>CONCATENATE("&lt;/li&gt;&lt;li&gt;&lt;a href=|http://",AK1191,"/2_corinthians/4.htm","| ","title=|",AK1190,"| target=|_top|&gt;",AK1192,"&lt;/a&gt;")</f>
        <v>&lt;/li&gt;&lt;li&gt;&lt;a href=|http://yltbible.com/2_corinthians/4.htm| title=|Young's Literal Translation| target=|_top|&gt;YLT&lt;/a&gt;</v>
      </c>
      <c r="AL1082" t="str">
        <f>CONCATENATE("&lt;a href=|http://",AL1191,"/2_corinthians/4.htm","| ","title=|",AL1190,"| target=|_top|&gt;",AL1192,"&lt;/a&gt;")</f>
        <v>&lt;a href=|http://kjv.us/2_corinthians/4.htm| title=|American King James Version| target=|_top|&gt;AKJ&lt;/a&gt;</v>
      </c>
      <c r="AM1082" t="str">
        <f t="shared" ref="AM1082:AS1082" si="4327">CONCATENATE("&lt;/li&gt;&lt;li&gt;&lt;a href=|http://",AM1191,"/2_corinthians/4.htm","| ","title=|",AM1190,"| target=|_top|&gt;",AM1192,"&lt;/a&gt;")</f>
        <v>&lt;/li&gt;&lt;li&gt;&lt;a href=|http://basicenglishbible.com/2_corinthians/4.htm| title=|Bible in Basic English| target=|_top|&gt;BBE&lt;/a&gt;</v>
      </c>
      <c r="AN1082" t="str">
        <f t="shared" si="4327"/>
        <v>&lt;/li&gt;&lt;li&gt;&lt;a href=|http://darbybible.com/2_corinthians/4.htm| title=|Darby Bible Translation| target=|_top|&gt;DBY&lt;/a&gt;</v>
      </c>
      <c r="AO1082" t="str">
        <f t="shared" si="4327"/>
        <v>&lt;/li&gt;&lt;li&gt;&lt;a href=|http://isv.scripturetext.com/2_corinthians/4.htm| title=|International Standard Version| target=|_top|&gt;ISV&lt;/a&gt;</v>
      </c>
      <c r="AP1082" t="str">
        <f t="shared" si="4327"/>
        <v>&lt;/li&gt;&lt;li&gt;&lt;a href=|http://tnt.scripturetext.com/2_corinthians/4.htm| title=|Tyndale New Testament| target=|_top|&gt;TNT&lt;/a&gt;</v>
      </c>
      <c r="AQ1082" s="2" t="str">
        <f t="shared" si="4327"/>
        <v>&lt;/li&gt;&lt;li&gt;&lt;a href=|http://pnt.biblecommenter.com/2_corinthians/4.htm| title=|People's New Testament| target=|_top|&gt;PNT&lt;/a&gt;</v>
      </c>
      <c r="AR1082" t="str">
        <f t="shared" si="4327"/>
        <v>&lt;/li&gt;&lt;li&gt;&lt;a href=|http://websterbible.com/2_corinthians/4.htm| title=|Webster's Bible Translation| target=|_top|&gt;WBS&lt;/a&gt;</v>
      </c>
      <c r="AS1082" t="str">
        <f t="shared" si="4327"/>
        <v>&lt;/li&gt;&lt;li&gt;&lt;a href=|http://weymouthbible.com/2_corinthians/4.htm| title=|Weymouth New Testament| target=|_top|&gt;WEY&lt;/a&gt;</v>
      </c>
      <c r="AT1082" t="str">
        <f>CONCATENATE("&lt;/li&gt;&lt;li&gt;&lt;a href=|http://",AT1191,"/2_corinthians/4-1.htm","| ","title=|",AT1190,"| target=|_top|&gt;",AT1192,"&lt;/a&gt;")</f>
        <v>&lt;/li&gt;&lt;li&gt;&lt;a href=|http://biblebrowser.com/2_corinthians/4-1.htm| title=|Split View| target=|_top|&gt;Split&lt;/a&gt;</v>
      </c>
      <c r="AU1082" s="2" t="s">
        <v>1276</v>
      </c>
      <c r="AV1082" t="s">
        <v>64</v>
      </c>
    </row>
    <row r="1083" spans="1:48">
      <c r="A1083" t="s">
        <v>622</v>
      </c>
      <c r="B1083" t="s">
        <v>514</v>
      </c>
      <c r="C1083" t="s">
        <v>624</v>
      </c>
      <c r="D1083" t="s">
        <v>1268</v>
      </c>
      <c r="E1083" t="s">
        <v>1277</v>
      </c>
      <c r="F1083" t="s">
        <v>1304</v>
      </c>
      <c r="G1083" t="s">
        <v>1266</v>
      </c>
      <c r="H1083" t="s">
        <v>1305</v>
      </c>
      <c r="I1083" t="s">
        <v>1303</v>
      </c>
      <c r="J1083" t="s">
        <v>1267</v>
      </c>
      <c r="K1083" t="s">
        <v>1275</v>
      </c>
      <c r="L1083" s="2" t="s">
        <v>1274</v>
      </c>
      <c r="M1083" t="str">
        <f t="shared" ref="M1083:AB1083" si="4328">CONCATENATE("&lt;/li&gt;&lt;li&gt;&lt;a href=|http://",M1191,"/2_corinthians/5.htm","| ","title=|",M1190,"| target=|_top|&gt;",M1192,"&lt;/a&gt;")</f>
        <v>&lt;/li&gt;&lt;li&gt;&lt;a href=|http://niv.scripturetext.com/2_corinthians/5.htm| title=|New International Version| target=|_top|&gt;NIV&lt;/a&gt;</v>
      </c>
      <c r="N1083" t="str">
        <f t="shared" si="4328"/>
        <v>&lt;/li&gt;&lt;li&gt;&lt;a href=|http://nlt.scripturetext.com/2_corinthians/5.htm| title=|New Living Translation| target=|_top|&gt;NLT&lt;/a&gt;</v>
      </c>
      <c r="O1083" t="str">
        <f t="shared" si="4328"/>
        <v>&lt;/li&gt;&lt;li&gt;&lt;a href=|http://nasb.scripturetext.com/2_corinthians/5.htm| title=|New American Standard Bible| target=|_top|&gt;NAS&lt;/a&gt;</v>
      </c>
      <c r="P1083" t="str">
        <f t="shared" si="4328"/>
        <v>&lt;/li&gt;&lt;li&gt;&lt;a href=|http://gwt.scripturetext.com/2_corinthians/5.htm| title=|God's Word Translation| target=|_top|&gt;GWT&lt;/a&gt;</v>
      </c>
      <c r="Q1083" t="str">
        <f t="shared" si="4328"/>
        <v>&lt;/li&gt;&lt;li&gt;&lt;a href=|http://kingjbible.com/2_corinthians/5.htm| title=|King James Bible| target=|_top|&gt;KJV&lt;/a&gt;</v>
      </c>
      <c r="R1083" t="str">
        <f t="shared" si="4328"/>
        <v>&lt;/li&gt;&lt;li&gt;&lt;a href=|http://asvbible.com/2_corinthians/5.htm| title=|American Standard Version| target=|_top|&gt;ASV&lt;/a&gt;</v>
      </c>
      <c r="S1083" t="str">
        <f t="shared" si="4328"/>
        <v>&lt;/li&gt;&lt;li&gt;&lt;a href=|http://drb.scripturetext.com/2_corinthians/5.htm| title=|Douay-Rheims Bible| target=|_top|&gt;DRB&lt;/a&gt;</v>
      </c>
      <c r="T1083" t="str">
        <f t="shared" si="4328"/>
        <v>&lt;/li&gt;&lt;li&gt;&lt;a href=|http://erv.scripturetext.com/2_corinthians/5.htm| title=|English Revised Version| target=|_top|&gt;ERV&lt;/a&gt;</v>
      </c>
      <c r="U1083" t="str">
        <f>CONCATENATE("&lt;/li&gt;&lt;li&gt;&lt;a href=|http://",U1191,"/2_corinthians/5.htm","| ","title=|",U1190,"| target=|_top|&gt;",U1192,"&lt;/a&gt;")</f>
        <v>&lt;/li&gt;&lt;li&gt;&lt;a href=|http://study.interlinearbible.org/2_corinthians/5.htm| title=|Greek Study Bible| target=|_top|&gt;Grk Study&lt;/a&gt;</v>
      </c>
      <c r="W1083" t="str">
        <f t="shared" si="4328"/>
        <v>&lt;/li&gt;&lt;li&gt;&lt;a href=|http://apostolic.interlinearbible.org/2_corinthians/5.htm| title=|Apostolic Bible Polyglot Interlinear| target=|_top|&gt;Polyglot&lt;/a&gt;</v>
      </c>
      <c r="X1083" t="str">
        <f t="shared" si="4328"/>
        <v>&lt;/li&gt;&lt;li&gt;&lt;a href=|http://interlinearbible.org/2_corinthians/5.htm| title=|Interlinear Bible| target=|_top|&gt;Interlin&lt;/a&gt;</v>
      </c>
      <c r="Y1083" t="str">
        <f t="shared" ref="Y1083" si="4329">CONCATENATE("&lt;/li&gt;&lt;li&gt;&lt;a href=|http://",Y1191,"/2_corinthians/5.htm","| ","title=|",Y1190,"| target=|_top|&gt;",Y1192,"&lt;/a&gt;")</f>
        <v>&lt;/li&gt;&lt;li&gt;&lt;a href=|http://bibleoutline.org/2_corinthians/5.htm| title=|Outline with People and Places List| target=|_top|&gt;Outline&lt;/a&gt;</v>
      </c>
      <c r="Z1083" t="str">
        <f t="shared" si="4328"/>
        <v>&lt;/li&gt;&lt;li&gt;&lt;a href=|http://kjvs.scripturetext.com/2_corinthians/5.htm| title=|King James Bible with Strong's Numbers| target=|_top|&gt;Strong's&lt;/a&gt;</v>
      </c>
      <c r="AA1083" t="str">
        <f t="shared" si="4328"/>
        <v>&lt;/li&gt;&lt;li&gt;&lt;a href=|http://childrensbibleonline.com/2_corinthians/5.htm| title=|The Children's Bible| target=|_top|&gt;Children's&lt;/a&gt;</v>
      </c>
      <c r="AB1083" s="2" t="str">
        <f t="shared" si="4328"/>
        <v>&lt;/li&gt;&lt;li&gt;&lt;a href=|http://tsk.scripturetext.com/2_corinthians/5.htm| title=|Treasury of Scripture Knowledge| target=|_top|&gt;TSK&lt;/a&gt;</v>
      </c>
      <c r="AC1083" t="str">
        <f>CONCATENATE("&lt;a href=|http://",AC1191,"/2_corinthians/5.htm","| ","title=|",AC1190,"| target=|_top|&gt;",AC1192,"&lt;/a&gt;")</f>
        <v>&lt;a href=|http://parallelbible.com/2_corinthians/5.htm| title=|Parallel Chapters| target=|_top|&gt;PAR&lt;/a&gt;</v>
      </c>
      <c r="AD1083" s="2" t="str">
        <f t="shared" ref="AD1083:AI1083" si="4330">CONCATENATE("&lt;/li&gt;&lt;li&gt;&lt;a href=|http://",AD1191,"/2_corinthians/5.htm","| ","title=|",AD1190,"| target=|_top|&gt;",AD1192,"&lt;/a&gt;")</f>
        <v>&lt;/li&gt;&lt;li&gt;&lt;a href=|http://gsb.biblecommenter.com/2_corinthians/5.htm| title=|Geneva Study Bible| target=|_top|&gt;GSB&lt;/a&gt;</v>
      </c>
      <c r="AE1083" s="2" t="str">
        <f t="shared" si="4330"/>
        <v>&lt;/li&gt;&lt;li&gt;&lt;a href=|http://jfb.biblecommenter.com/2_corinthians/5.htm| title=|Jamieson-Fausset-Brown Bible Commentary| target=|_top|&gt;JFB&lt;/a&gt;</v>
      </c>
      <c r="AF1083" s="2" t="str">
        <f t="shared" si="4330"/>
        <v>&lt;/li&gt;&lt;li&gt;&lt;a href=|http://kjt.biblecommenter.com/2_corinthians/5.htm| title=|King James Translators' Notes| target=|_top|&gt;KJT&lt;/a&gt;</v>
      </c>
      <c r="AG1083" s="2" t="str">
        <f t="shared" si="4330"/>
        <v>&lt;/li&gt;&lt;li&gt;&lt;a href=|http://mhc.biblecommenter.com/2_corinthians/5.htm| title=|Matthew Henry's Concise Commentary| target=|_top|&gt;MHC&lt;/a&gt;</v>
      </c>
      <c r="AH1083" s="2" t="str">
        <f t="shared" si="4330"/>
        <v>&lt;/li&gt;&lt;li&gt;&lt;a href=|http://sco.biblecommenter.com/2_corinthians/5.htm| title=|Scofield Reference Notes| target=|_top|&gt;SCO&lt;/a&gt;</v>
      </c>
      <c r="AI1083" s="2" t="str">
        <f t="shared" si="4330"/>
        <v>&lt;/li&gt;&lt;li&gt;&lt;a href=|http://wes.biblecommenter.com/2_corinthians/5.htm| title=|Wesley's Notes on the Bible| target=|_top|&gt;WES&lt;/a&gt;</v>
      </c>
      <c r="AJ1083" t="str">
        <f>CONCATENATE("&lt;/li&gt;&lt;li&gt;&lt;a href=|http://",AJ1191,"/2_corinthians/5.htm","| ","title=|",AJ1190,"| target=|_top|&gt;",AJ1192,"&lt;/a&gt;")</f>
        <v>&lt;/li&gt;&lt;li&gt;&lt;a href=|http://worldebible.com/2_corinthians/5.htm| title=|World English Bible| target=|_top|&gt;WEB&lt;/a&gt;</v>
      </c>
      <c r="AK1083" t="str">
        <f>CONCATENATE("&lt;/li&gt;&lt;li&gt;&lt;a href=|http://",AK1191,"/2_corinthians/5.htm","| ","title=|",AK1190,"| target=|_top|&gt;",AK1192,"&lt;/a&gt;")</f>
        <v>&lt;/li&gt;&lt;li&gt;&lt;a href=|http://yltbible.com/2_corinthians/5.htm| title=|Young's Literal Translation| target=|_top|&gt;YLT&lt;/a&gt;</v>
      </c>
      <c r="AL1083" t="str">
        <f>CONCATENATE("&lt;a href=|http://",AL1191,"/2_corinthians/5.htm","| ","title=|",AL1190,"| target=|_top|&gt;",AL1192,"&lt;/a&gt;")</f>
        <v>&lt;a href=|http://kjv.us/2_corinthians/5.htm| title=|American King James Version| target=|_top|&gt;AKJ&lt;/a&gt;</v>
      </c>
      <c r="AM1083" t="str">
        <f t="shared" ref="AM1083:AS1083" si="4331">CONCATENATE("&lt;/li&gt;&lt;li&gt;&lt;a href=|http://",AM1191,"/2_corinthians/5.htm","| ","title=|",AM1190,"| target=|_top|&gt;",AM1192,"&lt;/a&gt;")</f>
        <v>&lt;/li&gt;&lt;li&gt;&lt;a href=|http://basicenglishbible.com/2_corinthians/5.htm| title=|Bible in Basic English| target=|_top|&gt;BBE&lt;/a&gt;</v>
      </c>
      <c r="AN1083" t="str">
        <f t="shared" si="4331"/>
        <v>&lt;/li&gt;&lt;li&gt;&lt;a href=|http://darbybible.com/2_corinthians/5.htm| title=|Darby Bible Translation| target=|_top|&gt;DBY&lt;/a&gt;</v>
      </c>
      <c r="AO1083" t="str">
        <f t="shared" si="4331"/>
        <v>&lt;/li&gt;&lt;li&gt;&lt;a href=|http://isv.scripturetext.com/2_corinthians/5.htm| title=|International Standard Version| target=|_top|&gt;ISV&lt;/a&gt;</v>
      </c>
      <c r="AP1083" t="str">
        <f t="shared" si="4331"/>
        <v>&lt;/li&gt;&lt;li&gt;&lt;a href=|http://tnt.scripturetext.com/2_corinthians/5.htm| title=|Tyndale New Testament| target=|_top|&gt;TNT&lt;/a&gt;</v>
      </c>
      <c r="AQ1083" s="2" t="str">
        <f t="shared" si="4331"/>
        <v>&lt;/li&gt;&lt;li&gt;&lt;a href=|http://pnt.biblecommenter.com/2_corinthians/5.htm| title=|People's New Testament| target=|_top|&gt;PNT&lt;/a&gt;</v>
      </c>
      <c r="AR1083" t="str">
        <f t="shared" si="4331"/>
        <v>&lt;/li&gt;&lt;li&gt;&lt;a href=|http://websterbible.com/2_corinthians/5.htm| title=|Webster's Bible Translation| target=|_top|&gt;WBS&lt;/a&gt;</v>
      </c>
      <c r="AS1083" t="str">
        <f t="shared" si="4331"/>
        <v>&lt;/li&gt;&lt;li&gt;&lt;a href=|http://weymouthbible.com/2_corinthians/5.htm| title=|Weymouth New Testament| target=|_top|&gt;WEY&lt;/a&gt;</v>
      </c>
      <c r="AT1083" t="str">
        <f>CONCATENATE("&lt;/li&gt;&lt;li&gt;&lt;a href=|http://",AT1191,"/2_corinthians/5-1.htm","| ","title=|",AT1190,"| target=|_top|&gt;",AT1192,"&lt;/a&gt;")</f>
        <v>&lt;/li&gt;&lt;li&gt;&lt;a href=|http://biblebrowser.com/2_corinthians/5-1.htm| title=|Split View| target=|_top|&gt;Split&lt;/a&gt;</v>
      </c>
      <c r="AU1083" s="2" t="s">
        <v>1276</v>
      </c>
      <c r="AV1083" t="s">
        <v>64</v>
      </c>
    </row>
    <row r="1084" spans="1:48">
      <c r="A1084" t="s">
        <v>622</v>
      </c>
      <c r="B1084" t="s">
        <v>515</v>
      </c>
      <c r="C1084" t="s">
        <v>624</v>
      </c>
      <c r="D1084" t="s">
        <v>1268</v>
      </c>
      <c r="E1084" t="s">
        <v>1277</v>
      </c>
      <c r="F1084" t="s">
        <v>1304</v>
      </c>
      <c r="G1084" t="s">
        <v>1266</v>
      </c>
      <c r="H1084" t="s">
        <v>1305</v>
      </c>
      <c r="I1084" t="s">
        <v>1303</v>
      </c>
      <c r="J1084" t="s">
        <v>1267</v>
      </c>
      <c r="K1084" t="s">
        <v>1275</v>
      </c>
      <c r="L1084" s="2" t="s">
        <v>1274</v>
      </c>
      <c r="M1084" t="str">
        <f t="shared" ref="M1084:AB1084" si="4332">CONCATENATE("&lt;/li&gt;&lt;li&gt;&lt;a href=|http://",M1191,"/2_corinthians/6.htm","| ","title=|",M1190,"| target=|_top|&gt;",M1192,"&lt;/a&gt;")</f>
        <v>&lt;/li&gt;&lt;li&gt;&lt;a href=|http://niv.scripturetext.com/2_corinthians/6.htm| title=|New International Version| target=|_top|&gt;NIV&lt;/a&gt;</v>
      </c>
      <c r="N1084" t="str">
        <f t="shared" si="4332"/>
        <v>&lt;/li&gt;&lt;li&gt;&lt;a href=|http://nlt.scripturetext.com/2_corinthians/6.htm| title=|New Living Translation| target=|_top|&gt;NLT&lt;/a&gt;</v>
      </c>
      <c r="O1084" t="str">
        <f t="shared" si="4332"/>
        <v>&lt;/li&gt;&lt;li&gt;&lt;a href=|http://nasb.scripturetext.com/2_corinthians/6.htm| title=|New American Standard Bible| target=|_top|&gt;NAS&lt;/a&gt;</v>
      </c>
      <c r="P1084" t="str">
        <f t="shared" si="4332"/>
        <v>&lt;/li&gt;&lt;li&gt;&lt;a href=|http://gwt.scripturetext.com/2_corinthians/6.htm| title=|God's Word Translation| target=|_top|&gt;GWT&lt;/a&gt;</v>
      </c>
      <c r="Q1084" t="str">
        <f t="shared" si="4332"/>
        <v>&lt;/li&gt;&lt;li&gt;&lt;a href=|http://kingjbible.com/2_corinthians/6.htm| title=|King James Bible| target=|_top|&gt;KJV&lt;/a&gt;</v>
      </c>
      <c r="R1084" t="str">
        <f t="shared" si="4332"/>
        <v>&lt;/li&gt;&lt;li&gt;&lt;a href=|http://asvbible.com/2_corinthians/6.htm| title=|American Standard Version| target=|_top|&gt;ASV&lt;/a&gt;</v>
      </c>
      <c r="S1084" t="str">
        <f t="shared" si="4332"/>
        <v>&lt;/li&gt;&lt;li&gt;&lt;a href=|http://drb.scripturetext.com/2_corinthians/6.htm| title=|Douay-Rheims Bible| target=|_top|&gt;DRB&lt;/a&gt;</v>
      </c>
      <c r="T1084" t="str">
        <f t="shared" si="4332"/>
        <v>&lt;/li&gt;&lt;li&gt;&lt;a href=|http://erv.scripturetext.com/2_corinthians/6.htm| title=|English Revised Version| target=|_top|&gt;ERV&lt;/a&gt;</v>
      </c>
      <c r="U1084" t="str">
        <f>CONCATENATE("&lt;/li&gt;&lt;li&gt;&lt;a href=|http://",U1191,"/2_corinthians/6.htm","| ","title=|",U1190,"| target=|_top|&gt;",U1192,"&lt;/a&gt;")</f>
        <v>&lt;/li&gt;&lt;li&gt;&lt;a href=|http://study.interlinearbible.org/2_corinthians/6.htm| title=|Greek Study Bible| target=|_top|&gt;Grk Study&lt;/a&gt;</v>
      </c>
      <c r="W1084" t="str">
        <f t="shared" si="4332"/>
        <v>&lt;/li&gt;&lt;li&gt;&lt;a href=|http://apostolic.interlinearbible.org/2_corinthians/6.htm| title=|Apostolic Bible Polyglot Interlinear| target=|_top|&gt;Polyglot&lt;/a&gt;</v>
      </c>
      <c r="X1084" t="str">
        <f t="shared" si="4332"/>
        <v>&lt;/li&gt;&lt;li&gt;&lt;a href=|http://interlinearbible.org/2_corinthians/6.htm| title=|Interlinear Bible| target=|_top|&gt;Interlin&lt;/a&gt;</v>
      </c>
      <c r="Y1084" t="str">
        <f t="shared" ref="Y1084" si="4333">CONCATENATE("&lt;/li&gt;&lt;li&gt;&lt;a href=|http://",Y1191,"/2_corinthians/6.htm","| ","title=|",Y1190,"| target=|_top|&gt;",Y1192,"&lt;/a&gt;")</f>
        <v>&lt;/li&gt;&lt;li&gt;&lt;a href=|http://bibleoutline.org/2_corinthians/6.htm| title=|Outline with People and Places List| target=|_top|&gt;Outline&lt;/a&gt;</v>
      </c>
      <c r="Z1084" t="str">
        <f t="shared" si="4332"/>
        <v>&lt;/li&gt;&lt;li&gt;&lt;a href=|http://kjvs.scripturetext.com/2_corinthians/6.htm| title=|King James Bible with Strong's Numbers| target=|_top|&gt;Strong's&lt;/a&gt;</v>
      </c>
      <c r="AA1084" t="str">
        <f t="shared" si="4332"/>
        <v>&lt;/li&gt;&lt;li&gt;&lt;a href=|http://childrensbibleonline.com/2_corinthians/6.htm| title=|The Children's Bible| target=|_top|&gt;Children's&lt;/a&gt;</v>
      </c>
      <c r="AB1084" s="2" t="str">
        <f t="shared" si="4332"/>
        <v>&lt;/li&gt;&lt;li&gt;&lt;a href=|http://tsk.scripturetext.com/2_corinthians/6.htm| title=|Treasury of Scripture Knowledge| target=|_top|&gt;TSK&lt;/a&gt;</v>
      </c>
      <c r="AC1084" t="str">
        <f>CONCATENATE("&lt;a href=|http://",AC1191,"/2_corinthians/6.htm","| ","title=|",AC1190,"| target=|_top|&gt;",AC1192,"&lt;/a&gt;")</f>
        <v>&lt;a href=|http://parallelbible.com/2_corinthians/6.htm| title=|Parallel Chapters| target=|_top|&gt;PAR&lt;/a&gt;</v>
      </c>
      <c r="AD1084" s="2" t="str">
        <f t="shared" ref="AD1084:AI1084" si="4334">CONCATENATE("&lt;/li&gt;&lt;li&gt;&lt;a href=|http://",AD1191,"/2_corinthians/6.htm","| ","title=|",AD1190,"| target=|_top|&gt;",AD1192,"&lt;/a&gt;")</f>
        <v>&lt;/li&gt;&lt;li&gt;&lt;a href=|http://gsb.biblecommenter.com/2_corinthians/6.htm| title=|Geneva Study Bible| target=|_top|&gt;GSB&lt;/a&gt;</v>
      </c>
      <c r="AE1084" s="2" t="str">
        <f t="shared" si="4334"/>
        <v>&lt;/li&gt;&lt;li&gt;&lt;a href=|http://jfb.biblecommenter.com/2_corinthians/6.htm| title=|Jamieson-Fausset-Brown Bible Commentary| target=|_top|&gt;JFB&lt;/a&gt;</v>
      </c>
      <c r="AF1084" s="2" t="str">
        <f t="shared" si="4334"/>
        <v>&lt;/li&gt;&lt;li&gt;&lt;a href=|http://kjt.biblecommenter.com/2_corinthians/6.htm| title=|King James Translators' Notes| target=|_top|&gt;KJT&lt;/a&gt;</v>
      </c>
      <c r="AG1084" s="2" t="str">
        <f t="shared" si="4334"/>
        <v>&lt;/li&gt;&lt;li&gt;&lt;a href=|http://mhc.biblecommenter.com/2_corinthians/6.htm| title=|Matthew Henry's Concise Commentary| target=|_top|&gt;MHC&lt;/a&gt;</v>
      </c>
      <c r="AH1084" s="2" t="str">
        <f t="shared" si="4334"/>
        <v>&lt;/li&gt;&lt;li&gt;&lt;a href=|http://sco.biblecommenter.com/2_corinthians/6.htm| title=|Scofield Reference Notes| target=|_top|&gt;SCO&lt;/a&gt;</v>
      </c>
      <c r="AI1084" s="2" t="str">
        <f t="shared" si="4334"/>
        <v>&lt;/li&gt;&lt;li&gt;&lt;a href=|http://wes.biblecommenter.com/2_corinthians/6.htm| title=|Wesley's Notes on the Bible| target=|_top|&gt;WES&lt;/a&gt;</v>
      </c>
      <c r="AJ1084" t="str">
        <f>CONCATENATE("&lt;/li&gt;&lt;li&gt;&lt;a href=|http://",AJ1191,"/2_corinthians/6.htm","| ","title=|",AJ1190,"| target=|_top|&gt;",AJ1192,"&lt;/a&gt;")</f>
        <v>&lt;/li&gt;&lt;li&gt;&lt;a href=|http://worldebible.com/2_corinthians/6.htm| title=|World English Bible| target=|_top|&gt;WEB&lt;/a&gt;</v>
      </c>
      <c r="AK1084" t="str">
        <f>CONCATENATE("&lt;/li&gt;&lt;li&gt;&lt;a href=|http://",AK1191,"/2_corinthians/6.htm","| ","title=|",AK1190,"| target=|_top|&gt;",AK1192,"&lt;/a&gt;")</f>
        <v>&lt;/li&gt;&lt;li&gt;&lt;a href=|http://yltbible.com/2_corinthians/6.htm| title=|Young's Literal Translation| target=|_top|&gt;YLT&lt;/a&gt;</v>
      </c>
      <c r="AL1084" t="str">
        <f>CONCATENATE("&lt;a href=|http://",AL1191,"/2_corinthians/6.htm","| ","title=|",AL1190,"| target=|_top|&gt;",AL1192,"&lt;/a&gt;")</f>
        <v>&lt;a href=|http://kjv.us/2_corinthians/6.htm| title=|American King James Version| target=|_top|&gt;AKJ&lt;/a&gt;</v>
      </c>
      <c r="AM1084" t="str">
        <f t="shared" ref="AM1084:AS1084" si="4335">CONCATENATE("&lt;/li&gt;&lt;li&gt;&lt;a href=|http://",AM1191,"/2_corinthians/6.htm","| ","title=|",AM1190,"| target=|_top|&gt;",AM1192,"&lt;/a&gt;")</f>
        <v>&lt;/li&gt;&lt;li&gt;&lt;a href=|http://basicenglishbible.com/2_corinthians/6.htm| title=|Bible in Basic English| target=|_top|&gt;BBE&lt;/a&gt;</v>
      </c>
      <c r="AN1084" t="str">
        <f t="shared" si="4335"/>
        <v>&lt;/li&gt;&lt;li&gt;&lt;a href=|http://darbybible.com/2_corinthians/6.htm| title=|Darby Bible Translation| target=|_top|&gt;DBY&lt;/a&gt;</v>
      </c>
      <c r="AO1084" t="str">
        <f t="shared" si="4335"/>
        <v>&lt;/li&gt;&lt;li&gt;&lt;a href=|http://isv.scripturetext.com/2_corinthians/6.htm| title=|International Standard Version| target=|_top|&gt;ISV&lt;/a&gt;</v>
      </c>
      <c r="AP1084" t="str">
        <f t="shared" si="4335"/>
        <v>&lt;/li&gt;&lt;li&gt;&lt;a href=|http://tnt.scripturetext.com/2_corinthians/6.htm| title=|Tyndale New Testament| target=|_top|&gt;TNT&lt;/a&gt;</v>
      </c>
      <c r="AQ1084" s="2" t="str">
        <f t="shared" si="4335"/>
        <v>&lt;/li&gt;&lt;li&gt;&lt;a href=|http://pnt.biblecommenter.com/2_corinthians/6.htm| title=|People's New Testament| target=|_top|&gt;PNT&lt;/a&gt;</v>
      </c>
      <c r="AR1084" t="str">
        <f t="shared" si="4335"/>
        <v>&lt;/li&gt;&lt;li&gt;&lt;a href=|http://websterbible.com/2_corinthians/6.htm| title=|Webster's Bible Translation| target=|_top|&gt;WBS&lt;/a&gt;</v>
      </c>
      <c r="AS1084" t="str">
        <f t="shared" si="4335"/>
        <v>&lt;/li&gt;&lt;li&gt;&lt;a href=|http://weymouthbible.com/2_corinthians/6.htm| title=|Weymouth New Testament| target=|_top|&gt;WEY&lt;/a&gt;</v>
      </c>
      <c r="AT1084" t="str">
        <f>CONCATENATE("&lt;/li&gt;&lt;li&gt;&lt;a href=|http://",AT1191,"/2_corinthians/6-1.htm","| ","title=|",AT1190,"| target=|_top|&gt;",AT1192,"&lt;/a&gt;")</f>
        <v>&lt;/li&gt;&lt;li&gt;&lt;a href=|http://biblebrowser.com/2_corinthians/6-1.htm| title=|Split View| target=|_top|&gt;Split&lt;/a&gt;</v>
      </c>
      <c r="AU1084" s="2" t="s">
        <v>1276</v>
      </c>
      <c r="AV1084" t="s">
        <v>64</v>
      </c>
    </row>
    <row r="1085" spans="1:48">
      <c r="A1085" t="s">
        <v>622</v>
      </c>
      <c r="B1085" t="s">
        <v>516</v>
      </c>
      <c r="C1085" t="s">
        <v>624</v>
      </c>
      <c r="D1085" t="s">
        <v>1268</v>
      </c>
      <c r="E1085" t="s">
        <v>1277</v>
      </c>
      <c r="F1085" t="s">
        <v>1304</v>
      </c>
      <c r="G1085" t="s">
        <v>1266</v>
      </c>
      <c r="H1085" t="s">
        <v>1305</v>
      </c>
      <c r="I1085" t="s">
        <v>1303</v>
      </c>
      <c r="J1085" t="s">
        <v>1267</v>
      </c>
      <c r="K1085" t="s">
        <v>1275</v>
      </c>
      <c r="L1085" s="2" t="s">
        <v>1274</v>
      </c>
      <c r="M1085" t="str">
        <f t="shared" ref="M1085:AB1085" si="4336">CONCATENATE("&lt;/li&gt;&lt;li&gt;&lt;a href=|http://",M1191,"/2_corinthians/7.htm","| ","title=|",M1190,"| target=|_top|&gt;",M1192,"&lt;/a&gt;")</f>
        <v>&lt;/li&gt;&lt;li&gt;&lt;a href=|http://niv.scripturetext.com/2_corinthians/7.htm| title=|New International Version| target=|_top|&gt;NIV&lt;/a&gt;</v>
      </c>
      <c r="N1085" t="str">
        <f t="shared" si="4336"/>
        <v>&lt;/li&gt;&lt;li&gt;&lt;a href=|http://nlt.scripturetext.com/2_corinthians/7.htm| title=|New Living Translation| target=|_top|&gt;NLT&lt;/a&gt;</v>
      </c>
      <c r="O1085" t="str">
        <f t="shared" si="4336"/>
        <v>&lt;/li&gt;&lt;li&gt;&lt;a href=|http://nasb.scripturetext.com/2_corinthians/7.htm| title=|New American Standard Bible| target=|_top|&gt;NAS&lt;/a&gt;</v>
      </c>
      <c r="P1085" t="str">
        <f t="shared" si="4336"/>
        <v>&lt;/li&gt;&lt;li&gt;&lt;a href=|http://gwt.scripturetext.com/2_corinthians/7.htm| title=|God's Word Translation| target=|_top|&gt;GWT&lt;/a&gt;</v>
      </c>
      <c r="Q1085" t="str">
        <f t="shared" si="4336"/>
        <v>&lt;/li&gt;&lt;li&gt;&lt;a href=|http://kingjbible.com/2_corinthians/7.htm| title=|King James Bible| target=|_top|&gt;KJV&lt;/a&gt;</v>
      </c>
      <c r="R1085" t="str">
        <f t="shared" si="4336"/>
        <v>&lt;/li&gt;&lt;li&gt;&lt;a href=|http://asvbible.com/2_corinthians/7.htm| title=|American Standard Version| target=|_top|&gt;ASV&lt;/a&gt;</v>
      </c>
      <c r="S1085" t="str">
        <f t="shared" si="4336"/>
        <v>&lt;/li&gt;&lt;li&gt;&lt;a href=|http://drb.scripturetext.com/2_corinthians/7.htm| title=|Douay-Rheims Bible| target=|_top|&gt;DRB&lt;/a&gt;</v>
      </c>
      <c r="T1085" t="str">
        <f t="shared" si="4336"/>
        <v>&lt;/li&gt;&lt;li&gt;&lt;a href=|http://erv.scripturetext.com/2_corinthians/7.htm| title=|English Revised Version| target=|_top|&gt;ERV&lt;/a&gt;</v>
      </c>
      <c r="U1085" t="str">
        <f>CONCATENATE("&lt;/li&gt;&lt;li&gt;&lt;a href=|http://",U1191,"/2_corinthians/7.htm","| ","title=|",U1190,"| target=|_top|&gt;",U1192,"&lt;/a&gt;")</f>
        <v>&lt;/li&gt;&lt;li&gt;&lt;a href=|http://study.interlinearbible.org/2_corinthians/7.htm| title=|Greek Study Bible| target=|_top|&gt;Grk Study&lt;/a&gt;</v>
      </c>
      <c r="W1085" t="str">
        <f t="shared" si="4336"/>
        <v>&lt;/li&gt;&lt;li&gt;&lt;a href=|http://apostolic.interlinearbible.org/2_corinthians/7.htm| title=|Apostolic Bible Polyglot Interlinear| target=|_top|&gt;Polyglot&lt;/a&gt;</v>
      </c>
      <c r="X1085" t="str">
        <f t="shared" si="4336"/>
        <v>&lt;/li&gt;&lt;li&gt;&lt;a href=|http://interlinearbible.org/2_corinthians/7.htm| title=|Interlinear Bible| target=|_top|&gt;Interlin&lt;/a&gt;</v>
      </c>
      <c r="Y1085" t="str">
        <f t="shared" ref="Y1085" si="4337">CONCATENATE("&lt;/li&gt;&lt;li&gt;&lt;a href=|http://",Y1191,"/2_corinthians/7.htm","| ","title=|",Y1190,"| target=|_top|&gt;",Y1192,"&lt;/a&gt;")</f>
        <v>&lt;/li&gt;&lt;li&gt;&lt;a href=|http://bibleoutline.org/2_corinthians/7.htm| title=|Outline with People and Places List| target=|_top|&gt;Outline&lt;/a&gt;</v>
      </c>
      <c r="Z1085" t="str">
        <f t="shared" si="4336"/>
        <v>&lt;/li&gt;&lt;li&gt;&lt;a href=|http://kjvs.scripturetext.com/2_corinthians/7.htm| title=|King James Bible with Strong's Numbers| target=|_top|&gt;Strong's&lt;/a&gt;</v>
      </c>
      <c r="AA1085" t="str">
        <f t="shared" si="4336"/>
        <v>&lt;/li&gt;&lt;li&gt;&lt;a href=|http://childrensbibleonline.com/2_corinthians/7.htm| title=|The Children's Bible| target=|_top|&gt;Children's&lt;/a&gt;</v>
      </c>
      <c r="AB1085" s="2" t="str">
        <f t="shared" si="4336"/>
        <v>&lt;/li&gt;&lt;li&gt;&lt;a href=|http://tsk.scripturetext.com/2_corinthians/7.htm| title=|Treasury of Scripture Knowledge| target=|_top|&gt;TSK&lt;/a&gt;</v>
      </c>
      <c r="AC1085" t="str">
        <f>CONCATENATE("&lt;a href=|http://",AC1191,"/2_corinthians/7.htm","| ","title=|",AC1190,"| target=|_top|&gt;",AC1192,"&lt;/a&gt;")</f>
        <v>&lt;a href=|http://parallelbible.com/2_corinthians/7.htm| title=|Parallel Chapters| target=|_top|&gt;PAR&lt;/a&gt;</v>
      </c>
      <c r="AD1085" s="2" t="str">
        <f t="shared" ref="AD1085:AI1085" si="4338">CONCATENATE("&lt;/li&gt;&lt;li&gt;&lt;a href=|http://",AD1191,"/2_corinthians/7.htm","| ","title=|",AD1190,"| target=|_top|&gt;",AD1192,"&lt;/a&gt;")</f>
        <v>&lt;/li&gt;&lt;li&gt;&lt;a href=|http://gsb.biblecommenter.com/2_corinthians/7.htm| title=|Geneva Study Bible| target=|_top|&gt;GSB&lt;/a&gt;</v>
      </c>
      <c r="AE1085" s="2" t="str">
        <f t="shared" si="4338"/>
        <v>&lt;/li&gt;&lt;li&gt;&lt;a href=|http://jfb.biblecommenter.com/2_corinthians/7.htm| title=|Jamieson-Fausset-Brown Bible Commentary| target=|_top|&gt;JFB&lt;/a&gt;</v>
      </c>
      <c r="AF1085" s="2" t="str">
        <f t="shared" si="4338"/>
        <v>&lt;/li&gt;&lt;li&gt;&lt;a href=|http://kjt.biblecommenter.com/2_corinthians/7.htm| title=|King James Translators' Notes| target=|_top|&gt;KJT&lt;/a&gt;</v>
      </c>
      <c r="AG1085" s="2" t="str">
        <f t="shared" si="4338"/>
        <v>&lt;/li&gt;&lt;li&gt;&lt;a href=|http://mhc.biblecommenter.com/2_corinthians/7.htm| title=|Matthew Henry's Concise Commentary| target=|_top|&gt;MHC&lt;/a&gt;</v>
      </c>
      <c r="AH1085" s="2" t="str">
        <f t="shared" si="4338"/>
        <v>&lt;/li&gt;&lt;li&gt;&lt;a href=|http://sco.biblecommenter.com/2_corinthians/7.htm| title=|Scofield Reference Notes| target=|_top|&gt;SCO&lt;/a&gt;</v>
      </c>
      <c r="AI1085" s="2" t="str">
        <f t="shared" si="4338"/>
        <v>&lt;/li&gt;&lt;li&gt;&lt;a href=|http://wes.biblecommenter.com/2_corinthians/7.htm| title=|Wesley's Notes on the Bible| target=|_top|&gt;WES&lt;/a&gt;</v>
      </c>
      <c r="AJ1085" t="str">
        <f>CONCATENATE("&lt;/li&gt;&lt;li&gt;&lt;a href=|http://",AJ1191,"/2_corinthians/7.htm","| ","title=|",AJ1190,"| target=|_top|&gt;",AJ1192,"&lt;/a&gt;")</f>
        <v>&lt;/li&gt;&lt;li&gt;&lt;a href=|http://worldebible.com/2_corinthians/7.htm| title=|World English Bible| target=|_top|&gt;WEB&lt;/a&gt;</v>
      </c>
      <c r="AK1085" t="str">
        <f>CONCATENATE("&lt;/li&gt;&lt;li&gt;&lt;a href=|http://",AK1191,"/2_corinthians/7.htm","| ","title=|",AK1190,"| target=|_top|&gt;",AK1192,"&lt;/a&gt;")</f>
        <v>&lt;/li&gt;&lt;li&gt;&lt;a href=|http://yltbible.com/2_corinthians/7.htm| title=|Young's Literal Translation| target=|_top|&gt;YLT&lt;/a&gt;</v>
      </c>
      <c r="AL1085" t="str">
        <f>CONCATENATE("&lt;a href=|http://",AL1191,"/2_corinthians/7.htm","| ","title=|",AL1190,"| target=|_top|&gt;",AL1192,"&lt;/a&gt;")</f>
        <v>&lt;a href=|http://kjv.us/2_corinthians/7.htm| title=|American King James Version| target=|_top|&gt;AKJ&lt;/a&gt;</v>
      </c>
      <c r="AM1085" t="str">
        <f t="shared" ref="AM1085:AS1085" si="4339">CONCATENATE("&lt;/li&gt;&lt;li&gt;&lt;a href=|http://",AM1191,"/2_corinthians/7.htm","| ","title=|",AM1190,"| target=|_top|&gt;",AM1192,"&lt;/a&gt;")</f>
        <v>&lt;/li&gt;&lt;li&gt;&lt;a href=|http://basicenglishbible.com/2_corinthians/7.htm| title=|Bible in Basic English| target=|_top|&gt;BBE&lt;/a&gt;</v>
      </c>
      <c r="AN1085" t="str">
        <f t="shared" si="4339"/>
        <v>&lt;/li&gt;&lt;li&gt;&lt;a href=|http://darbybible.com/2_corinthians/7.htm| title=|Darby Bible Translation| target=|_top|&gt;DBY&lt;/a&gt;</v>
      </c>
      <c r="AO1085" t="str">
        <f t="shared" si="4339"/>
        <v>&lt;/li&gt;&lt;li&gt;&lt;a href=|http://isv.scripturetext.com/2_corinthians/7.htm| title=|International Standard Version| target=|_top|&gt;ISV&lt;/a&gt;</v>
      </c>
      <c r="AP1085" t="str">
        <f t="shared" si="4339"/>
        <v>&lt;/li&gt;&lt;li&gt;&lt;a href=|http://tnt.scripturetext.com/2_corinthians/7.htm| title=|Tyndale New Testament| target=|_top|&gt;TNT&lt;/a&gt;</v>
      </c>
      <c r="AQ1085" s="2" t="str">
        <f t="shared" si="4339"/>
        <v>&lt;/li&gt;&lt;li&gt;&lt;a href=|http://pnt.biblecommenter.com/2_corinthians/7.htm| title=|People's New Testament| target=|_top|&gt;PNT&lt;/a&gt;</v>
      </c>
      <c r="AR1085" t="str">
        <f t="shared" si="4339"/>
        <v>&lt;/li&gt;&lt;li&gt;&lt;a href=|http://websterbible.com/2_corinthians/7.htm| title=|Webster's Bible Translation| target=|_top|&gt;WBS&lt;/a&gt;</v>
      </c>
      <c r="AS1085" t="str">
        <f t="shared" si="4339"/>
        <v>&lt;/li&gt;&lt;li&gt;&lt;a href=|http://weymouthbible.com/2_corinthians/7.htm| title=|Weymouth New Testament| target=|_top|&gt;WEY&lt;/a&gt;</v>
      </c>
      <c r="AT1085" t="str">
        <f>CONCATENATE("&lt;/li&gt;&lt;li&gt;&lt;a href=|http://",AT1191,"/2_corinthians/7-1.htm","| ","title=|",AT1190,"| target=|_top|&gt;",AT1192,"&lt;/a&gt;")</f>
        <v>&lt;/li&gt;&lt;li&gt;&lt;a href=|http://biblebrowser.com/2_corinthians/7-1.htm| title=|Split View| target=|_top|&gt;Split&lt;/a&gt;</v>
      </c>
      <c r="AU1085" s="2" t="s">
        <v>1276</v>
      </c>
      <c r="AV1085" t="s">
        <v>64</v>
      </c>
    </row>
    <row r="1086" spans="1:48">
      <c r="A1086" t="s">
        <v>622</v>
      </c>
      <c r="B1086" t="s">
        <v>517</v>
      </c>
      <c r="C1086" t="s">
        <v>624</v>
      </c>
      <c r="D1086" t="s">
        <v>1268</v>
      </c>
      <c r="E1086" t="s">
        <v>1277</v>
      </c>
      <c r="F1086" t="s">
        <v>1304</v>
      </c>
      <c r="G1086" t="s">
        <v>1266</v>
      </c>
      <c r="H1086" t="s">
        <v>1305</v>
      </c>
      <c r="I1086" t="s">
        <v>1303</v>
      </c>
      <c r="J1086" t="s">
        <v>1267</v>
      </c>
      <c r="K1086" t="s">
        <v>1275</v>
      </c>
      <c r="L1086" s="2" t="s">
        <v>1274</v>
      </c>
      <c r="M1086" t="str">
        <f t="shared" ref="M1086:AB1086" si="4340">CONCATENATE("&lt;/li&gt;&lt;li&gt;&lt;a href=|http://",M1191,"/2_corinthians/8.htm","| ","title=|",M1190,"| target=|_top|&gt;",M1192,"&lt;/a&gt;")</f>
        <v>&lt;/li&gt;&lt;li&gt;&lt;a href=|http://niv.scripturetext.com/2_corinthians/8.htm| title=|New International Version| target=|_top|&gt;NIV&lt;/a&gt;</v>
      </c>
      <c r="N1086" t="str">
        <f t="shared" si="4340"/>
        <v>&lt;/li&gt;&lt;li&gt;&lt;a href=|http://nlt.scripturetext.com/2_corinthians/8.htm| title=|New Living Translation| target=|_top|&gt;NLT&lt;/a&gt;</v>
      </c>
      <c r="O1086" t="str">
        <f t="shared" si="4340"/>
        <v>&lt;/li&gt;&lt;li&gt;&lt;a href=|http://nasb.scripturetext.com/2_corinthians/8.htm| title=|New American Standard Bible| target=|_top|&gt;NAS&lt;/a&gt;</v>
      </c>
      <c r="P1086" t="str">
        <f t="shared" si="4340"/>
        <v>&lt;/li&gt;&lt;li&gt;&lt;a href=|http://gwt.scripturetext.com/2_corinthians/8.htm| title=|God's Word Translation| target=|_top|&gt;GWT&lt;/a&gt;</v>
      </c>
      <c r="Q1086" t="str">
        <f t="shared" si="4340"/>
        <v>&lt;/li&gt;&lt;li&gt;&lt;a href=|http://kingjbible.com/2_corinthians/8.htm| title=|King James Bible| target=|_top|&gt;KJV&lt;/a&gt;</v>
      </c>
      <c r="R1086" t="str">
        <f t="shared" si="4340"/>
        <v>&lt;/li&gt;&lt;li&gt;&lt;a href=|http://asvbible.com/2_corinthians/8.htm| title=|American Standard Version| target=|_top|&gt;ASV&lt;/a&gt;</v>
      </c>
      <c r="S1086" t="str">
        <f t="shared" si="4340"/>
        <v>&lt;/li&gt;&lt;li&gt;&lt;a href=|http://drb.scripturetext.com/2_corinthians/8.htm| title=|Douay-Rheims Bible| target=|_top|&gt;DRB&lt;/a&gt;</v>
      </c>
      <c r="T1086" t="str">
        <f t="shared" si="4340"/>
        <v>&lt;/li&gt;&lt;li&gt;&lt;a href=|http://erv.scripturetext.com/2_corinthians/8.htm| title=|English Revised Version| target=|_top|&gt;ERV&lt;/a&gt;</v>
      </c>
      <c r="U1086" t="str">
        <f>CONCATENATE("&lt;/li&gt;&lt;li&gt;&lt;a href=|http://",U1191,"/2_corinthians/8.htm","| ","title=|",U1190,"| target=|_top|&gt;",U1192,"&lt;/a&gt;")</f>
        <v>&lt;/li&gt;&lt;li&gt;&lt;a href=|http://study.interlinearbible.org/2_corinthians/8.htm| title=|Greek Study Bible| target=|_top|&gt;Grk Study&lt;/a&gt;</v>
      </c>
      <c r="W1086" t="str">
        <f t="shared" si="4340"/>
        <v>&lt;/li&gt;&lt;li&gt;&lt;a href=|http://apostolic.interlinearbible.org/2_corinthians/8.htm| title=|Apostolic Bible Polyglot Interlinear| target=|_top|&gt;Polyglot&lt;/a&gt;</v>
      </c>
      <c r="X1086" t="str">
        <f t="shared" si="4340"/>
        <v>&lt;/li&gt;&lt;li&gt;&lt;a href=|http://interlinearbible.org/2_corinthians/8.htm| title=|Interlinear Bible| target=|_top|&gt;Interlin&lt;/a&gt;</v>
      </c>
      <c r="Y1086" t="str">
        <f t="shared" ref="Y1086" si="4341">CONCATENATE("&lt;/li&gt;&lt;li&gt;&lt;a href=|http://",Y1191,"/2_corinthians/8.htm","| ","title=|",Y1190,"| target=|_top|&gt;",Y1192,"&lt;/a&gt;")</f>
        <v>&lt;/li&gt;&lt;li&gt;&lt;a href=|http://bibleoutline.org/2_corinthians/8.htm| title=|Outline with People and Places List| target=|_top|&gt;Outline&lt;/a&gt;</v>
      </c>
      <c r="Z1086" t="str">
        <f t="shared" si="4340"/>
        <v>&lt;/li&gt;&lt;li&gt;&lt;a href=|http://kjvs.scripturetext.com/2_corinthians/8.htm| title=|King James Bible with Strong's Numbers| target=|_top|&gt;Strong's&lt;/a&gt;</v>
      </c>
      <c r="AA1086" t="str">
        <f t="shared" si="4340"/>
        <v>&lt;/li&gt;&lt;li&gt;&lt;a href=|http://childrensbibleonline.com/2_corinthians/8.htm| title=|The Children's Bible| target=|_top|&gt;Children's&lt;/a&gt;</v>
      </c>
      <c r="AB1086" s="2" t="str">
        <f t="shared" si="4340"/>
        <v>&lt;/li&gt;&lt;li&gt;&lt;a href=|http://tsk.scripturetext.com/2_corinthians/8.htm| title=|Treasury of Scripture Knowledge| target=|_top|&gt;TSK&lt;/a&gt;</v>
      </c>
      <c r="AC1086" t="str">
        <f>CONCATENATE("&lt;a href=|http://",AC1191,"/2_corinthians/8.htm","| ","title=|",AC1190,"| target=|_top|&gt;",AC1192,"&lt;/a&gt;")</f>
        <v>&lt;a href=|http://parallelbible.com/2_corinthians/8.htm| title=|Parallel Chapters| target=|_top|&gt;PAR&lt;/a&gt;</v>
      </c>
      <c r="AD1086" s="2" t="str">
        <f t="shared" ref="AD1086:AI1086" si="4342">CONCATENATE("&lt;/li&gt;&lt;li&gt;&lt;a href=|http://",AD1191,"/2_corinthians/8.htm","| ","title=|",AD1190,"| target=|_top|&gt;",AD1192,"&lt;/a&gt;")</f>
        <v>&lt;/li&gt;&lt;li&gt;&lt;a href=|http://gsb.biblecommenter.com/2_corinthians/8.htm| title=|Geneva Study Bible| target=|_top|&gt;GSB&lt;/a&gt;</v>
      </c>
      <c r="AE1086" s="2" t="str">
        <f t="shared" si="4342"/>
        <v>&lt;/li&gt;&lt;li&gt;&lt;a href=|http://jfb.biblecommenter.com/2_corinthians/8.htm| title=|Jamieson-Fausset-Brown Bible Commentary| target=|_top|&gt;JFB&lt;/a&gt;</v>
      </c>
      <c r="AF1086" s="2" t="str">
        <f t="shared" si="4342"/>
        <v>&lt;/li&gt;&lt;li&gt;&lt;a href=|http://kjt.biblecommenter.com/2_corinthians/8.htm| title=|King James Translators' Notes| target=|_top|&gt;KJT&lt;/a&gt;</v>
      </c>
      <c r="AG1086" s="2" t="str">
        <f t="shared" si="4342"/>
        <v>&lt;/li&gt;&lt;li&gt;&lt;a href=|http://mhc.biblecommenter.com/2_corinthians/8.htm| title=|Matthew Henry's Concise Commentary| target=|_top|&gt;MHC&lt;/a&gt;</v>
      </c>
      <c r="AH1086" s="2" t="str">
        <f t="shared" si="4342"/>
        <v>&lt;/li&gt;&lt;li&gt;&lt;a href=|http://sco.biblecommenter.com/2_corinthians/8.htm| title=|Scofield Reference Notes| target=|_top|&gt;SCO&lt;/a&gt;</v>
      </c>
      <c r="AI1086" s="2" t="str">
        <f t="shared" si="4342"/>
        <v>&lt;/li&gt;&lt;li&gt;&lt;a href=|http://wes.biblecommenter.com/2_corinthians/8.htm| title=|Wesley's Notes on the Bible| target=|_top|&gt;WES&lt;/a&gt;</v>
      </c>
      <c r="AJ1086" t="str">
        <f>CONCATENATE("&lt;/li&gt;&lt;li&gt;&lt;a href=|http://",AJ1191,"/2_corinthians/8.htm","| ","title=|",AJ1190,"| target=|_top|&gt;",AJ1192,"&lt;/a&gt;")</f>
        <v>&lt;/li&gt;&lt;li&gt;&lt;a href=|http://worldebible.com/2_corinthians/8.htm| title=|World English Bible| target=|_top|&gt;WEB&lt;/a&gt;</v>
      </c>
      <c r="AK1086" t="str">
        <f>CONCATENATE("&lt;/li&gt;&lt;li&gt;&lt;a href=|http://",AK1191,"/2_corinthians/8.htm","| ","title=|",AK1190,"| target=|_top|&gt;",AK1192,"&lt;/a&gt;")</f>
        <v>&lt;/li&gt;&lt;li&gt;&lt;a href=|http://yltbible.com/2_corinthians/8.htm| title=|Young's Literal Translation| target=|_top|&gt;YLT&lt;/a&gt;</v>
      </c>
      <c r="AL1086" t="str">
        <f>CONCATENATE("&lt;a href=|http://",AL1191,"/2_corinthians/8.htm","| ","title=|",AL1190,"| target=|_top|&gt;",AL1192,"&lt;/a&gt;")</f>
        <v>&lt;a href=|http://kjv.us/2_corinthians/8.htm| title=|American King James Version| target=|_top|&gt;AKJ&lt;/a&gt;</v>
      </c>
      <c r="AM1086" t="str">
        <f t="shared" ref="AM1086:AS1086" si="4343">CONCATENATE("&lt;/li&gt;&lt;li&gt;&lt;a href=|http://",AM1191,"/2_corinthians/8.htm","| ","title=|",AM1190,"| target=|_top|&gt;",AM1192,"&lt;/a&gt;")</f>
        <v>&lt;/li&gt;&lt;li&gt;&lt;a href=|http://basicenglishbible.com/2_corinthians/8.htm| title=|Bible in Basic English| target=|_top|&gt;BBE&lt;/a&gt;</v>
      </c>
      <c r="AN1086" t="str">
        <f t="shared" si="4343"/>
        <v>&lt;/li&gt;&lt;li&gt;&lt;a href=|http://darbybible.com/2_corinthians/8.htm| title=|Darby Bible Translation| target=|_top|&gt;DBY&lt;/a&gt;</v>
      </c>
      <c r="AO1086" t="str">
        <f t="shared" si="4343"/>
        <v>&lt;/li&gt;&lt;li&gt;&lt;a href=|http://isv.scripturetext.com/2_corinthians/8.htm| title=|International Standard Version| target=|_top|&gt;ISV&lt;/a&gt;</v>
      </c>
      <c r="AP1086" t="str">
        <f t="shared" si="4343"/>
        <v>&lt;/li&gt;&lt;li&gt;&lt;a href=|http://tnt.scripturetext.com/2_corinthians/8.htm| title=|Tyndale New Testament| target=|_top|&gt;TNT&lt;/a&gt;</v>
      </c>
      <c r="AQ1086" s="2" t="str">
        <f t="shared" si="4343"/>
        <v>&lt;/li&gt;&lt;li&gt;&lt;a href=|http://pnt.biblecommenter.com/2_corinthians/8.htm| title=|People's New Testament| target=|_top|&gt;PNT&lt;/a&gt;</v>
      </c>
      <c r="AR1086" t="str">
        <f t="shared" si="4343"/>
        <v>&lt;/li&gt;&lt;li&gt;&lt;a href=|http://websterbible.com/2_corinthians/8.htm| title=|Webster's Bible Translation| target=|_top|&gt;WBS&lt;/a&gt;</v>
      </c>
      <c r="AS1086" t="str">
        <f t="shared" si="4343"/>
        <v>&lt;/li&gt;&lt;li&gt;&lt;a href=|http://weymouthbible.com/2_corinthians/8.htm| title=|Weymouth New Testament| target=|_top|&gt;WEY&lt;/a&gt;</v>
      </c>
      <c r="AT1086" t="str">
        <f>CONCATENATE("&lt;/li&gt;&lt;li&gt;&lt;a href=|http://",AT1191,"/2_corinthians/8-1.htm","| ","title=|",AT1190,"| target=|_top|&gt;",AT1192,"&lt;/a&gt;")</f>
        <v>&lt;/li&gt;&lt;li&gt;&lt;a href=|http://biblebrowser.com/2_corinthians/8-1.htm| title=|Split View| target=|_top|&gt;Split&lt;/a&gt;</v>
      </c>
      <c r="AU1086" s="2" t="s">
        <v>1276</v>
      </c>
      <c r="AV1086" t="s">
        <v>64</v>
      </c>
    </row>
    <row r="1087" spans="1:48">
      <c r="A1087" t="s">
        <v>622</v>
      </c>
      <c r="B1087" t="s">
        <v>518</v>
      </c>
      <c r="C1087" t="s">
        <v>624</v>
      </c>
      <c r="D1087" t="s">
        <v>1268</v>
      </c>
      <c r="E1087" t="s">
        <v>1277</v>
      </c>
      <c r="F1087" t="s">
        <v>1304</v>
      </c>
      <c r="G1087" t="s">
        <v>1266</v>
      </c>
      <c r="H1087" t="s">
        <v>1305</v>
      </c>
      <c r="I1087" t="s">
        <v>1303</v>
      </c>
      <c r="J1087" t="s">
        <v>1267</v>
      </c>
      <c r="K1087" t="s">
        <v>1275</v>
      </c>
      <c r="L1087" s="2" t="s">
        <v>1274</v>
      </c>
      <c r="M1087" t="str">
        <f t="shared" ref="M1087:AB1087" si="4344">CONCATENATE("&lt;/li&gt;&lt;li&gt;&lt;a href=|http://",M1191,"/2_corinthians/9.htm","| ","title=|",M1190,"| target=|_top|&gt;",M1192,"&lt;/a&gt;")</f>
        <v>&lt;/li&gt;&lt;li&gt;&lt;a href=|http://niv.scripturetext.com/2_corinthians/9.htm| title=|New International Version| target=|_top|&gt;NIV&lt;/a&gt;</v>
      </c>
      <c r="N1087" t="str">
        <f t="shared" si="4344"/>
        <v>&lt;/li&gt;&lt;li&gt;&lt;a href=|http://nlt.scripturetext.com/2_corinthians/9.htm| title=|New Living Translation| target=|_top|&gt;NLT&lt;/a&gt;</v>
      </c>
      <c r="O1087" t="str">
        <f t="shared" si="4344"/>
        <v>&lt;/li&gt;&lt;li&gt;&lt;a href=|http://nasb.scripturetext.com/2_corinthians/9.htm| title=|New American Standard Bible| target=|_top|&gt;NAS&lt;/a&gt;</v>
      </c>
      <c r="P1087" t="str">
        <f t="shared" si="4344"/>
        <v>&lt;/li&gt;&lt;li&gt;&lt;a href=|http://gwt.scripturetext.com/2_corinthians/9.htm| title=|God's Word Translation| target=|_top|&gt;GWT&lt;/a&gt;</v>
      </c>
      <c r="Q1087" t="str">
        <f t="shared" si="4344"/>
        <v>&lt;/li&gt;&lt;li&gt;&lt;a href=|http://kingjbible.com/2_corinthians/9.htm| title=|King James Bible| target=|_top|&gt;KJV&lt;/a&gt;</v>
      </c>
      <c r="R1087" t="str">
        <f t="shared" si="4344"/>
        <v>&lt;/li&gt;&lt;li&gt;&lt;a href=|http://asvbible.com/2_corinthians/9.htm| title=|American Standard Version| target=|_top|&gt;ASV&lt;/a&gt;</v>
      </c>
      <c r="S1087" t="str">
        <f t="shared" si="4344"/>
        <v>&lt;/li&gt;&lt;li&gt;&lt;a href=|http://drb.scripturetext.com/2_corinthians/9.htm| title=|Douay-Rheims Bible| target=|_top|&gt;DRB&lt;/a&gt;</v>
      </c>
      <c r="T1087" t="str">
        <f t="shared" si="4344"/>
        <v>&lt;/li&gt;&lt;li&gt;&lt;a href=|http://erv.scripturetext.com/2_corinthians/9.htm| title=|English Revised Version| target=|_top|&gt;ERV&lt;/a&gt;</v>
      </c>
      <c r="U1087" t="str">
        <f>CONCATENATE("&lt;/li&gt;&lt;li&gt;&lt;a href=|http://",U1191,"/2_corinthians/9.htm","| ","title=|",U1190,"| target=|_top|&gt;",U1192,"&lt;/a&gt;")</f>
        <v>&lt;/li&gt;&lt;li&gt;&lt;a href=|http://study.interlinearbible.org/2_corinthians/9.htm| title=|Greek Study Bible| target=|_top|&gt;Grk Study&lt;/a&gt;</v>
      </c>
      <c r="W1087" t="str">
        <f t="shared" si="4344"/>
        <v>&lt;/li&gt;&lt;li&gt;&lt;a href=|http://apostolic.interlinearbible.org/2_corinthians/9.htm| title=|Apostolic Bible Polyglot Interlinear| target=|_top|&gt;Polyglot&lt;/a&gt;</v>
      </c>
      <c r="X1087" t="str">
        <f t="shared" si="4344"/>
        <v>&lt;/li&gt;&lt;li&gt;&lt;a href=|http://interlinearbible.org/2_corinthians/9.htm| title=|Interlinear Bible| target=|_top|&gt;Interlin&lt;/a&gt;</v>
      </c>
      <c r="Y1087" t="str">
        <f t="shared" ref="Y1087" si="4345">CONCATENATE("&lt;/li&gt;&lt;li&gt;&lt;a href=|http://",Y1191,"/2_corinthians/9.htm","| ","title=|",Y1190,"| target=|_top|&gt;",Y1192,"&lt;/a&gt;")</f>
        <v>&lt;/li&gt;&lt;li&gt;&lt;a href=|http://bibleoutline.org/2_corinthians/9.htm| title=|Outline with People and Places List| target=|_top|&gt;Outline&lt;/a&gt;</v>
      </c>
      <c r="Z1087" t="str">
        <f t="shared" si="4344"/>
        <v>&lt;/li&gt;&lt;li&gt;&lt;a href=|http://kjvs.scripturetext.com/2_corinthians/9.htm| title=|King James Bible with Strong's Numbers| target=|_top|&gt;Strong's&lt;/a&gt;</v>
      </c>
      <c r="AA1087" t="str">
        <f t="shared" si="4344"/>
        <v>&lt;/li&gt;&lt;li&gt;&lt;a href=|http://childrensbibleonline.com/2_corinthians/9.htm| title=|The Children's Bible| target=|_top|&gt;Children's&lt;/a&gt;</v>
      </c>
      <c r="AB1087" s="2" t="str">
        <f t="shared" si="4344"/>
        <v>&lt;/li&gt;&lt;li&gt;&lt;a href=|http://tsk.scripturetext.com/2_corinthians/9.htm| title=|Treasury of Scripture Knowledge| target=|_top|&gt;TSK&lt;/a&gt;</v>
      </c>
      <c r="AC1087" t="str">
        <f>CONCATENATE("&lt;a href=|http://",AC1191,"/2_corinthians/9.htm","| ","title=|",AC1190,"| target=|_top|&gt;",AC1192,"&lt;/a&gt;")</f>
        <v>&lt;a href=|http://parallelbible.com/2_corinthians/9.htm| title=|Parallel Chapters| target=|_top|&gt;PAR&lt;/a&gt;</v>
      </c>
      <c r="AD1087" s="2" t="str">
        <f t="shared" ref="AD1087:AI1087" si="4346">CONCATENATE("&lt;/li&gt;&lt;li&gt;&lt;a href=|http://",AD1191,"/2_corinthians/9.htm","| ","title=|",AD1190,"| target=|_top|&gt;",AD1192,"&lt;/a&gt;")</f>
        <v>&lt;/li&gt;&lt;li&gt;&lt;a href=|http://gsb.biblecommenter.com/2_corinthians/9.htm| title=|Geneva Study Bible| target=|_top|&gt;GSB&lt;/a&gt;</v>
      </c>
      <c r="AE1087" s="2" t="str">
        <f t="shared" si="4346"/>
        <v>&lt;/li&gt;&lt;li&gt;&lt;a href=|http://jfb.biblecommenter.com/2_corinthians/9.htm| title=|Jamieson-Fausset-Brown Bible Commentary| target=|_top|&gt;JFB&lt;/a&gt;</v>
      </c>
      <c r="AF1087" s="2" t="str">
        <f t="shared" si="4346"/>
        <v>&lt;/li&gt;&lt;li&gt;&lt;a href=|http://kjt.biblecommenter.com/2_corinthians/9.htm| title=|King James Translators' Notes| target=|_top|&gt;KJT&lt;/a&gt;</v>
      </c>
      <c r="AG1087" s="2" t="str">
        <f t="shared" si="4346"/>
        <v>&lt;/li&gt;&lt;li&gt;&lt;a href=|http://mhc.biblecommenter.com/2_corinthians/9.htm| title=|Matthew Henry's Concise Commentary| target=|_top|&gt;MHC&lt;/a&gt;</v>
      </c>
      <c r="AH1087" s="2" t="str">
        <f t="shared" si="4346"/>
        <v>&lt;/li&gt;&lt;li&gt;&lt;a href=|http://sco.biblecommenter.com/2_corinthians/9.htm| title=|Scofield Reference Notes| target=|_top|&gt;SCO&lt;/a&gt;</v>
      </c>
      <c r="AI1087" s="2" t="str">
        <f t="shared" si="4346"/>
        <v>&lt;/li&gt;&lt;li&gt;&lt;a href=|http://wes.biblecommenter.com/2_corinthians/9.htm| title=|Wesley's Notes on the Bible| target=|_top|&gt;WES&lt;/a&gt;</v>
      </c>
      <c r="AJ1087" t="str">
        <f>CONCATENATE("&lt;/li&gt;&lt;li&gt;&lt;a href=|http://",AJ1191,"/2_corinthians/9.htm","| ","title=|",AJ1190,"| target=|_top|&gt;",AJ1192,"&lt;/a&gt;")</f>
        <v>&lt;/li&gt;&lt;li&gt;&lt;a href=|http://worldebible.com/2_corinthians/9.htm| title=|World English Bible| target=|_top|&gt;WEB&lt;/a&gt;</v>
      </c>
      <c r="AK1087" t="str">
        <f>CONCATENATE("&lt;/li&gt;&lt;li&gt;&lt;a href=|http://",AK1191,"/2_corinthians/9.htm","| ","title=|",AK1190,"| target=|_top|&gt;",AK1192,"&lt;/a&gt;")</f>
        <v>&lt;/li&gt;&lt;li&gt;&lt;a href=|http://yltbible.com/2_corinthians/9.htm| title=|Young's Literal Translation| target=|_top|&gt;YLT&lt;/a&gt;</v>
      </c>
      <c r="AL1087" t="str">
        <f>CONCATENATE("&lt;a href=|http://",AL1191,"/2_corinthians/9.htm","| ","title=|",AL1190,"| target=|_top|&gt;",AL1192,"&lt;/a&gt;")</f>
        <v>&lt;a href=|http://kjv.us/2_corinthians/9.htm| title=|American King James Version| target=|_top|&gt;AKJ&lt;/a&gt;</v>
      </c>
      <c r="AM1087" t="str">
        <f t="shared" ref="AM1087:AS1087" si="4347">CONCATENATE("&lt;/li&gt;&lt;li&gt;&lt;a href=|http://",AM1191,"/2_corinthians/9.htm","| ","title=|",AM1190,"| target=|_top|&gt;",AM1192,"&lt;/a&gt;")</f>
        <v>&lt;/li&gt;&lt;li&gt;&lt;a href=|http://basicenglishbible.com/2_corinthians/9.htm| title=|Bible in Basic English| target=|_top|&gt;BBE&lt;/a&gt;</v>
      </c>
      <c r="AN1087" t="str">
        <f t="shared" si="4347"/>
        <v>&lt;/li&gt;&lt;li&gt;&lt;a href=|http://darbybible.com/2_corinthians/9.htm| title=|Darby Bible Translation| target=|_top|&gt;DBY&lt;/a&gt;</v>
      </c>
      <c r="AO1087" t="str">
        <f t="shared" si="4347"/>
        <v>&lt;/li&gt;&lt;li&gt;&lt;a href=|http://isv.scripturetext.com/2_corinthians/9.htm| title=|International Standard Version| target=|_top|&gt;ISV&lt;/a&gt;</v>
      </c>
      <c r="AP1087" t="str">
        <f t="shared" si="4347"/>
        <v>&lt;/li&gt;&lt;li&gt;&lt;a href=|http://tnt.scripturetext.com/2_corinthians/9.htm| title=|Tyndale New Testament| target=|_top|&gt;TNT&lt;/a&gt;</v>
      </c>
      <c r="AQ1087" s="2" t="str">
        <f t="shared" si="4347"/>
        <v>&lt;/li&gt;&lt;li&gt;&lt;a href=|http://pnt.biblecommenter.com/2_corinthians/9.htm| title=|People's New Testament| target=|_top|&gt;PNT&lt;/a&gt;</v>
      </c>
      <c r="AR1087" t="str">
        <f t="shared" si="4347"/>
        <v>&lt;/li&gt;&lt;li&gt;&lt;a href=|http://websterbible.com/2_corinthians/9.htm| title=|Webster's Bible Translation| target=|_top|&gt;WBS&lt;/a&gt;</v>
      </c>
      <c r="AS1087" t="str">
        <f t="shared" si="4347"/>
        <v>&lt;/li&gt;&lt;li&gt;&lt;a href=|http://weymouthbible.com/2_corinthians/9.htm| title=|Weymouth New Testament| target=|_top|&gt;WEY&lt;/a&gt;</v>
      </c>
      <c r="AT1087" t="str">
        <f>CONCATENATE("&lt;/li&gt;&lt;li&gt;&lt;a href=|http://",AT1191,"/2_corinthians/9-1.htm","| ","title=|",AT1190,"| target=|_top|&gt;",AT1192,"&lt;/a&gt;")</f>
        <v>&lt;/li&gt;&lt;li&gt;&lt;a href=|http://biblebrowser.com/2_corinthians/9-1.htm| title=|Split View| target=|_top|&gt;Split&lt;/a&gt;</v>
      </c>
      <c r="AU1087" s="2" t="s">
        <v>1276</v>
      </c>
      <c r="AV1087" t="s">
        <v>64</v>
      </c>
    </row>
    <row r="1088" spans="1:48">
      <c r="A1088" t="s">
        <v>622</v>
      </c>
      <c r="B1088" t="s">
        <v>519</v>
      </c>
      <c r="C1088" t="s">
        <v>624</v>
      </c>
      <c r="D1088" t="s">
        <v>1268</v>
      </c>
      <c r="E1088" t="s">
        <v>1277</v>
      </c>
      <c r="F1088" t="s">
        <v>1304</v>
      </c>
      <c r="G1088" t="s">
        <v>1266</v>
      </c>
      <c r="H1088" t="s">
        <v>1305</v>
      </c>
      <c r="I1088" t="s">
        <v>1303</v>
      </c>
      <c r="J1088" t="s">
        <v>1267</v>
      </c>
      <c r="K1088" t="s">
        <v>1275</v>
      </c>
      <c r="L1088" s="2" t="s">
        <v>1274</v>
      </c>
      <c r="M1088" t="str">
        <f t="shared" ref="M1088:AB1088" si="4348">CONCATENATE("&lt;/li&gt;&lt;li&gt;&lt;a href=|http://",M1191,"/2_corinthians/10.htm","| ","title=|",M1190,"| target=|_top|&gt;",M1192,"&lt;/a&gt;")</f>
        <v>&lt;/li&gt;&lt;li&gt;&lt;a href=|http://niv.scripturetext.com/2_corinthians/10.htm| title=|New International Version| target=|_top|&gt;NIV&lt;/a&gt;</v>
      </c>
      <c r="N1088" t="str">
        <f t="shared" si="4348"/>
        <v>&lt;/li&gt;&lt;li&gt;&lt;a href=|http://nlt.scripturetext.com/2_corinthians/10.htm| title=|New Living Translation| target=|_top|&gt;NLT&lt;/a&gt;</v>
      </c>
      <c r="O1088" t="str">
        <f t="shared" si="4348"/>
        <v>&lt;/li&gt;&lt;li&gt;&lt;a href=|http://nasb.scripturetext.com/2_corinthians/10.htm| title=|New American Standard Bible| target=|_top|&gt;NAS&lt;/a&gt;</v>
      </c>
      <c r="P1088" t="str">
        <f t="shared" si="4348"/>
        <v>&lt;/li&gt;&lt;li&gt;&lt;a href=|http://gwt.scripturetext.com/2_corinthians/10.htm| title=|God's Word Translation| target=|_top|&gt;GWT&lt;/a&gt;</v>
      </c>
      <c r="Q1088" t="str">
        <f t="shared" si="4348"/>
        <v>&lt;/li&gt;&lt;li&gt;&lt;a href=|http://kingjbible.com/2_corinthians/10.htm| title=|King James Bible| target=|_top|&gt;KJV&lt;/a&gt;</v>
      </c>
      <c r="R1088" t="str">
        <f t="shared" si="4348"/>
        <v>&lt;/li&gt;&lt;li&gt;&lt;a href=|http://asvbible.com/2_corinthians/10.htm| title=|American Standard Version| target=|_top|&gt;ASV&lt;/a&gt;</v>
      </c>
      <c r="S1088" t="str">
        <f t="shared" si="4348"/>
        <v>&lt;/li&gt;&lt;li&gt;&lt;a href=|http://drb.scripturetext.com/2_corinthians/10.htm| title=|Douay-Rheims Bible| target=|_top|&gt;DRB&lt;/a&gt;</v>
      </c>
      <c r="T1088" t="str">
        <f t="shared" si="4348"/>
        <v>&lt;/li&gt;&lt;li&gt;&lt;a href=|http://erv.scripturetext.com/2_corinthians/10.htm| title=|English Revised Version| target=|_top|&gt;ERV&lt;/a&gt;</v>
      </c>
      <c r="U1088" t="str">
        <f>CONCATENATE("&lt;/li&gt;&lt;li&gt;&lt;a href=|http://",U1191,"/2_corinthians/10.htm","| ","title=|",U1190,"| target=|_top|&gt;",U1192,"&lt;/a&gt;")</f>
        <v>&lt;/li&gt;&lt;li&gt;&lt;a href=|http://study.interlinearbible.org/2_corinthians/10.htm| title=|Greek Study Bible| target=|_top|&gt;Grk Study&lt;/a&gt;</v>
      </c>
      <c r="W1088" t="str">
        <f t="shared" si="4348"/>
        <v>&lt;/li&gt;&lt;li&gt;&lt;a href=|http://apostolic.interlinearbible.org/2_corinthians/10.htm| title=|Apostolic Bible Polyglot Interlinear| target=|_top|&gt;Polyglot&lt;/a&gt;</v>
      </c>
      <c r="X1088" t="str">
        <f t="shared" si="4348"/>
        <v>&lt;/li&gt;&lt;li&gt;&lt;a href=|http://interlinearbible.org/2_corinthians/10.htm| title=|Interlinear Bible| target=|_top|&gt;Interlin&lt;/a&gt;</v>
      </c>
      <c r="Y1088" t="str">
        <f t="shared" ref="Y1088" si="4349">CONCATENATE("&lt;/li&gt;&lt;li&gt;&lt;a href=|http://",Y1191,"/2_corinthians/10.htm","| ","title=|",Y1190,"| target=|_top|&gt;",Y1192,"&lt;/a&gt;")</f>
        <v>&lt;/li&gt;&lt;li&gt;&lt;a href=|http://bibleoutline.org/2_corinthians/10.htm| title=|Outline with People and Places List| target=|_top|&gt;Outline&lt;/a&gt;</v>
      </c>
      <c r="Z1088" t="str">
        <f t="shared" si="4348"/>
        <v>&lt;/li&gt;&lt;li&gt;&lt;a href=|http://kjvs.scripturetext.com/2_corinthians/10.htm| title=|King James Bible with Strong's Numbers| target=|_top|&gt;Strong's&lt;/a&gt;</v>
      </c>
      <c r="AA1088" t="str">
        <f t="shared" si="4348"/>
        <v>&lt;/li&gt;&lt;li&gt;&lt;a href=|http://childrensbibleonline.com/2_corinthians/10.htm| title=|The Children's Bible| target=|_top|&gt;Children's&lt;/a&gt;</v>
      </c>
      <c r="AB1088" s="2" t="str">
        <f t="shared" si="4348"/>
        <v>&lt;/li&gt;&lt;li&gt;&lt;a href=|http://tsk.scripturetext.com/2_corinthians/10.htm| title=|Treasury of Scripture Knowledge| target=|_top|&gt;TSK&lt;/a&gt;</v>
      </c>
      <c r="AC1088" t="str">
        <f>CONCATENATE("&lt;a href=|http://",AC1191,"/2_corinthians/10.htm","| ","title=|",AC1190,"| target=|_top|&gt;",AC1192,"&lt;/a&gt;")</f>
        <v>&lt;a href=|http://parallelbible.com/2_corinthians/10.htm| title=|Parallel Chapters| target=|_top|&gt;PAR&lt;/a&gt;</v>
      </c>
      <c r="AD1088" s="2" t="str">
        <f t="shared" ref="AD1088:AI1088" si="4350">CONCATENATE("&lt;/li&gt;&lt;li&gt;&lt;a href=|http://",AD1191,"/2_corinthians/10.htm","| ","title=|",AD1190,"| target=|_top|&gt;",AD1192,"&lt;/a&gt;")</f>
        <v>&lt;/li&gt;&lt;li&gt;&lt;a href=|http://gsb.biblecommenter.com/2_corinthians/10.htm| title=|Geneva Study Bible| target=|_top|&gt;GSB&lt;/a&gt;</v>
      </c>
      <c r="AE1088" s="2" t="str">
        <f t="shared" si="4350"/>
        <v>&lt;/li&gt;&lt;li&gt;&lt;a href=|http://jfb.biblecommenter.com/2_corinthians/10.htm| title=|Jamieson-Fausset-Brown Bible Commentary| target=|_top|&gt;JFB&lt;/a&gt;</v>
      </c>
      <c r="AF1088" s="2" t="str">
        <f t="shared" si="4350"/>
        <v>&lt;/li&gt;&lt;li&gt;&lt;a href=|http://kjt.biblecommenter.com/2_corinthians/10.htm| title=|King James Translators' Notes| target=|_top|&gt;KJT&lt;/a&gt;</v>
      </c>
      <c r="AG1088" s="2" t="str">
        <f t="shared" si="4350"/>
        <v>&lt;/li&gt;&lt;li&gt;&lt;a href=|http://mhc.biblecommenter.com/2_corinthians/10.htm| title=|Matthew Henry's Concise Commentary| target=|_top|&gt;MHC&lt;/a&gt;</v>
      </c>
      <c r="AH1088" s="2" t="str">
        <f t="shared" si="4350"/>
        <v>&lt;/li&gt;&lt;li&gt;&lt;a href=|http://sco.biblecommenter.com/2_corinthians/10.htm| title=|Scofield Reference Notes| target=|_top|&gt;SCO&lt;/a&gt;</v>
      </c>
      <c r="AI1088" s="2" t="str">
        <f t="shared" si="4350"/>
        <v>&lt;/li&gt;&lt;li&gt;&lt;a href=|http://wes.biblecommenter.com/2_corinthians/10.htm| title=|Wesley's Notes on the Bible| target=|_top|&gt;WES&lt;/a&gt;</v>
      </c>
      <c r="AJ1088" t="str">
        <f>CONCATENATE("&lt;/li&gt;&lt;li&gt;&lt;a href=|http://",AJ1191,"/2_corinthians/10.htm","| ","title=|",AJ1190,"| target=|_top|&gt;",AJ1192,"&lt;/a&gt;")</f>
        <v>&lt;/li&gt;&lt;li&gt;&lt;a href=|http://worldebible.com/2_corinthians/10.htm| title=|World English Bible| target=|_top|&gt;WEB&lt;/a&gt;</v>
      </c>
      <c r="AK1088" t="str">
        <f>CONCATENATE("&lt;/li&gt;&lt;li&gt;&lt;a href=|http://",AK1191,"/2_corinthians/10.htm","| ","title=|",AK1190,"| target=|_top|&gt;",AK1192,"&lt;/a&gt;")</f>
        <v>&lt;/li&gt;&lt;li&gt;&lt;a href=|http://yltbible.com/2_corinthians/10.htm| title=|Young's Literal Translation| target=|_top|&gt;YLT&lt;/a&gt;</v>
      </c>
      <c r="AL1088" t="str">
        <f>CONCATENATE("&lt;a href=|http://",AL1191,"/2_corinthians/10.htm","| ","title=|",AL1190,"| target=|_top|&gt;",AL1192,"&lt;/a&gt;")</f>
        <v>&lt;a href=|http://kjv.us/2_corinthians/10.htm| title=|American King James Version| target=|_top|&gt;AKJ&lt;/a&gt;</v>
      </c>
      <c r="AM1088" t="str">
        <f t="shared" ref="AM1088:AS1088" si="4351">CONCATENATE("&lt;/li&gt;&lt;li&gt;&lt;a href=|http://",AM1191,"/2_corinthians/10.htm","| ","title=|",AM1190,"| target=|_top|&gt;",AM1192,"&lt;/a&gt;")</f>
        <v>&lt;/li&gt;&lt;li&gt;&lt;a href=|http://basicenglishbible.com/2_corinthians/10.htm| title=|Bible in Basic English| target=|_top|&gt;BBE&lt;/a&gt;</v>
      </c>
      <c r="AN1088" t="str">
        <f t="shared" si="4351"/>
        <v>&lt;/li&gt;&lt;li&gt;&lt;a href=|http://darbybible.com/2_corinthians/10.htm| title=|Darby Bible Translation| target=|_top|&gt;DBY&lt;/a&gt;</v>
      </c>
      <c r="AO1088" t="str">
        <f t="shared" si="4351"/>
        <v>&lt;/li&gt;&lt;li&gt;&lt;a href=|http://isv.scripturetext.com/2_corinthians/10.htm| title=|International Standard Version| target=|_top|&gt;ISV&lt;/a&gt;</v>
      </c>
      <c r="AP1088" t="str">
        <f t="shared" si="4351"/>
        <v>&lt;/li&gt;&lt;li&gt;&lt;a href=|http://tnt.scripturetext.com/2_corinthians/10.htm| title=|Tyndale New Testament| target=|_top|&gt;TNT&lt;/a&gt;</v>
      </c>
      <c r="AQ1088" s="2" t="str">
        <f t="shared" si="4351"/>
        <v>&lt;/li&gt;&lt;li&gt;&lt;a href=|http://pnt.biblecommenter.com/2_corinthians/10.htm| title=|People's New Testament| target=|_top|&gt;PNT&lt;/a&gt;</v>
      </c>
      <c r="AR1088" t="str">
        <f t="shared" si="4351"/>
        <v>&lt;/li&gt;&lt;li&gt;&lt;a href=|http://websterbible.com/2_corinthians/10.htm| title=|Webster's Bible Translation| target=|_top|&gt;WBS&lt;/a&gt;</v>
      </c>
      <c r="AS1088" t="str">
        <f t="shared" si="4351"/>
        <v>&lt;/li&gt;&lt;li&gt;&lt;a href=|http://weymouthbible.com/2_corinthians/10.htm| title=|Weymouth New Testament| target=|_top|&gt;WEY&lt;/a&gt;</v>
      </c>
      <c r="AT1088" t="str">
        <f>CONCATENATE("&lt;/li&gt;&lt;li&gt;&lt;a href=|http://",AT1191,"/2_corinthians/10-1.htm","| ","title=|",AT1190,"| target=|_top|&gt;",AT1192,"&lt;/a&gt;")</f>
        <v>&lt;/li&gt;&lt;li&gt;&lt;a href=|http://biblebrowser.com/2_corinthians/10-1.htm| title=|Split View| target=|_top|&gt;Split&lt;/a&gt;</v>
      </c>
      <c r="AU1088" s="2" t="s">
        <v>1276</v>
      </c>
      <c r="AV1088" t="s">
        <v>64</v>
      </c>
    </row>
    <row r="1089" spans="1:48">
      <c r="A1089" t="s">
        <v>622</v>
      </c>
      <c r="B1089" t="s">
        <v>520</v>
      </c>
      <c r="C1089" t="s">
        <v>624</v>
      </c>
      <c r="D1089" t="s">
        <v>1268</v>
      </c>
      <c r="E1089" t="s">
        <v>1277</v>
      </c>
      <c r="F1089" t="s">
        <v>1304</v>
      </c>
      <c r="G1089" t="s">
        <v>1266</v>
      </c>
      <c r="H1089" t="s">
        <v>1305</v>
      </c>
      <c r="I1089" t="s">
        <v>1303</v>
      </c>
      <c r="J1089" t="s">
        <v>1267</v>
      </c>
      <c r="K1089" t="s">
        <v>1275</v>
      </c>
      <c r="L1089" s="2" t="s">
        <v>1274</v>
      </c>
      <c r="M1089" t="str">
        <f t="shared" ref="M1089:AB1089" si="4352">CONCATENATE("&lt;/li&gt;&lt;li&gt;&lt;a href=|http://",M1191,"/2_corinthians/11.htm","| ","title=|",M1190,"| target=|_top|&gt;",M1192,"&lt;/a&gt;")</f>
        <v>&lt;/li&gt;&lt;li&gt;&lt;a href=|http://niv.scripturetext.com/2_corinthians/11.htm| title=|New International Version| target=|_top|&gt;NIV&lt;/a&gt;</v>
      </c>
      <c r="N1089" t="str">
        <f t="shared" si="4352"/>
        <v>&lt;/li&gt;&lt;li&gt;&lt;a href=|http://nlt.scripturetext.com/2_corinthians/11.htm| title=|New Living Translation| target=|_top|&gt;NLT&lt;/a&gt;</v>
      </c>
      <c r="O1089" t="str">
        <f t="shared" si="4352"/>
        <v>&lt;/li&gt;&lt;li&gt;&lt;a href=|http://nasb.scripturetext.com/2_corinthians/11.htm| title=|New American Standard Bible| target=|_top|&gt;NAS&lt;/a&gt;</v>
      </c>
      <c r="P1089" t="str">
        <f t="shared" si="4352"/>
        <v>&lt;/li&gt;&lt;li&gt;&lt;a href=|http://gwt.scripturetext.com/2_corinthians/11.htm| title=|God's Word Translation| target=|_top|&gt;GWT&lt;/a&gt;</v>
      </c>
      <c r="Q1089" t="str">
        <f t="shared" si="4352"/>
        <v>&lt;/li&gt;&lt;li&gt;&lt;a href=|http://kingjbible.com/2_corinthians/11.htm| title=|King James Bible| target=|_top|&gt;KJV&lt;/a&gt;</v>
      </c>
      <c r="R1089" t="str">
        <f t="shared" si="4352"/>
        <v>&lt;/li&gt;&lt;li&gt;&lt;a href=|http://asvbible.com/2_corinthians/11.htm| title=|American Standard Version| target=|_top|&gt;ASV&lt;/a&gt;</v>
      </c>
      <c r="S1089" t="str">
        <f t="shared" si="4352"/>
        <v>&lt;/li&gt;&lt;li&gt;&lt;a href=|http://drb.scripturetext.com/2_corinthians/11.htm| title=|Douay-Rheims Bible| target=|_top|&gt;DRB&lt;/a&gt;</v>
      </c>
      <c r="T1089" t="str">
        <f t="shared" si="4352"/>
        <v>&lt;/li&gt;&lt;li&gt;&lt;a href=|http://erv.scripturetext.com/2_corinthians/11.htm| title=|English Revised Version| target=|_top|&gt;ERV&lt;/a&gt;</v>
      </c>
      <c r="U1089" t="str">
        <f>CONCATENATE("&lt;/li&gt;&lt;li&gt;&lt;a href=|http://",U1191,"/2_corinthians/11.htm","| ","title=|",U1190,"| target=|_top|&gt;",U1192,"&lt;/a&gt;")</f>
        <v>&lt;/li&gt;&lt;li&gt;&lt;a href=|http://study.interlinearbible.org/2_corinthians/11.htm| title=|Greek Study Bible| target=|_top|&gt;Grk Study&lt;/a&gt;</v>
      </c>
      <c r="W1089" t="str">
        <f t="shared" si="4352"/>
        <v>&lt;/li&gt;&lt;li&gt;&lt;a href=|http://apostolic.interlinearbible.org/2_corinthians/11.htm| title=|Apostolic Bible Polyglot Interlinear| target=|_top|&gt;Polyglot&lt;/a&gt;</v>
      </c>
      <c r="X1089" t="str">
        <f t="shared" si="4352"/>
        <v>&lt;/li&gt;&lt;li&gt;&lt;a href=|http://interlinearbible.org/2_corinthians/11.htm| title=|Interlinear Bible| target=|_top|&gt;Interlin&lt;/a&gt;</v>
      </c>
      <c r="Y1089" t="str">
        <f t="shared" ref="Y1089" si="4353">CONCATENATE("&lt;/li&gt;&lt;li&gt;&lt;a href=|http://",Y1191,"/2_corinthians/11.htm","| ","title=|",Y1190,"| target=|_top|&gt;",Y1192,"&lt;/a&gt;")</f>
        <v>&lt;/li&gt;&lt;li&gt;&lt;a href=|http://bibleoutline.org/2_corinthians/11.htm| title=|Outline with People and Places List| target=|_top|&gt;Outline&lt;/a&gt;</v>
      </c>
      <c r="Z1089" t="str">
        <f t="shared" si="4352"/>
        <v>&lt;/li&gt;&lt;li&gt;&lt;a href=|http://kjvs.scripturetext.com/2_corinthians/11.htm| title=|King James Bible with Strong's Numbers| target=|_top|&gt;Strong's&lt;/a&gt;</v>
      </c>
      <c r="AA1089" t="str">
        <f t="shared" si="4352"/>
        <v>&lt;/li&gt;&lt;li&gt;&lt;a href=|http://childrensbibleonline.com/2_corinthians/11.htm| title=|The Children's Bible| target=|_top|&gt;Children's&lt;/a&gt;</v>
      </c>
      <c r="AB1089" s="2" t="str">
        <f t="shared" si="4352"/>
        <v>&lt;/li&gt;&lt;li&gt;&lt;a href=|http://tsk.scripturetext.com/2_corinthians/11.htm| title=|Treasury of Scripture Knowledge| target=|_top|&gt;TSK&lt;/a&gt;</v>
      </c>
      <c r="AC1089" t="str">
        <f>CONCATENATE("&lt;a href=|http://",AC1191,"/2_corinthians/11.htm","| ","title=|",AC1190,"| target=|_top|&gt;",AC1192,"&lt;/a&gt;")</f>
        <v>&lt;a href=|http://parallelbible.com/2_corinthians/11.htm| title=|Parallel Chapters| target=|_top|&gt;PAR&lt;/a&gt;</v>
      </c>
      <c r="AD1089" s="2" t="str">
        <f t="shared" ref="AD1089:AI1089" si="4354">CONCATENATE("&lt;/li&gt;&lt;li&gt;&lt;a href=|http://",AD1191,"/2_corinthians/11.htm","| ","title=|",AD1190,"| target=|_top|&gt;",AD1192,"&lt;/a&gt;")</f>
        <v>&lt;/li&gt;&lt;li&gt;&lt;a href=|http://gsb.biblecommenter.com/2_corinthians/11.htm| title=|Geneva Study Bible| target=|_top|&gt;GSB&lt;/a&gt;</v>
      </c>
      <c r="AE1089" s="2" t="str">
        <f t="shared" si="4354"/>
        <v>&lt;/li&gt;&lt;li&gt;&lt;a href=|http://jfb.biblecommenter.com/2_corinthians/11.htm| title=|Jamieson-Fausset-Brown Bible Commentary| target=|_top|&gt;JFB&lt;/a&gt;</v>
      </c>
      <c r="AF1089" s="2" t="str">
        <f t="shared" si="4354"/>
        <v>&lt;/li&gt;&lt;li&gt;&lt;a href=|http://kjt.biblecommenter.com/2_corinthians/11.htm| title=|King James Translators' Notes| target=|_top|&gt;KJT&lt;/a&gt;</v>
      </c>
      <c r="AG1089" s="2" t="str">
        <f t="shared" si="4354"/>
        <v>&lt;/li&gt;&lt;li&gt;&lt;a href=|http://mhc.biblecommenter.com/2_corinthians/11.htm| title=|Matthew Henry's Concise Commentary| target=|_top|&gt;MHC&lt;/a&gt;</v>
      </c>
      <c r="AH1089" s="2" t="str">
        <f t="shared" si="4354"/>
        <v>&lt;/li&gt;&lt;li&gt;&lt;a href=|http://sco.biblecommenter.com/2_corinthians/11.htm| title=|Scofield Reference Notes| target=|_top|&gt;SCO&lt;/a&gt;</v>
      </c>
      <c r="AI1089" s="2" t="str">
        <f t="shared" si="4354"/>
        <v>&lt;/li&gt;&lt;li&gt;&lt;a href=|http://wes.biblecommenter.com/2_corinthians/11.htm| title=|Wesley's Notes on the Bible| target=|_top|&gt;WES&lt;/a&gt;</v>
      </c>
      <c r="AJ1089" t="str">
        <f>CONCATENATE("&lt;/li&gt;&lt;li&gt;&lt;a href=|http://",AJ1191,"/2_corinthians/11.htm","| ","title=|",AJ1190,"| target=|_top|&gt;",AJ1192,"&lt;/a&gt;")</f>
        <v>&lt;/li&gt;&lt;li&gt;&lt;a href=|http://worldebible.com/2_corinthians/11.htm| title=|World English Bible| target=|_top|&gt;WEB&lt;/a&gt;</v>
      </c>
      <c r="AK1089" t="str">
        <f>CONCATENATE("&lt;/li&gt;&lt;li&gt;&lt;a href=|http://",AK1191,"/2_corinthians/11.htm","| ","title=|",AK1190,"| target=|_top|&gt;",AK1192,"&lt;/a&gt;")</f>
        <v>&lt;/li&gt;&lt;li&gt;&lt;a href=|http://yltbible.com/2_corinthians/11.htm| title=|Young's Literal Translation| target=|_top|&gt;YLT&lt;/a&gt;</v>
      </c>
      <c r="AL1089" t="str">
        <f>CONCATENATE("&lt;a href=|http://",AL1191,"/2_corinthians/11.htm","| ","title=|",AL1190,"| target=|_top|&gt;",AL1192,"&lt;/a&gt;")</f>
        <v>&lt;a href=|http://kjv.us/2_corinthians/11.htm| title=|American King James Version| target=|_top|&gt;AKJ&lt;/a&gt;</v>
      </c>
      <c r="AM1089" t="str">
        <f t="shared" ref="AM1089:AS1089" si="4355">CONCATENATE("&lt;/li&gt;&lt;li&gt;&lt;a href=|http://",AM1191,"/2_corinthians/11.htm","| ","title=|",AM1190,"| target=|_top|&gt;",AM1192,"&lt;/a&gt;")</f>
        <v>&lt;/li&gt;&lt;li&gt;&lt;a href=|http://basicenglishbible.com/2_corinthians/11.htm| title=|Bible in Basic English| target=|_top|&gt;BBE&lt;/a&gt;</v>
      </c>
      <c r="AN1089" t="str">
        <f t="shared" si="4355"/>
        <v>&lt;/li&gt;&lt;li&gt;&lt;a href=|http://darbybible.com/2_corinthians/11.htm| title=|Darby Bible Translation| target=|_top|&gt;DBY&lt;/a&gt;</v>
      </c>
      <c r="AO1089" t="str">
        <f t="shared" si="4355"/>
        <v>&lt;/li&gt;&lt;li&gt;&lt;a href=|http://isv.scripturetext.com/2_corinthians/11.htm| title=|International Standard Version| target=|_top|&gt;ISV&lt;/a&gt;</v>
      </c>
      <c r="AP1089" t="str">
        <f t="shared" si="4355"/>
        <v>&lt;/li&gt;&lt;li&gt;&lt;a href=|http://tnt.scripturetext.com/2_corinthians/11.htm| title=|Tyndale New Testament| target=|_top|&gt;TNT&lt;/a&gt;</v>
      </c>
      <c r="AQ1089" s="2" t="str">
        <f t="shared" si="4355"/>
        <v>&lt;/li&gt;&lt;li&gt;&lt;a href=|http://pnt.biblecommenter.com/2_corinthians/11.htm| title=|People's New Testament| target=|_top|&gt;PNT&lt;/a&gt;</v>
      </c>
      <c r="AR1089" t="str">
        <f t="shared" si="4355"/>
        <v>&lt;/li&gt;&lt;li&gt;&lt;a href=|http://websterbible.com/2_corinthians/11.htm| title=|Webster's Bible Translation| target=|_top|&gt;WBS&lt;/a&gt;</v>
      </c>
      <c r="AS1089" t="str">
        <f t="shared" si="4355"/>
        <v>&lt;/li&gt;&lt;li&gt;&lt;a href=|http://weymouthbible.com/2_corinthians/11.htm| title=|Weymouth New Testament| target=|_top|&gt;WEY&lt;/a&gt;</v>
      </c>
      <c r="AT1089" t="str">
        <f>CONCATENATE("&lt;/li&gt;&lt;li&gt;&lt;a href=|http://",AT1191,"/2_corinthians/11-1.htm","| ","title=|",AT1190,"| target=|_top|&gt;",AT1192,"&lt;/a&gt;")</f>
        <v>&lt;/li&gt;&lt;li&gt;&lt;a href=|http://biblebrowser.com/2_corinthians/11-1.htm| title=|Split View| target=|_top|&gt;Split&lt;/a&gt;</v>
      </c>
      <c r="AU1089" s="2" t="s">
        <v>1276</v>
      </c>
      <c r="AV1089" t="s">
        <v>64</v>
      </c>
    </row>
    <row r="1090" spans="1:48">
      <c r="A1090" t="s">
        <v>622</v>
      </c>
      <c r="B1090" t="s">
        <v>521</v>
      </c>
      <c r="C1090" t="s">
        <v>624</v>
      </c>
      <c r="D1090" t="s">
        <v>1268</v>
      </c>
      <c r="E1090" t="s">
        <v>1277</v>
      </c>
      <c r="F1090" t="s">
        <v>1304</v>
      </c>
      <c r="G1090" t="s">
        <v>1266</v>
      </c>
      <c r="H1090" t="s">
        <v>1305</v>
      </c>
      <c r="I1090" t="s">
        <v>1303</v>
      </c>
      <c r="J1090" t="s">
        <v>1267</v>
      </c>
      <c r="K1090" t="s">
        <v>1275</v>
      </c>
      <c r="L1090" s="2" t="s">
        <v>1274</v>
      </c>
      <c r="M1090" t="str">
        <f t="shared" ref="M1090:AB1090" si="4356">CONCATENATE("&lt;/li&gt;&lt;li&gt;&lt;a href=|http://",M1191,"/2_corinthians/12.htm","| ","title=|",M1190,"| target=|_top|&gt;",M1192,"&lt;/a&gt;")</f>
        <v>&lt;/li&gt;&lt;li&gt;&lt;a href=|http://niv.scripturetext.com/2_corinthians/12.htm| title=|New International Version| target=|_top|&gt;NIV&lt;/a&gt;</v>
      </c>
      <c r="N1090" t="str">
        <f t="shared" si="4356"/>
        <v>&lt;/li&gt;&lt;li&gt;&lt;a href=|http://nlt.scripturetext.com/2_corinthians/12.htm| title=|New Living Translation| target=|_top|&gt;NLT&lt;/a&gt;</v>
      </c>
      <c r="O1090" t="str">
        <f t="shared" si="4356"/>
        <v>&lt;/li&gt;&lt;li&gt;&lt;a href=|http://nasb.scripturetext.com/2_corinthians/12.htm| title=|New American Standard Bible| target=|_top|&gt;NAS&lt;/a&gt;</v>
      </c>
      <c r="P1090" t="str">
        <f t="shared" si="4356"/>
        <v>&lt;/li&gt;&lt;li&gt;&lt;a href=|http://gwt.scripturetext.com/2_corinthians/12.htm| title=|God's Word Translation| target=|_top|&gt;GWT&lt;/a&gt;</v>
      </c>
      <c r="Q1090" t="str">
        <f t="shared" si="4356"/>
        <v>&lt;/li&gt;&lt;li&gt;&lt;a href=|http://kingjbible.com/2_corinthians/12.htm| title=|King James Bible| target=|_top|&gt;KJV&lt;/a&gt;</v>
      </c>
      <c r="R1090" t="str">
        <f t="shared" si="4356"/>
        <v>&lt;/li&gt;&lt;li&gt;&lt;a href=|http://asvbible.com/2_corinthians/12.htm| title=|American Standard Version| target=|_top|&gt;ASV&lt;/a&gt;</v>
      </c>
      <c r="S1090" t="str">
        <f t="shared" si="4356"/>
        <v>&lt;/li&gt;&lt;li&gt;&lt;a href=|http://drb.scripturetext.com/2_corinthians/12.htm| title=|Douay-Rheims Bible| target=|_top|&gt;DRB&lt;/a&gt;</v>
      </c>
      <c r="T1090" t="str">
        <f t="shared" si="4356"/>
        <v>&lt;/li&gt;&lt;li&gt;&lt;a href=|http://erv.scripturetext.com/2_corinthians/12.htm| title=|English Revised Version| target=|_top|&gt;ERV&lt;/a&gt;</v>
      </c>
      <c r="U1090" t="str">
        <f>CONCATENATE("&lt;/li&gt;&lt;li&gt;&lt;a href=|http://",U1191,"/2_corinthians/12.htm","| ","title=|",U1190,"| target=|_top|&gt;",U1192,"&lt;/a&gt;")</f>
        <v>&lt;/li&gt;&lt;li&gt;&lt;a href=|http://study.interlinearbible.org/2_corinthians/12.htm| title=|Greek Study Bible| target=|_top|&gt;Grk Study&lt;/a&gt;</v>
      </c>
      <c r="W1090" t="str">
        <f t="shared" si="4356"/>
        <v>&lt;/li&gt;&lt;li&gt;&lt;a href=|http://apostolic.interlinearbible.org/2_corinthians/12.htm| title=|Apostolic Bible Polyglot Interlinear| target=|_top|&gt;Polyglot&lt;/a&gt;</v>
      </c>
      <c r="X1090" t="str">
        <f t="shared" si="4356"/>
        <v>&lt;/li&gt;&lt;li&gt;&lt;a href=|http://interlinearbible.org/2_corinthians/12.htm| title=|Interlinear Bible| target=|_top|&gt;Interlin&lt;/a&gt;</v>
      </c>
      <c r="Y1090" t="str">
        <f t="shared" ref="Y1090" si="4357">CONCATENATE("&lt;/li&gt;&lt;li&gt;&lt;a href=|http://",Y1191,"/2_corinthians/12.htm","| ","title=|",Y1190,"| target=|_top|&gt;",Y1192,"&lt;/a&gt;")</f>
        <v>&lt;/li&gt;&lt;li&gt;&lt;a href=|http://bibleoutline.org/2_corinthians/12.htm| title=|Outline with People and Places List| target=|_top|&gt;Outline&lt;/a&gt;</v>
      </c>
      <c r="Z1090" t="str">
        <f t="shared" si="4356"/>
        <v>&lt;/li&gt;&lt;li&gt;&lt;a href=|http://kjvs.scripturetext.com/2_corinthians/12.htm| title=|King James Bible with Strong's Numbers| target=|_top|&gt;Strong's&lt;/a&gt;</v>
      </c>
      <c r="AA1090" t="str">
        <f t="shared" si="4356"/>
        <v>&lt;/li&gt;&lt;li&gt;&lt;a href=|http://childrensbibleonline.com/2_corinthians/12.htm| title=|The Children's Bible| target=|_top|&gt;Children's&lt;/a&gt;</v>
      </c>
      <c r="AB1090" s="2" t="str">
        <f t="shared" si="4356"/>
        <v>&lt;/li&gt;&lt;li&gt;&lt;a href=|http://tsk.scripturetext.com/2_corinthians/12.htm| title=|Treasury of Scripture Knowledge| target=|_top|&gt;TSK&lt;/a&gt;</v>
      </c>
      <c r="AC1090" t="str">
        <f>CONCATENATE("&lt;a href=|http://",AC1191,"/2_corinthians/12.htm","| ","title=|",AC1190,"| target=|_top|&gt;",AC1192,"&lt;/a&gt;")</f>
        <v>&lt;a href=|http://parallelbible.com/2_corinthians/12.htm| title=|Parallel Chapters| target=|_top|&gt;PAR&lt;/a&gt;</v>
      </c>
      <c r="AD1090" s="2" t="str">
        <f t="shared" ref="AD1090:AI1090" si="4358">CONCATENATE("&lt;/li&gt;&lt;li&gt;&lt;a href=|http://",AD1191,"/2_corinthians/12.htm","| ","title=|",AD1190,"| target=|_top|&gt;",AD1192,"&lt;/a&gt;")</f>
        <v>&lt;/li&gt;&lt;li&gt;&lt;a href=|http://gsb.biblecommenter.com/2_corinthians/12.htm| title=|Geneva Study Bible| target=|_top|&gt;GSB&lt;/a&gt;</v>
      </c>
      <c r="AE1090" s="2" t="str">
        <f t="shared" si="4358"/>
        <v>&lt;/li&gt;&lt;li&gt;&lt;a href=|http://jfb.biblecommenter.com/2_corinthians/12.htm| title=|Jamieson-Fausset-Brown Bible Commentary| target=|_top|&gt;JFB&lt;/a&gt;</v>
      </c>
      <c r="AF1090" s="2" t="str">
        <f t="shared" si="4358"/>
        <v>&lt;/li&gt;&lt;li&gt;&lt;a href=|http://kjt.biblecommenter.com/2_corinthians/12.htm| title=|King James Translators' Notes| target=|_top|&gt;KJT&lt;/a&gt;</v>
      </c>
      <c r="AG1090" s="2" t="str">
        <f t="shared" si="4358"/>
        <v>&lt;/li&gt;&lt;li&gt;&lt;a href=|http://mhc.biblecommenter.com/2_corinthians/12.htm| title=|Matthew Henry's Concise Commentary| target=|_top|&gt;MHC&lt;/a&gt;</v>
      </c>
      <c r="AH1090" s="2" t="str">
        <f t="shared" si="4358"/>
        <v>&lt;/li&gt;&lt;li&gt;&lt;a href=|http://sco.biblecommenter.com/2_corinthians/12.htm| title=|Scofield Reference Notes| target=|_top|&gt;SCO&lt;/a&gt;</v>
      </c>
      <c r="AI1090" s="2" t="str">
        <f t="shared" si="4358"/>
        <v>&lt;/li&gt;&lt;li&gt;&lt;a href=|http://wes.biblecommenter.com/2_corinthians/12.htm| title=|Wesley's Notes on the Bible| target=|_top|&gt;WES&lt;/a&gt;</v>
      </c>
      <c r="AJ1090" t="str">
        <f>CONCATENATE("&lt;/li&gt;&lt;li&gt;&lt;a href=|http://",AJ1191,"/2_corinthians/12.htm","| ","title=|",AJ1190,"| target=|_top|&gt;",AJ1192,"&lt;/a&gt;")</f>
        <v>&lt;/li&gt;&lt;li&gt;&lt;a href=|http://worldebible.com/2_corinthians/12.htm| title=|World English Bible| target=|_top|&gt;WEB&lt;/a&gt;</v>
      </c>
      <c r="AK1090" t="str">
        <f>CONCATENATE("&lt;/li&gt;&lt;li&gt;&lt;a href=|http://",AK1191,"/2_corinthians/12.htm","| ","title=|",AK1190,"| target=|_top|&gt;",AK1192,"&lt;/a&gt;")</f>
        <v>&lt;/li&gt;&lt;li&gt;&lt;a href=|http://yltbible.com/2_corinthians/12.htm| title=|Young's Literal Translation| target=|_top|&gt;YLT&lt;/a&gt;</v>
      </c>
      <c r="AL1090" t="str">
        <f>CONCATENATE("&lt;a href=|http://",AL1191,"/2_corinthians/12.htm","| ","title=|",AL1190,"| target=|_top|&gt;",AL1192,"&lt;/a&gt;")</f>
        <v>&lt;a href=|http://kjv.us/2_corinthians/12.htm| title=|American King James Version| target=|_top|&gt;AKJ&lt;/a&gt;</v>
      </c>
      <c r="AM1090" t="str">
        <f t="shared" ref="AM1090:AS1090" si="4359">CONCATENATE("&lt;/li&gt;&lt;li&gt;&lt;a href=|http://",AM1191,"/2_corinthians/12.htm","| ","title=|",AM1190,"| target=|_top|&gt;",AM1192,"&lt;/a&gt;")</f>
        <v>&lt;/li&gt;&lt;li&gt;&lt;a href=|http://basicenglishbible.com/2_corinthians/12.htm| title=|Bible in Basic English| target=|_top|&gt;BBE&lt;/a&gt;</v>
      </c>
      <c r="AN1090" t="str">
        <f t="shared" si="4359"/>
        <v>&lt;/li&gt;&lt;li&gt;&lt;a href=|http://darbybible.com/2_corinthians/12.htm| title=|Darby Bible Translation| target=|_top|&gt;DBY&lt;/a&gt;</v>
      </c>
      <c r="AO1090" t="str">
        <f t="shared" si="4359"/>
        <v>&lt;/li&gt;&lt;li&gt;&lt;a href=|http://isv.scripturetext.com/2_corinthians/12.htm| title=|International Standard Version| target=|_top|&gt;ISV&lt;/a&gt;</v>
      </c>
      <c r="AP1090" t="str">
        <f t="shared" si="4359"/>
        <v>&lt;/li&gt;&lt;li&gt;&lt;a href=|http://tnt.scripturetext.com/2_corinthians/12.htm| title=|Tyndale New Testament| target=|_top|&gt;TNT&lt;/a&gt;</v>
      </c>
      <c r="AQ1090" s="2" t="str">
        <f t="shared" si="4359"/>
        <v>&lt;/li&gt;&lt;li&gt;&lt;a href=|http://pnt.biblecommenter.com/2_corinthians/12.htm| title=|People's New Testament| target=|_top|&gt;PNT&lt;/a&gt;</v>
      </c>
      <c r="AR1090" t="str">
        <f t="shared" si="4359"/>
        <v>&lt;/li&gt;&lt;li&gt;&lt;a href=|http://websterbible.com/2_corinthians/12.htm| title=|Webster's Bible Translation| target=|_top|&gt;WBS&lt;/a&gt;</v>
      </c>
      <c r="AS1090" t="str">
        <f t="shared" si="4359"/>
        <v>&lt;/li&gt;&lt;li&gt;&lt;a href=|http://weymouthbible.com/2_corinthians/12.htm| title=|Weymouth New Testament| target=|_top|&gt;WEY&lt;/a&gt;</v>
      </c>
      <c r="AT1090" t="str">
        <f>CONCATENATE("&lt;/li&gt;&lt;li&gt;&lt;a href=|http://",AT1191,"/2_corinthians/12-1.htm","| ","title=|",AT1190,"| target=|_top|&gt;",AT1192,"&lt;/a&gt;")</f>
        <v>&lt;/li&gt;&lt;li&gt;&lt;a href=|http://biblebrowser.com/2_corinthians/12-1.htm| title=|Split View| target=|_top|&gt;Split&lt;/a&gt;</v>
      </c>
      <c r="AU1090" s="2" t="s">
        <v>1276</v>
      </c>
      <c r="AV1090" t="s">
        <v>64</v>
      </c>
    </row>
    <row r="1091" spans="1:48">
      <c r="A1091" t="s">
        <v>622</v>
      </c>
      <c r="B1091" t="s">
        <v>522</v>
      </c>
      <c r="C1091" t="s">
        <v>624</v>
      </c>
      <c r="D1091" t="s">
        <v>1268</v>
      </c>
      <c r="E1091" t="s">
        <v>1277</v>
      </c>
      <c r="F1091" t="s">
        <v>1304</v>
      </c>
      <c r="G1091" t="s">
        <v>1266</v>
      </c>
      <c r="H1091" t="s">
        <v>1305</v>
      </c>
      <c r="I1091" t="s">
        <v>1303</v>
      </c>
      <c r="J1091" t="s">
        <v>1267</v>
      </c>
      <c r="K1091" t="s">
        <v>1275</v>
      </c>
      <c r="L1091" s="2" t="s">
        <v>1274</v>
      </c>
      <c r="M1091" t="str">
        <f t="shared" ref="M1091:AB1091" si="4360">CONCATENATE("&lt;/li&gt;&lt;li&gt;&lt;a href=|http://",M1191,"/2_corinthians/13.htm","| ","title=|",M1190,"| target=|_top|&gt;",M1192,"&lt;/a&gt;")</f>
        <v>&lt;/li&gt;&lt;li&gt;&lt;a href=|http://niv.scripturetext.com/2_corinthians/13.htm| title=|New International Version| target=|_top|&gt;NIV&lt;/a&gt;</v>
      </c>
      <c r="N1091" t="str">
        <f t="shared" si="4360"/>
        <v>&lt;/li&gt;&lt;li&gt;&lt;a href=|http://nlt.scripturetext.com/2_corinthians/13.htm| title=|New Living Translation| target=|_top|&gt;NLT&lt;/a&gt;</v>
      </c>
      <c r="O1091" t="str">
        <f t="shared" si="4360"/>
        <v>&lt;/li&gt;&lt;li&gt;&lt;a href=|http://nasb.scripturetext.com/2_corinthians/13.htm| title=|New American Standard Bible| target=|_top|&gt;NAS&lt;/a&gt;</v>
      </c>
      <c r="P1091" t="str">
        <f t="shared" si="4360"/>
        <v>&lt;/li&gt;&lt;li&gt;&lt;a href=|http://gwt.scripturetext.com/2_corinthians/13.htm| title=|God's Word Translation| target=|_top|&gt;GWT&lt;/a&gt;</v>
      </c>
      <c r="Q1091" t="str">
        <f t="shared" si="4360"/>
        <v>&lt;/li&gt;&lt;li&gt;&lt;a href=|http://kingjbible.com/2_corinthians/13.htm| title=|King James Bible| target=|_top|&gt;KJV&lt;/a&gt;</v>
      </c>
      <c r="R1091" t="str">
        <f t="shared" si="4360"/>
        <v>&lt;/li&gt;&lt;li&gt;&lt;a href=|http://asvbible.com/2_corinthians/13.htm| title=|American Standard Version| target=|_top|&gt;ASV&lt;/a&gt;</v>
      </c>
      <c r="S1091" t="str">
        <f t="shared" si="4360"/>
        <v>&lt;/li&gt;&lt;li&gt;&lt;a href=|http://drb.scripturetext.com/2_corinthians/13.htm| title=|Douay-Rheims Bible| target=|_top|&gt;DRB&lt;/a&gt;</v>
      </c>
      <c r="T1091" t="str">
        <f t="shared" si="4360"/>
        <v>&lt;/li&gt;&lt;li&gt;&lt;a href=|http://erv.scripturetext.com/2_corinthians/13.htm| title=|English Revised Version| target=|_top|&gt;ERV&lt;/a&gt;</v>
      </c>
      <c r="U1091" t="str">
        <f>CONCATENATE("&lt;/li&gt;&lt;li&gt;&lt;a href=|http://",U1191,"/2_corinthians/13.htm","| ","title=|",U1190,"| target=|_top|&gt;",U1192,"&lt;/a&gt;")</f>
        <v>&lt;/li&gt;&lt;li&gt;&lt;a href=|http://study.interlinearbible.org/2_corinthians/13.htm| title=|Greek Study Bible| target=|_top|&gt;Grk Study&lt;/a&gt;</v>
      </c>
      <c r="W1091" t="str">
        <f t="shared" si="4360"/>
        <v>&lt;/li&gt;&lt;li&gt;&lt;a href=|http://apostolic.interlinearbible.org/2_corinthians/13.htm| title=|Apostolic Bible Polyglot Interlinear| target=|_top|&gt;Polyglot&lt;/a&gt;</v>
      </c>
      <c r="X1091" t="str">
        <f t="shared" si="4360"/>
        <v>&lt;/li&gt;&lt;li&gt;&lt;a href=|http://interlinearbible.org/2_corinthians/13.htm| title=|Interlinear Bible| target=|_top|&gt;Interlin&lt;/a&gt;</v>
      </c>
      <c r="Y1091" t="str">
        <f t="shared" ref="Y1091" si="4361">CONCATENATE("&lt;/li&gt;&lt;li&gt;&lt;a href=|http://",Y1191,"/2_corinthians/13.htm","| ","title=|",Y1190,"| target=|_top|&gt;",Y1192,"&lt;/a&gt;")</f>
        <v>&lt;/li&gt;&lt;li&gt;&lt;a href=|http://bibleoutline.org/2_corinthians/13.htm| title=|Outline with People and Places List| target=|_top|&gt;Outline&lt;/a&gt;</v>
      </c>
      <c r="Z1091" t="str">
        <f t="shared" si="4360"/>
        <v>&lt;/li&gt;&lt;li&gt;&lt;a href=|http://kjvs.scripturetext.com/2_corinthians/13.htm| title=|King James Bible with Strong's Numbers| target=|_top|&gt;Strong's&lt;/a&gt;</v>
      </c>
      <c r="AA1091" t="str">
        <f t="shared" si="4360"/>
        <v>&lt;/li&gt;&lt;li&gt;&lt;a href=|http://childrensbibleonline.com/2_corinthians/13.htm| title=|The Children's Bible| target=|_top|&gt;Children's&lt;/a&gt;</v>
      </c>
      <c r="AB1091" s="2" t="str">
        <f t="shared" si="4360"/>
        <v>&lt;/li&gt;&lt;li&gt;&lt;a href=|http://tsk.scripturetext.com/2_corinthians/13.htm| title=|Treasury of Scripture Knowledge| target=|_top|&gt;TSK&lt;/a&gt;</v>
      </c>
      <c r="AC1091" t="str">
        <f>CONCATENATE("&lt;a href=|http://",AC1191,"/2_corinthians/13.htm","| ","title=|",AC1190,"| target=|_top|&gt;",AC1192,"&lt;/a&gt;")</f>
        <v>&lt;a href=|http://parallelbible.com/2_corinthians/13.htm| title=|Parallel Chapters| target=|_top|&gt;PAR&lt;/a&gt;</v>
      </c>
      <c r="AD1091" s="2" t="str">
        <f t="shared" ref="AD1091:AI1091" si="4362">CONCATENATE("&lt;/li&gt;&lt;li&gt;&lt;a href=|http://",AD1191,"/2_corinthians/13.htm","| ","title=|",AD1190,"| target=|_top|&gt;",AD1192,"&lt;/a&gt;")</f>
        <v>&lt;/li&gt;&lt;li&gt;&lt;a href=|http://gsb.biblecommenter.com/2_corinthians/13.htm| title=|Geneva Study Bible| target=|_top|&gt;GSB&lt;/a&gt;</v>
      </c>
      <c r="AE1091" s="2" t="str">
        <f t="shared" si="4362"/>
        <v>&lt;/li&gt;&lt;li&gt;&lt;a href=|http://jfb.biblecommenter.com/2_corinthians/13.htm| title=|Jamieson-Fausset-Brown Bible Commentary| target=|_top|&gt;JFB&lt;/a&gt;</v>
      </c>
      <c r="AF1091" s="2" t="str">
        <f t="shared" si="4362"/>
        <v>&lt;/li&gt;&lt;li&gt;&lt;a href=|http://kjt.biblecommenter.com/2_corinthians/13.htm| title=|King James Translators' Notes| target=|_top|&gt;KJT&lt;/a&gt;</v>
      </c>
      <c r="AG1091" s="2" t="str">
        <f t="shared" si="4362"/>
        <v>&lt;/li&gt;&lt;li&gt;&lt;a href=|http://mhc.biblecommenter.com/2_corinthians/13.htm| title=|Matthew Henry's Concise Commentary| target=|_top|&gt;MHC&lt;/a&gt;</v>
      </c>
      <c r="AH1091" s="2" t="str">
        <f t="shared" si="4362"/>
        <v>&lt;/li&gt;&lt;li&gt;&lt;a href=|http://sco.biblecommenter.com/2_corinthians/13.htm| title=|Scofield Reference Notes| target=|_top|&gt;SCO&lt;/a&gt;</v>
      </c>
      <c r="AI1091" s="2" t="str">
        <f t="shared" si="4362"/>
        <v>&lt;/li&gt;&lt;li&gt;&lt;a href=|http://wes.biblecommenter.com/2_corinthians/13.htm| title=|Wesley's Notes on the Bible| target=|_top|&gt;WES&lt;/a&gt;</v>
      </c>
      <c r="AJ1091" t="str">
        <f>CONCATENATE("&lt;/li&gt;&lt;li&gt;&lt;a href=|http://",AJ1191,"/2_corinthians/13.htm","| ","title=|",AJ1190,"| target=|_top|&gt;",AJ1192,"&lt;/a&gt;")</f>
        <v>&lt;/li&gt;&lt;li&gt;&lt;a href=|http://worldebible.com/2_corinthians/13.htm| title=|World English Bible| target=|_top|&gt;WEB&lt;/a&gt;</v>
      </c>
      <c r="AK1091" t="str">
        <f>CONCATENATE("&lt;/li&gt;&lt;li&gt;&lt;a href=|http://",AK1191,"/2_corinthians/13.htm","| ","title=|",AK1190,"| target=|_top|&gt;",AK1192,"&lt;/a&gt;")</f>
        <v>&lt;/li&gt;&lt;li&gt;&lt;a href=|http://yltbible.com/2_corinthians/13.htm| title=|Young's Literal Translation| target=|_top|&gt;YLT&lt;/a&gt;</v>
      </c>
      <c r="AL1091" t="str">
        <f>CONCATENATE("&lt;a href=|http://",AL1191,"/2_corinthians/13.htm","| ","title=|",AL1190,"| target=|_top|&gt;",AL1192,"&lt;/a&gt;")</f>
        <v>&lt;a href=|http://kjv.us/2_corinthians/13.htm| title=|American King James Version| target=|_top|&gt;AKJ&lt;/a&gt;</v>
      </c>
      <c r="AM1091" t="str">
        <f t="shared" ref="AM1091:AS1091" si="4363">CONCATENATE("&lt;/li&gt;&lt;li&gt;&lt;a href=|http://",AM1191,"/2_corinthians/13.htm","| ","title=|",AM1190,"| target=|_top|&gt;",AM1192,"&lt;/a&gt;")</f>
        <v>&lt;/li&gt;&lt;li&gt;&lt;a href=|http://basicenglishbible.com/2_corinthians/13.htm| title=|Bible in Basic English| target=|_top|&gt;BBE&lt;/a&gt;</v>
      </c>
      <c r="AN1091" t="str">
        <f t="shared" si="4363"/>
        <v>&lt;/li&gt;&lt;li&gt;&lt;a href=|http://darbybible.com/2_corinthians/13.htm| title=|Darby Bible Translation| target=|_top|&gt;DBY&lt;/a&gt;</v>
      </c>
      <c r="AO1091" t="str">
        <f t="shared" si="4363"/>
        <v>&lt;/li&gt;&lt;li&gt;&lt;a href=|http://isv.scripturetext.com/2_corinthians/13.htm| title=|International Standard Version| target=|_top|&gt;ISV&lt;/a&gt;</v>
      </c>
      <c r="AP1091" t="str">
        <f t="shared" si="4363"/>
        <v>&lt;/li&gt;&lt;li&gt;&lt;a href=|http://tnt.scripturetext.com/2_corinthians/13.htm| title=|Tyndale New Testament| target=|_top|&gt;TNT&lt;/a&gt;</v>
      </c>
      <c r="AQ1091" s="2" t="str">
        <f t="shared" si="4363"/>
        <v>&lt;/li&gt;&lt;li&gt;&lt;a href=|http://pnt.biblecommenter.com/2_corinthians/13.htm| title=|People's New Testament| target=|_top|&gt;PNT&lt;/a&gt;</v>
      </c>
      <c r="AR1091" t="str">
        <f t="shared" si="4363"/>
        <v>&lt;/li&gt;&lt;li&gt;&lt;a href=|http://websterbible.com/2_corinthians/13.htm| title=|Webster's Bible Translation| target=|_top|&gt;WBS&lt;/a&gt;</v>
      </c>
      <c r="AS1091" t="str">
        <f t="shared" si="4363"/>
        <v>&lt;/li&gt;&lt;li&gt;&lt;a href=|http://weymouthbible.com/2_corinthians/13.htm| title=|Weymouth New Testament| target=|_top|&gt;WEY&lt;/a&gt;</v>
      </c>
      <c r="AT1091" t="str">
        <f>CONCATENATE("&lt;/li&gt;&lt;li&gt;&lt;a href=|http://",AT1191,"/2_corinthians/13-1.htm","| ","title=|",AT1190,"| target=|_top|&gt;",AT1192,"&lt;/a&gt;")</f>
        <v>&lt;/li&gt;&lt;li&gt;&lt;a href=|http://biblebrowser.com/2_corinthians/13-1.htm| title=|Split View| target=|_top|&gt;Split&lt;/a&gt;</v>
      </c>
      <c r="AU1091" s="2" t="s">
        <v>1276</v>
      </c>
      <c r="AV1091" t="s">
        <v>64</v>
      </c>
    </row>
    <row r="1092" spans="1:48">
      <c r="A1092" t="s">
        <v>622</v>
      </c>
      <c r="B1092" t="s">
        <v>523</v>
      </c>
      <c r="C1092" t="s">
        <v>624</v>
      </c>
      <c r="D1092" t="s">
        <v>1268</v>
      </c>
      <c r="E1092" t="s">
        <v>1277</v>
      </c>
      <c r="F1092" t="s">
        <v>1304</v>
      </c>
      <c r="G1092" t="s">
        <v>1266</v>
      </c>
      <c r="H1092" t="s">
        <v>1305</v>
      </c>
      <c r="I1092" t="s">
        <v>1303</v>
      </c>
      <c r="J1092" t="s">
        <v>1267</v>
      </c>
      <c r="K1092" t="s">
        <v>1275</v>
      </c>
      <c r="L1092" s="2" t="s">
        <v>1274</v>
      </c>
      <c r="M1092" t="str">
        <f t="shared" ref="M1092:AB1092" si="4364">CONCATENATE("&lt;/li&gt;&lt;li&gt;&lt;a href=|http://",M1191,"/galatians/1.htm","| ","title=|",M1190,"| target=|_top|&gt;",M1192,"&lt;/a&gt;")</f>
        <v>&lt;/li&gt;&lt;li&gt;&lt;a href=|http://niv.scripturetext.com/galatians/1.htm| title=|New International Version| target=|_top|&gt;NIV&lt;/a&gt;</v>
      </c>
      <c r="N1092" t="str">
        <f t="shared" si="4364"/>
        <v>&lt;/li&gt;&lt;li&gt;&lt;a href=|http://nlt.scripturetext.com/galatians/1.htm| title=|New Living Translation| target=|_top|&gt;NLT&lt;/a&gt;</v>
      </c>
      <c r="O1092" t="str">
        <f t="shared" si="4364"/>
        <v>&lt;/li&gt;&lt;li&gt;&lt;a href=|http://nasb.scripturetext.com/galatians/1.htm| title=|New American Standard Bible| target=|_top|&gt;NAS&lt;/a&gt;</v>
      </c>
      <c r="P1092" t="str">
        <f t="shared" si="4364"/>
        <v>&lt;/li&gt;&lt;li&gt;&lt;a href=|http://gwt.scripturetext.com/galatians/1.htm| title=|God's Word Translation| target=|_top|&gt;GWT&lt;/a&gt;</v>
      </c>
      <c r="Q1092" t="str">
        <f t="shared" si="4364"/>
        <v>&lt;/li&gt;&lt;li&gt;&lt;a href=|http://kingjbible.com/galatians/1.htm| title=|King James Bible| target=|_top|&gt;KJV&lt;/a&gt;</v>
      </c>
      <c r="R1092" t="str">
        <f t="shared" si="4364"/>
        <v>&lt;/li&gt;&lt;li&gt;&lt;a href=|http://asvbible.com/galatians/1.htm| title=|American Standard Version| target=|_top|&gt;ASV&lt;/a&gt;</v>
      </c>
      <c r="S1092" t="str">
        <f t="shared" si="4364"/>
        <v>&lt;/li&gt;&lt;li&gt;&lt;a href=|http://drb.scripturetext.com/galatians/1.htm| title=|Douay-Rheims Bible| target=|_top|&gt;DRB&lt;/a&gt;</v>
      </c>
      <c r="T1092" t="str">
        <f t="shared" si="4364"/>
        <v>&lt;/li&gt;&lt;li&gt;&lt;a href=|http://erv.scripturetext.com/galatians/1.htm| title=|English Revised Version| target=|_top|&gt;ERV&lt;/a&gt;</v>
      </c>
      <c r="U1092" t="str">
        <f>CONCATENATE("&lt;/li&gt;&lt;li&gt;&lt;a href=|http://",U1191,"/galatians/1.htm","| ","title=|",U1190,"| target=|_top|&gt;",U1192,"&lt;/a&gt;")</f>
        <v>&lt;/li&gt;&lt;li&gt;&lt;a href=|http://study.interlinearbible.org/galatians/1.htm| title=|Greek Study Bible| target=|_top|&gt;Grk Study&lt;/a&gt;</v>
      </c>
      <c r="W1092" t="str">
        <f t="shared" si="4364"/>
        <v>&lt;/li&gt;&lt;li&gt;&lt;a href=|http://apostolic.interlinearbible.org/galatians/1.htm| title=|Apostolic Bible Polyglot Interlinear| target=|_top|&gt;Polyglot&lt;/a&gt;</v>
      </c>
      <c r="X1092" t="str">
        <f t="shared" si="4364"/>
        <v>&lt;/li&gt;&lt;li&gt;&lt;a href=|http://interlinearbible.org/galatians/1.htm| title=|Interlinear Bible| target=|_top|&gt;Interlin&lt;/a&gt;</v>
      </c>
      <c r="Y1092" t="str">
        <f t="shared" ref="Y1092" si="4365">CONCATENATE("&lt;/li&gt;&lt;li&gt;&lt;a href=|http://",Y1191,"/galatians/1.htm","| ","title=|",Y1190,"| target=|_top|&gt;",Y1192,"&lt;/a&gt;")</f>
        <v>&lt;/li&gt;&lt;li&gt;&lt;a href=|http://bibleoutline.org/galatians/1.htm| title=|Outline with People and Places List| target=|_top|&gt;Outline&lt;/a&gt;</v>
      </c>
      <c r="Z1092" t="str">
        <f t="shared" si="4364"/>
        <v>&lt;/li&gt;&lt;li&gt;&lt;a href=|http://kjvs.scripturetext.com/galatians/1.htm| title=|King James Bible with Strong's Numbers| target=|_top|&gt;Strong's&lt;/a&gt;</v>
      </c>
      <c r="AA1092" t="str">
        <f t="shared" si="4364"/>
        <v>&lt;/li&gt;&lt;li&gt;&lt;a href=|http://childrensbibleonline.com/galatians/1.htm| title=|The Children's Bible| target=|_top|&gt;Children's&lt;/a&gt;</v>
      </c>
      <c r="AB1092" s="2" t="str">
        <f t="shared" si="4364"/>
        <v>&lt;/li&gt;&lt;li&gt;&lt;a href=|http://tsk.scripturetext.com/galatians/1.htm| title=|Treasury of Scripture Knowledge| target=|_top|&gt;TSK&lt;/a&gt;</v>
      </c>
      <c r="AC1092" t="str">
        <f>CONCATENATE("&lt;a href=|http://",AC1191,"/galatians/1.htm","| ","title=|",AC1190,"| target=|_top|&gt;",AC1192,"&lt;/a&gt;")</f>
        <v>&lt;a href=|http://parallelbible.com/galatians/1.htm| title=|Parallel Chapters| target=|_top|&gt;PAR&lt;/a&gt;</v>
      </c>
      <c r="AD1092" s="2" t="str">
        <f t="shared" ref="AD1092:AI1092" si="4366">CONCATENATE("&lt;/li&gt;&lt;li&gt;&lt;a href=|http://",AD1191,"/galatians/1.htm","| ","title=|",AD1190,"| target=|_top|&gt;",AD1192,"&lt;/a&gt;")</f>
        <v>&lt;/li&gt;&lt;li&gt;&lt;a href=|http://gsb.biblecommenter.com/galatians/1.htm| title=|Geneva Study Bible| target=|_top|&gt;GSB&lt;/a&gt;</v>
      </c>
      <c r="AE1092" s="2" t="str">
        <f t="shared" si="4366"/>
        <v>&lt;/li&gt;&lt;li&gt;&lt;a href=|http://jfb.biblecommenter.com/galatians/1.htm| title=|Jamieson-Fausset-Brown Bible Commentary| target=|_top|&gt;JFB&lt;/a&gt;</v>
      </c>
      <c r="AF1092" s="2" t="str">
        <f t="shared" si="4366"/>
        <v>&lt;/li&gt;&lt;li&gt;&lt;a href=|http://kjt.biblecommenter.com/galatians/1.htm| title=|King James Translators' Notes| target=|_top|&gt;KJT&lt;/a&gt;</v>
      </c>
      <c r="AG1092" s="2" t="str">
        <f t="shared" si="4366"/>
        <v>&lt;/li&gt;&lt;li&gt;&lt;a href=|http://mhc.biblecommenter.com/galatians/1.htm| title=|Matthew Henry's Concise Commentary| target=|_top|&gt;MHC&lt;/a&gt;</v>
      </c>
      <c r="AH1092" s="2" t="str">
        <f t="shared" si="4366"/>
        <v>&lt;/li&gt;&lt;li&gt;&lt;a href=|http://sco.biblecommenter.com/galatians/1.htm| title=|Scofield Reference Notes| target=|_top|&gt;SCO&lt;/a&gt;</v>
      </c>
      <c r="AI1092" s="2" t="str">
        <f t="shared" si="4366"/>
        <v>&lt;/li&gt;&lt;li&gt;&lt;a href=|http://wes.biblecommenter.com/galatians/1.htm| title=|Wesley's Notes on the Bible| target=|_top|&gt;WES&lt;/a&gt;</v>
      </c>
      <c r="AJ1092" t="str">
        <f>CONCATENATE("&lt;/li&gt;&lt;li&gt;&lt;a href=|http://",AJ1191,"/galatians/1.htm","| ","title=|",AJ1190,"| target=|_top|&gt;",AJ1192,"&lt;/a&gt;")</f>
        <v>&lt;/li&gt;&lt;li&gt;&lt;a href=|http://worldebible.com/galatians/1.htm| title=|World English Bible| target=|_top|&gt;WEB&lt;/a&gt;</v>
      </c>
      <c r="AK1092" t="str">
        <f>CONCATENATE("&lt;/li&gt;&lt;li&gt;&lt;a href=|http://",AK1191,"/galatians/1.htm","| ","title=|",AK1190,"| target=|_top|&gt;",AK1192,"&lt;/a&gt;")</f>
        <v>&lt;/li&gt;&lt;li&gt;&lt;a href=|http://yltbible.com/galatians/1.htm| title=|Young's Literal Translation| target=|_top|&gt;YLT&lt;/a&gt;</v>
      </c>
      <c r="AL1092" t="str">
        <f>CONCATENATE("&lt;a href=|http://",AL1191,"/galatians/1.htm","| ","title=|",AL1190,"| target=|_top|&gt;",AL1192,"&lt;/a&gt;")</f>
        <v>&lt;a href=|http://kjv.us/galatians/1.htm| title=|American King James Version| target=|_top|&gt;AKJ&lt;/a&gt;</v>
      </c>
      <c r="AM1092" t="str">
        <f t="shared" ref="AM1092:AS1092" si="4367">CONCATENATE("&lt;/li&gt;&lt;li&gt;&lt;a href=|http://",AM1191,"/galatians/1.htm","| ","title=|",AM1190,"| target=|_top|&gt;",AM1192,"&lt;/a&gt;")</f>
        <v>&lt;/li&gt;&lt;li&gt;&lt;a href=|http://basicenglishbible.com/galatians/1.htm| title=|Bible in Basic English| target=|_top|&gt;BBE&lt;/a&gt;</v>
      </c>
      <c r="AN1092" t="str">
        <f t="shared" si="4367"/>
        <v>&lt;/li&gt;&lt;li&gt;&lt;a href=|http://darbybible.com/galatians/1.htm| title=|Darby Bible Translation| target=|_top|&gt;DBY&lt;/a&gt;</v>
      </c>
      <c r="AO1092" t="str">
        <f t="shared" si="4367"/>
        <v>&lt;/li&gt;&lt;li&gt;&lt;a href=|http://isv.scripturetext.com/galatians/1.htm| title=|International Standard Version| target=|_top|&gt;ISV&lt;/a&gt;</v>
      </c>
      <c r="AP1092" t="str">
        <f t="shared" si="4367"/>
        <v>&lt;/li&gt;&lt;li&gt;&lt;a href=|http://tnt.scripturetext.com/galatians/1.htm| title=|Tyndale New Testament| target=|_top|&gt;TNT&lt;/a&gt;</v>
      </c>
      <c r="AQ1092" s="2" t="str">
        <f t="shared" si="4367"/>
        <v>&lt;/li&gt;&lt;li&gt;&lt;a href=|http://pnt.biblecommenter.com/galatians/1.htm| title=|People's New Testament| target=|_top|&gt;PNT&lt;/a&gt;</v>
      </c>
      <c r="AR1092" t="str">
        <f t="shared" si="4367"/>
        <v>&lt;/li&gt;&lt;li&gt;&lt;a href=|http://websterbible.com/galatians/1.htm| title=|Webster's Bible Translation| target=|_top|&gt;WBS&lt;/a&gt;</v>
      </c>
      <c r="AS1092" t="str">
        <f t="shared" si="4367"/>
        <v>&lt;/li&gt;&lt;li&gt;&lt;a href=|http://weymouthbible.com/galatians/1.htm| title=|Weymouth New Testament| target=|_top|&gt;WEY&lt;/a&gt;</v>
      </c>
      <c r="AT1092" t="str">
        <f>CONCATENATE("&lt;/li&gt;&lt;li&gt;&lt;a href=|http://",AT1191,"/galatians/1-1.htm","| ","title=|",AT1190,"| target=|_top|&gt;",AT1192,"&lt;/a&gt;")</f>
        <v>&lt;/li&gt;&lt;li&gt;&lt;a href=|http://biblebrowser.com/galatians/1-1.htm| title=|Split View| target=|_top|&gt;Split&lt;/a&gt;</v>
      </c>
      <c r="AU1092" s="2" t="s">
        <v>1276</v>
      </c>
      <c r="AV1092" t="s">
        <v>64</v>
      </c>
    </row>
    <row r="1093" spans="1:48">
      <c r="A1093" t="s">
        <v>622</v>
      </c>
      <c r="B1093" t="s">
        <v>524</v>
      </c>
      <c r="C1093" t="s">
        <v>624</v>
      </c>
      <c r="D1093" t="s">
        <v>1268</v>
      </c>
      <c r="E1093" t="s">
        <v>1277</v>
      </c>
      <c r="F1093" t="s">
        <v>1304</v>
      </c>
      <c r="G1093" t="s">
        <v>1266</v>
      </c>
      <c r="H1093" t="s">
        <v>1305</v>
      </c>
      <c r="I1093" t="s">
        <v>1303</v>
      </c>
      <c r="J1093" t="s">
        <v>1267</v>
      </c>
      <c r="K1093" t="s">
        <v>1275</v>
      </c>
      <c r="L1093" s="2" t="s">
        <v>1274</v>
      </c>
      <c r="M1093" t="str">
        <f t="shared" ref="M1093:AB1093" si="4368">CONCATENATE("&lt;/li&gt;&lt;li&gt;&lt;a href=|http://",M1191,"/galatians/2.htm","| ","title=|",M1190,"| target=|_top|&gt;",M1192,"&lt;/a&gt;")</f>
        <v>&lt;/li&gt;&lt;li&gt;&lt;a href=|http://niv.scripturetext.com/galatians/2.htm| title=|New International Version| target=|_top|&gt;NIV&lt;/a&gt;</v>
      </c>
      <c r="N1093" t="str">
        <f t="shared" si="4368"/>
        <v>&lt;/li&gt;&lt;li&gt;&lt;a href=|http://nlt.scripturetext.com/galatians/2.htm| title=|New Living Translation| target=|_top|&gt;NLT&lt;/a&gt;</v>
      </c>
      <c r="O1093" t="str">
        <f t="shared" si="4368"/>
        <v>&lt;/li&gt;&lt;li&gt;&lt;a href=|http://nasb.scripturetext.com/galatians/2.htm| title=|New American Standard Bible| target=|_top|&gt;NAS&lt;/a&gt;</v>
      </c>
      <c r="P1093" t="str">
        <f t="shared" si="4368"/>
        <v>&lt;/li&gt;&lt;li&gt;&lt;a href=|http://gwt.scripturetext.com/galatians/2.htm| title=|God's Word Translation| target=|_top|&gt;GWT&lt;/a&gt;</v>
      </c>
      <c r="Q1093" t="str">
        <f t="shared" si="4368"/>
        <v>&lt;/li&gt;&lt;li&gt;&lt;a href=|http://kingjbible.com/galatians/2.htm| title=|King James Bible| target=|_top|&gt;KJV&lt;/a&gt;</v>
      </c>
      <c r="R1093" t="str">
        <f t="shared" si="4368"/>
        <v>&lt;/li&gt;&lt;li&gt;&lt;a href=|http://asvbible.com/galatians/2.htm| title=|American Standard Version| target=|_top|&gt;ASV&lt;/a&gt;</v>
      </c>
      <c r="S1093" t="str">
        <f t="shared" si="4368"/>
        <v>&lt;/li&gt;&lt;li&gt;&lt;a href=|http://drb.scripturetext.com/galatians/2.htm| title=|Douay-Rheims Bible| target=|_top|&gt;DRB&lt;/a&gt;</v>
      </c>
      <c r="T1093" t="str">
        <f t="shared" si="4368"/>
        <v>&lt;/li&gt;&lt;li&gt;&lt;a href=|http://erv.scripturetext.com/galatians/2.htm| title=|English Revised Version| target=|_top|&gt;ERV&lt;/a&gt;</v>
      </c>
      <c r="U1093" t="str">
        <f>CONCATENATE("&lt;/li&gt;&lt;li&gt;&lt;a href=|http://",U1191,"/galatians/2.htm","| ","title=|",U1190,"| target=|_top|&gt;",U1192,"&lt;/a&gt;")</f>
        <v>&lt;/li&gt;&lt;li&gt;&lt;a href=|http://study.interlinearbible.org/galatians/2.htm| title=|Greek Study Bible| target=|_top|&gt;Grk Study&lt;/a&gt;</v>
      </c>
      <c r="W1093" t="str">
        <f t="shared" si="4368"/>
        <v>&lt;/li&gt;&lt;li&gt;&lt;a href=|http://apostolic.interlinearbible.org/galatians/2.htm| title=|Apostolic Bible Polyglot Interlinear| target=|_top|&gt;Polyglot&lt;/a&gt;</v>
      </c>
      <c r="X1093" t="str">
        <f t="shared" si="4368"/>
        <v>&lt;/li&gt;&lt;li&gt;&lt;a href=|http://interlinearbible.org/galatians/2.htm| title=|Interlinear Bible| target=|_top|&gt;Interlin&lt;/a&gt;</v>
      </c>
      <c r="Y1093" t="str">
        <f t="shared" ref="Y1093" si="4369">CONCATENATE("&lt;/li&gt;&lt;li&gt;&lt;a href=|http://",Y1191,"/galatians/2.htm","| ","title=|",Y1190,"| target=|_top|&gt;",Y1192,"&lt;/a&gt;")</f>
        <v>&lt;/li&gt;&lt;li&gt;&lt;a href=|http://bibleoutline.org/galatians/2.htm| title=|Outline with People and Places List| target=|_top|&gt;Outline&lt;/a&gt;</v>
      </c>
      <c r="Z1093" t="str">
        <f t="shared" si="4368"/>
        <v>&lt;/li&gt;&lt;li&gt;&lt;a href=|http://kjvs.scripturetext.com/galatians/2.htm| title=|King James Bible with Strong's Numbers| target=|_top|&gt;Strong's&lt;/a&gt;</v>
      </c>
      <c r="AA1093" t="str">
        <f t="shared" si="4368"/>
        <v>&lt;/li&gt;&lt;li&gt;&lt;a href=|http://childrensbibleonline.com/galatians/2.htm| title=|The Children's Bible| target=|_top|&gt;Children's&lt;/a&gt;</v>
      </c>
      <c r="AB1093" s="2" t="str">
        <f t="shared" si="4368"/>
        <v>&lt;/li&gt;&lt;li&gt;&lt;a href=|http://tsk.scripturetext.com/galatians/2.htm| title=|Treasury of Scripture Knowledge| target=|_top|&gt;TSK&lt;/a&gt;</v>
      </c>
      <c r="AC1093" t="str">
        <f>CONCATENATE("&lt;a href=|http://",AC1191,"/galatians/2.htm","| ","title=|",AC1190,"| target=|_top|&gt;",AC1192,"&lt;/a&gt;")</f>
        <v>&lt;a href=|http://parallelbible.com/galatians/2.htm| title=|Parallel Chapters| target=|_top|&gt;PAR&lt;/a&gt;</v>
      </c>
      <c r="AD1093" s="2" t="str">
        <f t="shared" ref="AD1093:AI1093" si="4370">CONCATENATE("&lt;/li&gt;&lt;li&gt;&lt;a href=|http://",AD1191,"/galatians/2.htm","| ","title=|",AD1190,"| target=|_top|&gt;",AD1192,"&lt;/a&gt;")</f>
        <v>&lt;/li&gt;&lt;li&gt;&lt;a href=|http://gsb.biblecommenter.com/galatians/2.htm| title=|Geneva Study Bible| target=|_top|&gt;GSB&lt;/a&gt;</v>
      </c>
      <c r="AE1093" s="2" t="str">
        <f t="shared" si="4370"/>
        <v>&lt;/li&gt;&lt;li&gt;&lt;a href=|http://jfb.biblecommenter.com/galatians/2.htm| title=|Jamieson-Fausset-Brown Bible Commentary| target=|_top|&gt;JFB&lt;/a&gt;</v>
      </c>
      <c r="AF1093" s="2" t="str">
        <f t="shared" si="4370"/>
        <v>&lt;/li&gt;&lt;li&gt;&lt;a href=|http://kjt.biblecommenter.com/galatians/2.htm| title=|King James Translators' Notes| target=|_top|&gt;KJT&lt;/a&gt;</v>
      </c>
      <c r="AG1093" s="2" t="str">
        <f t="shared" si="4370"/>
        <v>&lt;/li&gt;&lt;li&gt;&lt;a href=|http://mhc.biblecommenter.com/galatians/2.htm| title=|Matthew Henry's Concise Commentary| target=|_top|&gt;MHC&lt;/a&gt;</v>
      </c>
      <c r="AH1093" s="2" t="str">
        <f t="shared" si="4370"/>
        <v>&lt;/li&gt;&lt;li&gt;&lt;a href=|http://sco.biblecommenter.com/galatians/2.htm| title=|Scofield Reference Notes| target=|_top|&gt;SCO&lt;/a&gt;</v>
      </c>
      <c r="AI1093" s="2" t="str">
        <f t="shared" si="4370"/>
        <v>&lt;/li&gt;&lt;li&gt;&lt;a href=|http://wes.biblecommenter.com/galatians/2.htm| title=|Wesley's Notes on the Bible| target=|_top|&gt;WES&lt;/a&gt;</v>
      </c>
      <c r="AJ1093" t="str">
        <f>CONCATENATE("&lt;/li&gt;&lt;li&gt;&lt;a href=|http://",AJ1191,"/galatians/2.htm","| ","title=|",AJ1190,"| target=|_top|&gt;",AJ1192,"&lt;/a&gt;")</f>
        <v>&lt;/li&gt;&lt;li&gt;&lt;a href=|http://worldebible.com/galatians/2.htm| title=|World English Bible| target=|_top|&gt;WEB&lt;/a&gt;</v>
      </c>
      <c r="AK1093" t="str">
        <f>CONCATENATE("&lt;/li&gt;&lt;li&gt;&lt;a href=|http://",AK1191,"/galatians/2.htm","| ","title=|",AK1190,"| target=|_top|&gt;",AK1192,"&lt;/a&gt;")</f>
        <v>&lt;/li&gt;&lt;li&gt;&lt;a href=|http://yltbible.com/galatians/2.htm| title=|Young's Literal Translation| target=|_top|&gt;YLT&lt;/a&gt;</v>
      </c>
      <c r="AL1093" t="str">
        <f>CONCATENATE("&lt;a href=|http://",AL1191,"/galatians/2.htm","| ","title=|",AL1190,"| target=|_top|&gt;",AL1192,"&lt;/a&gt;")</f>
        <v>&lt;a href=|http://kjv.us/galatians/2.htm| title=|American King James Version| target=|_top|&gt;AKJ&lt;/a&gt;</v>
      </c>
      <c r="AM1093" t="str">
        <f t="shared" ref="AM1093:AS1093" si="4371">CONCATENATE("&lt;/li&gt;&lt;li&gt;&lt;a href=|http://",AM1191,"/galatians/2.htm","| ","title=|",AM1190,"| target=|_top|&gt;",AM1192,"&lt;/a&gt;")</f>
        <v>&lt;/li&gt;&lt;li&gt;&lt;a href=|http://basicenglishbible.com/galatians/2.htm| title=|Bible in Basic English| target=|_top|&gt;BBE&lt;/a&gt;</v>
      </c>
      <c r="AN1093" t="str">
        <f t="shared" si="4371"/>
        <v>&lt;/li&gt;&lt;li&gt;&lt;a href=|http://darbybible.com/galatians/2.htm| title=|Darby Bible Translation| target=|_top|&gt;DBY&lt;/a&gt;</v>
      </c>
      <c r="AO1093" t="str">
        <f t="shared" si="4371"/>
        <v>&lt;/li&gt;&lt;li&gt;&lt;a href=|http://isv.scripturetext.com/galatians/2.htm| title=|International Standard Version| target=|_top|&gt;ISV&lt;/a&gt;</v>
      </c>
      <c r="AP1093" t="str">
        <f t="shared" si="4371"/>
        <v>&lt;/li&gt;&lt;li&gt;&lt;a href=|http://tnt.scripturetext.com/galatians/2.htm| title=|Tyndale New Testament| target=|_top|&gt;TNT&lt;/a&gt;</v>
      </c>
      <c r="AQ1093" s="2" t="str">
        <f t="shared" si="4371"/>
        <v>&lt;/li&gt;&lt;li&gt;&lt;a href=|http://pnt.biblecommenter.com/galatians/2.htm| title=|People's New Testament| target=|_top|&gt;PNT&lt;/a&gt;</v>
      </c>
      <c r="AR1093" t="str">
        <f t="shared" si="4371"/>
        <v>&lt;/li&gt;&lt;li&gt;&lt;a href=|http://websterbible.com/galatians/2.htm| title=|Webster's Bible Translation| target=|_top|&gt;WBS&lt;/a&gt;</v>
      </c>
      <c r="AS1093" t="str">
        <f t="shared" si="4371"/>
        <v>&lt;/li&gt;&lt;li&gt;&lt;a href=|http://weymouthbible.com/galatians/2.htm| title=|Weymouth New Testament| target=|_top|&gt;WEY&lt;/a&gt;</v>
      </c>
      <c r="AT1093" t="str">
        <f>CONCATENATE("&lt;/li&gt;&lt;li&gt;&lt;a href=|http://",AT1191,"/galatians/2-1.htm","| ","title=|",AT1190,"| target=|_top|&gt;",AT1192,"&lt;/a&gt;")</f>
        <v>&lt;/li&gt;&lt;li&gt;&lt;a href=|http://biblebrowser.com/galatians/2-1.htm| title=|Split View| target=|_top|&gt;Split&lt;/a&gt;</v>
      </c>
      <c r="AU1093" s="2" t="s">
        <v>1276</v>
      </c>
      <c r="AV1093" t="s">
        <v>64</v>
      </c>
    </row>
    <row r="1094" spans="1:48">
      <c r="A1094" t="s">
        <v>622</v>
      </c>
      <c r="B1094" t="s">
        <v>525</v>
      </c>
      <c r="C1094" t="s">
        <v>624</v>
      </c>
      <c r="D1094" t="s">
        <v>1268</v>
      </c>
      <c r="E1094" t="s">
        <v>1277</v>
      </c>
      <c r="F1094" t="s">
        <v>1304</v>
      </c>
      <c r="G1094" t="s">
        <v>1266</v>
      </c>
      <c r="H1094" t="s">
        <v>1305</v>
      </c>
      <c r="I1094" t="s">
        <v>1303</v>
      </c>
      <c r="J1094" t="s">
        <v>1267</v>
      </c>
      <c r="K1094" t="s">
        <v>1275</v>
      </c>
      <c r="L1094" s="2" t="s">
        <v>1274</v>
      </c>
      <c r="M1094" t="str">
        <f t="shared" ref="M1094:AB1094" si="4372">CONCATENATE("&lt;/li&gt;&lt;li&gt;&lt;a href=|http://",M1191,"/galatians/3.htm","| ","title=|",M1190,"| target=|_top|&gt;",M1192,"&lt;/a&gt;")</f>
        <v>&lt;/li&gt;&lt;li&gt;&lt;a href=|http://niv.scripturetext.com/galatians/3.htm| title=|New International Version| target=|_top|&gt;NIV&lt;/a&gt;</v>
      </c>
      <c r="N1094" t="str">
        <f t="shared" si="4372"/>
        <v>&lt;/li&gt;&lt;li&gt;&lt;a href=|http://nlt.scripturetext.com/galatians/3.htm| title=|New Living Translation| target=|_top|&gt;NLT&lt;/a&gt;</v>
      </c>
      <c r="O1094" t="str">
        <f t="shared" si="4372"/>
        <v>&lt;/li&gt;&lt;li&gt;&lt;a href=|http://nasb.scripturetext.com/galatians/3.htm| title=|New American Standard Bible| target=|_top|&gt;NAS&lt;/a&gt;</v>
      </c>
      <c r="P1094" t="str">
        <f t="shared" si="4372"/>
        <v>&lt;/li&gt;&lt;li&gt;&lt;a href=|http://gwt.scripturetext.com/galatians/3.htm| title=|God's Word Translation| target=|_top|&gt;GWT&lt;/a&gt;</v>
      </c>
      <c r="Q1094" t="str">
        <f t="shared" si="4372"/>
        <v>&lt;/li&gt;&lt;li&gt;&lt;a href=|http://kingjbible.com/galatians/3.htm| title=|King James Bible| target=|_top|&gt;KJV&lt;/a&gt;</v>
      </c>
      <c r="R1094" t="str">
        <f t="shared" si="4372"/>
        <v>&lt;/li&gt;&lt;li&gt;&lt;a href=|http://asvbible.com/galatians/3.htm| title=|American Standard Version| target=|_top|&gt;ASV&lt;/a&gt;</v>
      </c>
      <c r="S1094" t="str">
        <f t="shared" si="4372"/>
        <v>&lt;/li&gt;&lt;li&gt;&lt;a href=|http://drb.scripturetext.com/galatians/3.htm| title=|Douay-Rheims Bible| target=|_top|&gt;DRB&lt;/a&gt;</v>
      </c>
      <c r="T1094" t="str">
        <f t="shared" si="4372"/>
        <v>&lt;/li&gt;&lt;li&gt;&lt;a href=|http://erv.scripturetext.com/galatians/3.htm| title=|English Revised Version| target=|_top|&gt;ERV&lt;/a&gt;</v>
      </c>
      <c r="U1094" t="str">
        <f>CONCATENATE("&lt;/li&gt;&lt;li&gt;&lt;a href=|http://",U1191,"/galatians/3.htm","| ","title=|",U1190,"| target=|_top|&gt;",U1192,"&lt;/a&gt;")</f>
        <v>&lt;/li&gt;&lt;li&gt;&lt;a href=|http://study.interlinearbible.org/galatians/3.htm| title=|Greek Study Bible| target=|_top|&gt;Grk Study&lt;/a&gt;</v>
      </c>
      <c r="W1094" t="str">
        <f t="shared" si="4372"/>
        <v>&lt;/li&gt;&lt;li&gt;&lt;a href=|http://apostolic.interlinearbible.org/galatians/3.htm| title=|Apostolic Bible Polyglot Interlinear| target=|_top|&gt;Polyglot&lt;/a&gt;</v>
      </c>
      <c r="X1094" t="str">
        <f t="shared" si="4372"/>
        <v>&lt;/li&gt;&lt;li&gt;&lt;a href=|http://interlinearbible.org/galatians/3.htm| title=|Interlinear Bible| target=|_top|&gt;Interlin&lt;/a&gt;</v>
      </c>
      <c r="Y1094" t="str">
        <f t="shared" ref="Y1094" si="4373">CONCATENATE("&lt;/li&gt;&lt;li&gt;&lt;a href=|http://",Y1191,"/galatians/3.htm","| ","title=|",Y1190,"| target=|_top|&gt;",Y1192,"&lt;/a&gt;")</f>
        <v>&lt;/li&gt;&lt;li&gt;&lt;a href=|http://bibleoutline.org/galatians/3.htm| title=|Outline with People and Places List| target=|_top|&gt;Outline&lt;/a&gt;</v>
      </c>
      <c r="Z1094" t="str">
        <f t="shared" si="4372"/>
        <v>&lt;/li&gt;&lt;li&gt;&lt;a href=|http://kjvs.scripturetext.com/galatians/3.htm| title=|King James Bible with Strong's Numbers| target=|_top|&gt;Strong's&lt;/a&gt;</v>
      </c>
      <c r="AA1094" t="str">
        <f t="shared" si="4372"/>
        <v>&lt;/li&gt;&lt;li&gt;&lt;a href=|http://childrensbibleonline.com/galatians/3.htm| title=|The Children's Bible| target=|_top|&gt;Children's&lt;/a&gt;</v>
      </c>
      <c r="AB1094" s="2" t="str">
        <f t="shared" si="4372"/>
        <v>&lt;/li&gt;&lt;li&gt;&lt;a href=|http://tsk.scripturetext.com/galatians/3.htm| title=|Treasury of Scripture Knowledge| target=|_top|&gt;TSK&lt;/a&gt;</v>
      </c>
      <c r="AC1094" t="str">
        <f>CONCATENATE("&lt;a href=|http://",AC1191,"/galatians/3.htm","| ","title=|",AC1190,"| target=|_top|&gt;",AC1192,"&lt;/a&gt;")</f>
        <v>&lt;a href=|http://parallelbible.com/galatians/3.htm| title=|Parallel Chapters| target=|_top|&gt;PAR&lt;/a&gt;</v>
      </c>
      <c r="AD1094" s="2" t="str">
        <f t="shared" ref="AD1094:AI1094" si="4374">CONCATENATE("&lt;/li&gt;&lt;li&gt;&lt;a href=|http://",AD1191,"/galatians/3.htm","| ","title=|",AD1190,"| target=|_top|&gt;",AD1192,"&lt;/a&gt;")</f>
        <v>&lt;/li&gt;&lt;li&gt;&lt;a href=|http://gsb.biblecommenter.com/galatians/3.htm| title=|Geneva Study Bible| target=|_top|&gt;GSB&lt;/a&gt;</v>
      </c>
      <c r="AE1094" s="2" t="str">
        <f t="shared" si="4374"/>
        <v>&lt;/li&gt;&lt;li&gt;&lt;a href=|http://jfb.biblecommenter.com/galatians/3.htm| title=|Jamieson-Fausset-Brown Bible Commentary| target=|_top|&gt;JFB&lt;/a&gt;</v>
      </c>
      <c r="AF1094" s="2" t="str">
        <f t="shared" si="4374"/>
        <v>&lt;/li&gt;&lt;li&gt;&lt;a href=|http://kjt.biblecommenter.com/galatians/3.htm| title=|King James Translators' Notes| target=|_top|&gt;KJT&lt;/a&gt;</v>
      </c>
      <c r="AG1094" s="2" t="str">
        <f t="shared" si="4374"/>
        <v>&lt;/li&gt;&lt;li&gt;&lt;a href=|http://mhc.biblecommenter.com/galatians/3.htm| title=|Matthew Henry's Concise Commentary| target=|_top|&gt;MHC&lt;/a&gt;</v>
      </c>
      <c r="AH1094" s="2" t="str">
        <f t="shared" si="4374"/>
        <v>&lt;/li&gt;&lt;li&gt;&lt;a href=|http://sco.biblecommenter.com/galatians/3.htm| title=|Scofield Reference Notes| target=|_top|&gt;SCO&lt;/a&gt;</v>
      </c>
      <c r="AI1094" s="2" t="str">
        <f t="shared" si="4374"/>
        <v>&lt;/li&gt;&lt;li&gt;&lt;a href=|http://wes.biblecommenter.com/galatians/3.htm| title=|Wesley's Notes on the Bible| target=|_top|&gt;WES&lt;/a&gt;</v>
      </c>
      <c r="AJ1094" t="str">
        <f>CONCATENATE("&lt;/li&gt;&lt;li&gt;&lt;a href=|http://",AJ1191,"/galatians/3.htm","| ","title=|",AJ1190,"| target=|_top|&gt;",AJ1192,"&lt;/a&gt;")</f>
        <v>&lt;/li&gt;&lt;li&gt;&lt;a href=|http://worldebible.com/galatians/3.htm| title=|World English Bible| target=|_top|&gt;WEB&lt;/a&gt;</v>
      </c>
      <c r="AK1094" t="str">
        <f>CONCATENATE("&lt;/li&gt;&lt;li&gt;&lt;a href=|http://",AK1191,"/galatians/3.htm","| ","title=|",AK1190,"| target=|_top|&gt;",AK1192,"&lt;/a&gt;")</f>
        <v>&lt;/li&gt;&lt;li&gt;&lt;a href=|http://yltbible.com/galatians/3.htm| title=|Young's Literal Translation| target=|_top|&gt;YLT&lt;/a&gt;</v>
      </c>
      <c r="AL1094" t="str">
        <f>CONCATENATE("&lt;a href=|http://",AL1191,"/galatians/3.htm","| ","title=|",AL1190,"| target=|_top|&gt;",AL1192,"&lt;/a&gt;")</f>
        <v>&lt;a href=|http://kjv.us/galatians/3.htm| title=|American King James Version| target=|_top|&gt;AKJ&lt;/a&gt;</v>
      </c>
      <c r="AM1094" t="str">
        <f t="shared" ref="AM1094:AS1094" si="4375">CONCATENATE("&lt;/li&gt;&lt;li&gt;&lt;a href=|http://",AM1191,"/galatians/3.htm","| ","title=|",AM1190,"| target=|_top|&gt;",AM1192,"&lt;/a&gt;")</f>
        <v>&lt;/li&gt;&lt;li&gt;&lt;a href=|http://basicenglishbible.com/galatians/3.htm| title=|Bible in Basic English| target=|_top|&gt;BBE&lt;/a&gt;</v>
      </c>
      <c r="AN1094" t="str">
        <f t="shared" si="4375"/>
        <v>&lt;/li&gt;&lt;li&gt;&lt;a href=|http://darbybible.com/galatians/3.htm| title=|Darby Bible Translation| target=|_top|&gt;DBY&lt;/a&gt;</v>
      </c>
      <c r="AO1094" t="str">
        <f t="shared" si="4375"/>
        <v>&lt;/li&gt;&lt;li&gt;&lt;a href=|http://isv.scripturetext.com/galatians/3.htm| title=|International Standard Version| target=|_top|&gt;ISV&lt;/a&gt;</v>
      </c>
      <c r="AP1094" t="str">
        <f t="shared" si="4375"/>
        <v>&lt;/li&gt;&lt;li&gt;&lt;a href=|http://tnt.scripturetext.com/galatians/3.htm| title=|Tyndale New Testament| target=|_top|&gt;TNT&lt;/a&gt;</v>
      </c>
      <c r="AQ1094" s="2" t="str">
        <f t="shared" si="4375"/>
        <v>&lt;/li&gt;&lt;li&gt;&lt;a href=|http://pnt.biblecommenter.com/galatians/3.htm| title=|People's New Testament| target=|_top|&gt;PNT&lt;/a&gt;</v>
      </c>
      <c r="AR1094" t="str">
        <f t="shared" si="4375"/>
        <v>&lt;/li&gt;&lt;li&gt;&lt;a href=|http://websterbible.com/galatians/3.htm| title=|Webster's Bible Translation| target=|_top|&gt;WBS&lt;/a&gt;</v>
      </c>
      <c r="AS1094" t="str">
        <f t="shared" si="4375"/>
        <v>&lt;/li&gt;&lt;li&gt;&lt;a href=|http://weymouthbible.com/galatians/3.htm| title=|Weymouth New Testament| target=|_top|&gt;WEY&lt;/a&gt;</v>
      </c>
      <c r="AT1094" t="str">
        <f>CONCATENATE("&lt;/li&gt;&lt;li&gt;&lt;a href=|http://",AT1191,"/galatians/3-1.htm","| ","title=|",AT1190,"| target=|_top|&gt;",AT1192,"&lt;/a&gt;")</f>
        <v>&lt;/li&gt;&lt;li&gt;&lt;a href=|http://biblebrowser.com/galatians/3-1.htm| title=|Split View| target=|_top|&gt;Split&lt;/a&gt;</v>
      </c>
      <c r="AU1094" s="2" t="s">
        <v>1276</v>
      </c>
      <c r="AV1094" t="s">
        <v>64</v>
      </c>
    </row>
    <row r="1095" spans="1:48">
      <c r="A1095" t="s">
        <v>622</v>
      </c>
      <c r="B1095" t="s">
        <v>526</v>
      </c>
      <c r="C1095" t="s">
        <v>624</v>
      </c>
      <c r="D1095" t="s">
        <v>1268</v>
      </c>
      <c r="E1095" t="s">
        <v>1277</v>
      </c>
      <c r="F1095" t="s">
        <v>1304</v>
      </c>
      <c r="G1095" t="s">
        <v>1266</v>
      </c>
      <c r="H1095" t="s">
        <v>1305</v>
      </c>
      <c r="I1095" t="s">
        <v>1303</v>
      </c>
      <c r="J1095" t="s">
        <v>1267</v>
      </c>
      <c r="K1095" t="s">
        <v>1275</v>
      </c>
      <c r="L1095" s="2" t="s">
        <v>1274</v>
      </c>
      <c r="M1095" t="str">
        <f t="shared" ref="M1095:AB1095" si="4376">CONCATENATE("&lt;/li&gt;&lt;li&gt;&lt;a href=|http://",M1191,"/galatians/4.htm","| ","title=|",M1190,"| target=|_top|&gt;",M1192,"&lt;/a&gt;")</f>
        <v>&lt;/li&gt;&lt;li&gt;&lt;a href=|http://niv.scripturetext.com/galatians/4.htm| title=|New International Version| target=|_top|&gt;NIV&lt;/a&gt;</v>
      </c>
      <c r="N1095" t="str">
        <f t="shared" si="4376"/>
        <v>&lt;/li&gt;&lt;li&gt;&lt;a href=|http://nlt.scripturetext.com/galatians/4.htm| title=|New Living Translation| target=|_top|&gt;NLT&lt;/a&gt;</v>
      </c>
      <c r="O1095" t="str">
        <f t="shared" si="4376"/>
        <v>&lt;/li&gt;&lt;li&gt;&lt;a href=|http://nasb.scripturetext.com/galatians/4.htm| title=|New American Standard Bible| target=|_top|&gt;NAS&lt;/a&gt;</v>
      </c>
      <c r="P1095" t="str">
        <f t="shared" si="4376"/>
        <v>&lt;/li&gt;&lt;li&gt;&lt;a href=|http://gwt.scripturetext.com/galatians/4.htm| title=|God's Word Translation| target=|_top|&gt;GWT&lt;/a&gt;</v>
      </c>
      <c r="Q1095" t="str">
        <f t="shared" si="4376"/>
        <v>&lt;/li&gt;&lt;li&gt;&lt;a href=|http://kingjbible.com/galatians/4.htm| title=|King James Bible| target=|_top|&gt;KJV&lt;/a&gt;</v>
      </c>
      <c r="R1095" t="str">
        <f t="shared" si="4376"/>
        <v>&lt;/li&gt;&lt;li&gt;&lt;a href=|http://asvbible.com/galatians/4.htm| title=|American Standard Version| target=|_top|&gt;ASV&lt;/a&gt;</v>
      </c>
      <c r="S1095" t="str">
        <f t="shared" si="4376"/>
        <v>&lt;/li&gt;&lt;li&gt;&lt;a href=|http://drb.scripturetext.com/galatians/4.htm| title=|Douay-Rheims Bible| target=|_top|&gt;DRB&lt;/a&gt;</v>
      </c>
      <c r="T1095" t="str">
        <f t="shared" si="4376"/>
        <v>&lt;/li&gt;&lt;li&gt;&lt;a href=|http://erv.scripturetext.com/galatians/4.htm| title=|English Revised Version| target=|_top|&gt;ERV&lt;/a&gt;</v>
      </c>
      <c r="U1095" t="str">
        <f>CONCATENATE("&lt;/li&gt;&lt;li&gt;&lt;a href=|http://",U1191,"/galatians/4.htm","| ","title=|",U1190,"| target=|_top|&gt;",U1192,"&lt;/a&gt;")</f>
        <v>&lt;/li&gt;&lt;li&gt;&lt;a href=|http://study.interlinearbible.org/galatians/4.htm| title=|Greek Study Bible| target=|_top|&gt;Grk Study&lt;/a&gt;</v>
      </c>
      <c r="W1095" t="str">
        <f t="shared" si="4376"/>
        <v>&lt;/li&gt;&lt;li&gt;&lt;a href=|http://apostolic.interlinearbible.org/galatians/4.htm| title=|Apostolic Bible Polyglot Interlinear| target=|_top|&gt;Polyglot&lt;/a&gt;</v>
      </c>
      <c r="X1095" t="str">
        <f t="shared" si="4376"/>
        <v>&lt;/li&gt;&lt;li&gt;&lt;a href=|http://interlinearbible.org/galatians/4.htm| title=|Interlinear Bible| target=|_top|&gt;Interlin&lt;/a&gt;</v>
      </c>
      <c r="Y1095" t="str">
        <f t="shared" ref="Y1095" si="4377">CONCATENATE("&lt;/li&gt;&lt;li&gt;&lt;a href=|http://",Y1191,"/galatians/4.htm","| ","title=|",Y1190,"| target=|_top|&gt;",Y1192,"&lt;/a&gt;")</f>
        <v>&lt;/li&gt;&lt;li&gt;&lt;a href=|http://bibleoutline.org/galatians/4.htm| title=|Outline with People and Places List| target=|_top|&gt;Outline&lt;/a&gt;</v>
      </c>
      <c r="Z1095" t="str">
        <f t="shared" si="4376"/>
        <v>&lt;/li&gt;&lt;li&gt;&lt;a href=|http://kjvs.scripturetext.com/galatians/4.htm| title=|King James Bible with Strong's Numbers| target=|_top|&gt;Strong's&lt;/a&gt;</v>
      </c>
      <c r="AA1095" t="str">
        <f t="shared" si="4376"/>
        <v>&lt;/li&gt;&lt;li&gt;&lt;a href=|http://childrensbibleonline.com/galatians/4.htm| title=|The Children's Bible| target=|_top|&gt;Children's&lt;/a&gt;</v>
      </c>
      <c r="AB1095" s="2" t="str">
        <f t="shared" si="4376"/>
        <v>&lt;/li&gt;&lt;li&gt;&lt;a href=|http://tsk.scripturetext.com/galatians/4.htm| title=|Treasury of Scripture Knowledge| target=|_top|&gt;TSK&lt;/a&gt;</v>
      </c>
      <c r="AC1095" t="str">
        <f>CONCATENATE("&lt;a href=|http://",AC1191,"/galatians/4.htm","| ","title=|",AC1190,"| target=|_top|&gt;",AC1192,"&lt;/a&gt;")</f>
        <v>&lt;a href=|http://parallelbible.com/galatians/4.htm| title=|Parallel Chapters| target=|_top|&gt;PAR&lt;/a&gt;</v>
      </c>
      <c r="AD1095" s="2" t="str">
        <f t="shared" ref="AD1095:AI1095" si="4378">CONCATENATE("&lt;/li&gt;&lt;li&gt;&lt;a href=|http://",AD1191,"/galatians/4.htm","| ","title=|",AD1190,"| target=|_top|&gt;",AD1192,"&lt;/a&gt;")</f>
        <v>&lt;/li&gt;&lt;li&gt;&lt;a href=|http://gsb.biblecommenter.com/galatians/4.htm| title=|Geneva Study Bible| target=|_top|&gt;GSB&lt;/a&gt;</v>
      </c>
      <c r="AE1095" s="2" t="str">
        <f t="shared" si="4378"/>
        <v>&lt;/li&gt;&lt;li&gt;&lt;a href=|http://jfb.biblecommenter.com/galatians/4.htm| title=|Jamieson-Fausset-Brown Bible Commentary| target=|_top|&gt;JFB&lt;/a&gt;</v>
      </c>
      <c r="AF1095" s="2" t="str">
        <f t="shared" si="4378"/>
        <v>&lt;/li&gt;&lt;li&gt;&lt;a href=|http://kjt.biblecommenter.com/galatians/4.htm| title=|King James Translators' Notes| target=|_top|&gt;KJT&lt;/a&gt;</v>
      </c>
      <c r="AG1095" s="2" t="str">
        <f t="shared" si="4378"/>
        <v>&lt;/li&gt;&lt;li&gt;&lt;a href=|http://mhc.biblecommenter.com/galatians/4.htm| title=|Matthew Henry's Concise Commentary| target=|_top|&gt;MHC&lt;/a&gt;</v>
      </c>
      <c r="AH1095" s="2" t="str">
        <f t="shared" si="4378"/>
        <v>&lt;/li&gt;&lt;li&gt;&lt;a href=|http://sco.biblecommenter.com/galatians/4.htm| title=|Scofield Reference Notes| target=|_top|&gt;SCO&lt;/a&gt;</v>
      </c>
      <c r="AI1095" s="2" t="str">
        <f t="shared" si="4378"/>
        <v>&lt;/li&gt;&lt;li&gt;&lt;a href=|http://wes.biblecommenter.com/galatians/4.htm| title=|Wesley's Notes on the Bible| target=|_top|&gt;WES&lt;/a&gt;</v>
      </c>
      <c r="AJ1095" t="str">
        <f>CONCATENATE("&lt;/li&gt;&lt;li&gt;&lt;a href=|http://",AJ1191,"/galatians/4.htm","| ","title=|",AJ1190,"| target=|_top|&gt;",AJ1192,"&lt;/a&gt;")</f>
        <v>&lt;/li&gt;&lt;li&gt;&lt;a href=|http://worldebible.com/galatians/4.htm| title=|World English Bible| target=|_top|&gt;WEB&lt;/a&gt;</v>
      </c>
      <c r="AK1095" t="str">
        <f>CONCATENATE("&lt;/li&gt;&lt;li&gt;&lt;a href=|http://",AK1191,"/galatians/4.htm","| ","title=|",AK1190,"| target=|_top|&gt;",AK1192,"&lt;/a&gt;")</f>
        <v>&lt;/li&gt;&lt;li&gt;&lt;a href=|http://yltbible.com/galatians/4.htm| title=|Young's Literal Translation| target=|_top|&gt;YLT&lt;/a&gt;</v>
      </c>
      <c r="AL1095" t="str">
        <f>CONCATENATE("&lt;a href=|http://",AL1191,"/galatians/4.htm","| ","title=|",AL1190,"| target=|_top|&gt;",AL1192,"&lt;/a&gt;")</f>
        <v>&lt;a href=|http://kjv.us/galatians/4.htm| title=|American King James Version| target=|_top|&gt;AKJ&lt;/a&gt;</v>
      </c>
      <c r="AM1095" t="str">
        <f t="shared" ref="AM1095:AS1095" si="4379">CONCATENATE("&lt;/li&gt;&lt;li&gt;&lt;a href=|http://",AM1191,"/galatians/4.htm","| ","title=|",AM1190,"| target=|_top|&gt;",AM1192,"&lt;/a&gt;")</f>
        <v>&lt;/li&gt;&lt;li&gt;&lt;a href=|http://basicenglishbible.com/galatians/4.htm| title=|Bible in Basic English| target=|_top|&gt;BBE&lt;/a&gt;</v>
      </c>
      <c r="AN1095" t="str">
        <f t="shared" si="4379"/>
        <v>&lt;/li&gt;&lt;li&gt;&lt;a href=|http://darbybible.com/galatians/4.htm| title=|Darby Bible Translation| target=|_top|&gt;DBY&lt;/a&gt;</v>
      </c>
      <c r="AO1095" t="str">
        <f t="shared" si="4379"/>
        <v>&lt;/li&gt;&lt;li&gt;&lt;a href=|http://isv.scripturetext.com/galatians/4.htm| title=|International Standard Version| target=|_top|&gt;ISV&lt;/a&gt;</v>
      </c>
      <c r="AP1095" t="str">
        <f t="shared" si="4379"/>
        <v>&lt;/li&gt;&lt;li&gt;&lt;a href=|http://tnt.scripturetext.com/galatians/4.htm| title=|Tyndale New Testament| target=|_top|&gt;TNT&lt;/a&gt;</v>
      </c>
      <c r="AQ1095" s="2" t="str">
        <f t="shared" si="4379"/>
        <v>&lt;/li&gt;&lt;li&gt;&lt;a href=|http://pnt.biblecommenter.com/galatians/4.htm| title=|People's New Testament| target=|_top|&gt;PNT&lt;/a&gt;</v>
      </c>
      <c r="AR1095" t="str">
        <f t="shared" si="4379"/>
        <v>&lt;/li&gt;&lt;li&gt;&lt;a href=|http://websterbible.com/galatians/4.htm| title=|Webster's Bible Translation| target=|_top|&gt;WBS&lt;/a&gt;</v>
      </c>
      <c r="AS1095" t="str">
        <f t="shared" si="4379"/>
        <v>&lt;/li&gt;&lt;li&gt;&lt;a href=|http://weymouthbible.com/galatians/4.htm| title=|Weymouth New Testament| target=|_top|&gt;WEY&lt;/a&gt;</v>
      </c>
      <c r="AT1095" t="str">
        <f>CONCATENATE("&lt;/li&gt;&lt;li&gt;&lt;a href=|http://",AT1191,"/galatians/4-1.htm","| ","title=|",AT1190,"| target=|_top|&gt;",AT1192,"&lt;/a&gt;")</f>
        <v>&lt;/li&gt;&lt;li&gt;&lt;a href=|http://biblebrowser.com/galatians/4-1.htm| title=|Split View| target=|_top|&gt;Split&lt;/a&gt;</v>
      </c>
      <c r="AU1095" s="2" t="s">
        <v>1276</v>
      </c>
      <c r="AV1095" t="s">
        <v>64</v>
      </c>
    </row>
    <row r="1096" spans="1:48">
      <c r="A1096" t="s">
        <v>622</v>
      </c>
      <c r="B1096" t="s">
        <v>527</v>
      </c>
      <c r="C1096" t="s">
        <v>624</v>
      </c>
      <c r="D1096" t="s">
        <v>1268</v>
      </c>
      <c r="E1096" t="s">
        <v>1277</v>
      </c>
      <c r="F1096" t="s">
        <v>1304</v>
      </c>
      <c r="G1096" t="s">
        <v>1266</v>
      </c>
      <c r="H1096" t="s">
        <v>1305</v>
      </c>
      <c r="I1096" t="s">
        <v>1303</v>
      </c>
      <c r="J1096" t="s">
        <v>1267</v>
      </c>
      <c r="K1096" t="s">
        <v>1275</v>
      </c>
      <c r="L1096" s="2" t="s">
        <v>1274</v>
      </c>
      <c r="M1096" t="str">
        <f t="shared" ref="M1096:AB1096" si="4380">CONCATENATE("&lt;/li&gt;&lt;li&gt;&lt;a href=|http://",M1191,"/galatians/5.htm","| ","title=|",M1190,"| target=|_top|&gt;",M1192,"&lt;/a&gt;")</f>
        <v>&lt;/li&gt;&lt;li&gt;&lt;a href=|http://niv.scripturetext.com/galatians/5.htm| title=|New International Version| target=|_top|&gt;NIV&lt;/a&gt;</v>
      </c>
      <c r="N1096" t="str">
        <f t="shared" si="4380"/>
        <v>&lt;/li&gt;&lt;li&gt;&lt;a href=|http://nlt.scripturetext.com/galatians/5.htm| title=|New Living Translation| target=|_top|&gt;NLT&lt;/a&gt;</v>
      </c>
      <c r="O1096" t="str">
        <f t="shared" si="4380"/>
        <v>&lt;/li&gt;&lt;li&gt;&lt;a href=|http://nasb.scripturetext.com/galatians/5.htm| title=|New American Standard Bible| target=|_top|&gt;NAS&lt;/a&gt;</v>
      </c>
      <c r="P1096" t="str">
        <f t="shared" si="4380"/>
        <v>&lt;/li&gt;&lt;li&gt;&lt;a href=|http://gwt.scripturetext.com/galatians/5.htm| title=|God's Word Translation| target=|_top|&gt;GWT&lt;/a&gt;</v>
      </c>
      <c r="Q1096" t="str">
        <f t="shared" si="4380"/>
        <v>&lt;/li&gt;&lt;li&gt;&lt;a href=|http://kingjbible.com/galatians/5.htm| title=|King James Bible| target=|_top|&gt;KJV&lt;/a&gt;</v>
      </c>
      <c r="R1096" t="str">
        <f t="shared" si="4380"/>
        <v>&lt;/li&gt;&lt;li&gt;&lt;a href=|http://asvbible.com/galatians/5.htm| title=|American Standard Version| target=|_top|&gt;ASV&lt;/a&gt;</v>
      </c>
      <c r="S1096" t="str">
        <f t="shared" si="4380"/>
        <v>&lt;/li&gt;&lt;li&gt;&lt;a href=|http://drb.scripturetext.com/galatians/5.htm| title=|Douay-Rheims Bible| target=|_top|&gt;DRB&lt;/a&gt;</v>
      </c>
      <c r="T1096" t="str">
        <f t="shared" si="4380"/>
        <v>&lt;/li&gt;&lt;li&gt;&lt;a href=|http://erv.scripturetext.com/galatians/5.htm| title=|English Revised Version| target=|_top|&gt;ERV&lt;/a&gt;</v>
      </c>
      <c r="U1096" t="str">
        <f>CONCATENATE("&lt;/li&gt;&lt;li&gt;&lt;a href=|http://",U1191,"/galatians/5.htm","| ","title=|",U1190,"| target=|_top|&gt;",U1192,"&lt;/a&gt;")</f>
        <v>&lt;/li&gt;&lt;li&gt;&lt;a href=|http://study.interlinearbible.org/galatians/5.htm| title=|Greek Study Bible| target=|_top|&gt;Grk Study&lt;/a&gt;</v>
      </c>
      <c r="W1096" t="str">
        <f t="shared" si="4380"/>
        <v>&lt;/li&gt;&lt;li&gt;&lt;a href=|http://apostolic.interlinearbible.org/galatians/5.htm| title=|Apostolic Bible Polyglot Interlinear| target=|_top|&gt;Polyglot&lt;/a&gt;</v>
      </c>
      <c r="X1096" t="str">
        <f t="shared" si="4380"/>
        <v>&lt;/li&gt;&lt;li&gt;&lt;a href=|http://interlinearbible.org/galatians/5.htm| title=|Interlinear Bible| target=|_top|&gt;Interlin&lt;/a&gt;</v>
      </c>
      <c r="Y1096" t="str">
        <f t="shared" ref="Y1096" si="4381">CONCATENATE("&lt;/li&gt;&lt;li&gt;&lt;a href=|http://",Y1191,"/galatians/5.htm","| ","title=|",Y1190,"| target=|_top|&gt;",Y1192,"&lt;/a&gt;")</f>
        <v>&lt;/li&gt;&lt;li&gt;&lt;a href=|http://bibleoutline.org/galatians/5.htm| title=|Outline with People and Places List| target=|_top|&gt;Outline&lt;/a&gt;</v>
      </c>
      <c r="Z1096" t="str">
        <f t="shared" si="4380"/>
        <v>&lt;/li&gt;&lt;li&gt;&lt;a href=|http://kjvs.scripturetext.com/galatians/5.htm| title=|King James Bible with Strong's Numbers| target=|_top|&gt;Strong's&lt;/a&gt;</v>
      </c>
      <c r="AA1096" t="str">
        <f t="shared" si="4380"/>
        <v>&lt;/li&gt;&lt;li&gt;&lt;a href=|http://childrensbibleonline.com/galatians/5.htm| title=|The Children's Bible| target=|_top|&gt;Children's&lt;/a&gt;</v>
      </c>
      <c r="AB1096" s="2" t="str">
        <f t="shared" si="4380"/>
        <v>&lt;/li&gt;&lt;li&gt;&lt;a href=|http://tsk.scripturetext.com/galatians/5.htm| title=|Treasury of Scripture Knowledge| target=|_top|&gt;TSK&lt;/a&gt;</v>
      </c>
      <c r="AC1096" t="str">
        <f>CONCATENATE("&lt;a href=|http://",AC1191,"/galatians/5.htm","| ","title=|",AC1190,"| target=|_top|&gt;",AC1192,"&lt;/a&gt;")</f>
        <v>&lt;a href=|http://parallelbible.com/galatians/5.htm| title=|Parallel Chapters| target=|_top|&gt;PAR&lt;/a&gt;</v>
      </c>
      <c r="AD1096" s="2" t="str">
        <f t="shared" ref="AD1096:AI1096" si="4382">CONCATENATE("&lt;/li&gt;&lt;li&gt;&lt;a href=|http://",AD1191,"/galatians/5.htm","| ","title=|",AD1190,"| target=|_top|&gt;",AD1192,"&lt;/a&gt;")</f>
        <v>&lt;/li&gt;&lt;li&gt;&lt;a href=|http://gsb.biblecommenter.com/galatians/5.htm| title=|Geneva Study Bible| target=|_top|&gt;GSB&lt;/a&gt;</v>
      </c>
      <c r="AE1096" s="2" t="str">
        <f t="shared" si="4382"/>
        <v>&lt;/li&gt;&lt;li&gt;&lt;a href=|http://jfb.biblecommenter.com/galatians/5.htm| title=|Jamieson-Fausset-Brown Bible Commentary| target=|_top|&gt;JFB&lt;/a&gt;</v>
      </c>
      <c r="AF1096" s="2" t="str">
        <f t="shared" si="4382"/>
        <v>&lt;/li&gt;&lt;li&gt;&lt;a href=|http://kjt.biblecommenter.com/galatians/5.htm| title=|King James Translators' Notes| target=|_top|&gt;KJT&lt;/a&gt;</v>
      </c>
      <c r="AG1096" s="2" t="str">
        <f t="shared" si="4382"/>
        <v>&lt;/li&gt;&lt;li&gt;&lt;a href=|http://mhc.biblecommenter.com/galatians/5.htm| title=|Matthew Henry's Concise Commentary| target=|_top|&gt;MHC&lt;/a&gt;</v>
      </c>
      <c r="AH1096" s="2" t="str">
        <f t="shared" si="4382"/>
        <v>&lt;/li&gt;&lt;li&gt;&lt;a href=|http://sco.biblecommenter.com/galatians/5.htm| title=|Scofield Reference Notes| target=|_top|&gt;SCO&lt;/a&gt;</v>
      </c>
      <c r="AI1096" s="2" t="str">
        <f t="shared" si="4382"/>
        <v>&lt;/li&gt;&lt;li&gt;&lt;a href=|http://wes.biblecommenter.com/galatians/5.htm| title=|Wesley's Notes on the Bible| target=|_top|&gt;WES&lt;/a&gt;</v>
      </c>
      <c r="AJ1096" t="str">
        <f>CONCATENATE("&lt;/li&gt;&lt;li&gt;&lt;a href=|http://",AJ1191,"/galatians/5.htm","| ","title=|",AJ1190,"| target=|_top|&gt;",AJ1192,"&lt;/a&gt;")</f>
        <v>&lt;/li&gt;&lt;li&gt;&lt;a href=|http://worldebible.com/galatians/5.htm| title=|World English Bible| target=|_top|&gt;WEB&lt;/a&gt;</v>
      </c>
      <c r="AK1096" t="str">
        <f>CONCATENATE("&lt;/li&gt;&lt;li&gt;&lt;a href=|http://",AK1191,"/galatians/5.htm","| ","title=|",AK1190,"| target=|_top|&gt;",AK1192,"&lt;/a&gt;")</f>
        <v>&lt;/li&gt;&lt;li&gt;&lt;a href=|http://yltbible.com/galatians/5.htm| title=|Young's Literal Translation| target=|_top|&gt;YLT&lt;/a&gt;</v>
      </c>
      <c r="AL1096" t="str">
        <f>CONCATENATE("&lt;a href=|http://",AL1191,"/galatians/5.htm","| ","title=|",AL1190,"| target=|_top|&gt;",AL1192,"&lt;/a&gt;")</f>
        <v>&lt;a href=|http://kjv.us/galatians/5.htm| title=|American King James Version| target=|_top|&gt;AKJ&lt;/a&gt;</v>
      </c>
      <c r="AM1096" t="str">
        <f t="shared" ref="AM1096:AS1096" si="4383">CONCATENATE("&lt;/li&gt;&lt;li&gt;&lt;a href=|http://",AM1191,"/galatians/5.htm","| ","title=|",AM1190,"| target=|_top|&gt;",AM1192,"&lt;/a&gt;")</f>
        <v>&lt;/li&gt;&lt;li&gt;&lt;a href=|http://basicenglishbible.com/galatians/5.htm| title=|Bible in Basic English| target=|_top|&gt;BBE&lt;/a&gt;</v>
      </c>
      <c r="AN1096" t="str">
        <f t="shared" si="4383"/>
        <v>&lt;/li&gt;&lt;li&gt;&lt;a href=|http://darbybible.com/galatians/5.htm| title=|Darby Bible Translation| target=|_top|&gt;DBY&lt;/a&gt;</v>
      </c>
      <c r="AO1096" t="str">
        <f t="shared" si="4383"/>
        <v>&lt;/li&gt;&lt;li&gt;&lt;a href=|http://isv.scripturetext.com/galatians/5.htm| title=|International Standard Version| target=|_top|&gt;ISV&lt;/a&gt;</v>
      </c>
      <c r="AP1096" t="str">
        <f t="shared" si="4383"/>
        <v>&lt;/li&gt;&lt;li&gt;&lt;a href=|http://tnt.scripturetext.com/galatians/5.htm| title=|Tyndale New Testament| target=|_top|&gt;TNT&lt;/a&gt;</v>
      </c>
      <c r="AQ1096" s="2" t="str">
        <f t="shared" si="4383"/>
        <v>&lt;/li&gt;&lt;li&gt;&lt;a href=|http://pnt.biblecommenter.com/galatians/5.htm| title=|People's New Testament| target=|_top|&gt;PNT&lt;/a&gt;</v>
      </c>
      <c r="AR1096" t="str">
        <f t="shared" si="4383"/>
        <v>&lt;/li&gt;&lt;li&gt;&lt;a href=|http://websterbible.com/galatians/5.htm| title=|Webster's Bible Translation| target=|_top|&gt;WBS&lt;/a&gt;</v>
      </c>
      <c r="AS1096" t="str">
        <f t="shared" si="4383"/>
        <v>&lt;/li&gt;&lt;li&gt;&lt;a href=|http://weymouthbible.com/galatians/5.htm| title=|Weymouth New Testament| target=|_top|&gt;WEY&lt;/a&gt;</v>
      </c>
      <c r="AT1096" t="str">
        <f>CONCATENATE("&lt;/li&gt;&lt;li&gt;&lt;a href=|http://",AT1191,"/galatians/5-1.htm","| ","title=|",AT1190,"| target=|_top|&gt;",AT1192,"&lt;/a&gt;")</f>
        <v>&lt;/li&gt;&lt;li&gt;&lt;a href=|http://biblebrowser.com/galatians/5-1.htm| title=|Split View| target=|_top|&gt;Split&lt;/a&gt;</v>
      </c>
      <c r="AU1096" s="2" t="s">
        <v>1276</v>
      </c>
      <c r="AV1096" t="s">
        <v>64</v>
      </c>
    </row>
    <row r="1097" spans="1:48">
      <c r="A1097" t="s">
        <v>622</v>
      </c>
      <c r="B1097" t="s">
        <v>528</v>
      </c>
      <c r="C1097" t="s">
        <v>624</v>
      </c>
      <c r="D1097" t="s">
        <v>1268</v>
      </c>
      <c r="E1097" t="s">
        <v>1277</v>
      </c>
      <c r="F1097" t="s">
        <v>1304</v>
      </c>
      <c r="G1097" t="s">
        <v>1266</v>
      </c>
      <c r="H1097" t="s">
        <v>1305</v>
      </c>
      <c r="I1097" t="s">
        <v>1303</v>
      </c>
      <c r="J1097" t="s">
        <v>1267</v>
      </c>
      <c r="K1097" t="s">
        <v>1275</v>
      </c>
      <c r="L1097" s="2" t="s">
        <v>1274</v>
      </c>
      <c r="M1097" t="str">
        <f t="shared" ref="M1097:AB1097" si="4384">CONCATENATE("&lt;/li&gt;&lt;li&gt;&lt;a href=|http://",M1191,"/galatians/6.htm","| ","title=|",M1190,"| target=|_top|&gt;",M1192,"&lt;/a&gt;")</f>
        <v>&lt;/li&gt;&lt;li&gt;&lt;a href=|http://niv.scripturetext.com/galatians/6.htm| title=|New International Version| target=|_top|&gt;NIV&lt;/a&gt;</v>
      </c>
      <c r="N1097" t="str">
        <f t="shared" si="4384"/>
        <v>&lt;/li&gt;&lt;li&gt;&lt;a href=|http://nlt.scripturetext.com/galatians/6.htm| title=|New Living Translation| target=|_top|&gt;NLT&lt;/a&gt;</v>
      </c>
      <c r="O1097" t="str">
        <f t="shared" si="4384"/>
        <v>&lt;/li&gt;&lt;li&gt;&lt;a href=|http://nasb.scripturetext.com/galatians/6.htm| title=|New American Standard Bible| target=|_top|&gt;NAS&lt;/a&gt;</v>
      </c>
      <c r="P1097" t="str">
        <f t="shared" si="4384"/>
        <v>&lt;/li&gt;&lt;li&gt;&lt;a href=|http://gwt.scripturetext.com/galatians/6.htm| title=|God's Word Translation| target=|_top|&gt;GWT&lt;/a&gt;</v>
      </c>
      <c r="Q1097" t="str">
        <f t="shared" si="4384"/>
        <v>&lt;/li&gt;&lt;li&gt;&lt;a href=|http://kingjbible.com/galatians/6.htm| title=|King James Bible| target=|_top|&gt;KJV&lt;/a&gt;</v>
      </c>
      <c r="R1097" t="str">
        <f t="shared" si="4384"/>
        <v>&lt;/li&gt;&lt;li&gt;&lt;a href=|http://asvbible.com/galatians/6.htm| title=|American Standard Version| target=|_top|&gt;ASV&lt;/a&gt;</v>
      </c>
      <c r="S1097" t="str">
        <f t="shared" si="4384"/>
        <v>&lt;/li&gt;&lt;li&gt;&lt;a href=|http://drb.scripturetext.com/galatians/6.htm| title=|Douay-Rheims Bible| target=|_top|&gt;DRB&lt;/a&gt;</v>
      </c>
      <c r="T1097" t="str">
        <f t="shared" si="4384"/>
        <v>&lt;/li&gt;&lt;li&gt;&lt;a href=|http://erv.scripturetext.com/galatians/6.htm| title=|English Revised Version| target=|_top|&gt;ERV&lt;/a&gt;</v>
      </c>
      <c r="U1097" t="str">
        <f>CONCATENATE("&lt;/li&gt;&lt;li&gt;&lt;a href=|http://",U1191,"/galatians/6.htm","| ","title=|",U1190,"| target=|_top|&gt;",U1192,"&lt;/a&gt;")</f>
        <v>&lt;/li&gt;&lt;li&gt;&lt;a href=|http://study.interlinearbible.org/galatians/6.htm| title=|Greek Study Bible| target=|_top|&gt;Grk Study&lt;/a&gt;</v>
      </c>
      <c r="W1097" t="str">
        <f t="shared" si="4384"/>
        <v>&lt;/li&gt;&lt;li&gt;&lt;a href=|http://apostolic.interlinearbible.org/galatians/6.htm| title=|Apostolic Bible Polyglot Interlinear| target=|_top|&gt;Polyglot&lt;/a&gt;</v>
      </c>
      <c r="X1097" t="str">
        <f t="shared" si="4384"/>
        <v>&lt;/li&gt;&lt;li&gt;&lt;a href=|http://interlinearbible.org/galatians/6.htm| title=|Interlinear Bible| target=|_top|&gt;Interlin&lt;/a&gt;</v>
      </c>
      <c r="Y1097" t="str">
        <f t="shared" ref="Y1097" si="4385">CONCATENATE("&lt;/li&gt;&lt;li&gt;&lt;a href=|http://",Y1191,"/galatians/6.htm","| ","title=|",Y1190,"| target=|_top|&gt;",Y1192,"&lt;/a&gt;")</f>
        <v>&lt;/li&gt;&lt;li&gt;&lt;a href=|http://bibleoutline.org/galatians/6.htm| title=|Outline with People and Places List| target=|_top|&gt;Outline&lt;/a&gt;</v>
      </c>
      <c r="Z1097" t="str">
        <f t="shared" si="4384"/>
        <v>&lt;/li&gt;&lt;li&gt;&lt;a href=|http://kjvs.scripturetext.com/galatians/6.htm| title=|King James Bible with Strong's Numbers| target=|_top|&gt;Strong's&lt;/a&gt;</v>
      </c>
      <c r="AA1097" t="str">
        <f t="shared" si="4384"/>
        <v>&lt;/li&gt;&lt;li&gt;&lt;a href=|http://childrensbibleonline.com/galatians/6.htm| title=|The Children's Bible| target=|_top|&gt;Children's&lt;/a&gt;</v>
      </c>
      <c r="AB1097" s="2" t="str">
        <f t="shared" si="4384"/>
        <v>&lt;/li&gt;&lt;li&gt;&lt;a href=|http://tsk.scripturetext.com/galatians/6.htm| title=|Treasury of Scripture Knowledge| target=|_top|&gt;TSK&lt;/a&gt;</v>
      </c>
      <c r="AC1097" t="str">
        <f>CONCATENATE("&lt;a href=|http://",AC1191,"/galatians/6.htm","| ","title=|",AC1190,"| target=|_top|&gt;",AC1192,"&lt;/a&gt;")</f>
        <v>&lt;a href=|http://parallelbible.com/galatians/6.htm| title=|Parallel Chapters| target=|_top|&gt;PAR&lt;/a&gt;</v>
      </c>
      <c r="AD1097" s="2" t="str">
        <f t="shared" ref="AD1097:AI1097" si="4386">CONCATENATE("&lt;/li&gt;&lt;li&gt;&lt;a href=|http://",AD1191,"/galatians/6.htm","| ","title=|",AD1190,"| target=|_top|&gt;",AD1192,"&lt;/a&gt;")</f>
        <v>&lt;/li&gt;&lt;li&gt;&lt;a href=|http://gsb.biblecommenter.com/galatians/6.htm| title=|Geneva Study Bible| target=|_top|&gt;GSB&lt;/a&gt;</v>
      </c>
      <c r="AE1097" s="2" t="str">
        <f t="shared" si="4386"/>
        <v>&lt;/li&gt;&lt;li&gt;&lt;a href=|http://jfb.biblecommenter.com/galatians/6.htm| title=|Jamieson-Fausset-Brown Bible Commentary| target=|_top|&gt;JFB&lt;/a&gt;</v>
      </c>
      <c r="AF1097" s="2" t="str">
        <f t="shared" si="4386"/>
        <v>&lt;/li&gt;&lt;li&gt;&lt;a href=|http://kjt.biblecommenter.com/galatians/6.htm| title=|King James Translators' Notes| target=|_top|&gt;KJT&lt;/a&gt;</v>
      </c>
      <c r="AG1097" s="2" t="str">
        <f t="shared" si="4386"/>
        <v>&lt;/li&gt;&lt;li&gt;&lt;a href=|http://mhc.biblecommenter.com/galatians/6.htm| title=|Matthew Henry's Concise Commentary| target=|_top|&gt;MHC&lt;/a&gt;</v>
      </c>
      <c r="AH1097" s="2" t="str">
        <f t="shared" si="4386"/>
        <v>&lt;/li&gt;&lt;li&gt;&lt;a href=|http://sco.biblecommenter.com/galatians/6.htm| title=|Scofield Reference Notes| target=|_top|&gt;SCO&lt;/a&gt;</v>
      </c>
      <c r="AI1097" s="2" t="str">
        <f t="shared" si="4386"/>
        <v>&lt;/li&gt;&lt;li&gt;&lt;a href=|http://wes.biblecommenter.com/galatians/6.htm| title=|Wesley's Notes on the Bible| target=|_top|&gt;WES&lt;/a&gt;</v>
      </c>
      <c r="AJ1097" t="str">
        <f>CONCATENATE("&lt;/li&gt;&lt;li&gt;&lt;a href=|http://",AJ1191,"/galatians/6.htm","| ","title=|",AJ1190,"| target=|_top|&gt;",AJ1192,"&lt;/a&gt;")</f>
        <v>&lt;/li&gt;&lt;li&gt;&lt;a href=|http://worldebible.com/galatians/6.htm| title=|World English Bible| target=|_top|&gt;WEB&lt;/a&gt;</v>
      </c>
      <c r="AK1097" t="str">
        <f>CONCATENATE("&lt;/li&gt;&lt;li&gt;&lt;a href=|http://",AK1191,"/galatians/6.htm","| ","title=|",AK1190,"| target=|_top|&gt;",AK1192,"&lt;/a&gt;")</f>
        <v>&lt;/li&gt;&lt;li&gt;&lt;a href=|http://yltbible.com/galatians/6.htm| title=|Young's Literal Translation| target=|_top|&gt;YLT&lt;/a&gt;</v>
      </c>
      <c r="AL1097" t="str">
        <f>CONCATENATE("&lt;a href=|http://",AL1191,"/galatians/6.htm","| ","title=|",AL1190,"| target=|_top|&gt;",AL1192,"&lt;/a&gt;")</f>
        <v>&lt;a href=|http://kjv.us/galatians/6.htm| title=|American King James Version| target=|_top|&gt;AKJ&lt;/a&gt;</v>
      </c>
      <c r="AM1097" t="str">
        <f t="shared" ref="AM1097:AS1097" si="4387">CONCATENATE("&lt;/li&gt;&lt;li&gt;&lt;a href=|http://",AM1191,"/galatians/6.htm","| ","title=|",AM1190,"| target=|_top|&gt;",AM1192,"&lt;/a&gt;")</f>
        <v>&lt;/li&gt;&lt;li&gt;&lt;a href=|http://basicenglishbible.com/galatians/6.htm| title=|Bible in Basic English| target=|_top|&gt;BBE&lt;/a&gt;</v>
      </c>
      <c r="AN1097" t="str">
        <f t="shared" si="4387"/>
        <v>&lt;/li&gt;&lt;li&gt;&lt;a href=|http://darbybible.com/galatians/6.htm| title=|Darby Bible Translation| target=|_top|&gt;DBY&lt;/a&gt;</v>
      </c>
      <c r="AO1097" t="str">
        <f t="shared" si="4387"/>
        <v>&lt;/li&gt;&lt;li&gt;&lt;a href=|http://isv.scripturetext.com/galatians/6.htm| title=|International Standard Version| target=|_top|&gt;ISV&lt;/a&gt;</v>
      </c>
      <c r="AP1097" t="str">
        <f t="shared" si="4387"/>
        <v>&lt;/li&gt;&lt;li&gt;&lt;a href=|http://tnt.scripturetext.com/galatians/6.htm| title=|Tyndale New Testament| target=|_top|&gt;TNT&lt;/a&gt;</v>
      </c>
      <c r="AQ1097" s="2" t="str">
        <f t="shared" si="4387"/>
        <v>&lt;/li&gt;&lt;li&gt;&lt;a href=|http://pnt.biblecommenter.com/galatians/6.htm| title=|People's New Testament| target=|_top|&gt;PNT&lt;/a&gt;</v>
      </c>
      <c r="AR1097" t="str">
        <f t="shared" si="4387"/>
        <v>&lt;/li&gt;&lt;li&gt;&lt;a href=|http://websterbible.com/galatians/6.htm| title=|Webster's Bible Translation| target=|_top|&gt;WBS&lt;/a&gt;</v>
      </c>
      <c r="AS1097" t="str">
        <f t="shared" si="4387"/>
        <v>&lt;/li&gt;&lt;li&gt;&lt;a href=|http://weymouthbible.com/galatians/6.htm| title=|Weymouth New Testament| target=|_top|&gt;WEY&lt;/a&gt;</v>
      </c>
      <c r="AT1097" t="str">
        <f>CONCATENATE("&lt;/li&gt;&lt;li&gt;&lt;a href=|http://",AT1191,"/galatians/6-1.htm","| ","title=|",AT1190,"| target=|_top|&gt;",AT1192,"&lt;/a&gt;")</f>
        <v>&lt;/li&gt;&lt;li&gt;&lt;a href=|http://biblebrowser.com/galatians/6-1.htm| title=|Split View| target=|_top|&gt;Split&lt;/a&gt;</v>
      </c>
      <c r="AU1097" s="2" t="s">
        <v>1276</v>
      </c>
      <c r="AV1097" t="s">
        <v>64</v>
      </c>
    </row>
    <row r="1098" spans="1:48">
      <c r="A1098" t="s">
        <v>622</v>
      </c>
      <c r="B1098" t="s">
        <v>529</v>
      </c>
      <c r="C1098" t="s">
        <v>624</v>
      </c>
      <c r="D1098" t="s">
        <v>1268</v>
      </c>
      <c r="E1098" t="s">
        <v>1277</v>
      </c>
      <c r="F1098" t="s">
        <v>1304</v>
      </c>
      <c r="G1098" t="s">
        <v>1266</v>
      </c>
      <c r="H1098" t="s">
        <v>1305</v>
      </c>
      <c r="I1098" t="s">
        <v>1303</v>
      </c>
      <c r="J1098" t="s">
        <v>1267</v>
      </c>
      <c r="K1098" t="s">
        <v>1275</v>
      </c>
      <c r="L1098" s="2" t="s">
        <v>1274</v>
      </c>
      <c r="M1098" t="str">
        <f t="shared" ref="M1098:AB1098" si="4388">CONCATENATE("&lt;/li&gt;&lt;li&gt;&lt;a href=|http://",M1191,"/ephesians/1.htm","| ","title=|",M1190,"| target=|_top|&gt;",M1192,"&lt;/a&gt;")</f>
        <v>&lt;/li&gt;&lt;li&gt;&lt;a href=|http://niv.scripturetext.com/ephesians/1.htm| title=|New International Version| target=|_top|&gt;NIV&lt;/a&gt;</v>
      </c>
      <c r="N1098" t="str">
        <f t="shared" si="4388"/>
        <v>&lt;/li&gt;&lt;li&gt;&lt;a href=|http://nlt.scripturetext.com/ephesians/1.htm| title=|New Living Translation| target=|_top|&gt;NLT&lt;/a&gt;</v>
      </c>
      <c r="O1098" t="str">
        <f t="shared" si="4388"/>
        <v>&lt;/li&gt;&lt;li&gt;&lt;a href=|http://nasb.scripturetext.com/ephesians/1.htm| title=|New American Standard Bible| target=|_top|&gt;NAS&lt;/a&gt;</v>
      </c>
      <c r="P1098" t="str">
        <f t="shared" si="4388"/>
        <v>&lt;/li&gt;&lt;li&gt;&lt;a href=|http://gwt.scripturetext.com/ephesians/1.htm| title=|God's Word Translation| target=|_top|&gt;GWT&lt;/a&gt;</v>
      </c>
      <c r="Q1098" t="str">
        <f t="shared" si="4388"/>
        <v>&lt;/li&gt;&lt;li&gt;&lt;a href=|http://kingjbible.com/ephesians/1.htm| title=|King James Bible| target=|_top|&gt;KJV&lt;/a&gt;</v>
      </c>
      <c r="R1098" t="str">
        <f t="shared" si="4388"/>
        <v>&lt;/li&gt;&lt;li&gt;&lt;a href=|http://asvbible.com/ephesians/1.htm| title=|American Standard Version| target=|_top|&gt;ASV&lt;/a&gt;</v>
      </c>
      <c r="S1098" t="str">
        <f t="shared" si="4388"/>
        <v>&lt;/li&gt;&lt;li&gt;&lt;a href=|http://drb.scripturetext.com/ephesians/1.htm| title=|Douay-Rheims Bible| target=|_top|&gt;DRB&lt;/a&gt;</v>
      </c>
      <c r="T1098" t="str">
        <f t="shared" si="4388"/>
        <v>&lt;/li&gt;&lt;li&gt;&lt;a href=|http://erv.scripturetext.com/ephesians/1.htm| title=|English Revised Version| target=|_top|&gt;ERV&lt;/a&gt;</v>
      </c>
      <c r="U1098" t="str">
        <f>CONCATENATE("&lt;/li&gt;&lt;li&gt;&lt;a href=|http://",U1191,"/ephesians/1.htm","| ","title=|",U1190,"| target=|_top|&gt;",U1192,"&lt;/a&gt;")</f>
        <v>&lt;/li&gt;&lt;li&gt;&lt;a href=|http://study.interlinearbible.org/ephesians/1.htm| title=|Greek Study Bible| target=|_top|&gt;Grk Study&lt;/a&gt;</v>
      </c>
      <c r="W1098" t="str">
        <f t="shared" si="4388"/>
        <v>&lt;/li&gt;&lt;li&gt;&lt;a href=|http://apostolic.interlinearbible.org/ephesians/1.htm| title=|Apostolic Bible Polyglot Interlinear| target=|_top|&gt;Polyglot&lt;/a&gt;</v>
      </c>
      <c r="X1098" t="str">
        <f t="shared" si="4388"/>
        <v>&lt;/li&gt;&lt;li&gt;&lt;a href=|http://interlinearbible.org/ephesians/1.htm| title=|Interlinear Bible| target=|_top|&gt;Interlin&lt;/a&gt;</v>
      </c>
      <c r="Y1098" t="str">
        <f t="shared" ref="Y1098" si="4389">CONCATENATE("&lt;/li&gt;&lt;li&gt;&lt;a href=|http://",Y1191,"/ephesians/1.htm","| ","title=|",Y1190,"| target=|_top|&gt;",Y1192,"&lt;/a&gt;")</f>
        <v>&lt;/li&gt;&lt;li&gt;&lt;a href=|http://bibleoutline.org/ephesians/1.htm| title=|Outline with People and Places List| target=|_top|&gt;Outline&lt;/a&gt;</v>
      </c>
      <c r="Z1098" t="str">
        <f t="shared" si="4388"/>
        <v>&lt;/li&gt;&lt;li&gt;&lt;a href=|http://kjvs.scripturetext.com/ephesians/1.htm| title=|King James Bible with Strong's Numbers| target=|_top|&gt;Strong's&lt;/a&gt;</v>
      </c>
      <c r="AA1098" t="str">
        <f t="shared" si="4388"/>
        <v>&lt;/li&gt;&lt;li&gt;&lt;a href=|http://childrensbibleonline.com/ephesians/1.htm| title=|The Children's Bible| target=|_top|&gt;Children's&lt;/a&gt;</v>
      </c>
      <c r="AB1098" s="2" t="str">
        <f t="shared" si="4388"/>
        <v>&lt;/li&gt;&lt;li&gt;&lt;a href=|http://tsk.scripturetext.com/ephesians/1.htm| title=|Treasury of Scripture Knowledge| target=|_top|&gt;TSK&lt;/a&gt;</v>
      </c>
      <c r="AC1098" t="str">
        <f>CONCATENATE("&lt;a href=|http://",AC1191,"/ephesians/1.htm","| ","title=|",AC1190,"| target=|_top|&gt;",AC1192,"&lt;/a&gt;")</f>
        <v>&lt;a href=|http://parallelbible.com/ephesians/1.htm| title=|Parallel Chapters| target=|_top|&gt;PAR&lt;/a&gt;</v>
      </c>
      <c r="AD1098" s="2" t="str">
        <f t="shared" ref="AD1098:AI1098" si="4390">CONCATENATE("&lt;/li&gt;&lt;li&gt;&lt;a href=|http://",AD1191,"/ephesians/1.htm","| ","title=|",AD1190,"| target=|_top|&gt;",AD1192,"&lt;/a&gt;")</f>
        <v>&lt;/li&gt;&lt;li&gt;&lt;a href=|http://gsb.biblecommenter.com/ephesians/1.htm| title=|Geneva Study Bible| target=|_top|&gt;GSB&lt;/a&gt;</v>
      </c>
      <c r="AE1098" s="2" t="str">
        <f t="shared" si="4390"/>
        <v>&lt;/li&gt;&lt;li&gt;&lt;a href=|http://jfb.biblecommenter.com/ephesians/1.htm| title=|Jamieson-Fausset-Brown Bible Commentary| target=|_top|&gt;JFB&lt;/a&gt;</v>
      </c>
      <c r="AF1098" s="2" t="str">
        <f t="shared" si="4390"/>
        <v>&lt;/li&gt;&lt;li&gt;&lt;a href=|http://kjt.biblecommenter.com/ephesians/1.htm| title=|King James Translators' Notes| target=|_top|&gt;KJT&lt;/a&gt;</v>
      </c>
      <c r="AG1098" s="2" t="str">
        <f t="shared" si="4390"/>
        <v>&lt;/li&gt;&lt;li&gt;&lt;a href=|http://mhc.biblecommenter.com/ephesians/1.htm| title=|Matthew Henry's Concise Commentary| target=|_top|&gt;MHC&lt;/a&gt;</v>
      </c>
      <c r="AH1098" s="2" t="str">
        <f t="shared" si="4390"/>
        <v>&lt;/li&gt;&lt;li&gt;&lt;a href=|http://sco.biblecommenter.com/ephesians/1.htm| title=|Scofield Reference Notes| target=|_top|&gt;SCO&lt;/a&gt;</v>
      </c>
      <c r="AI1098" s="2" t="str">
        <f t="shared" si="4390"/>
        <v>&lt;/li&gt;&lt;li&gt;&lt;a href=|http://wes.biblecommenter.com/ephesians/1.htm| title=|Wesley's Notes on the Bible| target=|_top|&gt;WES&lt;/a&gt;</v>
      </c>
      <c r="AJ1098" t="str">
        <f>CONCATENATE("&lt;/li&gt;&lt;li&gt;&lt;a href=|http://",AJ1191,"/ephesians/1.htm","| ","title=|",AJ1190,"| target=|_top|&gt;",AJ1192,"&lt;/a&gt;")</f>
        <v>&lt;/li&gt;&lt;li&gt;&lt;a href=|http://worldebible.com/ephesians/1.htm| title=|World English Bible| target=|_top|&gt;WEB&lt;/a&gt;</v>
      </c>
      <c r="AK1098" t="str">
        <f>CONCATENATE("&lt;/li&gt;&lt;li&gt;&lt;a href=|http://",AK1191,"/ephesians/1.htm","| ","title=|",AK1190,"| target=|_top|&gt;",AK1192,"&lt;/a&gt;")</f>
        <v>&lt;/li&gt;&lt;li&gt;&lt;a href=|http://yltbible.com/ephesians/1.htm| title=|Young's Literal Translation| target=|_top|&gt;YLT&lt;/a&gt;</v>
      </c>
      <c r="AL1098" t="str">
        <f>CONCATENATE("&lt;a href=|http://",AL1191,"/ephesians/1.htm","| ","title=|",AL1190,"| target=|_top|&gt;",AL1192,"&lt;/a&gt;")</f>
        <v>&lt;a href=|http://kjv.us/ephesians/1.htm| title=|American King James Version| target=|_top|&gt;AKJ&lt;/a&gt;</v>
      </c>
      <c r="AM1098" t="str">
        <f t="shared" ref="AM1098:AS1098" si="4391">CONCATENATE("&lt;/li&gt;&lt;li&gt;&lt;a href=|http://",AM1191,"/ephesians/1.htm","| ","title=|",AM1190,"| target=|_top|&gt;",AM1192,"&lt;/a&gt;")</f>
        <v>&lt;/li&gt;&lt;li&gt;&lt;a href=|http://basicenglishbible.com/ephesians/1.htm| title=|Bible in Basic English| target=|_top|&gt;BBE&lt;/a&gt;</v>
      </c>
      <c r="AN1098" t="str">
        <f t="shared" si="4391"/>
        <v>&lt;/li&gt;&lt;li&gt;&lt;a href=|http://darbybible.com/ephesians/1.htm| title=|Darby Bible Translation| target=|_top|&gt;DBY&lt;/a&gt;</v>
      </c>
      <c r="AO1098" t="str">
        <f t="shared" si="4391"/>
        <v>&lt;/li&gt;&lt;li&gt;&lt;a href=|http://isv.scripturetext.com/ephesians/1.htm| title=|International Standard Version| target=|_top|&gt;ISV&lt;/a&gt;</v>
      </c>
      <c r="AP1098" t="str">
        <f t="shared" si="4391"/>
        <v>&lt;/li&gt;&lt;li&gt;&lt;a href=|http://tnt.scripturetext.com/ephesians/1.htm| title=|Tyndale New Testament| target=|_top|&gt;TNT&lt;/a&gt;</v>
      </c>
      <c r="AQ1098" s="2" t="str">
        <f t="shared" si="4391"/>
        <v>&lt;/li&gt;&lt;li&gt;&lt;a href=|http://pnt.biblecommenter.com/ephesians/1.htm| title=|People's New Testament| target=|_top|&gt;PNT&lt;/a&gt;</v>
      </c>
      <c r="AR1098" t="str">
        <f t="shared" si="4391"/>
        <v>&lt;/li&gt;&lt;li&gt;&lt;a href=|http://websterbible.com/ephesians/1.htm| title=|Webster's Bible Translation| target=|_top|&gt;WBS&lt;/a&gt;</v>
      </c>
      <c r="AS1098" t="str">
        <f t="shared" si="4391"/>
        <v>&lt;/li&gt;&lt;li&gt;&lt;a href=|http://weymouthbible.com/ephesians/1.htm| title=|Weymouth New Testament| target=|_top|&gt;WEY&lt;/a&gt;</v>
      </c>
      <c r="AT1098" t="str">
        <f>CONCATENATE("&lt;/li&gt;&lt;li&gt;&lt;a href=|http://",AT1191,"/ephesians/1-1.htm","| ","title=|",AT1190,"| target=|_top|&gt;",AT1192,"&lt;/a&gt;")</f>
        <v>&lt;/li&gt;&lt;li&gt;&lt;a href=|http://biblebrowser.com/ephesians/1-1.htm| title=|Split View| target=|_top|&gt;Split&lt;/a&gt;</v>
      </c>
      <c r="AU1098" s="2" t="s">
        <v>1276</v>
      </c>
      <c r="AV1098" t="s">
        <v>64</v>
      </c>
    </row>
    <row r="1099" spans="1:48">
      <c r="A1099" t="s">
        <v>622</v>
      </c>
      <c r="B1099" t="s">
        <v>530</v>
      </c>
      <c r="C1099" t="s">
        <v>624</v>
      </c>
      <c r="D1099" t="s">
        <v>1268</v>
      </c>
      <c r="E1099" t="s">
        <v>1277</v>
      </c>
      <c r="F1099" t="s">
        <v>1304</v>
      </c>
      <c r="G1099" t="s">
        <v>1266</v>
      </c>
      <c r="H1099" t="s">
        <v>1305</v>
      </c>
      <c r="I1099" t="s">
        <v>1303</v>
      </c>
      <c r="J1099" t="s">
        <v>1267</v>
      </c>
      <c r="K1099" t="s">
        <v>1275</v>
      </c>
      <c r="L1099" s="2" t="s">
        <v>1274</v>
      </c>
      <c r="M1099" t="str">
        <f t="shared" ref="M1099:AB1099" si="4392">CONCATENATE("&lt;/li&gt;&lt;li&gt;&lt;a href=|http://",M1191,"/ephesians/2.htm","| ","title=|",M1190,"| target=|_top|&gt;",M1192,"&lt;/a&gt;")</f>
        <v>&lt;/li&gt;&lt;li&gt;&lt;a href=|http://niv.scripturetext.com/ephesians/2.htm| title=|New International Version| target=|_top|&gt;NIV&lt;/a&gt;</v>
      </c>
      <c r="N1099" t="str">
        <f t="shared" si="4392"/>
        <v>&lt;/li&gt;&lt;li&gt;&lt;a href=|http://nlt.scripturetext.com/ephesians/2.htm| title=|New Living Translation| target=|_top|&gt;NLT&lt;/a&gt;</v>
      </c>
      <c r="O1099" t="str">
        <f t="shared" si="4392"/>
        <v>&lt;/li&gt;&lt;li&gt;&lt;a href=|http://nasb.scripturetext.com/ephesians/2.htm| title=|New American Standard Bible| target=|_top|&gt;NAS&lt;/a&gt;</v>
      </c>
      <c r="P1099" t="str">
        <f t="shared" si="4392"/>
        <v>&lt;/li&gt;&lt;li&gt;&lt;a href=|http://gwt.scripturetext.com/ephesians/2.htm| title=|God's Word Translation| target=|_top|&gt;GWT&lt;/a&gt;</v>
      </c>
      <c r="Q1099" t="str">
        <f t="shared" si="4392"/>
        <v>&lt;/li&gt;&lt;li&gt;&lt;a href=|http://kingjbible.com/ephesians/2.htm| title=|King James Bible| target=|_top|&gt;KJV&lt;/a&gt;</v>
      </c>
      <c r="R1099" t="str">
        <f t="shared" si="4392"/>
        <v>&lt;/li&gt;&lt;li&gt;&lt;a href=|http://asvbible.com/ephesians/2.htm| title=|American Standard Version| target=|_top|&gt;ASV&lt;/a&gt;</v>
      </c>
      <c r="S1099" t="str">
        <f t="shared" si="4392"/>
        <v>&lt;/li&gt;&lt;li&gt;&lt;a href=|http://drb.scripturetext.com/ephesians/2.htm| title=|Douay-Rheims Bible| target=|_top|&gt;DRB&lt;/a&gt;</v>
      </c>
      <c r="T1099" t="str">
        <f t="shared" si="4392"/>
        <v>&lt;/li&gt;&lt;li&gt;&lt;a href=|http://erv.scripturetext.com/ephesians/2.htm| title=|English Revised Version| target=|_top|&gt;ERV&lt;/a&gt;</v>
      </c>
      <c r="U1099" t="str">
        <f>CONCATENATE("&lt;/li&gt;&lt;li&gt;&lt;a href=|http://",U1191,"/ephesians/2.htm","| ","title=|",U1190,"| target=|_top|&gt;",U1192,"&lt;/a&gt;")</f>
        <v>&lt;/li&gt;&lt;li&gt;&lt;a href=|http://study.interlinearbible.org/ephesians/2.htm| title=|Greek Study Bible| target=|_top|&gt;Grk Study&lt;/a&gt;</v>
      </c>
      <c r="W1099" t="str">
        <f t="shared" si="4392"/>
        <v>&lt;/li&gt;&lt;li&gt;&lt;a href=|http://apostolic.interlinearbible.org/ephesians/2.htm| title=|Apostolic Bible Polyglot Interlinear| target=|_top|&gt;Polyglot&lt;/a&gt;</v>
      </c>
      <c r="X1099" t="str">
        <f t="shared" si="4392"/>
        <v>&lt;/li&gt;&lt;li&gt;&lt;a href=|http://interlinearbible.org/ephesians/2.htm| title=|Interlinear Bible| target=|_top|&gt;Interlin&lt;/a&gt;</v>
      </c>
      <c r="Y1099" t="str">
        <f t="shared" ref="Y1099" si="4393">CONCATENATE("&lt;/li&gt;&lt;li&gt;&lt;a href=|http://",Y1191,"/ephesians/2.htm","| ","title=|",Y1190,"| target=|_top|&gt;",Y1192,"&lt;/a&gt;")</f>
        <v>&lt;/li&gt;&lt;li&gt;&lt;a href=|http://bibleoutline.org/ephesians/2.htm| title=|Outline with People and Places List| target=|_top|&gt;Outline&lt;/a&gt;</v>
      </c>
      <c r="Z1099" t="str">
        <f t="shared" si="4392"/>
        <v>&lt;/li&gt;&lt;li&gt;&lt;a href=|http://kjvs.scripturetext.com/ephesians/2.htm| title=|King James Bible with Strong's Numbers| target=|_top|&gt;Strong's&lt;/a&gt;</v>
      </c>
      <c r="AA1099" t="str">
        <f t="shared" si="4392"/>
        <v>&lt;/li&gt;&lt;li&gt;&lt;a href=|http://childrensbibleonline.com/ephesians/2.htm| title=|The Children's Bible| target=|_top|&gt;Children's&lt;/a&gt;</v>
      </c>
      <c r="AB1099" s="2" t="str">
        <f t="shared" si="4392"/>
        <v>&lt;/li&gt;&lt;li&gt;&lt;a href=|http://tsk.scripturetext.com/ephesians/2.htm| title=|Treasury of Scripture Knowledge| target=|_top|&gt;TSK&lt;/a&gt;</v>
      </c>
      <c r="AC1099" t="str">
        <f>CONCATENATE("&lt;a href=|http://",AC1191,"/ephesians/2.htm","| ","title=|",AC1190,"| target=|_top|&gt;",AC1192,"&lt;/a&gt;")</f>
        <v>&lt;a href=|http://parallelbible.com/ephesians/2.htm| title=|Parallel Chapters| target=|_top|&gt;PAR&lt;/a&gt;</v>
      </c>
      <c r="AD1099" s="2" t="str">
        <f t="shared" ref="AD1099:AI1099" si="4394">CONCATENATE("&lt;/li&gt;&lt;li&gt;&lt;a href=|http://",AD1191,"/ephesians/2.htm","| ","title=|",AD1190,"| target=|_top|&gt;",AD1192,"&lt;/a&gt;")</f>
        <v>&lt;/li&gt;&lt;li&gt;&lt;a href=|http://gsb.biblecommenter.com/ephesians/2.htm| title=|Geneva Study Bible| target=|_top|&gt;GSB&lt;/a&gt;</v>
      </c>
      <c r="AE1099" s="2" t="str">
        <f t="shared" si="4394"/>
        <v>&lt;/li&gt;&lt;li&gt;&lt;a href=|http://jfb.biblecommenter.com/ephesians/2.htm| title=|Jamieson-Fausset-Brown Bible Commentary| target=|_top|&gt;JFB&lt;/a&gt;</v>
      </c>
      <c r="AF1099" s="2" t="str">
        <f t="shared" si="4394"/>
        <v>&lt;/li&gt;&lt;li&gt;&lt;a href=|http://kjt.biblecommenter.com/ephesians/2.htm| title=|King James Translators' Notes| target=|_top|&gt;KJT&lt;/a&gt;</v>
      </c>
      <c r="AG1099" s="2" t="str">
        <f t="shared" si="4394"/>
        <v>&lt;/li&gt;&lt;li&gt;&lt;a href=|http://mhc.biblecommenter.com/ephesians/2.htm| title=|Matthew Henry's Concise Commentary| target=|_top|&gt;MHC&lt;/a&gt;</v>
      </c>
      <c r="AH1099" s="2" t="str">
        <f t="shared" si="4394"/>
        <v>&lt;/li&gt;&lt;li&gt;&lt;a href=|http://sco.biblecommenter.com/ephesians/2.htm| title=|Scofield Reference Notes| target=|_top|&gt;SCO&lt;/a&gt;</v>
      </c>
      <c r="AI1099" s="2" t="str">
        <f t="shared" si="4394"/>
        <v>&lt;/li&gt;&lt;li&gt;&lt;a href=|http://wes.biblecommenter.com/ephesians/2.htm| title=|Wesley's Notes on the Bible| target=|_top|&gt;WES&lt;/a&gt;</v>
      </c>
      <c r="AJ1099" t="str">
        <f>CONCATENATE("&lt;/li&gt;&lt;li&gt;&lt;a href=|http://",AJ1191,"/ephesians/2.htm","| ","title=|",AJ1190,"| target=|_top|&gt;",AJ1192,"&lt;/a&gt;")</f>
        <v>&lt;/li&gt;&lt;li&gt;&lt;a href=|http://worldebible.com/ephesians/2.htm| title=|World English Bible| target=|_top|&gt;WEB&lt;/a&gt;</v>
      </c>
      <c r="AK1099" t="str">
        <f>CONCATENATE("&lt;/li&gt;&lt;li&gt;&lt;a href=|http://",AK1191,"/ephesians/2.htm","| ","title=|",AK1190,"| target=|_top|&gt;",AK1192,"&lt;/a&gt;")</f>
        <v>&lt;/li&gt;&lt;li&gt;&lt;a href=|http://yltbible.com/ephesians/2.htm| title=|Young's Literal Translation| target=|_top|&gt;YLT&lt;/a&gt;</v>
      </c>
      <c r="AL1099" t="str">
        <f>CONCATENATE("&lt;a href=|http://",AL1191,"/ephesians/2.htm","| ","title=|",AL1190,"| target=|_top|&gt;",AL1192,"&lt;/a&gt;")</f>
        <v>&lt;a href=|http://kjv.us/ephesians/2.htm| title=|American King James Version| target=|_top|&gt;AKJ&lt;/a&gt;</v>
      </c>
      <c r="AM1099" t="str">
        <f t="shared" ref="AM1099:AS1099" si="4395">CONCATENATE("&lt;/li&gt;&lt;li&gt;&lt;a href=|http://",AM1191,"/ephesians/2.htm","| ","title=|",AM1190,"| target=|_top|&gt;",AM1192,"&lt;/a&gt;")</f>
        <v>&lt;/li&gt;&lt;li&gt;&lt;a href=|http://basicenglishbible.com/ephesians/2.htm| title=|Bible in Basic English| target=|_top|&gt;BBE&lt;/a&gt;</v>
      </c>
      <c r="AN1099" t="str">
        <f t="shared" si="4395"/>
        <v>&lt;/li&gt;&lt;li&gt;&lt;a href=|http://darbybible.com/ephesians/2.htm| title=|Darby Bible Translation| target=|_top|&gt;DBY&lt;/a&gt;</v>
      </c>
      <c r="AO1099" t="str">
        <f t="shared" si="4395"/>
        <v>&lt;/li&gt;&lt;li&gt;&lt;a href=|http://isv.scripturetext.com/ephesians/2.htm| title=|International Standard Version| target=|_top|&gt;ISV&lt;/a&gt;</v>
      </c>
      <c r="AP1099" t="str">
        <f t="shared" si="4395"/>
        <v>&lt;/li&gt;&lt;li&gt;&lt;a href=|http://tnt.scripturetext.com/ephesians/2.htm| title=|Tyndale New Testament| target=|_top|&gt;TNT&lt;/a&gt;</v>
      </c>
      <c r="AQ1099" s="2" t="str">
        <f t="shared" si="4395"/>
        <v>&lt;/li&gt;&lt;li&gt;&lt;a href=|http://pnt.biblecommenter.com/ephesians/2.htm| title=|People's New Testament| target=|_top|&gt;PNT&lt;/a&gt;</v>
      </c>
      <c r="AR1099" t="str">
        <f t="shared" si="4395"/>
        <v>&lt;/li&gt;&lt;li&gt;&lt;a href=|http://websterbible.com/ephesians/2.htm| title=|Webster's Bible Translation| target=|_top|&gt;WBS&lt;/a&gt;</v>
      </c>
      <c r="AS1099" t="str">
        <f t="shared" si="4395"/>
        <v>&lt;/li&gt;&lt;li&gt;&lt;a href=|http://weymouthbible.com/ephesians/2.htm| title=|Weymouth New Testament| target=|_top|&gt;WEY&lt;/a&gt;</v>
      </c>
      <c r="AT1099" t="str">
        <f>CONCATENATE("&lt;/li&gt;&lt;li&gt;&lt;a href=|http://",AT1191,"/ephesians/2-1.htm","| ","title=|",AT1190,"| target=|_top|&gt;",AT1192,"&lt;/a&gt;")</f>
        <v>&lt;/li&gt;&lt;li&gt;&lt;a href=|http://biblebrowser.com/ephesians/2-1.htm| title=|Split View| target=|_top|&gt;Split&lt;/a&gt;</v>
      </c>
      <c r="AU1099" s="2" t="s">
        <v>1276</v>
      </c>
      <c r="AV1099" t="s">
        <v>64</v>
      </c>
    </row>
    <row r="1100" spans="1:48">
      <c r="A1100" t="s">
        <v>622</v>
      </c>
      <c r="B1100" t="s">
        <v>531</v>
      </c>
      <c r="C1100" t="s">
        <v>624</v>
      </c>
      <c r="D1100" t="s">
        <v>1268</v>
      </c>
      <c r="E1100" t="s">
        <v>1277</v>
      </c>
      <c r="F1100" t="s">
        <v>1304</v>
      </c>
      <c r="G1100" t="s">
        <v>1266</v>
      </c>
      <c r="H1100" t="s">
        <v>1305</v>
      </c>
      <c r="I1100" t="s">
        <v>1303</v>
      </c>
      <c r="J1100" t="s">
        <v>1267</v>
      </c>
      <c r="K1100" t="s">
        <v>1275</v>
      </c>
      <c r="L1100" s="2" t="s">
        <v>1274</v>
      </c>
      <c r="M1100" t="str">
        <f t="shared" ref="M1100:AB1100" si="4396">CONCATENATE("&lt;/li&gt;&lt;li&gt;&lt;a href=|http://",M1191,"/ephesians/3.htm","| ","title=|",M1190,"| target=|_top|&gt;",M1192,"&lt;/a&gt;")</f>
        <v>&lt;/li&gt;&lt;li&gt;&lt;a href=|http://niv.scripturetext.com/ephesians/3.htm| title=|New International Version| target=|_top|&gt;NIV&lt;/a&gt;</v>
      </c>
      <c r="N1100" t="str">
        <f t="shared" si="4396"/>
        <v>&lt;/li&gt;&lt;li&gt;&lt;a href=|http://nlt.scripturetext.com/ephesians/3.htm| title=|New Living Translation| target=|_top|&gt;NLT&lt;/a&gt;</v>
      </c>
      <c r="O1100" t="str">
        <f t="shared" si="4396"/>
        <v>&lt;/li&gt;&lt;li&gt;&lt;a href=|http://nasb.scripturetext.com/ephesians/3.htm| title=|New American Standard Bible| target=|_top|&gt;NAS&lt;/a&gt;</v>
      </c>
      <c r="P1100" t="str">
        <f t="shared" si="4396"/>
        <v>&lt;/li&gt;&lt;li&gt;&lt;a href=|http://gwt.scripturetext.com/ephesians/3.htm| title=|God's Word Translation| target=|_top|&gt;GWT&lt;/a&gt;</v>
      </c>
      <c r="Q1100" t="str">
        <f t="shared" si="4396"/>
        <v>&lt;/li&gt;&lt;li&gt;&lt;a href=|http://kingjbible.com/ephesians/3.htm| title=|King James Bible| target=|_top|&gt;KJV&lt;/a&gt;</v>
      </c>
      <c r="R1100" t="str">
        <f t="shared" si="4396"/>
        <v>&lt;/li&gt;&lt;li&gt;&lt;a href=|http://asvbible.com/ephesians/3.htm| title=|American Standard Version| target=|_top|&gt;ASV&lt;/a&gt;</v>
      </c>
      <c r="S1100" t="str">
        <f t="shared" si="4396"/>
        <v>&lt;/li&gt;&lt;li&gt;&lt;a href=|http://drb.scripturetext.com/ephesians/3.htm| title=|Douay-Rheims Bible| target=|_top|&gt;DRB&lt;/a&gt;</v>
      </c>
      <c r="T1100" t="str">
        <f t="shared" si="4396"/>
        <v>&lt;/li&gt;&lt;li&gt;&lt;a href=|http://erv.scripturetext.com/ephesians/3.htm| title=|English Revised Version| target=|_top|&gt;ERV&lt;/a&gt;</v>
      </c>
      <c r="U1100" t="str">
        <f>CONCATENATE("&lt;/li&gt;&lt;li&gt;&lt;a href=|http://",U1191,"/ephesians/3.htm","| ","title=|",U1190,"| target=|_top|&gt;",U1192,"&lt;/a&gt;")</f>
        <v>&lt;/li&gt;&lt;li&gt;&lt;a href=|http://study.interlinearbible.org/ephesians/3.htm| title=|Greek Study Bible| target=|_top|&gt;Grk Study&lt;/a&gt;</v>
      </c>
      <c r="W1100" t="str">
        <f t="shared" si="4396"/>
        <v>&lt;/li&gt;&lt;li&gt;&lt;a href=|http://apostolic.interlinearbible.org/ephesians/3.htm| title=|Apostolic Bible Polyglot Interlinear| target=|_top|&gt;Polyglot&lt;/a&gt;</v>
      </c>
      <c r="X1100" t="str">
        <f t="shared" si="4396"/>
        <v>&lt;/li&gt;&lt;li&gt;&lt;a href=|http://interlinearbible.org/ephesians/3.htm| title=|Interlinear Bible| target=|_top|&gt;Interlin&lt;/a&gt;</v>
      </c>
      <c r="Y1100" t="str">
        <f t="shared" ref="Y1100" si="4397">CONCATENATE("&lt;/li&gt;&lt;li&gt;&lt;a href=|http://",Y1191,"/ephesians/3.htm","| ","title=|",Y1190,"| target=|_top|&gt;",Y1192,"&lt;/a&gt;")</f>
        <v>&lt;/li&gt;&lt;li&gt;&lt;a href=|http://bibleoutline.org/ephesians/3.htm| title=|Outline with People and Places List| target=|_top|&gt;Outline&lt;/a&gt;</v>
      </c>
      <c r="Z1100" t="str">
        <f t="shared" si="4396"/>
        <v>&lt;/li&gt;&lt;li&gt;&lt;a href=|http://kjvs.scripturetext.com/ephesians/3.htm| title=|King James Bible with Strong's Numbers| target=|_top|&gt;Strong's&lt;/a&gt;</v>
      </c>
      <c r="AA1100" t="str">
        <f t="shared" si="4396"/>
        <v>&lt;/li&gt;&lt;li&gt;&lt;a href=|http://childrensbibleonline.com/ephesians/3.htm| title=|The Children's Bible| target=|_top|&gt;Children's&lt;/a&gt;</v>
      </c>
      <c r="AB1100" s="2" t="str">
        <f t="shared" si="4396"/>
        <v>&lt;/li&gt;&lt;li&gt;&lt;a href=|http://tsk.scripturetext.com/ephesians/3.htm| title=|Treasury of Scripture Knowledge| target=|_top|&gt;TSK&lt;/a&gt;</v>
      </c>
      <c r="AC1100" t="str">
        <f>CONCATENATE("&lt;a href=|http://",AC1191,"/ephesians/3.htm","| ","title=|",AC1190,"| target=|_top|&gt;",AC1192,"&lt;/a&gt;")</f>
        <v>&lt;a href=|http://parallelbible.com/ephesians/3.htm| title=|Parallel Chapters| target=|_top|&gt;PAR&lt;/a&gt;</v>
      </c>
      <c r="AD1100" s="2" t="str">
        <f t="shared" ref="AD1100:AI1100" si="4398">CONCATENATE("&lt;/li&gt;&lt;li&gt;&lt;a href=|http://",AD1191,"/ephesians/3.htm","| ","title=|",AD1190,"| target=|_top|&gt;",AD1192,"&lt;/a&gt;")</f>
        <v>&lt;/li&gt;&lt;li&gt;&lt;a href=|http://gsb.biblecommenter.com/ephesians/3.htm| title=|Geneva Study Bible| target=|_top|&gt;GSB&lt;/a&gt;</v>
      </c>
      <c r="AE1100" s="2" t="str">
        <f t="shared" si="4398"/>
        <v>&lt;/li&gt;&lt;li&gt;&lt;a href=|http://jfb.biblecommenter.com/ephesians/3.htm| title=|Jamieson-Fausset-Brown Bible Commentary| target=|_top|&gt;JFB&lt;/a&gt;</v>
      </c>
      <c r="AF1100" s="2" t="str">
        <f t="shared" si="4398"/>
        <v>&lt;/li&gt;&lt;li&gt;&lt;a href=|http://kjt.biblecommenter.com/ephesians/3.htm| title=|King James Translators' Notes| target=|_top|&gt;KJT&lt;/a&gt;</v>
      </c>
      <c r="AG1100" s="2" t="str">
        <f t="shared" si="4398"/>
        <v>&lt;/li&gt;&lt;li&gt;&lt;a href=|http://mhc.biblecommenter.com/ephesians/3.htm| title=|Matthew Henry's Concise Commentary| target=|_top|&gt;MHC&lt;/a&gt;</v>
      </c>
      <c r="AH1100" s="2" t="str">
        <f t="shared" si="4398"/>
        <v>&lt;/li&gt;&lt;li&gt;&lt;a href=|http://sco.biblecommenter.com/ephesians/3.htm| title=|Scofield Reference Notes| target=|_top|&gt;SCO&lt;/a&gt;</v>
      </c>
      <c r="AI1100" s="2" t="str">
        <f t="shared" si="4398"/>
        <v>&lt;/li&gt;&lt;li&gt;&lt;a href=|http://wes.biblecommenter.com/ephesians/3.htm| title=|Wesley's Notes on the Bible| target=|_top|&gt;WES&lt;/a&gt;</v>
      </c>
      <c r="AJ1100" t="str">
        <f>CONCATENATE("&lt;/li&gt;&lt;li&gt;&lt;a href=|http://",AJ1191,"/ephesians/3.htm","| ","title=|",AJ1190,"| target=|_top|&gt;",AJ1192,"&lt;/a&gt;")</f>
        <v>&lt;/li&gt;&lt;li&gt;&lt;a href=|http://worldebible.com/ephesians/3.htm| title=|World English Bible| target=|_top|&gt;WEB&lt;/a&gt;</v>
      </c>
      <c r="AK1100" t="str">
        <f>CONCATENATE("&lt;/li&gt;&lt;li&gt;&lt;a href=|http://",AK1191,"/ephesians/3.htm","| ","title=|",AK1190,"| target=|_top|&gt;",AK1192,"&lt;/a&gt;")</f>
        <v>&lt;/li&gt;&lt;li&gt;&lt;a href=|http://yltbible.com/ephesians/3.htm| title=|Young's Literal Translation| target=|_top|&gt;YLT&lt;/a&gt;</v>
      </c>
      <c r="AL1100" t="str">
        <f>CONCATENATE("&lt;a href=|http://",AL1191,"/ephesians/3.htm","| ","title=|",AL1190,"| target=|_top|&gt;",AL1192,"&lt;/a&gt;")</f>
        <v>&lt;a href=|http://kjv.us/ephesians/3.htm| title=|American King James Version| target=|_top|&gt;AKJ&lt;/a&gt;</v>
      </c>
      <c r="AM1100" t="str">
        <f t="shared" ref="AM1100:AS1100" si="4399">CONCATENATE("&lt;/li&gt;&lt;li&gt;&lt;a href=|http://",AM1191,"/ephesians/3.htm","| ","title=|",AM1190,"| target=|_top|&gt;",AM1192,"&lt;/a&gt;")</f>
        <v>&lt;/li&gt;&lt;li&gt;&lt;a href=|http://basicenglishbible.com/ephesians/3.htm| title=|Bible in Basic English| target=|_top|&gt;BBE&lt;/a&gt;</v>
      </c>
      <c r="AN1100" t="str">
        <f t="shared" si="4399"/>
        <v>&lt;/li&gt;&lt;li&gt;&lt;a href=|http://darbybible.com/ephesians/3.htm| title=|Darby Bible Translation| target=|_top|&gt;DBY&lt;/a&gt;</v>
      </c>
      <c r="AO1100" t="str">
        <f t="shared" si="4399"/>
        <v>&lt;/li&gt;&lt;li&gt;&lt;a href=|http://isv.scripturetext.com/ephesians/3.htm| title=|International Standard Version| target=|_top|&gt;ISV&lt;/a&gt;</v>
      </c>
      <c r="AP1100" t="str">
        <f t="shared" si="4399"/>
        <v>&lt;/li&gt;&lt;li&gt;&lt;a href=|http://tnt.scripturetext.com/ephesians/3.htm| title=|Tyndale New Testament| target=|_top|&gt;TNT&lt;/a&gt;</v>
      </c>
      <c r="AQ1100" s="2" t="str">
        <f t="shared" si="4399"/>
        <v>&lt;/li&gt;&lt;li&gt;&lt;a href=|http://pnt.biblecommenter.com/ephesians/3.htm| title=|People's New Testament| target=|_top|&gt;PNT&lt;/a&gt;</v>
      </c>
      <c r="AR1100" t="str">
        <f t="shared" si="4399"/>
        <v>&lt;/li&gt;&lt;li&gt;&lt;a href=|http://websterbible.com/ephesians/3.htm| title=|Webster's Bible Translation| target=|_top|&gt;WBS&lt;/a&gt;</v>
      </c>
      <c r="AS1100" t="str">
        <f t="shared" si="4399"/>
        <v>&lt;/li&gt;&lt;li&gt;&lt;a href=|http://weymouthbible.com/ephesians/3.htm| title=|Weymouth New Testament| target=|_top|&gt;WEY&lt;/a&gt;</v>
      </c>
      <c r="AT1100" t="str">
        <f>CONCATENATE("&lt;/li&gt;&lt;li&gt;&lt;a href=|http://",AT1191,"/ephesians/3-1.htm","| ","title=|",AT1190,"| target=|_top|&gt;",AT1192,"&lt;/a&gt;")</f>
        <v>&lt;/li&gt;&lt;li&gt;&lt;a href=|http://biblebrowser.com/ephesians/3-1.htm| title=|Split View| target=|_top|&gt;Split&lt;/a&gt;</v>
      </c>
      <c r="AU1100" s="2" t="s">
        <v>1276</v>
      </c>
      <c r="AV1100" t="s">
        <v>64</v>
      </c>
    </row>
    <row r="1101" spans="1:48">
      <c r="A1101" t="s">
        <v>622</v>
      </c>
      <c r="B1101" t="s">
        <v>532</v>
      </c>
      <c r="C1101" t="s">
        <v>624</v>
      </c>
      <c r="D1101" t="s">
        <v>1268</v>
      </c>
      <c r="E1101" t="s">
        <v>1277</v>
      </c>
      <c r="F1101" t="s">
        <v>1304</v>
      </c>
      <c r="G1101" t="s">
        <v>1266</v>
      </c>
      <c r="H1101" t="s">
        <v>1305</v>
      </c>
      <c r="I1101" t="s">
        <v>1303</v>
      </c>
      <c r="J1101" t="s">
        <v>1267</v>
      </c>
      <c r="K1101" t="s">
        <v>1275</v>
      </c>
      <c r="L1101" s="2" t="s">
        <v>1274</v>
      </c>
      <c r="M1101" t="str">
        <f t="shared" ref="M1101:AB1101" si="4400">CONCATENATE("&lt;/li&gt;&lt;li&gt;&lt;a href=|http://",M1191,"/ephesians/4.htm","| ","title=|",M1190,"| target=|_top|&gt;",M1192,"&lt;/a&gt;")</f>
        <v>&lt;/li&gt;&lt;li&gt;&lt;a href=|http://niv.scripturetext.com/ephesians/4.htm| title=|New International Version| target=|_top|&gt;NIV&lt;/a&gt;</v>
      </c>
      <c r="N1101" t="str">
        <f t="shared" si="4400"/>
        <v>&lt;/li&gt;&lt;li&gt;&lt;a href=|http://nlt.scripturetext.com/ephesians/4.htm| title=|New Living Translation| target=|_top|&gt;NLT&lt;/a&gt;</v>
      </c>
      <c r="O1101" t="str">
        <f t="shared" si="4400"/>
        <v>&lt;/li&gt;&lt;li&gt;&lt;a href=|http://nasb.scripturetext.com/ephesians/4.htm| title=|New American Standard Bible| target=|_top|&gt;NAS&lt;/a&gt;</v>
      </c>
      <c r="P1101" t="str">
        <f t="shared" si="4400"/>
        <v>&lt;/li&gt;&lt;li&gt;&lt;a href=|http://gwt.scripturetext.com/ephesians/4.htm| title=|God's Word Translation| target=|_top|&gt;GWT&lt;/a&gt;</v>
      </c>
      <c r="Q1101" t="str">
        <f t="shared" si="4400"/>
        <v>&lt;/li&gt;&lt;li&gt;&lt;a href=|http://kingjbible.com/ephesians/4.htm| title=|King James Bible| target=|_top|&gt;KJV&lt;/a&gt;</v>
      </c>
      <c r="R1101" t="str">
        <f t="shared" si="4400"/>
        <v>&lt;/li&gt;&lt;li&gt;&lt;a href=|http://asvbible.com/ephesians/4.htm| title=|American Standard Version| target=|_top|&gt;ASV&lt;/a&gt;</v>
      </c>
      <c r="S1101" t="str">
        <f t="shared" si="4400"/>
        <v>&lt;/li&gt;&lt;li&gt;&lt;a href=|http://drb.scripturetext.com/ephesians/4.htm| title=|Douay-Rheims Bible| target=|_top|&gt;DRB&lt;/a&gt;</v>
      </c>
      <c r="T1101" t="str">
        <f t="shared" si="4400"/>
        <v>&lt;/li&gt;&lt;li&gt;&lt;a href=|http://erv.scripturetext.com/ephesians/4.htm| title=|English Revised Version| target=|_top|&gt;ERV&lt;/a&gt;</v>
      </c>
      <c r="U1101" t="str">
        <f>CONCATENATE("&lt;/li&gt;&lt;li&gt;&lt;a href=|http://",U1191,"/ephesians/4.htm","| ","title=|",U1190,"| target=|_top|&gt;",U1192,"&lt;/a&gt;")</f>
        <v>&lt;/li&gt;&lt;li&gt;&lt;a href=|http://study.interlinearbible.org/ephesians/4.htm| title=|Greek Study Bible| target=|_top|&gt;Grk Study&lt;/a&gt;</v>
      </c>
      <c r="W1101" t="str">
        <f t="shared" si="4400"/>
        <v>&lt;/li&gt;&lt;li&gt;&lt;a href=|http://apostolic.interlinearbible.org/ephesians/4.htm| title=|Apostolic Bible Polyglot Interlinear| target=|_top|&gt;Polyglot&lt;/a&gt;</v>
      </c>
      <c r="X1101" t="str">
        <f t="shared" si="4400"/>
        <v>&lt;/li&gt;&lt;li&gt;&lt;a href=|http://interlinearbible.org/ephesians/4.htm| title=|Interlinear Bible| target=|_top|&gt;Interlin&lt;/a&gt;</v>
      </c>
      <c r="Y1101" t="str">
        <f t="shared" ref="Y1101" si="4401">CONCATENATE("&lt;/li&gt;&lt;li&gt;&lt;a href=|http://",Y1191,"/ephesians/4.htm","| ","title=|",Y1190,"| target=|_top|&gt;",Y1192,"&lt;/a&gt;")</f>
        <v>&lt;/li&gt;&lt;li&gt;&lt;a href=|http://bibleoutline.org/ephesians/4.htm| title=|Outline with People and Places List| target=|_top|&gt;Outline&lt;/a&gt;</v>
      </c>
      <c r="Z1101" t="str">
        <f t="shared" si="4400"/>
        <v>&lt;/li&gt;&lt;li&gt;&lt;a href=|http://kjvs.scripturetext.com/ephesians/4.htm| title=|King James Bible with Strong's Numbers| target=|_top|&gt;Strong's&lt;/a&gt;</v>
      </c>
      <c r="AA1101" t="str">
        <f t="shared" si="4400"/>
        <v>&lt;/li&gt;&lt;li&gt;&lt;a href=|http://childrensbibleonline.com/ephesians/4.htm| title=|The Children's Bible| target=|_top|&gt;Children's&lt;/a&gt;</v>
      </c>
      <c r="AB1101" s="2" t="str">
        <f t="shared" si="4400"/>
        <v>&lt;/li&gt;&lt;li&gt;&lt;a href=|http://tsk.scripturetext.com/ephesians/4.htm| title=|Treasury of Scripture Knowledge| target=|_top|&gt;TSK&lt;/a&gt;</v>
      </c>
      <c r="AC1101" t="str">
        <f>CONCATENATE("&lt;a href=|http://",AC1191,"/ephesians/4.htm","| ","title=|",AC1190,"| target=|_top|&gt;",AC1192,"&lt;/a&gt;")</f>
        <v>&lt;a href=|http://parallelbible.com/ephesians/4.htm| title=|Parallel Chapters| target=|_top|&gt;PAR&lt;/a&gt;</v>
      </c>
      <c r="AD1101" s="2" t="str">
        <f t="shared" ref="AD1101:AI1101" si="4402">CONCATENATE("&lt;/li&gt;&lt;li&gt;&lt;a href=|http://",AD1191,"/ephesians/4.htm","| ","title=|",AD1190,"| target=|_top|&gt;",AD1192,"&lt;/a&gt;")</f>
        <v>&lt;/li&gt;&lt;li&gt;&lt;a href=|http://gsb.biblecommenter.com/ephesians/4.htm| title=|Geneva Study Bible| target=|_top|&gt;GSB&lt;/a&gt;</v>
      </c>
      <c r="AE1101" s="2" t="str">
        <f t="shared" si="4402"/>
        <v>&lt;/li&gt;&lt;li&gt;&lt;a href=|http://jfb.biblecommenter.com/ephesians/4.htm| title=|Jamieson-Fausset-Brown Bible Commentary| target=|_top|&gt;JFB&lt;/a&gt;</v>
      </c>
      <c r="AF1101" s="2" t="str">
        <f t="shared" si="4402"/>
        <v>&lt;/li&gt;&lt;li&gt;&lt;a href=|http://kjt.biblecommenter.com/ephesians/4.htm| title=|King James Translators' Notes| target=|_top|&gt;KJT&lt;/a&gt;</v>
      </c>
      <c r="AG1101" s="2" t="str">
        <f t="shared" si="4402"/>
        <v>&lt;/li&gt;&lt;li&gt;&lt;a href=|http://mhc.biblecommenter.com/ephesians/4.htm| title=|Matthew Henry's Concise Commentary| target=|_top|&gt;MHC&lt;/a&gt;</v>
      </c>
      <c r="AH1101" s="2" t="str">
        <f t="shared" si="4402"/>
        <v>&lt;/li&gt;&lt;li&gt;&lt;a href=|http://sco.biblecommenter.com/ephesians/4.htm| title=|Scofield Reference Notes| target=|_top|&gt;SCO&lt;/a&gt;</v>
      </c>
      <c r="AI1101" s="2" t="str">
        <f t="shared" si="4402"/>
        <v>&lt;/li&gt;&lt;li&gt;&lt;a href=|http://wes.biblecommenter.com/ephesians/4.htm| title=|Wesley's Notes on the Bible| target=|_top|&gt;WES&lt;/a&gt;</v>
      </c>
      <c r="AJ1101" t="str">
        <f>CONCATENATE("&lt;/li&gt;&lt;li&gt;&lt;a href=|http://",AJ1191,"/ephesians/4.htm","| ","title=|",AJ1190,"| target=|_top|&gt;",AJ1192,"&lt;/a&gt;")</f>
        <v>&lt;/li&gt;&lt;li&gt;&lt;a href=|http://worldebible.com/ephesians/4.htm| title=|World English Bible| target=|_top|&gt;WEB&lt;/a&gt;</v>
      </c>
      <c r="AK1101" t="str">
        <f>CONCATENATE("&lt;/li&gt;&lt;li&gt;&lt;a href=|http://",AK1191,"/ephesians/4.htm","| ","title=|",AK1190,"| target=|_top|&gt;",AK1192,"&lt;/a&gt;")</f>
        <v>&lt;/li&gt;&lt;li&gt;&lt;a href=|http://yltbible.com/ephesians/4.htm| title=|Young's Literal Translation| target=|_top|&gt;YLT&lt;/a&gt;</v>
      </c>
      <c r="AL1101" t="str">
        <f>CONCATENATE("&lt;a href=|http://",AL1191,"/ephesians/4.htm","| ","title=|",AL1190,"| target=|_top|&gt;",AL1192,"&lt;/a&gt;")</f>
        <v>&lt;a href=|http://kjv.us/ephesians/4.htm| title=|American King James Version| target=|_top|&gt;AKJ&lt;/a&gt;</v>
      </c>
      <c r="AM1101" t="str">
        <f t="shared" ref="AM1101:AS1101" si="4403">CONCATENATE("&lt;/li&gt;&lt;li&gt;&lt;a href=|http://",AM1191,"/ephesians/4.htm","| ","title=|",AM1190,"| target=|_top|&gt;",AM1192,"&lt;/a&gt;")</f>
        <v>&lt;/li&gt;&lt;li&gt;&lt;a href=|http://basicenglishbible.com/ephesians/4.htm| title=|Bible in Basic English| target=|_top|&gt;BBE&lt;/a&gt;</v>
      </c>
      <c r="AN1101" t="str">
        <f t="shared" si="4403"/>
        <v>&lt;/li&gt;&lt;li&gt;&lt;a href=|http://darbybible.com/ephesians/4.htm| title=|Darby Bible Translation| target=|_top|&gt;DBY&lt;/a&gt;</v>
      </c>
      <c r="AO1101" t="str">
        <f t="shared" si="4403"/>
        <v>&lt;/li&gt;&lt;li&gt;&lt;a href=|http://isv.scripturetext.com/ephesians/4.htm| title=|International Standard Version| target=|_top|&gt;ISV&lt;/a&gt;</v>
      </c>
      <c r="AP1101" t="str">
        <f t="shared" si="4403"/>
        <v>&lt;/li&gt;&lt;li&gt;&lt;a href=|http://tnt.scripturetext.com/ephesians/4.htm| title=|Tyndale New Testament| target=|_top|&gt;TNT&lt;/a&gt;</v>
      </c>
      <c r="AQ1101" s="2" t="str">
        <f t="shared" si="4403"/>
        <v>&lt;/li&gt;&lt;li&gt;&lt;a href=|http://pnt.biblecommenter.com/ephesians/4.htm| title=|People's New Testament| target=|_top|&gt;PNT&lt;/a&gt;</v>
      </c>
      <c r="AR1101" t="str">
        <f t="shared" si="4403"/>
        <v>&lt;/li&gt;&lt;li&gt;&lt;a href=|http://websterbible.com/ephesians/4.htm| title=|Webster's Bible Translation| target=|_top|&gt;WBS&lt;/a&gt;</v>
      </c>
      <c r="AS1101" t="str">
        <f t="shared" si="4403"/>
        <v>&lt;/li&gt;&lt;li&gt;&lt;a href=|http://weymouthbible.com/ephesians/4.htm| title=|Weymouth New Testament| target=|_top|&gt;WEY&lt;/a&gt;</v>
      </c>
      <c r="AT1101" t="str">
        <f>CONCATENATE("&lt;/li&gt;&lt;li&gt;&lt;a href=|http://",AT1191,"/ephesians/4-1.htm","| ","title=|",AT1190,"| target=|_top|&gt;",AT1192,"&lt;/a&gt;")</f>
        <v>&lt;/li&gt;&lt;li&gt;&lt;a href=|http://biblebrowser.com/ephesians/4-1.htm| title=|Split View| target=|_top|&gt;Split&lt;/a&gt;</v>
      </c>
      <c r="AU1101" s="2" t="s">
        <v>1276</v>
      </c>
      <c r="AV1101" t="s">
        <v>64</v>
      </c>
    </row>
    <row r="1102" spans="1:48">
      <c r="A1102" t="s">
        <v>622</v>
      </c>
      <c r="B1102" t="s">
        <v>533</v>
      </c>
      <c r="C1102" t="s">
        <v>624</v>
      </c>
      <c r="D1102" t="s">
        <v>1268</v>
      </c>
      <c r="E1102" t="s">
        <v>1277</v>
      </c>
      <c r="F1102" t="s">
        <v>1304</v>
      </c>
      <c r="G1102" t="s">
        <v>1266</v>
      </c>
      <c r="H1102" t="s">
        <v>1305</v>
      </c>
      <c r="I1102" t="s">
        <v>1303</v>
      </c>
      <c r="J1102" t="s">
        <v>1267</v>
      </c>
      <c r="K1102" t="s">
        <v>1275</v>
      </c>
      <c r="L1102" s="2" t="s">
        <v>1274</v>
      </c>
      <c r="M1102" t="str">
        <f t="shared" ref="M1102:AB1102" si="4404">CONCATENATE("&lt;/li&gt;&lt;li&gt;&lt;a href=|http://",M1191,"/ephesians/5.htm","| ","title=|",M1190,"| target=|_top|&gt;",M1192,"&lt;/a&gt;")</f>
        <v>&lt;/li&gt;&lt;li&gt;&lt;a href=|http://niv.scripturetext.com/ephesians/5.htm| title=|New International Version| target=|_top|&gt;NIV&lt;/a&gt;</v>
      </c>
      <c r="N1102" t="str">
        <f t="shared" si="4404"/>
        <v>&lt;/li&gt;&lt;li&gt;&lt;a href=|http://nlt.scripturetext.com/ephesians/5.htm| title=|New Living Translation| target=|_top|&gt;NLT&lt;/a&gt;</v>
      </c>
      <c r="O1102" t="str">
        <f t="shared" si="4404"/>
        <v>&lt;/li&gt;&lt;li&gt;&lt;a href=|http://nasb.scripturetext.com/ephesians/5.htm| title=|New American Standard Bible| target=|_top|&gt;NAS&lt;/a&gt;</v>
      </c>
      <c r="P1102" t="str">
        <f t="shared" si="4404"/>
        <v>&lt;/li&gt;&lt;li&gt;&lt;a href=|http://gwt.scripturetext.com/ephesians/5.htm| title=|God's Word Translation| target=|_top|&gt;GWT&lt;/a&gt;</v>
      </c>
      <c r="Q1102" t="str">
        <f t="shared" si="4404"/>
        <v>&lt;/li&gt;&lt;li&gt;&lt;a href=|http://kingjbible.com/ephesians/5.htm| title=|King James Bible| target=|_top|&gt;KJV&lt;/a&gt;</v>
      </c>
      <c r="R1102" t="str">
        <f t="shared" si="4404"/>
        <v>&lt;/li&gt;&lt;li&gt;&lt;a href=|http://asvbible.com/ephesians/5.htm| title=|American Standard Version| target=|_top|&gt;ASV&lt;/a&gt;</v>
      </c>
      <c r="S1102" t="str">
        <f t="shared" si="4404"/>
        <v>&lt;/li&gt;&lt;li&gt;&lt;a href=|http://drb.scripturetext.com/ephesians/5.htm| title=|Douay-Rheims Bible| target=|_top|&gt;DRB&lt;/a&gt;</v>
      </c>
      <c r="T1102" t="str">
        <f t="shared" si="4404"/>
        <v>&lt;/li&gt;&lt;li&gt;&lt;a href=|http://erv.scripturetext.com/ephesians/5.htm| title=|English Revised Version| target=|_top|&gt;ERV&lt;/a&gt;</v>
      </c>
      <c r="U1102" t="str">
        <f>CONCATENATE("&lt;/li&gt;&lt;li&gt;&lt;a href=|http://",U1191,"/ephesians/5.htm","| ","title=|",U1190,"| target=|_top|&gt;",U1192,"&lt;/a&gt;")</f>
        <v>&lt;/li&gt;&lt;li&gt;&lt;a href=|http://study.interlinearbible.org/ephesians/5.htm| title=|Greek Study Bible| target=|_top|&gt;Grk Study&lt;/a&gt;</v>
      </c>
      <c r="W1102" t="str">
        <f t="shared" si="4404"/>
        <v>&lt;/li&gt;&lt;li&gt;&lt;a href=|http://apostolic.interlinearbible.org/ephesians/5.htm| title=|Apostolic Bible Polyglot Interlinear| target=|_top|&gt;Polyglot&lt;/a&gt;</v>
      </c>
      <c r="X1102" t="str">
        <f t="shared" si="4404"/>
        <v>&lt;/li&gt;&lt;li&gt;&lt;a href=|http://interlinearbible.org/ephesians/5.htm| title=|Interlinear Bible| target=|_top|&gt;Interlin&lt;/a&gt;</v>
      </c>
      <c r="Y1102" t="str">
        <f t="shared" ref="Y1102" si="4405">CONCATENATE("&lt;/li&gt;&lt;li&gt;&lt;a href=|http://",Y1191,"/ephesians/5.htm","| ","title=|",Y1190,"| target=|_top|&gt;",Y1192,"&lt;/a&gt;")</f>
        <v>&lt;/li&gt;&lt;li&gt;&lt;a href=|http://bibleoutline.org/ephesians/5.htm| title=|Outline with People and Places List| target=|_top|&gt;Outline&lt;/a&gt;</v>
      </c>
      <c r="Z1102" t="str">
        <f t="shared" si="4404"/>
        <v>&lt;/li&gt;&lt;li&gt;&lt;a href=|http://kjvs.scripturetext.com/ephesians/5.htm| title=|King James Bible with Strong's Numbers| target=|_top|&gt;Strong's&lt;/a&gt;</v>
      </c>
      <c r="AA1102" t="str">
        <f t="shared" si="4404"/>
        <v>&lt;/li&gt;&lt;li&gt;&lt;a href=|http://childrensbibleonline.com/ephesians/5.htm| title=|The Children's Bible| target=|_top|&gt;Children's&lt;/a&gt;</v>
      </c>
      <c r="AB1102" s="2" t="str">
        <f t="shared" si="4404"/>
        <v>&lt;/li&gt;&lt;li&gt;&lt;a href=|http://tsk.scripturetext.com/ephesians/5.htm| title=|Treasury of Scripture Knowledge| target=|_top|&gt;TSK&lt;/a&gt;</v>
      </c>
      <c r="AC1102" t="str">
        <f>CONCATENATE("&lt;a href=|http://",AC1191,"/ephesians/5.htm","| ","title=|",AC1190,"| target=|_top|&gt;",AC1192,"&lt;/a&gt;")</f>
        <v>&lt;a href=|http://parallelbible.com/ephesians/5.htm| title=|Parallel Chapters| target=|_top|&gt;PAR&lt;/a&gt;</v>
      </c>
      <c r="AD1102" s="2" t="str">
        <f t="shared" ref="AD1102:AI1102" si="4406">CONCATENATE("&lt;/li&gt;&lt;li&gt;&lt;a href=|http://",AD1191,"/ephesians/5.htm","| ","title=|",AD1190,"| target=|_top|&gt;",AD1192,"&lt;/a&gt;")</f>
        <v>&lt;/li&gt;&lt;li&gt;&lt;a href=|http://gsb.biblecommenter.com/ephesians/5.htm| title=|Geneva Study Bible| target=|_top|&gt;GSB&lt;/a&gt;</v>
      </c>
      <c r="AE1102" s="2" t="str">
        <f t="shared" si="4406"/>
        <v>&lt;/li&gt;&lt;li&gt;&lt;a href=|http://jfb.biblecommenter.com/ephesians/5.htm| title=|Jamieson-Fausset-Brown Bible Commentary| target=|_top|&gt;JFB&lt;/a&gt;</v>
      </c>
      <c r="AF1102" s="2" t="str">
        <f t="shared" si="4406"/>
        <v>&lt;/li&gt;&lt;li&gt;&lt;a href=|http://kjt.biblecommenter.com/ephesians/5.htm| title=|King James Translators' Notes| target=|_top|&gt;KJT&lt;/a&gt;</v>
      </c>
      <c r="AG1102" s="2" t="str">
        <f t="shared" si="4406"/>
        <v>&lt;/li&gt;&lt;li&gt;&lt;a href=|http://mhc.biblecommenter.com/ephesians/5.htm| title=|Matthew Henry's Concise Commentary| target=|_top|&gt;MHC&lt;/a&gt;</v>
      </c>
      <c r="AH1102" s="2" t="str">
        <f t="shared" si="4406"/>
        <v>&lt;/li&gt;&lt;li&gt;&lt;a href=|http://sco.biblecommenter.com/ephesians/5.htm| title=|Scofield Reference Notes| target=|_top|&gt;SCO&lt;/a&gt;</v>
      </c>
      <c r="AI1102" s="2" t="str">
        <f t="shared" si="4406"/>
        <v>&lt;/li&gt;&lt;li&gt;&lt;a href=|http://wes.biblecommenter.com/ephesians/5.htm| title=|Wesley's Notes on the Bible| target=|_top|&gt;WES&lt;/a&gt;</v>
      </c>
      <c r="AJ1102" t="str">
        <f>CONCATENATE("&lt;/li&gt;&lt;li&gt;&lt;a href=|http://",AJ1191,"/ephesians/5.htm","| ","title=|",AJ1190,"| target=|_top|&gt;",AJ1192,"&lt;/a&gt;")</f>
        <v>&lt;/li&gt;&lt;li&gt;&lt;a href=|http://worldebible.com/ephesians/5.htm| title=|World English Bible| target=|_top|&gt;WEB&lt;/a&gt;</v>
      </c>
      <c r="AK1102" t="str">
        <f>CONCATENATE("&lt;/li&gt;&lt;li&gt;&lt;a href=|http://",AK1191,"/ephesians/5.htm","| ","title=|",AK1190,"| target=|_top|&gt;",AK1192,"&lt;/a&gt;")</f>
        <v>&lt;/li&gt;&lt;li&gt;&lt;a href=|http://yltbible.com/ephesians/5.htm| title=|Young's Literal Translation| target=|_top|&gt;YLT&lt;/a&gt;</v>
      </c>
      <c r="AL1102" t="str">
        <f>CONCATENATE("&lt;a href=|http://",AL1191,"/ephesians/5.htm","| ","title=|",AL1190,"| target=|_top|&gt;",AL1192,"&lt;/a&gt;")</f>
        <v>&lt;a href=|http://kjv.us/ephesians/5.htm| title=|American King James Version| target=|_top|&gt;AKJ&lt;/a&gt;</v>
      </c>
      <c r="AM1102" t="str">
        <f t="shared" ref="AM1102:AS1102" si="4407">CONCATENATE("&lt;/li&gt;&lt;li&gt;&lt;a href=|http://",AM1191,"/ephesians/5.htm","| ","title=|",AM1190,"| target=|_top|&gt;",AM1192,"&lt;/a&gt;")</f>
        <v>&lt;/li&gt;&lt;li&gt;&lt;a href=|http://basicenglishbible.com/ephesians/5.htm| title=|Bible in Basic English| target=|_top|&gt;BBE&lt;/a&gt;</v>
      </c>
      <c r="AN1102" t="str">
        <f t="shared" si="4407"/>
        <v>&lt;/li&gt;&lt;li&gt;&lt;a href=|http://darbybible.com/ephesians/5.htm| title=|Darby Bible Translation| target=|_top|&gt;DBY&lt;/a&gt;</v>
      </c>
      <c r="AO1102" t="str">
        <f t="shared" si="4407"/>
        <v>&lt;/li&gt;&lt;li&gt;&lt;a href=|http://isv.scripturetext.com/ephesians/5.htm| title=|International Standard Version| target=|_top|&gt;ISV&lt;/a&gt;</v>
      </c>
      <c r="AP1102" t="str">
        <f t="shared" si="4407"/>
        <v>&lt;/li&gt;&lt;li&gt;&lt;a href=|http://tnt.scripturetext.com/ephesians/5.htm| title=|Tyndale New Testament| target=|_top|&gt;TNT&lt;/a&gt;</v>
      </c>
      <c r="AQ1102" s="2" t="str">
        <f t="shared" si="4407"/>
        <v>&lt;/li&gt;&lt;li&gt;&lt;a href=|http://pnt.biblecommenter.com/ephesians/5.htm| title=|People's New Testament| target=|_top|&gt;PNT&lt;/a&gt;</v>
      </c>
      <c r="AR1102" t="str">
        <f t="shared" si="4407"/>
        <v>&lt;/li&gt;&lt;li&gt;&lt;a href=|http://websterbible.com/ephesians/5.htm| title=|Webster's Bible Translation| target=|_top|&gt;WBS&lt;/a&gt;</v>
      </c>
      <c r="AS1102" t="str">
        <f t="shared" si="4407"/>
        <v>&lt;/li&gt;&lt;li&gt;&lt;a href=|http://weymouthbible.com/ephesians/5.htm| title=|Weymouth New Testament| target=|_top|&gt;WEY&lt;/a&gt;</v>
      </c>
      <c r="AT1102" t="str">
        <f>CONCATENATE("&lt;/li&gt;&lt;li&gt;&lt;a href=|http://",AT1191,"/ephesians/5-1.htm","| ","title=|",AT1190,"| target=|_top|&gt;",AT1192,"&lt;/a&gt;")</f>
        <v>&lt;/li&gt;&lt;li&gt;&lt;a href=|http://biblebrowser.com/ephesians/5-1.htm| title=|Split View| target=|_top|&gt;Split&lt;/a&gt;</v>
      </c>
      <c r="AU1102" s="2" t="s">
        <v>1276</v>
      </c>
      <c r="AV1102" t="s">
        <v>64</v>
      </c>
    </row>
    <row r="1103" spans="1:48">
      <c r="A1103" t="s">
        <v>622</v>
      </c>
      <c r="B1103" t="s">
        <v>534</v>
      </c>
      <c r="C1103" t="s">
        <v>624</v>
      </c>
      <c r="D1103" t="s">
        <v>1268</v>
      </c>
      <c r="E1103" t="s">
        <v>1277</v>
      </c>
      <c r="F1103" t="s">
        <v>1304</v>
      </c>
      <c r="G1103" t="s">
        <v>1266</v>
      </c>
      <c r="H1103" t="s">
        <v>1305</v>
      </c>
      <c r="I1103" t="s">
        <v>1303</v>
      </c>
      <c r="J1103" t="s">
        <v>1267</v>
      </c>
      <c r="K1103" t="s">
        <v>1275</v>
      </c>
      <c r="L1103" s="2" t="s">
        <v>1274</v>
      </c>
      <c r="M1103" t="str">
        <f t="shared" ref="M1103:AB1103" si="4408">CONCATENATE("&lt;/li&gt;&lt;li&gt;&lt;a href=|http://",M1191,"/ephesians/6.htm","| ","title=|",M1190,"| target=|_top|&gt;",M1192,"&lt;/a&gt;")</f>
        <v>&lt;/li&gt;&lt;li&gt;&lt;a href=|http://niv.scripturetext.com/ephesians/6.htm| title=|New International Version| target=|_top|&gt;NIV&lt;/a&gt;</v>
      </c>
      <c r="N1103" t="str">
        <f t="shared" si="4408"/>
        <v>&lt;/li&gt;&lt;li&gt;&lt;a href=|http://nlt.scripturetext.com/ephesians/6.htm| title=|New Living Translation| target=|_top|&gt;NLT&lt;/a&gt;</v>
      </c>
      <c r="O1103" t="str">
        <f t="shared" si="4408"/>
        <v>&lt;/li&gt;&lt;li&gt;&lt;a href=|http://nasb.scripturetext.com/ephesians/6.htm| title=|New American Standard Bible| target=|_top|&gt;NAS&lt;/a&gt;</v>
      </c>
      <c r="P1103" t="str">
        <f t="shared" si="4408"/>
        <v>&lt;/li&gt;&lt;li&gt;&lt;a href=|http://gwt.scripturetext.com/ephesians/6.htm| title=|God's Word Translation| target=|_top|&gt;GWT&lt;/a&gt;</v>
      </c>
      <c r="Q1103" t="str">
        <f t="shared" si="4408"/>
        <v>&lt;/li&gt;&lt;li&gt;&lt;a href=|http://kingjbible.com/ephesians/6.htm| title=|King James Bible| target=|_top|&gt;KJV&lt;/a&gt;</v>
      </c>
      <c r="R1103" t="str">
        <f t="shared" si="4408"/>
        <v>&lt;/li&gt;&lt;li&gt;&lt;a href=|http://asvbible.com/ephesians/6.htm| title=|American Standard Version| target=|_top|&gt;ASV&lt;/a&gt;</v>
      </c>
      <c r="S1103" t="str">
        <f t="shared" si="4408"/>
        <v>&lt;/li&gt;&lt;li&gt;&lt;a href=|http://drb.scripturetext.com/ephesians/6.htm| title=|Douay-Rheims Bible| target=|_top|&gt;DRB&lt;/a&gt;</v>
      </c>
      <c r="T1103" t="str">
        <f t="shared" si="4408"/>
        <v>&lt;/li&gt;&lt;li&gt;&lt;a href=|http://erv.scripturetext.com/ephesians/6.htm| title=|English Revised Version| target=|_top|&gt;ERV&lt;/a&gt;</v>
      </c>
      <c r="U1103" t="str">
        <f>CONCATENATE("&lt;/li&gt;&lt;li&gt;&lt;a href=|http://",U1191,"/ephesians/6.htm","| ","title=|",U1190,"| target=|_top|&gt;",U1192,"&lt;/a&gt;")</f>
        <v>&lt;/li&gt;&lt;li&gt;&lt;a href=|http://study.interlinearbible.org/ephesians/6.htm| title=|Greek Study Bible| target=|_top|&gt;Grk Study&lt;/a&gt;</v>
      </c>
      <c r="W1103" t="str">
        <f t="shared" si="4408"/>
        <v>&lt;/li&gt;&lt;li&gt;&lt;a href=|http://apostolic.interlinearbible.org/ephesians/6.htm| title=|Apostolic Bible Polyglot Interlinear| target=|_top|&gt;Polyglot&lt;/a&gt;</v>
      </c>
      <c r="X1103" t="str">
        <f t="shared" si="4408"/>
        <v>&lt;/li&gt;&lt;li&gt;&lt;a href=|http://interlinearbible.org/ephesians/6.htm| title=|Interlinear Bible| target=|_top|&gt;Interlin&lt;/a&gt;</v>
      </c>
      <c r="Y1103" t="str">
        <f t="shared" ref="Y1103" si="4409">CONCATENATE("&lt;/li&gt;&lt;li&gt;&lt;a href=|http://",Y1191,"/ephesians/6.htm","| ","title=|",Y1190,"| target=|_top|&gt;",Y1192,"&lt;/a&gt;")</f>
        <v>&lt;/li&gt;&lt;li&gt;&lt;a href=|http://bibleoutline.org/ephesians/6.htm| title=|Outline with People and Places List| target=|_top|&gt;Outline&lt;/a&gt;</v>
      </c>
      <c r="Z1103" t="str">
        <f t="shared" si="4408"/>
        <v>&lt;/li&gt;&lt;li&gt;&lt;a href=|http://kjvs.scripturetext.com/ephesians/6.htm| title=|King James Bible with Strong's Numbers| target=|_top|&gt;Strong's&lt;/a&gt;</v>
      </c>
      <c r="AA1103" t="str">
        <f t="shared" si="4408"/>
        <v>&lt;/li&gt;&lt;li&gt;&lt;a href=|http://childrensbibleonline.com/ephesians/6.htm| title=|The Children's Bible| target=|_top|&gt;Children's&lt;/a&gt;</v>
      </c>
      <c r="AB1103" s="2" t="str">
        <f t="shared" si="4408"/>
        <v>&lt;/li&gt;&lt;li&gt;&lt;a href=|http://tsk.scripturetext.com/ephesians/6.htm| title=|Treasury of Scripture Knowledge| target=|_top|&gt;TSK&lt;/a&gt;</v>
      </c>
      <c r="AC1103" t="str">
        <f>CONCATENATE("&lt;a href=|http://",AC1191,"/ephesians/6.htm","| ","title=|",AC1190,"| target=|_top|&gt;",AC1192,"&lt;/a&gt;")</f>
        <v>&lt;a href=|http://parallelbible.com/ephesians/6.htm| title=|Parallel Chapters| target=|_top|&gt;PAR&lt;/a&gt;</v>
      </c>
      <c r="AD1103" s="2" t="str">
        <f t="shared" ref="AD1103:AI1103" si="4410">CONCATENATE("&lt;/li&gt;&lt;li&gt;&lt;a href=|http://",AD1191,"/ephesians/6.htm","| ","title=|",AD1190,"| target=|_top|&gt;",AD1192,"&lt;/a&gt;")</f>
        <v>&lt;/li&gt;&lt;li&gt;&lt;a href=|http://gsb.biblecommenter.com/ephesians/6.htm| title=|Geneva Study Bible| target=|_top|&gt;GSB&lt;/a&gt;</v>
      </c>
      <c r="AE1103" s="2" t="str">
        <f t="shared" si="4410"/>
        <v>&lt;/li&gt;&lt;li&gt;&lt;a href=|http://jfb.biblecommenter.com/ephesians/6.htm| title=|Jamieson-Fausset-Brown Bible Commentary| target=|_top|&gt;JFB&lt;/a&gt;</v>
      </c>
      <c r="AF1103" s="2" t="str">
        <f t="shared" si="4410"/>
        <v>&lt;/li&gt;&lt;li&gt;&lt;a href=|http://kjt.biblecommenter.com/ephesians/6.htm| title=|King James Translators' Notes| target=|_top|&gt;KJT&lt;/a&gt;</v>
      </c>
      <c r="AG1103" s="2" t="str">
        <f t="shared" si="4410"/>
        <v>&lt;/li&gt;&lt;li&gt;&lt;a href=|http://mhc.biblecommenter.com/ephesians/6.htm| title=|Matthew Henry's Concise Commentary| target=|_top|&gt;MHC&lt;/a&gt;</v>
      </c>
      <c r="AH1103" s="2" t="str">
        <f t="shared" si="4410"/>
        <v>&lt;/li&gt;&lt;li&gt;&lt;a href=|http://sco.biblecommenter.com/ephesians/6.htm| title=|Scofield Reference Notes| target=|_top|&gt;SCO&lt;/a&gt;</v>
      </c>
      <c r="AI1103" s="2" t="str">
        <f t="shared" si="4410"/>
        <v>&lt;/li&gt;&lt;li&gt;&lt;a href=|http://wes.biblecommenter.com/ephesians/6.htm| title=|Wesley's Notes on the Bible| target=|_top|&gt;WES&lt;/a&gt;</v>
      </c>
      <c r="AJ1103" t="str">
        <f>CONCATENATE("&lt;/li&gt;&lt;li&gt;&lt;a href=|http://",AJ1191,"/ephesians/6.htm","| ","title=|",AJ1190,"| target=|_top|&gt;",AJ1192,"&lt;/a&gt;")</f>
        <v>&lt;/li&gt;&lt;li&gt;&lt;a href=|http://worldebible.com/ephesians/6.htm| title=|World English Bible| target=|_top|&gt;WEB&lt;/a&gt;</v>
      </c>
      <c r="AK1103" t="str">
        <f>CONCATENATE("&lt;/li&gt;&lt;li&gt;&lt;a href=|http://",AK1191,"/ephesians/6.htm","| ","title=|",AK1190,"| target=|_top|&gt;",AK1192,"&lt;/a&gt;")</f>
        <v>&lt;/li&gt;&lt;li&gt;&lt;a href=|http://yltbible.com/ephesians/6.htm| title=|Young's Literal Translation| target=|_top|&gt;YLT&lt;/a&gt;</v>
      </c>
      <c r="AL1103" t="str">
        <f>CONCATENATE("&lt;a href=|http://",AL1191,"/ephesians/6.htm","| ","title=|",AL1190,"| target=|_top|&gt;",AL1192,"&lt;/a&gt;")</f>
        <v>&lt;a href=|http://kjv.us/ephesians/6.htm| title=|American King James Version| target=|_top|&gt;AKJ&lt;/a&gt;</v>
      </c>
      <c r="AM1103" t="str">
        <f t="shared" ref="AM1103:AS1103" si="4411">CONCATENATE("&lt;/li&gt;&lt;li&gt;&lt;a href=|http://",AM1191,"/ephesians/6.htm","| ","title=|",AM1190,"| target=|_top|&gt;",AM1192,"&lt;/a&gt;")</f>
        <v>&lt;/li&gt;&lt;li&gt;&lt;a href=|http://basicenglishbible.com/ephesians/6.htm| title=|Bible in Basic English| target=|_top|&gt;BBE&lt;/a&gt;</v>
      </c>
      <c r="AN1103" t="str">
        <f t="shared" si="4411"/>
        <v>&lt;/li&gt;&lt;li&gt;&lt;a href=|http://darbybible.com/ephesians/6.htm| title=|Darby Bible Translation| target=|_top|&gt;DBY&lt;/a&gt;</v>
      </c>
      <c r="AO1103" t="str">
        <f t="shared" si="4411"/>
        <v>&lt;/li&gt;&lt;li&gt;&lt;a href=|http://isv.scripturetext.com/ephesians/6.htm| title=|International Standard Version| target=|_top|&gt;ISV&lt;/a&gt;</v>
      </c>
      <c r="AP1103" t="str">
        <f t="shared" si="4411"/>
        <v>&lt;/li&gt;&lt;li&gt;&lt;a href=|http://tnt.scripturetext.com/ephesians/6.htm| title=|Tyndale New Testament| target=|_top|&gt;TNT&lt;/a&gt;</v>
      </c>
      <c r="AQ1103" s="2" t="str">
        <f t="shared" si="4411"/>
        <v>&lt;/li&gt;&lt;li&gt;&lt;a href=|http://pnt.biblecommenter.com/ephesians/6.htm| title=|People's New Testament| target=|_top|&gt;PNT&lt;/a&gt;</v>
      </c>
      <c r="AR1103" t="str">
        <f t="shared" si="4411"/>
        <v>&lt;/li&gt;&lt;li&gt;&lt;a href=|http://websterbible.com/ephesians/6.htm| title=|Webster's Bible Translation| target=|_top|&gt;WBS&lt;/a&gt;</v>
      </c>
      <c r="AS1103" t="str">
        <f t="shared" si="4411"/>
        <v>&lt;/li&gt;&lt;li&gt;&lt;a href=|http://weymouthbible.com/ephesians/6.htm| title=|Weymouth New Testament| target=|_top|&gt;WEY&lt;/a&gt;</v>
      </c>
      <c r="AT1103" t="str">
        <f>CONCATENATE("&lt;/li&gt;&lt;li&gt;&lt;a href=|http://",AT1191,"/ephesians/6-1.htm","| ","title=|",AT1190,"| target=|_top|&gt;",AT1192,"&lt;/a&gt;")</f>
        <v>&lt;/li&gt;&lt;li&gt;&lt;a href=|http://biblebrowser.com/ephesians/6-1.htm| title=|Split View| target=|_top|&gt;Split&lt;/a&gt;</v>
      </c>
      <c r="AU1103" s="2" t="s">
        <v>1276</v>
      </c>
      <c r="AV1103" t="s">
        <v>64</v>
      </c>
    </row>
    <row r="1104" spans="1:48">
      <c r="A1104" t="s">
        <v>622</v>
      </c>
      <c r="B1104" t="s">
        <v>535</v>
      </c>
      <c r="C1104" t="s">
        <v>624</v>
      </c>
      <c r="D1104" t="s">
        <v>1268</v>
      </c>
      <c r="E1104" t="s">
        <v>1277</v>
      </c>
      <c r="F1104" t="s">
        <v>1304</v>
      </c>
      <c r="G1104" t="s">
        <v>1266</v>
      </c>
      <c r="H1104" t="s">
        <v>1305</v>
      </c>
      <c r="I1104" t="s">
        <v>1303</v>
      </c>
      <c r="J1104" t="s">
        <v>1267</v>
      </c>
      <c r="K1104" t="s">
        <v>1275</v>
      </c>
      <c r="L1104" s="2" t="s">
        <v>1274</v>
      </c>
      <c r="M1104" t="str">
        <f t="shared" ref="M1104:AB1104" si="4412">CONCATENATE("&lt;/li&gt;&lt;li&gt;&lt;a href=|http://",M1191,"/philippians/1.htm","| ","title=|",M1190,"| target=|_top|&gt;",M1192,"&lt;/a&gt;")</f>
        <v>&lt;/li&gt;&lt;li&gt;&lt;a href=|http://niv.scripturetext.com/philippians/1.htm| title=|New International Version| target=|_top|&gt;NIV&lt;/a&gt;</v>
      </c>
      <c r="N1104" t="str">
        <f t="shared" si="4412"/>
        <v>&lt;/li&gt;&lt;li&gt;&lt;a href=|http://nlt.scripturetext.com/philippians/1.htm| title=|New Living Translation| target=|_top|&gt;NLT&lt;/a&gt;</v>
      </c>
      <c r="O1104" t="str">
        <f t="shared" si="4412"/>
        <v>&lt;/li&gt;&lt;li&gt;&lt;a href=|http://nasb.scripturetext.com/philippians/1.htm| title=|New American Standard Bible| target=|_top|&gt;NAS&lt;/a&gt;</v>
      </c>
      <c r="P1104" t="str">
        <f t="shared" si="4412"/>
        <v>&lt;/li&gt;&lt;li&gt;&lt;a href=|http://gwt.scripturetext.com/philippians/1.htm| title=|God's Word Translation| target=|_top|&gt;GWT&lt;/a&gt;</v>
      </c>
      <c r="Q1104" t="str">
        <f t="shared" si="4412"/>
        <v>&lt;/li&gt;&lt;li&gt;&lt;a href=|http://kingjbible.com/philippians/1.htm| title=|King James Bible| target=|_top|&gt;KJV&lt;/a&gt;</v>
      </c>
      <c r="R1104" t="str">
        <f t="shared" si="4412"/>
        <v>&lt;/li&gt;&lt;li&gt;&lt;a href=|http://asvbible.com/philippians/1.htm| title=|American Standard Version| target=|_top|&gt;ASV&lt;/a&gt;</v>
      </c>
      <c r="S1104" t="str">
        <f t="shared" si="4412"/>
        <v>&lt;/li&gt;&lt;li&gt;&lt;a href=|http://drb.scripturetext.com/philippians/1.htm| title=|Douay-Rheims Bible| target=|_top|&gt;DRB&lt;/a&gt;</v>
      </c>
      <c r="T1104" t="str">
        <f t="shared" si="4412"/>
        <v>&lt;/li&gt;&lt;li&gt;&lt;a href=|http://erv.scripturetext.com/philippians/1.htm| title=|English Revised Version| target=|_top|&gt;ERV&lt;/a&gt;</v>
      </c>
      <c r="U1104" t="str">
        <f>CONCATENATE("&lt;/li&gt;&lt;li&gt;&lt;a href=|http://",U1191,"/philippians/1.htm","| ","title=|",U1190,"| target=|_top|&gt;",U1192,"&lt;/a&gt;")</f>
        <v>&lt;/li&gt;&lt;li&gt;&lt;a href=|http://study.interlinearbible.org/philippians/1.htm| title=|Greek Study Bible| target=|_top|&gt;Grk Study&lt;/a&gt;</v>
      </c>
      <c r="W1104" t="str">
        <f t="shared" si="4412"/>
        <v>&lt;/li&gt;&lt;li&gt;&lt;a href=|http://apostolic.interlinearbible.org/philippians/1.htm| title=|Apostolic Bible Polyglot Interlinear| target=|_top|&gt;Polyglot&lt;/a&gt;</v>
      </c>
      <c r="X1104" t="str">
        <f t="shared" si="4412"/>
        <v>&lt;/li&gt;&lt;li&gt;&lt;a href=|http://interlinearbible.org/philippians/1.htm| title=|Interlinear Bible| target=|_top|&gt;Interlin&lt;/a&gt;</v>
      </c>
      <c r="Y1104" t="str">
        <f t="shared" ref="Y1104" si="4413">CONCATENATE("&lt;/li&gt;&lt;li&gt;&lt;a href=|http://",Y1191,"/philippians/1.htm","| ","title=|",Y1190,"| target=|_top|&gt;",Y1192,"&lt;/a&gt;")</f>
        <v>&lt;/li&gt;&lt;li&gt;&lt;a href=|http://bibleoutline.org/philippians/1.htm| title=|Outline with People and Places List| target=|_top|&gt;Outline&lt;/a&gt;</v>
      </c>
      <c r="Z1104" t="str">
        <f t="shared" si="4412"/>
        <v>&lt;/li&gt;&lt;li&gt;&lt;a href=|http://kjvs.scripturetext.com/philippians/1.htm| title=|King James Bible with Strong's Numbers| target=|_top|&gt;Strong's&lt;/a&gt;</v>
      </c>
      <c r="AA1104" t="str">
        <f t="shared" si="4412"/>
        <v>&lt;/li&gt;&lt;li&gt;&lt;a href=|http://childrensbibleonline.com/philippians/1.htm| title=|The Children's Bible| target=|_top|&gt;Children's&lt;/a&gt;</v>
      </c>
      <c r="AB1104" s="2" t="str">
        <f t="shared" si="4412"/>
        <v>&lt;/li&gt;&lt;li&gt;&lt;a href=|http://tsk.scripturetext.com/philippians/1.htm| title=|Treasury of Scripture Knowledge| target=|_top|&gt;TSK&lt;/a&gt;</v>
      </c>
      <c r="AC1104" t="str">
        <f>CONCATENATE("&lt;a href=|http://",AC1191,"/philippians/1.htm","| ","title=|",AC1190,"| target=|_top|&gt;",AC1192,"&lt;/a&gt;")</f>
        <v>&lt;a href=|http://parallelbible.com/philippians/1.htm| title=|Parallel Chapters| target=|_top|&gt;PAR&lt;/a&gt;</v>
      </c>
      <c r="AD1104" s="2" t="str">
        <f t="shared" ref="AD1104:AI1104" si="4414">CONCATENATE("&lt;/li&gt;&lt;li&gt;&lt;a href=|http://",AD1191,"/philippians/1.htm","| ","title=|",AD1190,"| target=|_top|&gt;",AD1192,"&lt;/a&gt;")</f>
        <v>&lt;/li&gt;&lt;li&gt;&lt;a href=|http://gsb.biblecommenter.com/philippians/1.htm| title=|Geneva Study Bible| target=|_top|&gt;GSB&lt;/a&gt;</v>
      </c>
      <c r="AE1104" s="2" t="str">
        <f t="shared" si="4414"/>
        <v>&lt;/li&gt;&lt;li&gt;&lt;a href=|http://jfb.biblecommenter.com/philippians/1.htm| title=|Jamieson-Fausset-Brown Bible Commentary| target=|_top|&gt;JFB&lt;/a&gt;</v>
      </c>
      <c r="AF1104" s="2" t="str">
        <f t="shared" si="4414"/>
        <v>&lt;/li&gt;&lt;li&gt;&lt;a href=|http://kjt.biblecommenter.com/philippians/1.htm| title=|King James Translators' Notes| target=|_top|&gt;KJT&lt;/a&gt;</v>
      </c>
      <c r="AG1104" s="2" t="str">
        <f t="shared" si="4414"/>
        <v>&lt;/li&gt;&lt;li&gt;&lt;a href=|http://mhc.biblecommenter.com/philippians/1.htm| title=|Matthew Henry's Concise Commentary| target=|_top|&gt;MHC&lt;/a&gt;</v>
      </c>
      <c r="AH1104" s="2" t="str">
        <f t="shared" si="4414"/>
        <v>&lt;/li&gt;&lt;li&gt;&lt;a href=|http://sco.biblecommenter.com/philippians/1.htm| title=|Scofield Reference Notes| target=|_top|&gt;SCO&lt;/a&gt;</v>
      </c>
      <c r="AI1104" s="2" t="str">
        <f t="shared" si="4414"/>
        <v>&lt;/li&gt;&lt;li&gt;&lt;a href=|http://wes.biblecommenter.com/philippians/1.htm| title=|Wesley's Notes on the Bible| target=|_top|&gt;WES&lt;/a&gt;</v>
      </c>
      <c r="AJ1104" t="str">
        <f>CONCATENATE("&lt;/li&gt;&lt;li&gt;&lt;a href=|http://",AJ1191,"/philippians/1.htm","| ","title=|",AJ1190,"| target=|_top|&gt;",AJ1192,"&lt;/a&gt;")</f>
        <v>&lt;/li&gt;&lt;li&gt;&lt;a href=|http://worldebible.com/philippians/1.htm| title=|World English Bible| target=|_top|&gt;WEB&lt;/a&gt;</v>
      </c>
      <c r="AK1104" t="str">
        <f>CONCATENATE("&lt;/li&gt;&lt;li&gt;&lt;a href=|http://",AK1191,"/philippians/1.htm","| ","title=|",AK1190,"| target=|_top|&gt;",AK1192,"&lt;/a&gt;")</f>
        <v>&lt;/li&gt;&lt;li&gt;&lt;a href=|http://yltbible.com/philippians/1.htm| title=|Young's Literal Translation| target=|_top|&gt;YLT&lt;/a&gt;</v>
      </c>
      <c r="AL1104" t="str">
        <f>CONCATENATE("&lt;a href=|http://",AL1191,"/philippians/1.htm","| ","title=|",AL1190,"| target=|_top|&gt;",AL1192,"&lt;/a&gt;")</f>
        <v>&lt;a href=|http://kjv.us/philippians/1.htm| title=|American King James Version| target=|_top|&gt;AKJ&lt;/a&gt;</v>
      </c>
      <c r="AM1104" t="str">
        <f t="shared" ref="AM1104:AS1104" si="4415">CONCATENATE("&lt;/li&gt;&lt;li&gt;&lt;a href=|http://",AM1191,"/philippians/1.htm","| ","title=|",AM1190,"| target=|_top|&gt;",AM1192,"&lt;/a&gt;")</f>
        <v>&lt;/li&gt;&lt;li&gt;&lt;a href=|http://basicenglishbible.com/philippians/1.htm| title=|Bible in Basic English| target=|_top|&gt;BBE&lt;/a&gt;</v>
      </c>
      <c r="AN1104" t="str">
        <f t="shared" si="4415"/>
        <v>&lt;/li&gt;&lt;li&gt;&lt;a href=|http://darbybible.com/philippians/1.htm| title=|Darby Bible Translation| target=|_top|&gt;DBY&lt;/a&gt;</v>
      </c>
      <c r="AO1104" t="str">
        <f t="shared" si="4415"/>
        <v>&lt;/li&gt;&lt;li&gt;&lt;a href=|http://isv.scripturetext.com/philippians/1.htm| title=|International Standard Version| target=|_top|&gt;ISV&lt;/a&gt;</v>
      </c>
      <c r="AP1104" t="str">
        <f t="shared" si="4415"/>
        <v>&lt;/li&gt;&lt;li&gt;&lt;a href=|http://tnt.scripturetext.com/philippians/1.htm| title=|Tyndale New Testament| target=|_top|&gt;TNT&lt;/a&gt;</v>
      </c>
      <c r="AQ1104" s="2" t="str">
        <f t="shared" si="4415"/>
        <v>&lt;/li&gt;&lt;li&gt;&lt;a href=|http://pnt.biblecommenter.com/philippians/1.htm| title=|People's New Testament| target=|_top|&gt;PNT&lt;/a&gt;</v>
      </c>
      <c r="AR1104" t="str">
        <f t="shared" si="4415"/>
        <v>&lt;/li&gt;&lt;li&gt;&lt;a href=|http://websterbible.com/philippians/1.htm| title=|Webster's Bible Translation| target=|_top|&gt;WBS&lt;/a&gt;</v>
      </c>
      <c r="AS1104" t="str">
        <f t="shared" si="4415"/>
        <v>&lt;/li&gt;&lt;li&gt;&lt;a href=|http://weymouthbible.com/philippians/1.htm| title=|Weymouth New Testament| target=|_top|&gt;WEY&lt;/a&gt;</v>
      </c>
      <c r="AT1104" t="str">
        <f>CONCATENATE("&lt;/li&gt;&lt;li&gt;&lt;a href=|http://",AT1191,"/philippians/1-1.htm","| ","title=|",AT1190,"| target=|_top|&gt;",AT1192,"&lt;/a&gt;")</f>
        <v>&lt;/li&gt;&lt;li&gt;&lt;a href=|http://biblebrowser.com/philippians/1-1.htm| title=|Split View| target=|_top|&gt;Split&lt;/a&gt;</v>
      </c>
      <c r="AU1104" s="2" t="s">
        <v>1276</v>
      </c>
      <c r="AV1104" t="s">
        <v>64</v>
      </c>
    </row>
    <row r="1105" spans="1:48">
      <c r="A1105" t="s">
        <v>622</v>
      </c>
      <c r="B1105" t="s">
        <v>536</v>
      </c>
      <c r="C1105" t="s">
        <v>624</v>
      </c>
      <c r="D1105" t="s">
        <v>1268</v>
      </c>
      <c r="E1105" t="s">
        <v>1277</v>
      </c>
      <c r="F1105" t="s">
        <v>1304</v>
      </c>
      <c r="G1105" t="s">
        <v>1266</v>
      </c>
      <c r="H1105" t="s">
        <v>1305</v>
      </c>
      <c r="I1105" t="s">
        <v>1303</v>
      </c>
      <c r="J1105" t="s">
        <v>1267</v>
      </c>
      <c r="K1105" t="s">
        <v>1275</v>
      </c>
      <c r="L1105" s="2" t="s">
        <v>1274</v>
      </c>
      <c r="M1105" t="str">
        <f t="shared" ref="M1105:AB1105" si="4416">CONCATENATE("&lt;/li&gt;&lt;li&gt;&lt;a href=|http://",M1191,"/philippians/2.htm","| ","title=|",M1190,"| target=|_top|&gt;",M1192,"&lt;/a&gt;")</f>
        <v>&lt;/li&gt;&lt;li&gt;&lt;a href=|http://niv.scripturetext.com/philippians/2.htm| title=|New International Version| target=|_top|&gt;NIV&lt;/a&gt;</v>
      </c>
      <c r="N1105" t="str">
        <f t="shared" si="4416"/>
        <v>&lt;/li&gt;&lt;li&gt;&lt;a href=|http://nlt.scripturetext.com/philippians/2.htm| title=|New Living Translation| target=|_top|&gt;NLT&lt;/a&gt;</v>
      </c>
      <c r="O1105" t="str">
        <f t="shared" si="4416"/>
        <v>&lt;/li&gt;&lt;li&gt;&lt;a href=|http://nasb.scripturetext.com/philippians/2.htm| title=|New American Standard Bible| target=|_top|&gt;NAS&lt;/a&gt;</v>
      </c>
      <c r="P1105" t="str">
        <f t="shared" si="4416"/>
        <v>&lt;/li&gt;&lt;li&gt;&lt;a href=|http://gwt.scripturetext.com/philippians/2.htm| title=|God's Word Translation| target=|_top|&gt;GWT&lt;/a&gt;</v>
      </c>
      <c r="Q1105" t="str">
        <f t="shared" si="4416"/>
        <v>&lt;/li&gt;&lt;li&gt;&lt;a href=|http://kingjbible.com/philippians/2.htm| title=|King James Bible| target=|_top|&gt;KJV&lt;/a&gt;</v>
      </c>
      <c r="R1105" t="str">
        <f t="shared" si="4416"/>
        <v>&lt;/li&gt;&lt;li&gt;&lt;a href=|http://asvbible.com/philippians/2.htm| title=|American Standard Version| target=|_top|&gt;ASV&lt;/a&gt;</v>
      </c>
      <c r="S1105" t="str">
        <f t="shared" si="4416"/>
        <v>&lt;/li&gt;&lt;li&gt;&lt;a href=|http://drb.scripturetext.com/philippians/2.htm| title=|Douay-Rheims Bible| target=|_top|&gt;DRB&lt;/a&gt;</v>
      </c>
      <c r="T1105" t="str">
        <f t="shared" si="4416"/>
        <v>&lt;/li&gt;&lt;li&gt;&lt;a href=|http://erv.scripturetext.com/philippians/2.htm| title=|English Revised Version| target=|_top|&gt;ERV&lt;/a&gt;</v>
      </c>
      <c r="U1105" t="str">
        <f>CONCATENATE("&lt;/li&gt;&lt;li&gt;&lt;a href=|http://",U1191,"/philippians/2.htm","| ","title=|",U1190,"| target=|_top|&gt;",U1192,"&lt;/a&gt;")</f>
        <v>&lt;/li&gt;&lt;li&gt;&lt;a href=|http://study.interlinearbible.org/philippians/2.htm| title=|Greek Study Bible| target=|_top|&gt;Grk Study&lt;/a&gt;</v>
      </c>
      <c r="W1105" t="str">
        <f t="shared" si="4416"/>
        <v>&lt;/li&gt;&lt;li&gt;&lt;a href=|http://apostolic.interlinearbible.org/philippians/2.htm| title=|Apostolic Bible Polyglot Interlinear| target=|_top|&gt;Polyglot&lt;/a&gt;</v>
      </c>
      <c r="X1105" t="str">
        <f t="shared" si="4416"/>
        <v>&lt;/li&gt;&lt;li&gt;&lt;a href=|http://interlinearbible.org/philippians/2.htm| title=|Interlinear Bible| target=|_top|&gt;Interlin&lt;/a&gt;</v>
      </c>
      <c r="Y1105" t="str">
        <f t="shared" ref="Y1105" si="4417">CONCATENATE("&lt;/li&gt;&lt;li&gt;&lt;a href=|http://",Y1191,"/philippians/2.htm","| ","title=|",Y1190,"| target=|_top|&gt;",Y1192,"&lt;/a&gt;")</f>
        <v>&lt;/li&gt;&lt;li&gt;&lt;a href=|http://bibleoutline.org/philippians/2.htm| title=|Outline with People and Places List| target=|_top|&gt;Outline&lt;/a&gt;</v>
      </c>
      <c r="Z1105" t="str">
        <f t="shared" si="4416"/>
        <v>&lt;/li&gt;&lt;li&gt;&lt;a href=|http://kjvs.scripturetext.com/philippians/2.htm| title=|King James Bible with Strong's Numbers| target=|_top|&gt;Strong's&lt;/a&gt;</v>
      </c>
      <c r="AA1105" t="str">
        <f t="shared" si="4416"/>
        <v>&lt;/li&gt;&lt;li&gt;&lt;a href=|http://childrensbibleonline.com/philippians/2.htm| title=|The Children's Bible| target=|_top|&gt;Children's&lt;/a&gt;</v>
      </c>
      <c r="AB1105" s="2" t="str">
        <f t="shared" si="4416"/>
        <v>&lt;/li&gt;&lt;li&gt;&lt;a href=|http://tsk.scripturetext.com/philippians/2.htm| title=|Treasury of Scripture Knowledge| target=|_top|&gt;TSK&lt;/a&gt;</v>
      </c>
      <c r="AC1105" t="str">
        <f>CONCATENATE("&lt;a href=|http://",AC1191,"/philippians/2.htm","| ","title=|",AC1190,"| target=|_top|&gt;",AC1192,"&lt;/a&gt;")</f>
        <v>&lt;a href=|http://parallelbible.com/philippians/2.htm| title=|Parallel Chapters| target=|_top|&gt;PAR&lt;/a&gt;</v>
      </c>
      <c r="AD1105" s="2" t="str">
        <f t="shared" ref="AD1105:AI1105" si="4418">CONCATENATE("&lt;/li&gt;&lt;li&gt;&lt;a href=|http://",AD1191,"/philippians/2.htm","| ","title=|",AD1190,"| target=|_top|&gt;",AD1192,"&lt;/a&gt;")</f>
        <v>&lt;/li&gt;&lt;li&gt;&lt;a href=|http://gsb.biblecommenter.com/philippians/2.htm| title=|Geneva Study Bible| target=|_top|&gt;GSB&lt;/a&gt;</v>
      </c>
      <c r="AE1105" s="2" t="str">
        <f t="shared" si="4418"/>
        <v>&lt;/li&gt;&lt;li&gt;&lt;a href=|http://jfb.biblecommenter.com/philippians/2.htm| title=|Jamieson-Fausset-Brown Bible Commentary| target=|_top|&gt;JFB&lt;/a&gt;</v>
      </c>
      <c r="AF1105" s="2" t="str">
        <f t="shared" si="4418"/>
        <v>&lt;/li&gt;&lt;li&gt;&lt;a href=|http://kjt.biblecommenter.com/philippians/2.htm| title=|King James Translators' Notes| target=|_top|&gt;KJT&lt;/a&gt;</v>
      </c>
      <c r="AG1105" s="2" t="str">
        <f t="shared" si="4418"/>
        <v>&lt;/li&gt;&lt;li&gt;&lt;a href=|http://mhc.biblecommenter.com/philippians/2.htm| title=|Matthew Henry's Concise Commentary| target=|_top|&gt;MHC&lt;/a&gt;</v>
      </c>
      <c r="AH1105" s="2" t="str">
        <f t="shared" si="4418"/>
        <v>&lt;/li&gt;&lt;li&gt;&lt;a href=|http://sco.biblecommenter.com/philippians/2.htm| title=|Scofield Reference Notes| target=|_top|&gt;SCO&lt;/a&gt;</v>
      </c>
      <c r="AI1105" s="2" t="str">
        <f t="shared" si="4418"/>
        <v>&lt;/li&gt;&lt;li&gt;&lt;a href=|http://wes.biblecommenter.com/philippians/2.htm| title=|Wesley's Notes on the Bible| target=|_top|&gt;WES&lt;/a&gt;</v>
      </c>
      <c r="AJ1105" t="str">
        <f>CONCATENATE("&lt;/li&gt;&lt;li&gt;&lt;a href=|http://",AJ1191,"/philippians/2.htm","| ","title=|",AJ1190,"| target=|_top|&gt;",AJ1192,"&lt;/a&gt;")</f>
        <v>&lt;/li&gt;&lt;li&gt;&lt;a href=|http://worldebible.com/philippians/2.htm| title=|World English Bible| target=|_top|&gt;WEB&lt;/a&gt;</v>
      </c>
      <c r="AK1105" t="str">
        <f>CONCATENATE("&lt;/li&gt;&lt;li&gt;&lt;a href=|http://",AK1191,"/philippians/2.htm","| ","title=|",AK1190,"| target=|_top|&gt;",AK1192,"&lt;/a&gt;")</f>
        <v>&lt;/li&gt;&lt;li&gt;&lt;a href=|http://yltbible.com/philippians/2.htm| title=|Young's Literal Translation| target=|_top|&gt;YLT&lt;/a&gt;</v>
      </c>
      <c r="AL1105" t="str">
        <f>CONCATENATE("&lt;a href=|http://",AL1191,"/philippians/2.htm","| ","title=|",AL1190,"| target=|_top|&gt;",AL1192,"&lt;/a&gt;")</f>
        <v>&lt;a href=|http://kjv.us/philippians/2.htm| title=|American King James Version| target=|_top|&gt;AKJ&lt;/a&gt;</v>
      </c>
      <c r="AM1105" t="str">
        <f t="shared" ref="AM1105:AS1105" si="4419">CONCATENATE("&lt;/li&gt;&lt;li&gt;&lt;a href=|http://",AM1191,"/philippians/2.htm","| ","title=|",AM1190,"| target=|_top|&gt;",AM1192,"&lt;/a&gt;")</f>
        <v>&lt;/li&gt;&lt;li&gt;&lt;a href=|http://basicenglishbible.com/philippians/2.htm| title=|Bible in Basic English| target=|_top|&gt;BBE&lt;/a&gt;</v>
      </c>
      <c r="AN1105" t="str">
        <f t="shared" si="4419"/>
        <v>&lt;/li&gt;&lt;li&gt;&lt;a href=|http://darbybible.com/philippians/2.htm| title=|Darby Bible Translation| target=|_top|&gt;DBY&lt;/a&gt;</v>
      </c>
      <c r="AO1105" t="str">
        <f t="shared" si="4419"/>
        <v>&lt;/li&gt;&lt;li&gt;&lt;a href=|http://isv.scripturetext.com/philippians/2.htm| title=|International Standard Version| target=|_top|&gt;ISV&lt;/a&gt;</v>
      </c>
      <c r="AP1105" t="str">
        <f t="shared" si="4419"/>
        <v>&lt;/li&gt;&lt;li&gt;&lt;a href=|http://tnt.scripturetext.com/philippians/2.htm| title=|Tyndale New Testament| target=|_top|&gt;TNT&lt;/a&gt;</v>
      </c>
      <c r="AQ1105" s="2" t="str">
        <f t="shared" si="4419"/>
        <v>&lt;/li&gt;&lt;li&gt;&lt;a href=|http://pnt.biblecommenter.com/philippians/2.htm| title=|People's New Testament| target=|_top|&gt;PNT&lt;/a&gt;</v>
      </c>
      <c r="AR1105" t="str">
        <f t="shared" si="4419"/>
        <v>&lt;/li&gt;&lt;li&gt;&lt;a href=|http://websterbible.com/philippians/2.htm| title=|Webster's Bible Translation| target=|_top|&gt;WBS&lt;/a&gt;</v>
      </c>
      <c r="AS1105" t="str">
        <f t="shared" si="4419"/>
        <v>&lt;/li&gt;&lt;li&gt;&lt;a href=|http://weymouthbible.com/philippians/2.htm| title=|Weymouth New Testament| target=|_top|&gt;WEY&lt;/a&gt;</v>
      </c>
      <c r="AT1105" t="str">
        <f>CONCATENATE("&lt;/li&gt;&lt;li&gt;&lt;a href=|http://",AT1191,"/philippians/2-1.htm","| ","title=|",AT1190,"| target=|_top|&gt;",AT1192,"&lt;/a&gt;")</f>
        <v>&lt;/li&gt;&lt;li&gt;&lt;a href=|http://biblebrowser.com/philippians/2-1.htm| title=|Split View| target=|_top|&gt;Split&lt;/a&gt;</v>
      </c>
      <c r="AU1105" s="2" t="s">
        <v>1276</v>
      </c>
      <c r="AV1105" t="s">
        <v>64</v>
      </c>
    </row>
    <row r="1106" spans="1:48">
      <c r="A1106" t="s">
        <v>622</v>
      </c>
      <c r="B1106" t="s">
        <v>537</v>
      </c>
      <c r="C1106" t="s">
        <v>624</v>
      </c>
      <c r="D1106" t="s">
        <v>1268</v>
      </c>
      <c r="E1106" t="s">
        <v>1277</v>
      </c>
      <c r="F1106" t="s">
        <v>1304</v>
      </c>
      <c r="G1106" t="s">
        <v>1266</v>
      </c>
      <c r="H1106" t="s">
        <v>1305</v>
      </c>
      <c r="I1106" t="s">
        <v>1303</v>
      </c>
      <c r="J1106" t="s">
        <v>1267</v>
      </c>
      <c r="K1106" t="s">
        <v>1275</v>
      </c>
      <c r="L1106" s="2" t="s">
        <v>1274</v>
      </c>
      <c r="M1106" t="str">
        <f t="shared" ref="M1106:AB1106" si="4420">CONCATENATE("&lt;/li&gt;&lt;li&gt;&lt;a href=|http://",M1191,"/philippians/3.htm","| ","title=|",M1190,"| target=|_top|&gt;",M1192,"&lt;/a&gt;")</f>
        <v>&lt;/li&gt;&lt;li&gt;&lt;a href=|http://niv.scripturetext.com/philippians/3.htm| title=|New International Version| target=|_top|&gt;NIV&lt;/a&gt;</v>
      </c>
      <c r="N1106" t="str">
        <f t="shared" si="4420"/>
        <v>&lt;/li&gt;&lt;li&gt;&lt;a href=|http://nlt.scripturetext.com/philippians/3.htm| title=|New Living Translation| target=|_top|&gt;NLT&lt;/a&gt;</v>
      </c>
      <c r="O1106" t="str">
        <f t="shared" si="4420"/>
        <v>&lt;/li&gt;&lt;li&gt;&lt;a href=|http://nasb.scripturetext.com/philippians/3.htm| title=|New American Standard Bible| target=|_top|&gt;NAS&lt;/a&gt;</v>
      </c>
      <c r="P1106" t="str">
        <f t="shared" si="4420"/>
        <v>&lt;/li&gt;&lt;li&gt;&lt;a href=|http://gwt.scripturetext.com/philippians/3.htm| title=|God's Word Translation| target=|_top|&gt;GWT&lt;/a&gt;</v>
      </c>
      <c r="Q1106" t="str">
        <f t="shared" si="4420"/>
        <v>&lt;/li&gt;&lt;li&gt;&lt;a href=|http://kingjbible.com/philippians/3.htm| title=|King James Bible| target=|_top|&gt;KJV&lt;/a&gt;</v>
      </c>
      <c r="R1106" t="str">
        <f t="shared" si="4420"/>
        <v>&lt;/li&gt;&lt;li&gt;&lt;a href=|http://asvbible.com/philippians/3.htm| title=|American Standard Version| target=|_top|&gt;ASV&lt;/a&gt;</v>
      </c>
      <c r="S1106" t="str">
        <f t="shared" si="4420"/>
        <v>&lt;/li&gt;&lt;li&gt;&lt;a href=|http://drb.scripturetext.com/philippians/3.htm| title=|Douay-Rheims Bible| target=|_top|&gt;DRB&lt;/a&gt;</v>
      </c>
      <c r="T1106" t="str">
        <f t="shared" si="4420"/>
        <v>&lt;/li&gt;&lt;li&gt;&lt;a href=|http://erv.scripturetext.com/philippians/3.htm| title=|English Revised Version| target=|_top|&gt;ERV&lt;/a&gt;</v>
      </c>
      <c r="U1106" t="str">
        <f>CONCATENATE("&lt;/li&gt;&lt;li&gt;&lt;a href=|http://",U1191,"/philippians/3.htm","| ","title=|",U1190,"| target=|_top|&gt;",U1192,"&lt;/a&gt;")</f>
        <v>&lt;/li&gt;&lt;li&gt;&lt;a href=|http://study.interlinearbible.org/philippians/3.htm| title=|Greek Study Bible| target=|_top|&gt;Grk Study&lt;/a&gt;</v>
      </c>
      <c r="W1106" t="str">
        <f t="shared" si="4420"/>
        <v>&lt;/li&gt;&lt;li&gt;&lt;a href=|http://apostolic.interlinearbible.org/philippians/3.htm| title=|Apostolic Bible Polyglot Interlinear| target=|_top|&gt;Polyglot&lt;/a&gt;</v>
      </c>
      <c r="X1106" t="str">
        <f t="shared" si="4420"/>
        <v>&lt;/li&gt;&lt;li&gt;&lt;a href=|http://interlinearbible.org/philippians/3.htm| title=|Interlinear Bible| target=|_top|&gt;Interlin&lt;/a&gt;</v>
      </c>
      <c r="Y1106" t="str">
        <f t="shared" ref="Y1106" si="4421">CONCATENATE("&lt;/li&gt;&lt;li&gt;&lt;a href=|http://",Y1191,"/philippians/3.htm","| ","title=|",Y1190,"| target=|_top|&gt;",Y1192,"&lt;/a&gt;")</f>
        <v>&lt;/li&gt;&lt;li&gt;&lt;a href=|http://bibleoutline.org/philippians/3.htm| title=|Outline with People and Places List| target=|_top|&gt;Outline&lt;/a&gt;</v>
      </c>
      <c r="Z1106" t="str">
        <f t="shared" si="4420"/>
        <v>&lt;/li&gt;&lt;li&gt;&lt;a href=|http://kjvs.scripturetext.com/philippians/3.htm| title=|King James Bible with Strong's Numbers| target=|_top|&gt;Strong's&lt;/a&gt;</v>
      </c>
      <c r="AA1106" t="str">
        <f t="shared" si="4420"/>
        <v>&lt;/li&gt;&lt;li&gt;&lt;a href=|http://childrensbibleonline.com/philippians/3.htm| title=|The Children's Bible| target=|_top|&gt;Children's&lt;/a&gt;</v>
      </c>
      <c r="AB1106" s="2" t="str">
        <f t="shared" si="4420"/>
        <v>&lt;/li&gt;&lt;li&gt;&lt;a href=|http://tsk.scripturetext.com/philippians/3.htm| title=|Treasury of Scripture Knowledge| target=|_top|&gt;TSK&lt;/a&gt;</v>
      </c>
      <c r="AC1106" t="str">
        <f>CONCATENATE("&lt;a href=|http://",AC1191,"/philippians/3.htm","| ","title=|",AC1190,"| target=|_top|&gt;",AC1192,"&lt;/a&gt;")</f>
        <v>&lt;a href=|http://parallelbible.com/philippians/3.htm| title=|Parallel Chapters| target=|_top|&gt;PAR&lt;/a&gt;</v>
      </c>
      <c r="AD1106" s="2" t="str">
        <f t="shared" ref="AD1106:AI1106" si="4422">CONCATENATE("&lt;/li&gt;&lt;li&gt;&lt;a href=|http://",AD1191,"/philippians/3.htm","| ","title=|",AD1190,"| target=|_top|&gt;",AD1192,"&lt;/a&gt;")</f>
        <v>&lt;/li&gt;&lt;li&gt;&lt;a href=|http://gsb.biblecommenter.com/philippians/3.htm| title=|Geneva Study Bible| target=|_top|&gt;GSB&lt;/a&gt;</v>
      </c>
      <c r="AE1106" s="2" t="str">
        <f t="shared" si="4422"/>
        <v>&lt;/li&gt;&lt;li&gt;&lt;a href=|http://jfb.biblecommenter.com/philippians/3.htm| title=|Jamieson-Fausset-Brown Bible Commentary| target=|_top|&gt;JFB&lt;/a&gt;</v>
      </c>
      <c r="AF1106" s="2" t="str">
        <f t="shared" si="4422"/>
        <v>&lt;/li&gt;&lt;li&gt;&lt;a href=|http://kjt.biblecommenter.com/philippians/3.htm| title=|King James Translators' Notes| target=|_top|&gt;KJT&lt;/a&gt;</v>
      </c>
      <c r="AG1106" s="2" t="str">
        <f t="shared" si="4422"/>
        <v>&lt;/li&gt;&lt;li&gt;&lt;a href=|http://mhc.biblecommenter.com/philippians/3.htm| title=|Matthew Henry's Concise Commentary| target=|_top|&gt;MHC&lt;/a&gt;</v>
      </c>
      <c r="AH1106" s="2" t="str">
        <f t="shared" si="4422"/>
        <v>&lt;/li&gt;&lt;li&gt;&lt;a href=|http://sco.biblecommenter.com/philippians/3.htm| title=|Scofield Reference Notes| target=|_top|&gt;SCO&lt;/a&gt;</v>
      </c>
      <c r="AI1106" s="2" t="str">
        <f t="shared" si="4422"/>
        <v>&lt;/li&gt;&lt;li&gt;&lt;a href=|http://wes.biblecommenter.com/philippians/3.htm| title=|Wesley's Notes on the Bible| target=|_top|&gt;WES&lt;/a&gt;</v>
      </c>
      <c r="AJ1106" t="str">
        <f>CONCATENATE("&lt;/li&gt;&lt;li&gt;&lt;a href=|http://",AJ1191,"/philippians/3.htm","| ","title=|",AJ1190,"| target=|_top|&gt;",AJ1192,"&lt;/a&gt;")</f>
        <v>&lt;/li&gt;&lt;li&gt;&lt;a href=|http://worldebible.com/philippians/3.htm| title=|World English Bible| target=|_top|&gt;WEB&lt;/a&gt;</v>
      </c>
      <c r="AK1106" t="str">
        <f>CONCATENATE("&lt;/li&gt;&lt;li&gt;&lt;a href=|http://",AK1191,"/philippians/3.htm","| ","title=|",AK1190,"| target=|_top|&gt;",AK1192,"&lt;/a&gt;")</f>
        <v>&lt;/li&gt;&lt;li&gt;&lt;a href=|http://yltbible.com/philippians/3.htm| title=|Young's Literal Translation| target=|_top|&gt;YLT&lt;/a&gt;</v>
      </c>
      <c r="AL1106" t="str">
        <f>CONCATENATE("&lt;a href=|http://",AL1191,"/philippians/3.htm","| ","title=|",AL1190,"| target=|_top|&gt;",AL1192,"&lt;/a&gt;")</f>
        <v>&lt;a href=|http://kjv.us/philippians/3.htm| title=|American King James Version| target=|_top|&gt;AKJ&lt;/a&gt;</v>
      </c>
      <c r="AM1106" t="str">
        <f t="shared" ref="AM1106:AS1106" si="4423">CONCATENATE("&lt;/li&gt;&lt;li&gt;&lt;a href=|http://",AM1191,"/philippians/3.htm","| ","title=|",AM1190,"| target=|_top|&gt;",AM1192,"&lt;/a&gt;")</f>
        <v>&lt;/li&gt;&lt;li&gt;&lt;a href=|http://basicenglishbible.com/philippians/3.htm| title=|Bible in Basic English| target=|_top|&gt;BBE&lt;/a&gt;</v>
      </c>
      <c r="AN1106" t="str">
        <f t="shared" si="4423"/>
        <v>&lt;/li&gt;&lt;li&gt;&lt;a href=|http://darbybible.com/philippians/3.htm| title=|Darby Bible Translation| target=|_top|&gt;DBY&lt;/a&gt;</v>
      </c>
      <c r="AO1106" t="str">
        <f t="shared" si="4423"/>
        <v>&lt;/li&gt;&lt;li&gt;&lt;a href=|http://isv.scripturetext.com/philippians/3.htm| title=|International Standard Version| target=|_top|&gt;ISV&lt;/a&gt;</v>
      </c>
      <c r="AP1106" t="str">
        <f t="shared" si="4423"/>
        <v>&lt;/li&gt;&lt;li&gt;&lt;a href=|http://tnt.scripturetext.com/philippians/3.htm| title=|Tyndale New Testament| target=|_top|&gt;TNT&lt;/a&gt;</v>
      </c>
      <c r="AQ1106" s="2" t="str">
        <f t="shared" si="4423"/>
        <v>&lt;/li&gt;&lt;li&gt;&lt;a href=|http://pnt.biblecommenter.com/philippians/3.htm| title=|People's New Testament| target=|_top|&gt;PNT&lt;/a&gt;</v>
      </c>
      <c r="AR1106" t="str">
        <f t="shared" si="4423"/>
        <v>&lt;/li&gt;&lt;li&gt;&lt;a href=|http://websterbible.com/philippians/3.htm| title=|Webster's Bible Translation| target=|_top|&gt;WBS&lt;/a&gt;</v>
      </c>
      <c r="AS1106" t="str">
        <f t="shared" si="4423"/>
        <v>&lt;/li&gt;&lt;li&gt;&lt;a href=|http://weymouthbible.com/philippians/3.htm| title=|Weymouth New Testament| target=|_top|&gt;WEY&lt;/a&gt;</v>
      </c>
      <c r="AT1106" t="str">
        <f>CONCATENATE("&lt;/li&gt;&lt;li&gt;&lt;a href=|http://",AT1191,"/philippians/3-1.htm","| ","title=|",AT1190,"| target=|_top|&gt;",AT1192,"&lt;/a&gt;")</f>
        <v>&lt;/li&gt;&lt;li&gt;&lt;a href=|http://biblebrowser.com/philippians/3-1.htm| title=|Split View| target=|_top|&gt;Split&lt;/a&gt;</v>
      </c>
      <c r="AU1106" s="2" t="s">
        <v>1276</v>
      </c>
      <c r="AV1106" t="s">
        <v>64</v>
      </c>
    </row>
    <row r="1107" spans="1:48">
      <c r="A1107" t="s">
        <v>622</v>
      </c>
      <c r="B1107" t="s">
        <v>538</v>
      </c>
      <c r="C1107" t="s">
        <v>624</v>
      </c>
      <c r="D1107" t="s">
        <v>1268</v>
      </c>
      <c r="E1107" t="s">
        <v>1277</v>
      </c>
      <c r="F1107" t="s">
        <v>1304</v>
      </c>
      <c r="G1107" t="s">
        <v>1266</v>
      </c>
      <c r="H1107" t="s">
        <v>1305</v>
      </c>
      <c r="I1107" t="s">
        <v>1303</v>
      </c>
      <c r="J1107" t="s">
        <v>1267</v>
      </c>
      <c r="K1107" t="s">
        <v>1275</v>
      </c>
      <c r="L1107" s="2" t="s">
        <v>1274</v>
      </c>
      <c r="M1107" t="str">
        <f t="shared" ref="M1107:AB1107" si="4424">CONCATENATE("&lt;/li&gt;&lt;li&gt;&lt;a href=|http://",M1191,"/philippians/4.htm","| ","title=|",M1190,"| target=|_top|&gt;",M1192,"&lt;/a&gt;")</f>
        <v>&lt;/li&gt;&lt;li&gt;&lt;a href=|http://niv.scripturetext.com/philippians/4.htm| title=|New International Version| target=|_top|&gt;NIV&lt;/a&gt;</v>
      </c>
      <c r="N1107" t="str">
        <f t="shared" si="4424"/>
        <v>&lt;/li&gt;&lt;li&gt;&lt;a href=|http://nlt.scripturetext.com/philippians/4.htm| title=|New Living Translation| target=|_top|&gt;NLT&lt;/a&gt;</v>
      </c>
      <c r="O1107" t="str">
        <f t="shared" si="4424"/>
        <v>&lt;/li&gt;&lt;li&gt;&lt;a href=|http://nasb.scripturetext.com/philippians/4.htm| title=|New American Standard Bible| target=|_top|&gt;NAS&lt;/a&gt;</v>
      </c>
      <c r="P1107" t="str">
        <f t="shared" si="4424"/>
        <v>&lt;/li&gt;&lt;li&gt;&lt;a href=|http://gwt.scripturetext.com/philippians/4.htm| title=|God's Word Translation| target=|_top|&gt;GWT&lt;/a&gt;</v>
      </c>
      <c r="Q1107" t="str">
        <f t="shared" si="4424"/>
        <v>&lt;/li&gt;&lt;li&gt;&lt;a href=|http://kingjbible.com/philippians/4.htm| title=|King James Bible| target=|_top|&gt;KJV&lt;/a&gt;</v>
      </c>
      <c r="R1107" t="str">
        <f t="shared" si="4424"/>
        <v>&lt;/li&gt;&lt;li&gt;&lt;a href=|http://asvbible.com/philippians/4.htm| title=|American Standard Version| target=|_top|&gt;ASV&lt;/a&gt;</v>
      </c>
      <c r="S1107" t="str">
        <f t="shared" si="4424"/>
        <v>&lt;/li&gt;&lt;li&gt;&lt;a href=|http://drb.scripturetext.com/philippians/4.htm| title=|Douay-Rheims Bible| target=|_top|&gt;DRB&lt;/a&gt;</v>
      </c>
      <c r="T1107" t="str">
        <f t="shared" si="4424"/>
        <v>&lt;/li&gt;&lt;li&gt;&lt;a href=|http://erv.scripturetext.com/philippians/4.htm| title=|English Revised Version| target=|_top|&gt;ERV&lt;/a&gt;</v>
      </c>
      <c r="U1107" t="str">
        <f>CONCATENATE("&lt;/li&gt;&lt;li&gt;&lt;a href=|http://",U1191,"/philippians/4.htm","| ","title=|",U1190,"| target=|_top|&gt;",U1192,"&lt;/a&gt;")</f>
        <v>&lt;/li&gt;&lt;li&gt;&lt;a href=|http://study.interlinearbible.org/philippians/4.htm| title=|Greek Study Bible| target=|_top|&gt;Grk Study&lt;/a&gt;</v>
      </c>
      <c r="W1107" t="str">
        <f t="shared" si="4424"/>
        <v>&lt;/li&gt;&lt;li&gt;&lt;a href=|http://apostolic.interlinearbible.org/philippians/4.htm| title=|Apostolic Bible Polyglot Interlinear| target=|_top|&gt;Polyglot&lt;/a&gt;</v>
      </c>
      <c r="X1107" t="str">
        <f t="shared" si="4424"/>
        <v>&lt;/li&gt;&lt;li&gt;&lt;a href=|http://interlinearbible.org/philippians/4.htm| title=|Interlinear Bible| target=|_top|&gt;Interlin&lt;/a&gt;</v>
      </c>
      <c r="Y1107" t="str">
        <f t="shared" ref="Y1107" si="4425">CONCATENATE("&lt;/li&gt;&lt;li&gt;&lt;a href=|http://",Y1191,"/philippians/4.htm","| ","title=|",Y1190,"| target=|_top|&gt;",Y1192,"&lt;/a&gt;")</f>
        <v>&lt;/li&gt;&lt;li&gt;&lt;a href=|http://bibleoutline.org/philippians/4.htm| title=|Outline with People and Places List| target=|_top|&gt;Outline&lt;/a&gt;</v>
      </c>
      <c r="Z1107" t="str">
        <f t="shared" si="4424"/>
        <v>&lt;/li&gt;&lt;li&gt;&lt;a href=|http://kjvs.scripturetext.com/philippians/4.htm| title=|King James Bible with Strong's Numbers| target=|_top|&gt;Strong's&lt;/a&gt;</v>
      </c>
      <c r="AA1107" t="str">
        <f t="shared" si="4424"/>
        <v>&lt;/li&gt;&lt;li&gt;&lt;a href=|http://childrensbibleonline.com/philippians/4.htm| title=|The Children's Bible| target=|_top|&gt;Children's&lt;/a&gt;</v>
      </c>
      <c r="AB1107" s="2" t="str">
        <f t="shared" si="4424"/>
        <v>&lt;/li&gt;&lt;li&gt;&lt;a href=|http://tsk.scripturetext.com/philippians/4.htm| title=|Treasury of Scripture Knowledge| target=|_top|&gt;TSK&lt;/a&gt;</v>
      </c>
      <c r="AC1107" t="str">
        <f>CONCATENATE("&lt;a href=|http://",AC1191,"/philippians/4.htm","| ","title=|",AC1190,"| target=|_top|&gt;",AC1192,"&lt;/a&gt;")</f>
        <v>&lt;a href=|http://parallelbible.com/philippians/4.htm| title=|Parallel Chapters| target=|_top|&gt;PAR&lt;/a&gt;</v>
      </c>
      <c r="AD1107" s="2" t="str">
        <f t="shared" ref="AD1107:AI1107" si="4426">CONCATENATE("&lt;/li&gt;&lt;li&gt;&lt;a href=|http://",AD1191,"/philippians/4.htm","| ","title=|",AD1190,"| target=|_top|&gt;",AD1192,"&lt;/a&gt;")</f>
        <v>&lt;/li&gt;&lt;li&gt;&lt;a href=|http://gsb.biblecommenter.com/philippians/4.htm| title=|Geneva Study Bible| target=|_top|&gt;GSB&lt;/a&gt;</v>
      </c>
      <c r="AE1107" s="2" t="str">
        <f t="shared" si="4426"/>
        <v>&lt;/li&gt;&lt;li&gt;&lt;a href=|http://jfb.biblecommenter.com/philippians/4.htm| title=|Jamieson-Fausset-Brown Bible Commentary| target=|_top|&gt;JFB&lt;/a&gt;</v>
      </c>
      <c r="AF1107" s="2" t="str">
        <f t="shared" si="4426"/>
        <v>&lt;/li&gt;&lt;li&gt;&lt;a href=|http://kjt.biblecommenter.com/philippians/4.htm| title=|King James Translators' Notes| target=|_top|&gt;KJT&lt;/a&gt;</v>
      </c>
      <c r="AG1107" s="2" t="str">
        <f t="shared" si="4426"/>
        <v>&lt;/li&gt;&lt;li&gt;&lt;a href=|http://mhc.biblecommenter.com/philippians/4.htm| title=|Matthew Henry's Concise Commentary| target=|_top|&gt;MHC&lt;/a&gt;</v>
      </c>
      <c r="AH1107" s="2" t="str">
        <f t="shared" si="4426"/>
        <v>&lt;/li&gt;&lt;li&gt;&lt;a href=|http://sco.biblecommenter.com/philippians/4.htm| title=|Scofield Reference Notes| target=|_top|&gt;SCO&lt;/a&gt;</v>
      </c>
      <c r="AI1107" s="2" t="str">
        <f t="shared" si="4426"/>
        <v>&lt;/li&gt;&lt;li&gt;&lt;a href=|http://wes.biblecommenter.com/philippians/4.htm| title=|Wesley's Notes on the Bible| target=|_top|&gt;WES&lt;/a&gt;</v>
      </c>
      <c r="AJ1107" t="str">
        <f>CONCATENATE("&lt;/li&gt;&lt;li&gt;&lt;a href=|http://",AJ1191,"/philippians/4.htm","| ","title=|",AJ1190,"| target=|_top|&gt;",AJ1192,"&lt;/a&gt;")</f>
        <v>&lt;/li&gt;&lt;li&gt;&lt;a href=|http://worldebible.com/philippians/4.htm| title=|World English Bible| target=|_top|&gt;WEB&lt;/a&gt;</v>
      </c>
      <c r="AK1107" t="str">
        <f>CONCATENATE("&lt;/li&gt;&lt;li&gt;&lt;a href=|http://",AK1191,"/philippians/4.htm","| ","title=|",AK1190,"| target=|_top|&gt;",AK1192,"&lt;/a&gt;")</f>
        <v>&lt;/li&gt;&lt;li&gt;&lt;a href=|http://yltbible.com/philippians/4.htm| title=|Young's Literal Translation| target=|_top|&gt;YLT&lt;/a&gt;</v>
      </c>
      <c r="AL1107" t="str">
        <f>CONCATENATE("&lt;a href=|http://",AL1191,"/philippians/4.htm","| ","title=|",AL1190,"| target=|_top|&gt;",AL1192,"&lt;/a&gt;")</f>
        <v>&lt;a href=|http://kjv.us/philippians/4.htm| title=|American King James Version| target=|_top|&gt;AKJ&lt;/a&gt;</v>
      </c>
      <c r="AM1107" t="str">
        <f t="shared" ref="AM1107:AS1107" si="4427">CONCATENATE("&lt;/li&gt;&lt;li&gt;&lt;a href=|http://",AM1191,"/philippians/4.htm","| ","title=|",AM1190,"| target=|_top|&gt;",AM1192,"&lt;/a&gt;")</f>
        <v>&lt;/li&gt;&lt;li&gt;&lt;a href=|http://basicenglishbible.com/philippians/4.htm| title=|Bible in Basic English| target=|_top|&gt;BBE&lt;/a&gt;</v>
      </c>
      <c r="AN1107" t="str">
        <f t="shared" si="4427"/>
        <v>&lt;/li&gt;&lt;li&gt;&lt;a href=|http://darbybible.com/philippians/4.htm| title=|Darby Bible Translation| target=|_top|&gt;DBY&lt;/a&gt;</v>
      </c>
      <c r="AO1107" t="str">
        <f t="shared" si="4427"/>
        <v>&lt;/li&gt;&lt;li&gt;&lt;a href=|http://isv.scripturetext.com/philippians/4.htm| title=|International Standard Version| target=|_top|&gt;ISV&lt;/a&gt;</v>
      </c>
      <c r="AP1107" t="str">
        <f t="shared" si="4427"/>
        <v>&lt;/li&gt;&lt;li&gt;&lt;a href=|http://tnt.scripturetext.com/philippians/4.htm| title=|Tyndale New Testament| target=|_top|&gt;TNT&lt;/a&gt;</v>
      </c>
      <c r="AQ1107" s="2" t="str">
        <f t="shared" si="4427"/>
        <v>&lt;/li&gt;&lt;li&gt;&lt;a href=|http://pnt.biblecommenter.com/philippians/4.htm| title=|People's New Testament| target=|_top|&gt;PNT&lt;/a&gt;</v>
      </c>
      <c r="AR1107" t="str">
        <f t="shared" si="4427"/>
        <v>&lt;/li&gt;&lt;li&gt;&lt;a href=|http://websterbible.com/philippians/4.htm| title=|Webster's Bible Translation| target=|_top|&gt;WBS&lt;/a&gt;</v>
      </c>
      <c r="AS1107" t="str">
        <f t="shared" si="4427"/>
        <v>&lt;/li&gt;&lt;li&gt;&lt;a href=|http://weymouthbible.com/philippians/4.htm| title=|Weymouth New Testament| target=|_top|&gt;WEY&lt;/a&gt;</v>
      </c>
      <c r="AT1107" t="str">
        <f>CONCATENATE("&lt;/li&gt;&lt;li&gt;&lt;a href=|http://",AT1191,"/philippians/4-1.htm","| ","title=|",AT1190,"| target=|_top|&gt;",AT1192,"&lt;/a&gt;")</f>
        <v>&lt;/li&gt;&lt;li&gt;&lt;a href=|http://biblebrowser.com/philippians/4-1.htm| title=|Split View| target=|_top|&gt;Split&lt;/a&gt;</v>
      </c>
      <c r="AU1107" s="2" t="s">
        <v>1276</v>
      </c>
      <c r="AV1107" t="s">
        <v>64</v>
      </c>
    </row>
    <row r="1108" spans="1:48">
      <c r="A1108" t="s">
        <v>622</v>
      </c>
      <c r="B1108" t="s">
        <v>539</v>
      </c>
      <c r="C1108" t="s">
        <v>624</v>
      </c>
      <c r="D1108" t="s">
        <v>1268</v>
      </c>
      <c r="E1108" t="s">
        <v>1277</v>
      </c>
      <c r="F1108" t="s">
        <v>1304</v>
      </c>
      <c r="G1108" t="s">
        <v>1266</v>
      </c>
      <c r="H1108" t="s">
        <v>1305</v>
      </c>
      <c r="I1108" t="s">
        <v>1303</v>
      </c>
      <c r="J1108" t="s">
        <v>1267</v>
      </c>
      <c r="K1108" t="s">
        <v>1275</v>
      </c>
      <c r="L1108" s="2" t="s">
        <v>1274</v>
      </c>
      <c r="M1108" t="str">
        <f t="shared" ref="M1108:AB1108" si="4428">CONCATENATE("&lt;/li&gt;&lt;li&gt;&lt;a href=|http://",M1191,"/colossians/1.htm","| ","title=|",M1190,"| target=|_top|&gt;",M1192,"&lt;/a&gt;")</f>
        <v>&lt;/li&gt;&lt;li&gt;&lt;a href=|http://niv.scripturetext.com/colossians/1.htm| title=|New International Version| target=|_top|&gt;NIV&lt;/a&gt;</v>
      </c>
      <c r="N1108" t="str">
        <f t="shared" si="4428"/>
        <v>&lt;/li&gt;&lt;li&gt;&lt;a href=|http://nlt.scripturetext.com/colossians/1.htm| title=|New Living Translation| target=|_top|&gt;NLT&lt;/a&gt;</v>
      </c>
      <c r="O1108" t="str">
        <f t="shared" si="4428"/>
        <v>&lt;/li&gt;&lt;li&gt;&lt;a href=|http://nasb.scripturetext.com/colossians/1.htm| title=|New American Standard Bible| target=|_top|&gt;NAS&lt;/a&gt;</v>
      </c>
      <c r="P1108" t="str">
        <f t="shared" si="4428"/>
        <v>&lt;/li&gt;&lt;li&gt;&lt;a href=|http://gwt.scripturetext.com/colossians/1.htm| title=|God's Word Translation| target=|_top|&gt;GWT&lt;/a&gt;</v>
      </c>
      <c r="Q1108" t="str">
        <f t="shared" si="4428"/>
        <v>&lt;/li&gt;&lt;li&gt;&lt;a href=|http://kingjbible.com/colossians/1.htm| title=|King James Bible| target=|_top|&gt;KJV&lt;/a&gt;</v>
      </c>
      <c r="R1108" t="str">
        <f t="shared" si="4428"/>
        <v>&lt;/li&gt;&lt;li&gt;&lt;a href=|http://asvbible.com/colossians/1.htm| title=|American Standard Version| target=|_top|&gt;ASV&lt;/a&gt;</v>
      </c>
      <c r="S1108" t="str">
        <f t="shared" si="4428"/>
        <v>&lt;/li&gt;&lt;li&gt;&lt;a href=|http://drb.scripturetext.com/colossians/1.htm| title=|Douay-Rheims Bible| target=|_top|&gt;DRB&lt;/a&gt;</v>
      </c>
      <c r="T1108" t="str">
        <f t="shared" si="4428"/>
        <v>&lt;/li&gt;&lt;li&gt;&lt;a href=|http://erv.scripturetext.com/colossians/1.htm| title=|English Revised Version| target=|_top|&gt;ERV&lt;/a&gt;</v>
      </c>
      <c r="U1108" t="str">
        <f>CONCATENATE("&lt;/li&gt;&lt;li&gt;&lt;a href=|http://",U1191,"/colossians/1.htm","| ","title=|",U1190,"| target=|_top|&gt;",U1192,"&lt;/a&gt;")</f>
        <v>&lt;/li&gt;&lt;li&gt;&lt;a href=|http://study.interlinearbible.org/colossians/1.htm| title=|Greek Study Bible| target=|_top|&gt;Grk Study&lt;/a&gt;</v>
      </c>
      <c r="W1108" t="str">
        <f t="shared" si="4428"/>
        <v>&lt;/li&gt;&lt;li&gt;&lt;a href=|http://apostolic.interlinearbible.org/colossians/1.htm| title=|Apostolic Bible Polyglot Interlinear| target=|_top|&gt;Polyglot&lt;/a&gt;</v>
      </c>
      <c r="X1108" t="str">
        <f t="shared" si="4428"/>
        <v>&lt;/li&gt;&lt;li&gt;&lt;a href=|http://interlinearbible.org/colossians/1.htm| title=|Interlinear Bible| target=|_top|&gt;Interlin&lt;/a&gt;</v>
      </c>
      <c r="Y1108" t="str">
        <f t="shared" ref="Y1108" si="4429">CONCATENATE("&lt;/li&gt;&lt;li&gt;&lt;a href=|http://",Y1191,"/colossians/1.htm","| ","title=|",Y1190,"| target=|_top|&gt;",Y1192,"&lt;/a&gt;")</f>
        <v>&lt;/li&gt;&lt;li&gt;&lt;a href=|http://bibleoutline.org/colossians/1.htm| title=|Outline with People and Places List| target=|_top|&gt;Outline&lt;/a&gt;</v>
      </c>
      <c r="Z1108" t="str">
        <f t="shared" si="4428"/>
        <v>&lt;/li&gt;&lt;li&gt;&lt;a href=|http://kjvs.scripturetext.com/colossians/1.htm| title=|King James Bible with Strong's Numbers| target=|_top|&gt;Strong's&lt;/a&gt;</v>
      </c>
      <c r="AA1108" t="str">
        <f t="shared" si="4428"/>
        <v>&lt;/li&gt;&lt;li&gt;&lt;a href=|http://childrensbibleonline.com/colossians/1.htm| title=|The Children's Bible| target=|_top|&gt;Children's&lt;/a&gt;</v>
      </c>
      <c r="AB1108" s="2" t="str">
        <f t="shared" si="4428"/>
        <v>&lt;/li&gt;&lt;li&gt;&lt;a href=|http://tsk.scripturetext.com/colossians/1.htm| title=|Treasury of Scripture Knowledge| target=|_top|&gt;TSK&lt;/a&gt;</v>
      </c>
      <c r="AC1108" t="str">
        <f>CONCATENATE("&lt;a href=|http://",AC1191,"/colossians/1.htm","| ","title=|",AC1190,"| target=|_top|&gt;",AC1192,"&lt;/a&gt;")</f>
        <v>&lt;a href=|http://parallelbible.com/colossians/1.htm| title=|Parallel Chapters| target=|_top|&gt;PAR&lt;/a&gt;</v>
      </c>
      <c r="AD1108" s="2" t="str">
        <f t="shared" ref="AD1108:AI1108" si="4430">CONCATENATE("&lt;/li&gt;&lt;li&gt;&lt;a href=|http://",AD1191,"/colossians/1.htm","| ","title=|",AD1190,"| target=|_top|&gt;",AD1192,"&lt;/a&gt;")</f>
        <v>&lt;/li&gt;&lt;li&gt;&lt;a href=|http://gsb.biblecommenter.com/colossians/1.htm| title=|Geneva Study Bible| target=|_top|&gt;GSB&lt;/a&gt;</v>
      </c>
      <c r="AE1108" s="2" t="str">
        <f t="shared" si="4430"/>
        <v>&lt;/li&gt;&lt;li&gt;&lt;a href=|http://jfb.biblecommenter.com/colossians/1.htm| title=|Jamieson-Fausset-Brown Bible Commentary| target=|_top|&gt;JFB&lt;/a&gt;</v>
      </c>
      <c r="AF1108" s="2" t="str">
        <f t="shared" si="4430"/>
        <v>&lt;/li&gt;&lt;li&gt;&lt;a href=|http://kjt.biblecommenter.com/colossians/1.htm| title=|King James Translators' Notes| target=|_top|&gt;KJT&lt;/a&gt;</v>
      </c>
      <c r="AG1108" s="2" t="str">
        <f t="shared" si="4430"/>
        <v>&lt;/li&gt;&lt;li&gt;&lt;a href=|http://mhc.biblecommenter.com/colossians/1.htm| title=|Matthew Henry's Concise Commentary| target=|_top|&gt;MHC&lt;/a&gt;</v>
      </c>
      <c r="AH1108" s="2" t="str">
        <f t="shared" si="4430"/>
        <v>&lt;/li&gt;&lt;li&gt;&lt;a href=|http://sco.biblecommenter.com/colossians/1.htm| title=|Scofield Reference Notes| target=|_top|&gt;SCO&lt;/a&gt;</v>
      </c>
      <c r="AI1108" s="2" t="str">
        <f t="shared" si="4430"/>
        <v>&lt;/li&gt;&lt;li&gt;&lt;a href=|http://wes.biblecommenter.com/colossians/1.htm| title=|Wesley's Notes on the Bible| target=|_top|&gt;WES&lt;/a&gt;</v>
      </c>
      <c r="AJ1108" t="str">
        <f>CONCATENATE("&lt;/li&gt;&lt;li&gt;&lt;a href=|http://",AJ1191,"/colossians/1.htm","| ","title=|",AJ1190,"| target=|_top|&gt;",AJ1192,"&lt;/a&gt;")</f>
        <v>&lt;/li&gt;&lt;li&gt;&lt;a href=|http://worldebible.com/colossians/1.htm| title=|World English Bible| target=|_top|&gt;WEB&lt;/a&gt;</v>
      </c>
      <c r="AK1108" t="str">
        <f>CONCATENATE("&lt;/li&gt;&lt;li&gt;&lt;a href=|http://",AK1191,"/colossians/1.htm","| ","title=|",AK1190,"| target=|_top|&gt;",AK1192,"&lt;/a&gt;")</f>
        <v>&lt;/li&gt;&lt;li&gt;&lt;a href=|http://yltbible.com/colossians/1.htm| title=|Young's Literal Translation| target=|_top|&gt;YLT&lt;/a&gt;</v>
      </c>
      <c r="AL1108" t="str">
        <f>CONCATENATE("&lt;a href=|http://",AL1191,"/colossians/1.htm","| ","title=|",AL1190,"| target=|_top|&gt;",AL1192,"&lt;/a&gt;")</f>
        <v>&lt;a href=|http://kjv.us/colossians/1.htm| title=|American King James Version| target=|_top|&gt;AKJ&lt;/a&gt;</v>
      </c>
      <c r="AM1108" t="str">
        <f t="shared" ref="AM1108:AS1108" si="4431">CONCATENATE("&lt;/li&gt;&lt;li&gt;&lt;a href=|http://",AM1191,"/colossians/1.htm","| ","title=|",AM1190,"| target=|_top|&gt;",AM1192,"&lt;/a&gt;")</f>
        <v>&lt;/li&gt;&lt;li&gt;&lt;a href=|http://basicenglishbible.com/colossians/1.htm| title=|Bible in Basic English| target=|_top|&gt;BBE&lt;/a&gt;</v>
      </c>
      <c r="AN1108" t="str">
        <f t="shared" si="4431"/>
        <v>&lt;/li&gt;&lt;li&gt;&lt;a href=|http://darbybible.com/colossians/1.htm| title=|Darby Bible Translation| target=|_top|&gt;DBY&lt;/a&gt;</v>
      </c>
      <c r="AO1108" t="str">
        <f t="shared" si="4431"/>
        <v>&lt;/li&gt;&lt;li&gt;&lt;a href=|http://isv.scripturetext.com/colossians/1.htm| title=|International Standard Version| target=|_top|&gt;ISV&lt;/a&gt;</v>
      </c>
      <c r="AP1108" t="str">
        <f t="shared" si="4431"/>
        <v>&lt;/li&gt;&lt;li&gt;&lt;a href=|http://tnt.scripturetext.com/colossians/1.htm| title=|Tyndale New Testament| target=|_top|&gt;TNT&lt;/a&gt;</v>
      </c>
      <c r="AQ1108" s="2" t="str">
        <f t="shared" si="4431"/>
        <v>&lt;/li&gt;&lt;li&gt;&lt;a href=|http://pnt.biblecommenter.com/colossians/1.htm| title=|People's New Testament| target=|_top|&gt;PNT&lt;/a&gt;</v>
      </c>
      <c r="AR1108" t="str">
        <f t="shared" si="4431"/>
        <v>&lt;/li&gt;&lt;li&gt;&lt;a href=|http://websterbible.com/colossians/1.htm| title=|Webster's Bible Translation| target=|_top|&gt;WBS&lt;/a&gt;</v>
      </c>
      <c r="AS1108" t="str">
        <f t="shared" si="4431"/>
        <v>&lt;/li&gt;&lt;li&gt;&lt;a href=|http://weymouthbible.com/colossians/1.htm| title=|Weymouth New Testament| target=|_top|&gt;WEY&lt;/a&gt;</v>
      </c>
      <c r="AT1108" t="str">
        <f>CONCATENATE("&lt;/li&gt;&lt;li&gt;&lt;a href=|http://",AT1191,"/colossians/1-1.htm","| ","title=|",AT1190,"| target=|_top|&gt;",AT1192,"&lt;/a&gt;")</f>
        <v>&lt;/li&gt;&lt;li&gt;&lt;a href=|http://biblebrowser.com/colossians/1-1.htm| title=|Split View| target=|_top|&gt;Split&lt;/a&gt;</v>
      </c>
      <c r="AU1108" s="2" t="s">
        <v>1276</v>
      </c>
      <c r="AV1108" t="s">
        <v>64</v>
      </c>
    </row>
    <row r="1109" spans="1:48">
      <c r="A1109" t="s">
        <v>622</v>
      </c>
      <c r="B1109" t="s">
        <v>540</v>
      </c>
      <c r="C1109" t="s">
        <v>624</v>
      </c>
      <c r="D1109" t="s">
        <v>1268</v>
      </c>
      <c r="E1109" t="s">
        <v>1277</v>
      </c>
      <c r="F1109" t="s">
        <v>1304</v>
      </c>
      <c r="G1109" t="s">
        <v>1266</v>
      </c>
      <c r="H1109" t="s">
        <v>1305</v>
      </c>
      <c r="I1109" t="s">
        <v>1303</v>
      </c>
      <c r="J1109" t="s">
        <v>1267</v>
      </c>
      <c r="K1109" t="s">
        <v>1275</v>
      </c>
      <c r="L1109" s="2" t="s">
        <v>1274</v>
      </c>
      <c r="M1109" t="str">
        <f t="shared" ref="M1109:AB1109" si="4432">CONCATENATE("&lt;/li&gt;&lt;li&gt;&lt;a href=|http://",M1191,"/colossians/2.htm","| ","title=|",M1190,"| target=|_top|&gt;",M1192,"&lt;/a&gt;")</f>
        <v>&lt;/li&gt;&lt;li&gt;&lt;a href=|http://niv.scripturetext.com/colossians/2.htm| title=|New International Version| target=|_top|&gt;NIV&lt;/a&gt;</v>
      </c>
      <c r="N1109" t="str">
        <f t="shared" si="4432"/>
        <v>&lt;/li&gt;&lt;li&gt;&lt;a href=|http://nlt.scripturetext.com/colossians/2.htm| title=|New Living Translation| target=|_top|&gt;NLT&lt;/a&gt;</v>
      </c>
      <c r="O1109" t="str">
        <f t="shared" si="4432"/>
        <v>&lt;/li&gt;&lt;li&gt;&lt;a href=|http://nasb.scripturetext.com/colossians/2.htm| title=|New American Standard Bible| target=|_top|&gt;NAS&lt;/a&gt;</v>
      </c>
      <c r="P1109" t="str">
        <f t="shared" si="4432"/>
        <v>&lt;/li&gt;&lt;li&gt;&lt;a href=|http://gwt.scripturetext.com/colossians/2.htm| title=|God's Word Translation| target=|_top|&gt;GWT&lt;/a&gt;</v>
      </c>
      <c r="Q1109" t="str">
        <f t="shared" si="4432"/>
        <v>&lt;/li&gt;&lt;li&gt;&lt;a href=|http://kingjbible.com/colossians/2.htm| title=|King James Bible| target=|_top|&gt;KJV&lt;/a&gt;</v>
      </c>
      <c r="R1109" t="str">
        <f t="shared" si="4432"/>
        <v>&lt;/li&gt;&lt;li&gt;&lt;a href=|http://asvbible.com/colossians/2.htm| title=|American Standard Version| target=|_top|&gt;ASV&lt;/a&gt;</v>
      </c>
      <c r="S1109" t="str">
        <f t="shared" si="4432"/>
        <v>&lt;/li&gt;&lt;li&gt;&lt;a href=|http://drb.scripturetext.com/colossians/2.htm| title=|Douay-Rheims Bible| target=|_top|&gt;DRB&lt;/a&gt;</v>
      </c>
      <c r="T1109" t="str">
        <f t="shared" si="4432"/>
        <v>&lt;/li&gt;&lt;li&gt;&lt;a href=|http://erv.scripturetext.com/colossians/2.htm| title=|English Revised Version| target=|_top|&gt;ERV&lt;/a&gt;</v>
      </c>
      <c r="U1109" t="str">
        <f>CONCATENATE("&lt;/li&gt;&lt;li&gt;&lt;a href=|http://",U1191,"/colossians/2.htm","| ","title=|",U1190,"| target=|_top|&gt;",U1192,"&lt;/a&gt;")</f>
        <v>&lt;/li&gt;&lt;li&gt;&lt;a href=|http://study.interlinearbible.org/colossians/2.htm| title=|Greek Study Bible| target=|_top|&gt;Grk Study&lt;/a&gt;</v>
      </c>
      <c r="W1109" t="str">
        <f t="shared" si="4432"/>
        <v>&lt;/li&gt;&lt;li&gt;&lt;a href=|http://apostolic.interlinearbible.org/colossians/2.htm| title=|Apostolic Bible Polyglot Interlinear| target=|_top|&gt;Polyglot&lt;/a&gt;</v>
      </c>
      <c r="X1109" t="str">
        <f t="shared" si="4432"/>
        <v>&lt;/li&gt;&lt;li&gt;&lt;a href=|http://interlinearbible.org/colossians/2.htm| title=|Interlinear Bible| target=|_top|&gt;Interlin&lt;/a&gt;</v>
      </c>
      <c r="Y1109" t="str">
        <f t="shared" ref="Y1109" si="4433">CONCATENATE("&lt;/li&gt;&lt;li&gt;&lt;a href=|http://",Y1191,"/colossians/2.htm","| ","title=|",Y1190,"| target=|_top|&gt;",Y1192,"&lt;/a&gt;")</f>
        <v>&lt;/li&gt;&lt;li&gt;&lt;a href=|http://bibleoutline.org/colossians/2.htm| title=|Outline with People and Places List| target=|_top|&gt;Outline&lt;/a&gt;</v>
      </c>
      <c r="Z1109" t="str">
        <f t="shared" si="4432"/>
        <v>&lt;/li&gt;&lt;li&gt;&lt;a href=|http://kjvs.scripturetext.com/colossians/2.htm| title=|King James Bible with Strong's Numbers| target=|_top|&gt;Strong's&lt;/a&gt;</v>
      </c>
      <c r="AA1109" t="str">
        <f t="shared" si="4432"/>
        <v>&lt;/li&gt;&lt;li&gt;&lt;a href=|http://childrensbibleonline.com/colossians/2.htm| title=|The Children's Bible| target=|_top|&gt;Children's&lt;/a&gt;</v>
      </c>
      <c r="AB1109" s="2" t="str">
        <f t="shared" si="4432"/>
        <v>&lt;/li&gt;&lt;li&gt;&lt;a href=|http://tsk.scripturetext.com/colossians/2.htm| title=|Treasury of Scripture Knowledge| target=|_top|&gt;TSK&lt;/a&gt;</v>
      </c>
      <c r="AC1109" t="str">
        <f>CONCATENATE("&lt;a href=|http://",AC1191,"/colossians/2.htm","| ","title=|",AC1190,"| target=|_top|&gt;",AC1192,"&lt;/a&gt;")</f>
        <v>&lt;a href=|http://parallelbible.com/colossians/2.htm| title=|Parallel Chapters| target=|_top|&gt;PAR&lt;/a&gt;</v>
      </c>
      <c r="AD1109" s="2" t="str">
        <f t="shared" ref="AD1109:AI1109" si="4434">CONCATENATE("&lt;/li&gt;&lt;li&gt;&lt;a href=|http://",AD1191,"/colossians/2.htm","| ","title=|",AD1190,"| target=|_top|&gt;",AD1192,"&lt;/a&gt;")</f>
        <v>&lt;/li&gt;&lt;li&gt;&lt;a href=|http://gsb.biblecommenter.com/colossians/2.htm| title=|Geneva Study Bible| target=|_top|&gt;GSB&lt;/a&gt;</v>
      </c>
      <c r="AE1109" s="2" t="str">
        <f t="shared" si="4434"/>
        <v>&lt;/li&gt;&lt;li&gt;&lt;a href=|http://jfb.biblecommenter.com/colossians/2.htm| title=|Jamieson-Fausset-Brown Bible Commentary| target=|_top|&gt;JFB&lt;/a&gt;</v>
      </c>
      <c r="AF1109" s="2" t="str">
        <f t="shared" si="4434"/>
        <v>&lt;/li&gt;&lt;li&gt;&lt;a href=|http://kjt.biblecommenter.com/colossians/2.htm| title=|King James Translators' Notes| target=|_top|&gt;KJT&lt;/a&gt;</v>
      </c>
      <c r="AG1109" s="2" t="str">
        <f t="shared" si="4434"/>
        <v>&lt;/li&gt;&lt;li&gt;&lt;a href=|http://mhc.biblecommenter.com/colossians/2.htm| title=|Matthew Henry's Concise Commentary| target=|_top|&gt;MHC&lt;/a&gt;</v>
      </c>
      <c r="AH1109" s="2" t="str">
        <f t="shared" si="4434"/>
        <v>&lt;/li&gt;&lt;li&gt;&lt;a href=|http://sco.biblecommenter.com/colossians/2.htm| title=|Scofield Reference Notes| target=|_top|&gt;SCO&lt;/a&gt;</v>
      </c>
      <c r="AI1109" s="2" t="str">
        <f t="shared" si="4434"/>
        <v>&lt;/li&gt;&lt;li&gt;&lt;a href=|http://wes.biblecommenter.com/colossians/2.htm| title=|Wesley's Notes on the Bible| target=|_top|&gt;WES&lt;/a&gt;</v>
      </c>
      <c r="AJ1109" t="str">
        <f>CONCATENATE("&lt;/li&gt;&lt;li&gt;&lt;a href=|http://",AJ1191,"/colossians/2.htm","| ","title=|",AJ1190,"| target=|_top|&gt;",AJ1192,"&lt;/a&gt;")</f>
        <v>&lt;/li&gt;&lt;li&gt;&lt;a href=|http://worldebible.com/colossians/2.htm| title=|World English Bible| target=|_top|&gt;WEB&lt;/a&gt;</v>
      </c>
      <c r="AK1109" t="str">
        <f>CONCATENATE("&lt;/li&gt;&lt;li&gt;&lt;a href=|http://",AK1191,"/colossians/2.htm","| ","title=|",AK1190,"| target=|_top|&gt;",AK1192,"&lt;/a&gt;")</f>
        <v>&lt;/li&gt;&lt;li&gt;&lt;a href=|http://yltbible.com/colossians/2.htm| title=|Young's Literal Translation| target=|_top|&gt;YLT&lt;/a&gt;</v>
      </c>
      <c r="AL1109" t="str">
        <f>CONCATENATE("&lt;a href=|http://",AL1191,"/colossians/2.htm","| ","title=|",AL1190,"| target=|_top|&gt;",AL1192,"&lt;/a&gt;")</f>
        <v>&lt;a href=|http://kjv.us/colossians/2.htm| title=|American King James Version| target=|_top|&gt;AKJ&lt;/a&gt;</v>
      </c>
      <c r="AM1109" t="str">
        <f t="shared" ref="AM1109:AS1109" si="4435">CONCATENATE("&lt;/li&gt;&lt;li&gt;&lt;a href=|http://",AM1191,"/colossians/2.htm","| ","title=|",AM1190,"| target=|_top|&gt;",AM1192,"&lt;/a&gt;")</f>
        <v>&lt;/li&gt;&lt;li&gt;&lt;a href=|http://basicenglishbible.com/colossians/2.htm| title=|Bible in Basic English| target=|_top|&gt;BBE&lt;/a&gt;</v>
      </c>
      <c r="AN1109" t="str">
        <f t="shared" si="4435"/>
        <v>&lt;/li&gt;&lt;li&gt;&lt;a href=|http://darbybible.com/colossians/2.htm| title=|Darby Bible Translation| target=|_top|&gt;DBY&lt;/a&gt;</v>
      </c>
      <c r="AO1109" t="str">
        <f t="shared" si="4435"/>
        <v>&lt;/li&gt;&lt;li&gt;&lt;a href=|http://isv.scripturetext.com/colossians/2.htm| title=|International Standard Version| target=|_top|&gt;ISV&lt;/a&gt;</v>
      </c>
      <c r="AP1109" t="str">
        <f t="shared" si="4435"/>
        <v>&lt;/li&gt;&lt;li&gt;&lt;a href=|http://tnt.scripturetext.com/colossians/2.htm| title=|Tyndale New Testament| target=|_top|&gt;TNT&lt;/a&gt;</v>
      </c>
      <c r="AQ1109" s="2" t="str">
        <f t="shared" si="4435"/>
        <v>&lt;/li&gt;&lt;li&gt;&lt;a href=|http://pnt.biblecommenter.com/colossians/2.htm| title=|People's New Testament| target=|_top|&gt;PNT&lt;/a&gt;</v>
      </c>
      <c r="AR1109" t="str">
        <f t="shared" si="4435"/>
        <v>&lt;/li&gt;&lt;li&gt;&lt;a href=|http://websterbible.com/colossians/2.htm| title=|Webster's Bible Translation| target=|_top|&gt;WBS&lt;/a&gt;</v>
      </c>
      <c r="AS1109" t="str">
        <f t="shared" si="4435"/>
        <v>&lt;/li&gt;&lt;li&gt;&lt;a href=|http://weymouthbible.com/colossians/2.htm| title=|Weymouth New Testament| target=|_top|&gt;WEY&lt;/a&gt;</v>
      </c>
      <c r="AT1109" t="str">
        <f>CONCATENATE("&lt;/li&gt;&lt;li&gt;&lt;a href=|http://",AT1191,"/colossians/2-1.htm","| ","title=|",AT1190,"| target=|_top|&gt;",AT1192,"&lt;/a&gt;")</f>
        <v>&lt;/li&gt;&lt;li&gt;&lt;a href=|http://biblebrowser.com/colossians/2-1.htm| title=|Split View| target=|_top|&gt;Split&lt;/a&gt;</v>
      </c>
      <c r="AU1109" s="2" t="s">
        <v>1276</v>
      </c>
      <c r="AV1109" t="s">
        <v>64</v>
      </c>
    </row>
    <row r="1110" spans="1:48">
      <c r="A1110" t="s">
        <v>622</v>
      </c>
      <c r="B1110" t="s">
        <v>541</v>
      </c>
      <c r="C1110" t="s">
        <v>624</v>
      </c>
      <c r="D1110" t="s">
        <v>1268</v>
      </c>
      <c r="E1110" t="s">
        <v>1277</v>
      </c>
      <c r="F1110" t="s">
        <v>1304</v>
      </c>
      <c r="G1110" t="s">
        <v>1266</v>
      </c>
      <c r="H1110" t="s">
        <v>1305</v>
      </c>
      <c r="I1110" t="s">
        <v>1303</v>
      </c>
      <c r="J1110" t="s">
        <v>1267</v>
      </c>
      <c r="K1110" t="s">
        <v>1275</v>
      </c>
      <c r="L1110" s="2" t="s">
        <v>1274</v>
      </c>
      <c r="M1110" t="str">
        <f t="shared" ref="M1110:AB1110" si="4436">CONCATENATE("&lt;/li&gt;&lt;li&gt;&lt;a href=|http://",M1191,"/colossians/3.htm","| ","title=|",M1190,"| target=|_top|&gt;",M1192,"&lt;/a&gt;")</f>
        <v>&lt;/li&gt;&lt;li&gt;&lt;a href=|http://niv.scripturetext.com/colossians/3.htm| title=|New International Version| target=|_top|&gt;NIV&lt;/a&gt;</v>
      </c>
      <c r="N1110" t="str">
        <f t="shared" si="4436"/>
        <v>&lt;/li&gt;&lt;li&gt;&lt;a href=|http://nlt.scripturetext.com/colossians/3.htm| title=|New Living Translation| target=|_top|&gt;NLT&lt;/a&gt;</v>
      </c>
      <c r="O1110" t="str">
        <f t="shared" si="4436"/>
        <v>&lt;/li&gt;&lt;li&gt;&lt;a href=|http://nasb.scripturetext.com/colossians/3.htm| title=|New American Standard Bible| target=|_top|&gt;NAS&lt;/a&gt;</v>
      </c>
      <c r="P1110" t="str">
        <f t="shared" si="4436"/>
        <v>&lt;/li&gt;&lt;li&gt;&lt;a href=|http://gwt.scripturetext.com/colossians/3.htm| title=|God's Word Translation| target=|_top|&gt;GWT&lt;/a&gt;</v>
      </c>
      <c r="Q1110" t="str">
        <f t="shared" si="4436"/>
        <v>&lt;/li&gt;&lt;li&gt;&lt;a href=|http://kingjbible.com/colossians/3.htm| title=|King James Bible| target=|_top|&gt;KJV&lt;/a&gt;</v>
      </c>
      <c r="R1110" t="str">
        <f t="shared" si="4436"/>
        <v>&lt;/li&gt;&lt;li&gt;&lt;a href=|http://asvbible.com/colossians/3.htm| title=|American Standard Version| target=|_top|&gt;ASV&lt;/a&gt;</v>
      </c>
      <c r="S1110" t="str">
        <f t="shared" si="4436"/>
        <v>&lt;/li&gt;&lt;li&gt;&lt;a href=|http://drb.scripturetext.com/colossians/3.htm| title=|Douay-Rheims Bible| target=|_top|&gt;DRB&lt;/a&gt;</v>
      </c>
      <c r="T1110" t="str">
        <f t="shared" si="4436"/>
        <v>&lt;/li&gt;&lt;li&gt;&lt;a href=|http://erv.scripturetext.com/colossians/3.htm| title=|English Revised Version| target=|_top|&gt;ERV&lt;/a&gt;</v>
      </c>
      <c r="U1110" t="str">
        <f>CONCATENATE("&lt;/li&gt;&lt;li&gt;&lt;a href=|http://",U1191,"/colossians/3.htm","| ","title=|",U1190,"| target=|_top|&gt;",U1192,"&lt;/a&gt;")</f>
        <v>&lt;/li&gt;&lt;li&gt;&lt;a href=|http://study.interlinearbible.org/colossians/3.htm| title=|Greek Study Bible| target=|_top|&gt;Grk Study&lt;/a&gt;</v>
      </c>
      <c r="W1110" t="str">
        <f t="shared" si="4436"/>
        <v>&lt;/li&gt;&lt;li&gt;&lt;a href=|http://apostolic.interlinearbible.org/colossians/3.htm| title=|Apostolic Bible Polyglot Interlinear| target=|_top|&gt;Polyglot&lt;/a&gt;</v>
      </c>
      <c r="X1110" t="str">
        <f t="shared" si="4436"/>
        <v>&lt;/li&gt;&lt;li&gt;&lt;a href=|http://interlinearbible.org/colossians/3.htm| title=|Interlinear Bible| target=|_top|&gt;Interlin&lt;/a&gt;</v>
      </c>
      <c r="Y1110" t="str">
        <f t="shared" ref="Y1110" si="4437">CONCATENATE("&lt;/li&gt;&lt;li&gt;&lt;a href=|http://",Y1191,"/colossians/3.htm","| ","title=|",Y1190,"| target=|_top|&gt;",Y1192,"&lt;/a&gt;")</f>
        <v>&lt;/li&gt;&lt;li&gt;&lt;a href=|http://bibleoutline.org/colossians/3.htm| title=|Outline with People and Places List| target=|_top|&gt;Outline&lt;/a&gt;</v>
      </c>
      <c r="Z1110" t="str">
        <f t="shared" si="4436"/>
        <v>&lt;/li&gt;&lt;li&gt;&lt;a href=|http://kjvs.scripturetext.com/colossians/3.htm| title=|King James Bible with Strong's Numbers| target=|_top|&gt;Strong's&lt;/a&gt;</v>
      </c>
      <c r="AA1110" t="str">
        <f t="shared" si="4436"/>
        <v>&lt;/li&gt;&lt;li&gt;&lt;a href=|http://childrensbibleonline.com/colossians/3.htm| title=|The Children's Bible| target=|_top|&gt;Children's&lt;/a&gt;</v>
      </c>
      <c r="AB1110" s="2" t="str">
        <f t="shared" si="4436"/>
        <v>&lt;/li&gt;&lt;li&gt;&lt;a href=|http://tsk.scripturetext.com/colossians/3.htm| title=|Treasury of Scripture Knowledge| target=|_top|&gt;TSK&lt;/a&gt;</v>
      </c>
      <c r="AC1110" t="str">
        <f>CONCATENATE("&lt;a href=|http://",AC1191,"/colossians/3.htm","| ","title=|",AC1190,"| target=|_top|&gt;",AC1192,"&lt;/a&gt;")</f>
        <v>&lt;a href=|http://parallelbible.com/colossians/3.htm| title=|Parallel Chapters| target=|_top|&gt;PAR&lt;/a&gt;</v>
      </c>
      <c r="AD1110" s="2" t="str">
        <f t="shared" ref="AD1110:AI1110" si="4438">CONCATENATE("&lt;/li&gt;&lt;li&gt;&lt;a href=|http://",AD1191,"/colossians/3.htm","| ","title=|",AD1190,"| target=|_top|&gt;",AD1192,"&lt;/a&gt;")</f>
        <v>&lt;/li&gt;&lt;li&gt;&lt;a href=|http://gsb.biblecommenter.com/colossians/3.htm| title=|Geneva Study Bible| target=|_top|&gt;GSB&lt;/a&gt;</v>
      </c>
      <c r="AE1110" s="2" t="str">
        <f t="shared" si="4438"/>
        <v>&lt;/li&gt;&lt;li&gt;&lt;a href=|http://jfb.biblecommenter.com/colossians/3.htm| title=|Jamieson-Fausset-Brown Bible Commentary| target=|_top|&gt;JFB&lt;/a&gt;</v>
      </c>
      <c r="AF1110" s="2" t="str">
        <f t="shared" si="4438"/>
        <v>&lt;/li&gt;&lt;li&gt;&lt;a href=|http://kjt.biblecommenter.com/colossians/3.htm| title=|King James Translators' Notes| target=|_top|&gt;KJT&lt;/a&gt;</v>
      </c>
      <c r="AG1110" s="2" t="str">
        <f t="shared" si="4438"/>
        <v>&lt;/li&gt;&lt;li&gt;&lt;a href=|http://mhc.biblecommenter.com/colossians/3.htm| title=|Matthew Henry's Concise Commentary| target=|_top|&gt;MHC&lt;/a&gt;</v>
      </c>
      <c r="AH1110" s="2" t="str">
        <f t="shared" si="4438"/>
        <v>&lt;/li&gt;&lt;li&gt;&lt;a href=|http://sco.biblecommenter.com/colossians/3.htm| title=|Scofield Reference Notes| target=|_top|&gt;SCO&lt;/a&gt;</v>
      </c>
      <c r="AI1110" s="2" t="str">
        <f t="shared" si="4438"/>
        <v>&lt;/li&gt;&lt;li&gt;&lt;a href=|http://wes.biblecommenter.com/colossians/3.htm| title=|Wesley's Notes on the Bible| target=|_top|&gt;WES&lt;/a&gt;</v>
      </c>
      <c r="AJ1110" t="str">
        <f>CONCATENATE("&lt;/li&gt;&lt;li&gt;&lt;a href=|http://",AJ1191,"/colossians/3.htm","| ","title=|",AJ1190,"| target=|_top|&gt;",AJ1192,"&lt;/a&gt;")</f>
        <v>&lt;/li&gt;&lt;li&gt;&lt;a href=|http://worldebible.com/colossians/3.htm| title=|World English Bible| target=|_top|&gt;WEB&lt;/a&gt;</v>
      </c>
      <c r="AK1110" t="str">
        <f>CONCATENATE("&lt;/li&gt;&lt;li&gt;&lt;a href=|http://",AK1191,"/colossians/3.htm","| ","title=|",AK1190,"| target=|_top|&gt;",AK1192,"&lt;/a&gt;")</f>
        <v>&lt;/li&gt;&lt;li&gt;&lt;a href=|http://yltbible.com/colossians/3.htm| title=|Young's Literal Translation| target=|_top|&gt;YLT&lt;/a&gt;</v>
      </c>
      <c r="AL1110" t="str">
        <f>CONCATENATE("&lt;a href=|http://",AL1191,"/colossians/3.htm","| ","title=|",AL1190,"| target=|_top|&gt;",AL1192,"&lt;/a&gt;")</f>
        <v>&lt;a href=|http://kjv.us/colossians/3.htm| title=|American King James Version| target=|_top|&gt;AKJ&lt;/a&gt;</v>
      </c>
      <c r="AM1110" t="str">
        <f t="shared" ref="AM1110:AS1110" si="4439">CONCATENATE("&lt;/li&gt;&lt;li&gt;&lt;a href=|http://",AM1191,"/colossians/3.htm","| ","title=|",AM1190,"| target=|_top|&gt;",AM1192,"&lt;/a&gt;")</f>
        <v>&lt;/li&gt;&lt;li&gt;&lt;a href=|http://basicenglishbible.com/colossians/3.htm| title=|Bible in Basic English| target=|_top|&gt;BBE&lt;/a&gt;</v>
      </c>
      <c r="AN1110" t="str">
        <f t="shared" si="4439"/>
        <v>&lt;/li&gt;&lt;li&gt;&lt;a href=|http://darbybible.com/colossians/3.htm| title=|Darby Bible Translation| target=|_top|&gt;DBY&lt;/a&gt;</v>
      </c>
      <c r="AO1110" t="str">
        <f t="shared" si="4439"/>
        <v>&lt;/li&gt;&lt;li&gt;&lt;a href=|http://isv.scripturetext.com/colossians/3.htm| title=|International Standard Version| target=|_top|&gt;ISV&lt;/a&gt;</v>
      </c>
      <c r="AP1110" t="str">
        <f t="shared" si="4439"/>
        <v>&lt;/li&gt;&lt;li&gt;&lt;a href=|http://tnt.scripturetext.com/colossians/3.htm| title=|Tyndale New Testament| target=|_top|&gt;TNT&lt;/a&gt;</v>
      </c>
      <c r="AQ1110" s="2" t="str">
        <f t="shared" si="4439"/>
        <v>&lt;/li&gt;&lt;li&gt;&lt;a href=|http://pnt.biblecommenter.com/colossians/3.htm| title=|People's New Testament| target=|_top|&gt;PNT&lt;/a&gt;</v>
      </c>
      <c r="AR1110" t="str">
        <f t="shared" si="4439"/>
        <v>&lt;/li&gt;&lt;li&gt;&lt;a href=|http://websterbible.com/colossians/3.htm| title=|Webster's Bible Translation| target=|_top|&gt;WBS&lt;/a&gt;</v>
      </c>
      <c r="AS1110" t="str">
        <f t="shared" si="4439"/>
        <v>&lt;/li&gt;&lt;li&gt;&lt;a href=|http://weymouthbible.com/colossians/3.htm| title=|Weymouth New Testament| target=|_top|&gt;WEY&lt;/a&gt;</v>
      </c>
      <c r="AT1110" t="str">
        <f>CONCATENATE("&lt;/li&gt;&lt;li&gt;&lt;a href=|http://",AT1191,"/colossians/3-1.htm","| ","title=|",AT1190,"| target=|_top|&gt;",AT1192,"&lt;/a&gt;")</f>
        <v>&lt;/li&gt;&lt;li&gt;&lt;a href=|http://biblebrowser.com/colossians/3-1.htm| title=|Split View| target=|_top|&gt;Split&lt;/a&gt;</v>
      </c>
      <c r="AU1110" s="2" t="s">
        <v>1276</v>
      </c>
      <c r="AV1110" t="s">
        <v>64</v>
      </c>
    </row>
    <row r="1111" spans="1:48">
      <c r="A1111" t="s">
        <v>622</v>
      </c>
      <c r="B1111" t="s">
        <v>542</v>
      </c>
      <c r="C1111" t="s">
        <v>624</v>
      </c>
      <c r="D1111" t="s">
        <v>1268</v>
      </c>
      <c r="E1111" t="s">
        <v>1277</v>
      </c>
      <c r="F1111" t="s">
        <v>1304</v>
      </c>
      <c r="G1111" t="s">
        <v>1266</v>
      </c>
      <c r="H1111" t="s">
        <v>1305</v>
      </c>
      <c r="I1111" t="s">
        <v>1303</v>
      </c>
      <c r="J1111" t="s">
        <v>1267</v>
      </c>
      <c r="K1111" t="s">
        <v>1275</v>
      </c>
      <c r="L1111" s="2" t="s">
        <v>1274</v>
      </c>
      <c r="M1111" t="str">
        <f t="shared" ref="M1111:AB1111" si="4440">CONCATENATE("&lt;/li&gt;&lt;li&gt;&lt;a href=|http://",M1191,"/colossians/4.htm","| ","title=|",M1190,"| target=|_top|&gt;",M1192,"&lt;/a&gt;")</f>
        <v>&lt;/li&gt;&lt;li&gt;&lt;a href=|http://niv.scripturetext.com/colossians/4.htm| title=|New International Version| target=|_top|&gt;NIV&lt;/a&gt;</v>
      </c>
      <c r="N1111" t="str">
        <f t="shared" si="4440"/>
        <v>&lt;/li&gt;&lt;li&gt;&lt;a href=|http://nlt.scripturetext.com/colossians/4.htm| title=|New Living Translation| target=|_top|&gt;NLT&lt;/a&gt;</v>
      </c>
      <c r="O1111" t="str">
        <f t="shared" si="4440"/>
        <v>&lt;/li&gt;&lt;li&gt;&lt;a href=|http://nasb.scripturetext.com/colossians/4.htm| title=|New American Standard Bible| target=|_top|&gt;NAS&lt;/a&gt;</v>
      </c>
      <c r="P1111" t="str">
        <f t="shared" si="4440"/>
        <v>&lt;/li&gt;&lt;li&gt;&lt;a href=|http://gwt.scripturetext.com/colossians/4.htm| title=|God's Word Translation| target=|_top|&gt;GWT&lt;/a&gt;</v>
      </c>
      <c r="Q1111" t="str">
        <f t="shared" si="4440"/>
        <v>&lt;/li&gt;&lt;li&gt;&lt;a href=|http://kingjbible.com/colossians/4.htm| title=|King James Bible| target=|_top|&gt;KJV&lt;/a&gt;</v>
      </c>
      <c r="R1111" t="str">
        <f t="shared" si="4440"/>
        <v>&lt;/li&gt;&lt;li&gt;&lt;a href=|http://asvbible.com/colossians/4.htm| title=|American Standard Version| target=|_top|&gt;ASV&lt;/a&gt;</v>
      </c>
      <c r="S1111" t="str">
        <f t="shared" si="4440"/>
        <v>&lt;/li&gt;&lt;li&gt;&lt;a href=|http://drb.scripturetext.com/colossians/4.htm| title=|Douay-Rheims Bible| target=|_top|&gt;DRB&lt;/a&gt;</v>
      </c>
      <c r="T1111" t="str">
        <f t="shared" si="4440"/>
        <v>&lt;/li&gt;&lt;li&gt;&lt;a href=|http://erv.scripturetext.com/colossians/4.htm| title=|English Revised Version| target=|_top|&gt;ERV&lt;/a&gt;</v>
      </c>
      <c r="U1111" t="str">
        <f>CONCATENATE("&lt;/li&gt;&lt;li&gt;&lt;a href=|http://",U1191,"/colossians/4.htm","| ","title=|",U1190,"| target=|_top|&gt;",U1192,"&lt;/a&gt;")</f>
        <v>&lt;/li&gt;&lt;li&gt;&lt;a href=|http://study.interlinearbible.org/colossians/4.htm| title=|Greek Study Bible| target=|_top|&gt;Grk Study&lt;/a&gt;</v>
      </c>
      <c r="W1111" t="str">
        <f t="shared" si="4440"/>
        <v>&lt;/li&gt;&lt;li&gt;&lt;a href=|http://apostolic.interlinearbible.org/colossians/4.htm| title=|Apostolic Bible Polyglot Interlinear| target=|_top|&gt;Polyglot&lt;/a&gt;</v>
      </c>
      <c r="X1111" t="str">
        <f t="shared" si="4440"/>
        <v>&lt;/li&gt;&lt;li&gt;&lt;a href=|http://interlinearbible.org/colossians/4.htm| title=|Interlinear Bible| target=|_top|&gt;Interlin&lt;/a&gt;</v>
      </c>
      <c r="Y1111" t="str">
        <f t="shared" ref="Y1111" si="4441">CONCATENATE("&lt;/li&gt;&lt;li&gt;&lt;a href=|http://",Y1191,"/colossians/4.htm","| ","title=|",Y1190,"| target=|_top|&gt;",Y1192,"&lt;/a&gt;")</f>
        <v>&lt;/li&gt;&lt;li&gt;&lt;a href=|http://bibleoutline.org/colossians/4.htm| title=|Outline with People and Places List| target=|_top|&gt;Outline&lt;/a&gt;</v>
      </c>
      <c r="Z1111" t="str">
        <f t="shared" si="4440"/>
        <v>&lt;/li&gt;&lt;li&gt;&lt;a href=|http://kjvs.scripturetext.com/colossians/4.htm| title=|King James Bible with Strong's Numbers| target=|_top|&gt;Strong's&lt;/a&gt;</v>
      </c>
      <c r="AA1111" t="str">
        <f t="shared" si="4440"/>
        <v>&lt;/li&gt;&lt;li&gt;&lt;a href=|http://childrensbibleonline.com/colossians/4.htm| title=|The Children's Bible| target=|_top|&gt;Children's&lt;/a&gt;</v>
      </c>
      <c r="AB1111" s="2" t="str">
        <f t="shared" si="4440"/>
        <v>&lt;/li&gt;&lt;li&gt;&lt;a href=|http://tsk.scripturetext.com/colossians/4.htm| title=|Treasury of Scripture Knowledge| target=|_top|&gt;TSK&lt;/a&gt;</v>
      </c>
      <c r="AC1111" t="str">
        <f>CONCATENATE("&lt;a href=|http://",AC1191,"/colossians/4.htm","| ","title=|",AC1190,"| target=|_top|&gt;",AC1192,"&lt;/a&gt;")</f>
        <v>&lt;a href=|http://parallelbible.com/colossians/4.htm| title=|Parallel Chapters| target=|_top|&gt;PAR&lt;/a&gt;</v>
      </c>
      <c r="AD1111" s="2" t="str">
        <f t="shared" ref="AD1111:AI1111" si="4442">CONCATENATE("&lt;/li&gt;&lt;li&gt;&lt;a href=|http://",AD1191,"/colossians/4.htm","| ","title=|",AD1190,"| target=|_top|&gt;",AD1192,"&lt;/a&gt;")</f>
        <v>&lt;/li&gt;&lt;li&gt;&lt;a href=|http://gsb.biblecommenter.com/colossians/4.htm| title=|Geneva Study Bible| target=|_top|&gt;GSB&lt;/a&gt;</v>
      </c>
      <c r="AE1111" s="2" t="str">
        <f t="shared" si="4442"/>
        <v>&lt;/li&gt;&lt;li&gt;&lt;a href=|http://jfb.biblecommenter.com/colossians/4.htm| title=|Jamieson-Fausset-Brown Bible Commentary| target=|_top|&gt;JFB&lt;/a&gt;</v>
      </c>
      <c r="AF1111" s="2" t="str">
        <f t="shared" si="4442"/>
        <v>&lt;/li&gt;&lt;li&gt;&lt;a href=|http://kjt.biblecommenter.com/colossians/4.htm| title=|King James Translators' Notes| target=|_top|&gt;KJT&lt;/a&gt;</v>
      </c>
      <c r="AG1111" s="2" t="str">
        <f t="shared" si="4442"/>
        <v>&lt;/li&gt;&lt;li&gt;&lt;a href=|http://mhc.biblecommenter.com/colossians/4.htm| title=|Matthew Henry's Concise Commentary| target=|_top|&gt;MHC&lt;/a&gt;</v>
      </c>
      <c r="AH1111" s="2" t="str">
        <f t="shared" si="4442"/>
        <v>&lt;/li&gt;&lt;li&gt;&lt;a href=|http://sco.biblecommenter.com/colossians/4.htm| title=|Scofield Reference Notes| target=|_top|&gt;SCO&lt;/a&gt;</v>
      </c>
      <c r="AI1111" s="2" t="str">
        <f t="shared" si="4442"/>
        <v>&lt;/li&gt;&lt;li&gt;&lt;a href=|http://wes.biblecommenter.com/colossians/4.htm| title=|Wesley's Notes on the Bible| target=|_top|&gt;WES&lt;/a&gt;</v>
      </c>
      <c r="AJ1111" t="str">
        <f>CONCATENATE("&lt;/li&gt;&lt;li&gt;&lt;a href=|http://",AJ1191,"/colossians/4.htm","| ","title=|",AJ1190,"| target=|_top|&gt;",AJ1192,"&lt;/a&gt;")</f>
        <v>&lt;/li&gt;&lt;li&gt;&lt;a href=|http://worldebible.com/colossians/4.htm| title=|World English Bible| target=|_top|&gt;WEB&lt;/a&gt;</v>
      </c>
      <c r="AK1111" t="str">
        <f>CONCATENATE("&lt;/li&gt;&lt;li&gt;&lt;a href=|http://",AK1191,"/colossians/4.htm","| ","title=|",AK1190,"| target=|_top|&gt;",AK1192,"&lt;/a&gt;")</f>
        <v>&lt;/li&gt;&lt;li&gt;&lt;a href=|http://yltbible.com/colossians/4.htm| title=|Young's Literal Translation| target=|_top|&gt;YLT&lt;/a&gt;</v>
      </c>
      <c r="AL1111" t="str">
        <f>CONCATENATE("&lt;a href=|http://",AL1191,"/colossians/4.htm","| ","title=|",AL1190,"| target=|_top|&gt;",AL1192,"&lt;/a&gt;")</f>
        <v>&lt;a href=|http://kjv.us/colossians/4.htm| title=|American King James Version| target=|_top|&gt;AKJ&lt;/a&gt;</v>
      </c>
      <c r="AM1111" t="str">
        <f t="shared" ref="AM1111:AS1111" si="4443">CONCATENATE("&lt;/li&gt;&lt;li&gt;&lt;a href=|http://",AM1191,"/colossians/4.htm","| ","title=|",AM1190,"| target=|_top|&gt;",AM1192,"&lt;/a&gt;")</f>
        <v>&lt;/li&gt;&lt;li&gt;&lt;a href=|http://basicenglishbible.com/colossians/4.htm| title=|Bible in Basic English| target=|_top|&gt;BBE&lt;/a&gt;</v>
      </c>
      <c r="AN1111" t="str">
        <f t="shared" si="4443"/>
        <v>&lt;/li&gt;&lt;li&gt;&lt;a href=|http://darbybible.com/colossians/4.htm| title=|Darby Bible Translation| target=|_top|&gt;DBY&lt;/a&gt;</v>
      </c>
      <c r="AO1111" t="str">
        <f t="shared" si="4443"/>
        <v>&lt;/li&gt;&lt;li&gt;&lt;a href=|http://isv.scripturetext.com/colossians/4.htm| title=|International Standard Version| target=|_top|&gt;ISV&lt;/a&gt;</v>
      </c>
      <c r="AP1111" t="str">
        <f t="shared" si="4443"/>
        <v>&lt;/li&gt;&lt;li&gt;&lt;a href=|http://tnt.scripturetext.com/colossians/4.htm| title=|Tyndale New Testament| target=|_top|&gt;TNT&lt;/a&gt;</v>
      </c>
      <c r="AQ1111" s="2" t="str">
        <f t="shared" si="4443"/>
        <v>&lt;/li&gt;&lt;li&gt;&lt;a href=|http://pnt.biblecommenter.com/colossians/4.htm| title=|People's New Testament| target=|_top|&gt;PNT&lt;/a&gt;</v>
      </c>
      <c r="AR1111" t="str">
        <f t="shared" si="4443"/>
        <v>&lt;/li&gt;&lt;li&gt;&lt;a href=|http://websterbible.com/colossians/4.htm| title=|Webster's Bible Translation| target=|_top|&gt;WBS&lt;/a&gt;</v>
      </c>
      <c r="AS1111" t="str">
        <f t="shared" si="4443"/>
        <v>&lt;/li&gt;&lt;li&gt;&lt;a href=|http://weymouthbible.com/colossians/4.htm| title=|Weymouth New Testament| target=|_top|&gt;WEY&lt;/a&gt;</v>
      </c>
      <c r="AT1111" t="str">
        <f>CONCATENATE("&lt;/li&gt;&lt;li&gt;&lt;a href=|http://",AT1191,"/colossians/4-1.htm","| ","title=|",AT1190,"| target=|_top|&gt;",AT1192,"&lt;/a&gt;")</f>
        <v>&lt;/li&gt;&lt;li&gt;&lt;a href=|http://biblebrowser.com/colossians/4-1.htm| title=|Split View| target=|_top|&gt;Split&lt;/a&gt;</v>
      </c>
      <c r="AU1111" s="2" t="s">
        <v>1276</v>
      </c>
      <c r="AV1111" t="s">
        <v>64</v>
      </c>
    </row>
    <row r="1112" spans="1:48">
      <c r="A1112" t="s">
        <v>622</v>
      </c>
      <c r="B1112" t="s">
        <v>543</v>
      </c>
      <c r="C1112" t="s">
        <v>624</v>
      </c>
      <c r="D1112" t="s">
        <v>1268</v>
      </c>
      <c r="E1112" t="s">
        <v>1277</v>
      </c>
      <c r="F1112" t="s">
        <v>1304</v>
      </c>
      <c r="G1112" t="s">
        <v>1266</v>
      </c>
      <c r="H1112" t="s">
        <v>1305</v>
      </c>
      <c r="I1112" t="s">
        <v>1303</v>
      </c>
      <c r="J1112" t="s">
        <v>1267</v>
      </c>
      <c r="K1112" t="s">
        <v>1275</v>
      </c>
      <c r="L1112" s="2" t="s">
        <v>1274</v>
      </c>
      <c r="M1112" t="str">
        <f t="shared" ref="M1112:AB1112" si="4444">CONCATENATE("&lt;/li&gt;&lt;li&gt;&lt;a href=|http://",M1191,"/1_thessalonians/1.htm","| ","title=|",M1190,"| target=|_top|&gt;",M1192,"&lt;/a&gt;")</f>
        <v>&lt;/li&gt;&lt;li&gt;&lt;a href=|http://niv.scripturetext.com/1_thessalonians/1.htm| title=|New International Version| target=|_top|&gt;NIV&lt;/a&gt;</v>
      </c>
      <c r="N1112" t="str">
        <f t="shared" si="4444"/>
        <v>&lt;/li&gt;&lt;li&gt;&lt;a href=|http://nlt.scripturetext.com/1_thessalonians/1.htm| title=|New Living Translation| target=|_top|&gt;NLT&lt;/a&gt;</v>
      </c>
      <c r="O1112" t="str">
        <f t="shared" si="4444"/>
        <v>&lt;/li&gt;&lt;li&gt;&lt;a href=|http://nasb.scripturetext.com/1_thessalonians/1.htm| title=|New American Standard Bible| target=|_top|&gt;NAS&lt;/a&gt;</v>
      </c>
      <c r="P1112" t="str">
        <f t="shared" si="4444"/>
        <v>&lt;/li&gt;&lt;li&gt;&lt;a href=|http://gwt.scripturetext.com/1_thessalonians/1.htm| title=|God's Word Translation| target=|_top|&gt;GWT&lt;/a&gt;</v>
      </c>
      <c r="Q1112" t="str">
        <f t="shared" si="4444"/>
        <v>&lt;/li&gt;&lt;li&gt;&lt;a href=|http://kingjbible.com/1_thessalonians/1.htm| title=|King James Bible| target=|_top|&gt;KJV&lt;/a&gt;</v>
      </c>
      <c r="R1112" t="str">
        <f t="shared" si="4444"/>
        <v>&lt;/li&gt;&lt;li&gt;&lt;a href=|http://asvbible.com/1_thessalonians/1.htm| title=|American Standard Version| target=|_top|&gt;ASV&lt;/a&gt;</v>
      </c>
      <c r="S1112" t="str">
        <f t="shared" si="4444"/>
        <v>&lt;/li&gt;&lt;li&gt;&lt;a href=|http://drb.scripturetext.com/1_thessalonians/1.htm| title=|Douay-Rheims Bible| target=|_top|&gt;DRB&lt;/a&gt;</v>
      </c>
      <c r="T1112" t="str">
        <f t="shared" si="4444"/>
        <v>&lt;/li&gt;&lt;li&gt;&lt;a href=|http://erv.scripturetext.com/1_thessalonians/1.htm| title=|English Revised Version| target=|_top|&gt;ERV&lt;/a&gt;</v>
      </c>
      <c r="U1112" t="str">
        <f>CONCATENATE("&lt;/li&gt;&lt;li&gt;&lt;a href=|http://",U1191,"/1_thessalonians/1.htm","| ","title=|",U1190,"| target=|_top|&gt;",U1192,"&lt;/a&gt;")</f>
        <v>&lt;/li&gt;&lt;li&gt;&lt;a href=|http://study.interlinearbible.org/1_thessalonians/1.htm| title=|Greek Study Bible| target=|_top|&gt;Grk Study&lt;/a&gt;</v>
      </c>
      <c r="W1112" t="str">
        <f t="shared" si="4444"/>
        <v>&lt;/li&gt;&lt;li&gt;&lt;a href=|http://apostolic.interlinearbible.org/1_thessalonians/1.htm| title=|Apostolic Bible Polyglot Interlinear| target=|_top|&gt;Polyglot&lt;/a&gt;</v>
      </c>
      <c r="X1112" t="str">
        <f t="shared" si="4444"/>
        <v>&lt;/li&gt;&lt;li&gt;&lt;a href=|http://interlinearbible.org/1_thessalonians/1.htm| title=|Interlinear Bible| target=|_top|&gt;Interlin&lt;/a&gt;</v>
      </c>
      <c r="Y1112" t="str">
        <f t="shared" ref="Y1112" si="4445">CONCATENATE("&lt;/li&gt;&lt;li&gt;&lt;a href=|http://",Y1191,"/1_thessalonians/1.htm","| ","title=|",Y1190,"| target=|_top|&gt;",Y1192,"&lt;/a&gt;")</f>
        <v>&lt;/li&gt;&lt;li&gt;&lt;a href=|http://bibleoutline.org/1_thessalonians/1.htm| title=|Outline with People and Places List| target=|_top|&gt;Outline&lt;/a&gt;</v>
      </c>
      <c r="Z1112" t="str">
        <f t="shared" si="4444"/>
        <v>&lt;/li&gt;&lt;li&gt;&lt;a href=|http://kjvs.scripturetext.com/1_thessalonians/1.htm| title=|King James Bible with Strong's Numbers| target=|_top|&gt;Strong's&lt;/a&gt;</v>
      </c>
      <c r="AA1112" t="str">
        <f t="shared" si="4444"/>
        <v>&lt;/li&gt;&lt;li&gt;&lt;a href=|http://childrensbibleonline.com/1_thessalonians/1.htm| title=|The Children's Bible| target=|_top|&gt;Children's&lt;/a&gt;</v>
      </c>
      <c r="AB1112" s="2" t="str">
        <f t="shared" si="4444"/>
        <v>&lt;/li&gt;&lt;li&gt;&lt;a href=|http://tsk.scripturetext.com/1_thessalonians/1.htm| title=|Treasury of Scripture Knowledge| target=|_top|&gt;TSK&lt;/a&gt;</v>
      </c>
      <c r="AC1112" t="str">
        <f>CONCATENATE("&lt;a href=|http://",AC1191,"/1_thessalonians/1.htm","| ","title=|",AC1190,"| target=|_top|&gt;",AC1192,"&lt;/a&gt;")</f>
        <v>&lt;a href=|http://parallelbible.com/1_thessalonians/1.htm| title=|Parallel Chapters| target=|_top|&gt;PAR&lt;/a&gt;</v>
      </c>
      <c r="AD1112" s="2" t="str">
        <f t="shared" ref="AD1112:AI1112" si="4446">CONCATENATE("&lt;/li&gt;&lt;li&gt;&lt;a href=|http://",AD1191,"/1_thessalonians/1.htm","| ","title=|",AD1190,"| target=|_top|&gt;",AD1192,"&lt;/a&gt;")</f>
        <v>&lt;/li&gt;&lt;li&gt;&lt;a href=|http://gsb.biblecommenter.com/1_thessalonians/1.htm| title=|Geneva Study Bible| target=|_top|&gt;GSB&lt;/a&gt;</v>
      </c>
      <c r="AE1112" s="2" t="str">
        <f t="shared" si="4446"/>
        <v>&lt;/li&gt;&lt;li&gt;&lt;a href=|http://jfb.biblecommenter.com/1_thessalonians/1.htm| title=|Jamieson-Fausset-Brown Bible Commentary| target=|_top|&gt;JFB&lt;/a&gt;</v>
      </c>
      <c r="AF1112" s="2" t="str">
        <f t="shared" si="4446"/>
        <v>&lt;/li&gt;&lt;li&gt;&lt;a href=|http://kjt.biblecommenter.com/1_thessalonians/1.htm| title=|King James Translators' Notes| target=|_top|&gt;KJT&lt;/a&gt;</v>
      </c>
      <c r="AG1112" s="2" t="str">
        <f t="shared" si="4446"/>
        <v>&lt;/li&gt;&lt;li&gt;&lt;a href=|http://mhc.biblecommenter.com/1_thessalonians/1.htm| title=|Matthew Henry's Concise Commentary| target=|_top|&gt;MHC&lt;/a&gt;</v>
      </c>
      <c r="AH1112" s="2" t="str">
        <f t="shared" si="4446"/>
        <v>&lt;/li&gt;&lt;li&gt;&lt;a href=|http://sco.biblecommenter.com/1_thessalonians/1.htm| title=|Scofield Reference Notes| target=|_top|&gt;SCO&lt;/a&gt;</v>
      </c>
      <c r="AI1112" s="2" t="str">
        <f t="shared" si="4446"/>
        <v>&lt;/li&gt;&lt;li&gt;&lt;a href=|http://wes.biblecommenter.com/1_thessalonians/1.htm| title=|Wesley's Notes on the Bible| target=|_top|&gt;WES&lt;/a&gt;</v>
      </c>
      <c r="AJ1112" t="str">
        <f>CONCATENATE("&lt;/li&gt;&lt;li&gt;&lt;a href=|http://",AJ1191,"/1_thessalonians/1.htm","| ","title=|",AJ1190,"| target=|_top|&gt;",AJ1192,"&lt;/a&gt;")</f>
        <v>&lt;/li&gt;&lt;li&gt;&lt;a href=|http://worldebible.com/1_thessalonians/1.htm| title=|World English Bible| target=|_top|&gt;WEB&lt;/a&gt;</v>
      </c>
      <c r="AK1112" t="str">
        <f>CONCATENATE("&lt;/li&gt;&lt;li&gt;&lt;a href=|http://",AK1191,"/1_thessalonians/1.htm","| ","title=|",AK1190,"| target=|_top|&gt;",AK1192,"&lt;/a&gt;")</f>
        <v>&lt;/li&gt;&lt;li&gt;&lt;a href=|http://yltbible.com/1_thessalonians/1.htm| title=|Young's Literal Translation| target=|_top|&gt;YLT&lt;/a&gt;</v>
      </c>
      <c r="AL1112" t="str">
        <f>CONCATENATE("&lt;a href=|http://",AL1191,"/1_thessalonians/1.htm","| ","title=|",AL1190,"| target=|_top|&gt;",AL1192,"&lt;/a&gt;")</f>
        <v>&lt;a href=|http://kjv.us/1_thessalonians/1.htm| title=|American King James Version| target=|_top|&gt;AKJ&lt;/a&gt;</v>
      </c>
      <c r="AM1112" t="str">
        <f t="shared" ref="AM1112:AS1112" si="4447">CONCATENATE("&lt;/li&gt;&lt;li&gt;&lt;a href=|http://",AM1191,"/1_thessalonians/1.htm","| ","title=|",AM1190,"| target=|_top|&gt;",AM1192,"&lt;/a&gt;")</f>
        <v>&lt;/li&gt;&lt;li&gt;&lt;a href=|http://basicenglishbible.com/1_thessalonians/1.htm| title=|Bible in Basic English| target=|_top|&gt;BBE&lt;/a&gt;</v>
      </c>
      <c r="AN1112" t="str">
        <f t="shared" si="4447"/>
        <v>&lt;/li&gt;&lt;li&gt;&lt;a href=|http://darbybible.com/1_thessalonians/1.htm| title=|Darby Bible Translation| target=|_top|&gt;DBY&lt;/a&gt;</v>
      </c>
      <c r="AO1112" t="str">
        <f t="shared" si="4447"/>
        <v>&lt;/li&gt;&lt;li&gt;&lt;a href=|http://isv.scripturetext.com/1_thessalonians/1.htm| title=|International Standard Version| target=|_top|&gt;ISV&lt;/a&gt;</v>
      </c>
      <c r="AP1112" t="str">
        <f t="shared" si="4447"/>
        <v>&lt;/li&gt;&lt;li&gt;&lt;a href=|http://tnt.scripturetext.com/1_thessalonians/1.htm| title=|Tyndale New Testament| target=|_top|&gt;TNT&lt;/a&gt;</v>
      </c>
      <c r="AQ1112" s="2" t="str">
        <f t="shared" si="4447"/>
        <v>&lt;/li&gt;&lt;li&gt;&lt;a href=|http://pnt.biblecommenter.com/1_thessalonians/1.htm| title=|People's New Testament| target=|_top|&gt;PNT&lt;/a&gt;</v>
      </c>
      <c r="AR1112" t="str">
        <f t="shared" si="4447"/>
        <v>&lt;/li&gt;&lt;li&gt;&lt;a href=|http://websterbible.com/1_thessalonians/1.htm| title=|Webster's Bible Translation| target=|_top|&gt;WBS&lt;/a&gt;</v>
      </c>
      <c r="AS1112" t="str">
        <f t="shared" si="4447"/>
        <v>&lt;/li&gt;&lt;li&gt;&lt;a href=|http://weymouthbible.com/1_thessalonians/1.htm| title=|Weymouth New Testament| target=|_top|&gt;WEY&lt;/a&gt;</v>
      </c>
      <c r="AT1112" t="str">
        <f>CONCATENATE("&lt;/li&gt;&lt;li&gt;&lt;a href=|http://",AT1191,"/1_thessalonians/1-1.htm","| ","title=|",AT1190,"| target=|_top|&gt;",AT1192,"&lt;/a&gt;")</f>
        <v>&lt;/li&gt;&lt;li&gt;&lt;a href=|http://biblebrowser.com/1_thessalonians/1-1.htm| title=|Split View| target=|_top|&gt;Split&lt;/a&gt;</v>
      </c>
      <c r="AU1112" s="2" t="s">
        <v>1276</v>
      </c>
      <c r="AV1112" t="s">
        <v>64</v>
      </c>
    </row>
    <row r="1113" spans="1:48">
      <c r="A1113" t="s">
        <v>622</v>
      </c>
      <c r="B1113" t="s">
        <v>544</v>
      </c>
      <c r="C1113" t="s">
        <v>624</v>
      </c>
      <c r="D1113" t="s">
        <v>1268</v>
      </c>
      <c r="E1113" t="s">
        <v>1277</v>
      </c>
      <c r="F1113" t="s">
        <v>1304</v>
      </c>
      <c r="G1113" t="s">
        <v>1266</v>
      </c>
      <c r="H1113" t="s">
        <v>1305</v>
      </c>
      <c r="I1113" t="s">
        <v>1303</v>
      </c>
      <c r="J1113" t="s">
        <v>1267</v>
      </c>
      <c r="K1113" t="s">
        <v>1275</v>
      </c>
      <c r="L1113" s="2" t="s">
        <v>1274</v>
      </c>
      <c r="M1113" t="str">
        <f t="shared" ref="M1113:AB1113" si="4448">CONCATENATE("&lt;/li&gt;&lt;li&gt;&lt;a href=|http://",M1191,"/1_thessalonians/2.htm","| ","title=|",M1190,"| target=|_top|&gt;",M1192,"&lt;/a&gt;")</f>
        <v>&lt;/li&gt;&lt;li&gt;&lt;a href=|http://niv.scripturetext.com/1_thessalonians/2.htm| title=|New International Version| target=|_top|&gt;NIV&lt;/a&gt;</v>
      </c>
      <c r="N1113" t="str">
        <f t="shared" si="4448"/>
        <v>&lt;/li&gt;&lt;li&gt;&lt;a href=|http://nlt.scripturetext.com/1_thessalonians/2.htm| title=|New Living Translation| target=|_top|&gt;NLT&lt;/a&gt;</v>
      </c>
      <c r="O1113" t="str">
        <f t="shared" si="4448"/>
        <v>&lt;/li&gt;&lt;li&gt;&lt;a href=|http://nasb.scripturetext.com/1_thessalonians/2.htm| title=|New American Standard Bible| target=|_top|&gt;NAS&lt;/a&gt;</v>
      </c>
      <c r="P1113" t="str">
        <f t="shared" si="4448"/>
        <v>&lt;/li&gt;&lt;li&gt;&lt;a href=|http://gwt.scripturetext.com/1_thessalonians/2.htm| title=|God's Word Translation| target=|_top|&gt;GWT&lt;/a&gt;</v>
      </c>
      <c r="Q1113" t="str">
        <f t="shared" si="4448"/>
        <v>&lt;/li&gt;&lt;li&gt;&lt;a href=|http://kingjbible.com/1_thessalonians/2.htm| title=|King James Bible| target=|_top|&gt;KJV&lt;/a&gt;</v>
      </c>
      <c r="R1113" t="str">
        <f t="shared" si="4448"/>
        <v>&lt;/li&gt;&lt;li&gt;&lt;a href=|http://asvbible.com/1_thessalonians/2.htm| title=|American Standard Version| target=|_top|&gt;ASV&lt;/a&gt;</v>
      </c>
      <c r="S1113" t="str">
        <f t="shared" si="4448"/>
        <v>&lt;/li&gt;&lt;li&gt;&lt;a href=|http://drb.scripturetext.com/1_thessalonians/2.htm| title=|Douay-Rheims Bible| target=|_top|&gt;DRB&lt;/a&gt;</v>
      </c>
      <c r="T1113" t="str">
        <f t="shared" si="4448"/>
        <v>&lt;/li&gt;&lt;li&gt;&lt;a href=|http://erv.scripturetext.com/1_thessalonians/2.htm| title=|English Revised Version| target=|_top|&gt;ERV&lt;/a&gt;</v>
      </c>
      <c r="U1113" t="str">
        <f>CONCATENATE("&lt;/li&gt;&lt;li&gt;&lt;a href=|http://",U1191,"/1_thessalonians/2.htm","| ","title=|",U1190,"| target=|_top|&gt;",U1192,"&lt;/a&gt;")</f>
        <v>&lt;/li&gt;&lt;li&gt;&lt;a href=|http://study.interlinearbible.org/1_thessalonians/2.htm| title=|Greek Study Bible| target=|_top|&gt;Grk Study&lt;/a&gt;</v>
      </c>
      <c r="W1113" t="str">
        <f t="shared" si="4448"/>
        <v>&lt;/li&gt;&lt;li&gt;&lt;a href=|http://apostolic.interlinearbible.org/1_thessalonians/2.htm| title=|Apostolic Bible Polyglot Interlinear| target=|_top|&gt;Polyglot&lt;/a&gt;</v>
      </c>
      <c r="X1113" t="str">
        <f t="shared" si="4448"/>
        <v>&lt;/li&gt;&lt;li&gt;&lt;a href=|http://interlinearbible.org/1_thessalonians/2.htm| title=|Interlinear Bible| target=|_top|&gt;Interlin&lt;/a&gt;</v>
      </c>
      <c r="Y1113" t="str">
        <f t="shared" ref="Y1113" si="4449">CONCATENATE("&lt;/li&gt;&lt;li&gt;&lt;a href=|http://",Y1191,"/1_thessalonians/2.htm","| ","title=|",Y1190,"| target=|_top|&gt;",Y1192,"&lt;/a&gt;")</f>
        <v>&lt;/li&gt;&lt;li&gt;&lt;a href=|http://bibleoutline.org/1_thessalonians/2.htm| title=|Outline with People and Places List| target=|_top|&gt;Outline&lt;/a&gt;</v>
      </c>
      <c r="Z1113" t="str">
        <f t="shared" si="4448"/>
        <v>&lt;/li&gt;&lt;li&gt;&lt;a href=|http://kjvs.scripturetext.com/1_thessalonians/2.htm| title=|King James Bible with Strong's Numbers| target=|_top|&gt;Strong's&lt;/a&gt;</v>
      </c>
      <c r="AA1113" t="str">
        <f t="shared" si="4448"/>
        <v>&lt;/li&gt;&lt;li&gt;&lt;a href=|http://childrensbibleonline.com/1_thessalonians/2.htm| title=|The Children's Bible| target=|_top|&gt;Children's&lt;/a&gt;</v>
      </c>
      <c r="AB1113" s="2" t="str">
        <f t="shared" si="4448"/>
        <v>&lt;/li&gt;&lt;li&gt;&lt;a href=|http://tsk.scripturetext.com/1_thessalonians/2.htm| title=|Treasury of Scripture Knowledge| target=|_top|&gt;TSK&lt;/a&gt;</v>
      </c>
      <c r="AC1113" t="str">
        <f>CONCATENATE("&lt;a href=|http://",AC1191,"/1_thessalonians/2.htm","| ","title=|",AC1190,"| target=|_top|&gt;",AC1192,"&lt;/a&gt;")</f>
        <v>&lt;a href=|http://parallelbible.com/1_thessalonians/2.htm| title=|Parallel Chapters| target=|_top|&gt;PAR&lt;/a&gt;</v>
      </c>
      <c r="AD1113" s="2" t="str">
        <f t="shared" ref="AD1113:AI1113" si="4450">CONCATENATE("&lt;/li&gt;&lt;li&gt;&lt;a href=|http://",AD1191,"/1_thessalonians/2.htm","| ","title=|",AD1190,"| target=|_top|&gt;",AD1192,"&lt;/a&gt;")</f>
        <v>&lt;/li&gt;&lt;li&gt;&lt;a href=|http://gsb.biblecommenter.com/1_thessalonians/2.htm| title=|Geneva Study Bible| target=|_top|&gt;GSB&lt;/a&gt;</v>
      </c>
      <c r="AE1113" s="2" t="str">
        <f t="shared" si="4450"/>
        <v>&lt;/li&gt;&lt;li&gt;&lt;a href=|http://jfb.biblecommenter.com/1_thessalonians/2.htm| title=|Jamieson-Fausset-Brown Bible Commentary| target=|_top|&gt;JFB&lt;/a&gt;</v>
      </c>
      <c r="AF1113" s="2" t="str">
        <f t="shared" si="4450"/>
        <v>&lt;/li&gt;&lt;li&gt;&lt;a href=|http://kjt.biblecommenter.com/1_thessalonians/2.htm| title=|King James Translators' Notes| target=|_top|&gt;KJT&lt;/a&gt;</v>
      </c>
      <c r="AG1113" s="2" t="str">
        <f t="shared" si="4450"/>
        <v>&lt;/li&gt;&lt;li&gt;&lt;a href=|http://mhc.biblecommenter.com/1_thessalonians/2.htm| title=|Matthew Henry's Concise Commentary| target=|_top|&gt;MHC&lt;/a&gt;</v>
      </c>
      <c r="AH1113" s="2" t="str">
        <f t="shared" si="4450"/>
        <v>&lt;/li&gt;&lt;li&gt;&lt;a href=|http://sco.biblecommenter.com/1_thessalonians/2.htm| title=|Scofield Reference Notes| target=|_top|&gt;SCO&lt;/a&gt;</v>
      </c>
      <c r="AI1113" s="2" t="str">
        <f t="shared" si="4450"/>
        <v>&lt;/li&gt;&lt;li&gt;&lt;a href=|http://wes.biblecommenter.com/1_thessalonians/2.htm| title=|Wesley's Notes on the Bible| target=|_top|&gt;WES&lt;/a&gt;</v>
      </c>
      <c r="AJ1113" t="str">
        <f>CONCATENATE("&lt;/li&gt;&lt;li&gt;&lt;a href=|http://",AJ1191,"/1_thessalonians/2.htm","| ","title=|",AJ1190,"| target=|_top|&gt;",AJ1192,"&lt;/a&gt;")</f>
        <v>&lt;/li&gt;&lt;li&gt;&lt;a href=|http://worldebible.com/1_thessalonians/2.htm| title=|World English Bible| target=|_top|&gt;WEB&lt;/a&gt;</v>
      </c>
      <c r="AK1113" t="str">
        <f>CONCATENATE("&lt;/li&gt;&lt;li&gt;&lt;a href=|http://",AK1191,"/1_thessalonians/2.htm","| ","title=|",AK1190,"| target=|_top|&gt;",AK1192,"&lt;/a&gt;")</f>
        <v>&lt;/li&gt;&lt;li&gt;&lt;a href=|http://yltbible.com/1_thessalonians/2.htm| title=|Young's Literal Translation| target=|_top|&gt;YLT&lt;/a&gt;</v>
      </c>
      <c r="AL1113" t="str">
        <f>CONCATENATE("&lt;a href=|http://",AL1191,"/1_thessalonians/2.htm","| ","title=|",AL1190,"| target=|_top|&gt;",AL1192,"&lt;/a&gt;")</f>
        <v>&lt;a href=|http://kjv.us/1_thessalonians/2.htm| title=|American King James Version| target=|_top|&gt;AKJ&lt;/a&gt;</v>
      </c>
      <c r="AM1113" t="str">
        <f t="shared" ref="AM1113:AS1113" si="4451">CONCATENATE("&lt;/li&gt;&lt;li&gt;&lt;a href=|http://",AM1191,"/1_thessalonians/2.htm","| ","title=|",AM1190,"| target=|_top|&gt;",AM1192,"&lt;/a&gt;")</f>
        <v>&lt;/li&gt;&lt;li&gt;&lt;a href=|http://basicenglishbible.com/1_thessalonians/2.htm| title=|Bible in Basic English| target=|_top|&gt;BBE&lt;/a&gt;</v>
      </c>
      <c r="AN1113" t="str">
        <f t="shared" si="4451"/>
        <v>&lt;/li&gt;&lt;li&gt;&lt;a href=|http://darbybible.com/1_thessalonians/2.htm| title=|Darby Bible Translation| target=|_top|&gt;DBY&lt;/a&gt;</v>
      </c>
      <c r="AO1113" t="str">
        <f t="shared" si="4451"/>
        <v>&lt;/li&gt;&lt;li&gt;&lt;a href=|http://isv.scripturetext.com/1_thessalonians/2.htm| title=|International Standard Version| target=|_top|&gt;ISV&lt;/a&gt;</v>
      </c>
      <c r="AP1113" t="str">
        <f t="shared" si="4451"/>
        <v>&lt;/li&gt;&lt;li&gt;&lt;a href=|http://tnt.scripturetext.com/1_thessalonians/2.htm| title=|Tyndale New Testament| target=|_top|&gt;TNT&lt;/a&gt;</v>
      </c>
      <c r="AQ1113" s="2" t="str">
        <f t="shared" si="4451"/>
        <v>&lt;/li&gt;&lt;li&gt;&lt;a href=|http://pnt.biblecommenter.com/1_thessalonians/2.htm| title=|People's New Testament| target=|_top|&gt;PNT&lt;/a&gt;</v>
      </c>
      <c r="AR1113" t="str">
        <f t="shared" si="4451"/>
        <v>&lt;/li&gt;&lt;li&gt;&lt;a href=|http://websterbible.com/1_thessalonians/2.htm| title=|Webster's Bible Translation| target=|_top|&gt;WBS&lt;/a&gt;</v>
      </c>
      <c r="AS1113" t="str">
        <f t="shared" si="4451"/>
        <v>&lt;/li&gt;&lt;li&gt;&lt;a href=|http://weymouthbible.com/1_thessalonians/2.htm| title=|Weymouth New Testament| target=|_top|&gt;WEY&lt;/a&gt;</v>
      </c>
      <c r="AT1113" t="str">
        <f>CONCATENATE("&lt;/li&gt;&lt;li&gt;&lt;a href=|http://",AT1191,"/1_thessalonians/2-1.htm","| ","title=|",AT1190,"| target=|_top|&gt;",AT1192,"&lt;/a&gt;")</f>
        <v>&lt;/li&gt;&lt;li&gt;&lt;a href=|http://biblebrowser.com/1_thessalonians/2-1.htm| title=|Split View| target=|_top|&gt;Split&lt;/a&gt;</v>
      </c>
      <c r="AU1113" s="2" t="s">
        <v>1276</v>
      </c>
      <c r="AV1113" t="s">
        <v>64</v>
      </c>
    </row>
    <row r="1114" spans="1:48">
      <c r="A1114" t="s">
        <v>622</v>
      </c>
      <c r="B1114" t="s">
        <v>545</v>
      </c>
      <c r="C1114" t="s">
        <v>624</v>
      </c>
      <c r="D1114" t="s">
        <v>1268</v>
      </c>
      <c r="E1114" t="s">
        <v>1277</v>
      </c>
      <c r="F1114" t="s">
        <v>1304</v>
      </c>
      <c r="G1114" t="s">
        <v>1266</v>
      </c>
      <c r="H1114" t="s">
        <v>1305</v>
      </c>
      <c r="I1114" t="s">
        <v>1303</v>
      </c>
      <c r="J1114" t="s">
        <v>1267</v>
      </c>
      <c r="K1114" t="s">
        <v>1275</v>
      </c>
      <c r="L1114" s="2" t="s">
        <v>1274</v>
      </c>
      <c r="M1114" t="str">
        <f t="shared" ref="M1114:AB1114" si="4452">CONCATENATE("&lt;/li&gt;&lt;li&gt;&lt;a href=|http://",M1191,"/1_thessalonians/3.htm","| ","title=|",M1190,"| target=|_top|&gt;",M1192,"&lt;/a&gt;")</f>
        <v>&lt;/li&gt;&lt;li&gt;&lt;a href=|http://niv.scripturetext.com/1_thessalonians/3.htm| title=|New International Version| target=|_top|&gt;NIV&lt;/a&gt;</v>
      </c>
      <c r="N1114" t="str">
        <f t="shared" si="4452"/>
        <v>&lt;/li&gt;&lt;li&gt;&lt;a href=|http://nlt.scripturetext.com/1_thessalonians/3.htm| title=|New Living Translation| target=|_top|&gt;NLT&lt;/a&gt;</v>
      </c>
      <c r="O1114" t="str">
        <f t="shared" si="4452"/>
        <v>&lt;/li&gt;&lt;li&gt;&lt;a href=|http://nasb.scripturetext.com/1_thessalonians/3.htm| title=|New American Standard Bible| target=|_top|&gt;NAS&lt;/a&gt;</v>
      </c>
      <c r="P1114" t="str">
        <f t="shared" si="4452"/>
        <v>&lt;/li&gt;&lt;li&gt;&lt;a href=|http://gwt.scripturetext.com/1_thessalonians/3.htm| title=|God's Word Translation| target=|_top|&gt;GWT&lt;/a&gt;</v>
      </c>
      <c r="Q1114" t="str">
        <f t="shared" si="4452"/>
        <v>&lt;/li&gt;&lt;li&gt;&lt;a href=|http://kingjbible.com/1_thessalonians/3.htm| title=|King James Bible| target=|_top|&gt;KJV&lt;/a&gt;</v>
      </c>
      <c r="R1114" t="str">
        <f t="shared" si="4452"/>
        <v>&lt;/li&gt;&lt;li&gt;&lt;a href=|http://asvbible.com/1_thessalonians/3.htm| title=|American Standard Version| target=|_top|&gt;ASV&lt;/a&gt;</v>
      </c>
      <c r="S1114" t="str">
        <f t="shared" si="4452"/>
        <v>&lt;/li&gt;&lt;li&gt;&lt;a href=|http://drb.scripturetext.com/1_thessalonians/3.htm| title=|Douay-Rheims Bible| target=|_top|&gt;DRB&lt;/a&gt;</v>
      </c>
      <c r="T1114" t="str">
        <f t="shared" si="4452"/>
        <v>&lt;/li&gt;&lt;li&gt;&lt;a href=|http://erv.scripturetext.com/1_thessalonians/3.htm| title=|English Revised Version| target=|_top|&gt;ERV&lt;/a&gt;</v>
      </c>
      <c r="U1114" t="str">
        <f>CONCATENATE("&lt;/li&gt;&lt;li&gt;&lt;a href=|http://",U1191,"/1_thessalonians/3.htm","| ","title=|",U1190,"| target=|_top|&gt;",U1192,"&lt;/a&gt;")</f>
        <v>&lt;/li&gt;&lt;li&gt;&lt;a href=|http://study.interlinearbible.org/1_thessalonians/3.htm| title=|Greek Study Bible| target=|_top|&gt;Grk Study&lt;/a&gt;</v>
      </c>
      <c r="W1114" t="str">
        <f t="shared" si="4452"/>
        <v>&lt;/li&gt;&lt;li&gt;&lt;a href=|http://apostolic.interlinearbible.org/1_thessalonians/3.htm| title=|Apostolic Bible Polyglot Interlinear| target=|_top|&gt;Polyglot&lt;/a&gt;</v>
      </c>
      <c r="X1114" t="str">
        <f t="shared" si="4452"/>
        <v>&lt;/li&gt;&lt;li&gt;&lt;a href=|http://interlinearbible.org/1_thessalonians/3.htm| title=|Interlinear Bible| target=|_top|&gt;Interlin&lt;/a&gt;</v>
      </c>
      <c r="Y1114" t="str">
        <f t="shared" ref="Y1114" si="4453">CONCATENATE("&lt;/li&gt;&lt;li&gt;&lt;a href=|http://",Y1191,"/1_thessalonians/3.htm","| ","title=|",Y1190,"| target=|_top|&gt;",Y1192,"&lt;/a&gt;")</f>
        <v>&lt;/li&gt;&lt;li&gt;&lt;a href=|http://bibleoutline.org/1_thessalonians/3.htm| title=|Outline with People and Places List| target=|_top|&gt;Outline&lt;/a&gt;</v>
      </c>
      <c r="Z1114" t="str">
        <f t="shared" si="4452"/>
        <v>&lt;/li&gt;&lt;li&gt;&lt;a href=|http://kjvs.scripturetext.com/1_thessalonians/3.htm| title=|King James Bible with Strong's Numbers| target=|_top|&gt;Strong's&lt;/a&gt;</v>
      </c>
      <c r="AA1114" t="str">
        <f t="shared" si="4452"/>
        <v>&lt;/li&gt;&lt;li&gt;&lt;a href=|http://childrensbibleonline.com/1_thessalonians/3.htm| title=|The Children's Bible| target=|_top|&gt;Children's&lt;/a&gt;</v>
      </c>
      <c r="AB1114" s="2" t="str">
        <f t="shared" si="4452"/>
        <v>&lt;/li&gt;&lt;li&gt;&lt;a href=|http://tsk.scripturetext.com/1_thessalonians/3.htm| title=|Treasury of Scripture Knowledge| target=|_top|&gt;TSK&lt;/a&gt;</v>
      </c>
      <c r="AC1114" t="str">
        <f>CONCATENATE("&lt;a href=|http://",AC1191,"/1_thessalonians/3.htm","| ","title=|",AC1190,"| target=|_top|&gt;",AC1192,"&lt;/a&gt;")</f>
        <v>&lt;a href=|http://parallelbible.com/1_thessalonians/3.htm| title=|Parallel Chapters| target=|_top|&gt;PAR&lt;/a&gt;</v>
      </c>
      <c r="AD1114" s="2" t="str">
        <f t="shared" ref="AD1114:AI1114" si="4454">CONCATENATE("&lt;/li&gt;&lt;li&gt;&lt;a href=|http://",AD1191,"/1_thessalonians/3.htm","| ","title=|",AD1190,"| target=|_top|&gt;",AD1192,"&lt;/a&gt;")</f>
        <v>&lt;/li&gt;&lt;li&gt;&lt;a href=|http://gsb.biblecommenter.com/1_thessalonians/3.htm| title=|Geneva Study Bible| target=|_top|&gt;GSB&lt;/a&gt;</v>
      </c>
      <c r="AE1114" s="2" t="str">
        <f t="shared" si="4454"/>
        <v>&lt;/li&gt;&lt;li&gt;&lt;a href=|http://jfb.biblecommenter.com/1_thessalonians/3.htm| title=|Jamieson-Fausset-Brown Bible Commentary| target=|_top|&gt;JFB&lt;/a&gt;</v>
      </c>
      <c r="AF1114" s="2" t="str">
        <f t="shared" si="4454"/>
        <v>&lt;/li&gt;&lt;li&gt;&lt;a href=|http://kjt.biblecommenter.com/1_thessalonians/3.htm| title=|King James Translators' Notes| target=|_top|&gt;KJT&lt;/a&gt;</v>
      </c>
      <c r="AG1114" s="2" t="str">
        <f t="shared" si="4454"/>
        <v>&lt;/li&gt;&lt;li&gt;&lt;a href=|http://mhc.biblecommenter.com/1_thessalonians/3.htm| title=|Matthew Henry's Concise Commentary| target=|_top|&gt;MHC&lt;/a&gt;</v>
      </c>
      <c r="AH1114" s="2" t="str">
        <f t="shared" si="4454"/>
        <v>&lt;/li&gt;&lt;li&gt;&lt;a href=|http://sco.biblecommenter.com/1_thessalonians/3.htm| title=|Scofield Reference Notes| target=|_top|&gt;SCO&lt;/a&gt;</v>
      </c>
      <c r="AI1114" s="2" t="str">
        <f t="shared" si="4454"/>
        <v>&lt;/li&gt;&lt;li&gt;&lt;a href=|http://wes.biblecommenter.com/1_thessalonians/3.htm| title=|Wesley's Notes on the Bible| target=|_top|&gt;WES&lt;/a&gt;</v>
      </c>
      <c r="AJ1114" t="str">
        <f>CONCATENATE("&lt;/li&gt;&lt;li&gt;&lt;a href=|http://",AJ1191,"/1_thessalonians/3.htm","| ","title=|",AJ1190,"| target=|_top|&gt;",AJ1192,"&lt;/a&gt;")</f>
        <v>&lt;/li&gt;&lt;li&gt;&lt;a href=|http://worldebible.com/1_thessalonians/3.htm| title=|World English Bible| target=|_top|&gt;WEB&lt;/a&gt;</v>
      </c>
      <c r="AK1114" t="str">
        <f>CONCATENATE("&lt;/li&gt;&lt;li&gt;&lt;a href=|http://",AK1191,"/1_thessalonians/3.htm","| ","title=|",AK1190,"| target=|_top|&gt;",AK1192,"&lt;/a&gt;")</f>
        <v>&lt;/li&gt;&lt;li&gt;&lt;a href=|http://yltbible.com/1_thessalonians/3.htm| title=|Young's Literal Translation| target=|_top|&gt;YLT&lt;/a&gt;</v>
      </c>
      <c r="AL1114" t="str">
        <f>CONCATENATE("&lt;a href=|http://",AL1191,"/1_thessalonians/3.htm","| ","title=|",AL1190,"| target=|_top|&gt;",AL1192,"&lt;/a&gt;")</f>
        <v>&lt;a href=|http://kjv.us/1_thessalonians/3.htm| title=|American King James Version| target=|_top|&gt;AKJ&lt;/a&gt;</v>
      </c>
      <c r="AM1114" t="str">
        <f t="shared" ref="AM1114:AS1114" si="4455">CONCATENATE("&lt;/li&gt;&lt;li&gt;&lt;a href=|http://",AM1191,"/1_thessalonians/3.htm","| ","title=|",AM1190,"| target=|_top|&gt;",AM1192,"&lt;/a&gt;")</f>
        <v>&lt;/li&gt;&lt;li&gt;&lt;a href=|http://basicenglishbible.com/1_thessalonians/3.htm| title=|Bible in Basic English| target=|_top|&gt;BBE&lt;/a&gt;</v>
      </c>
      <c r="AN1114" t="str">
        <f t="shared" si="4455"/>
        <v>&lt;/li&gt;&lt;li&gt;&lt;a href=|http://darbybible.com/1_thessalonians/3.htm| title=|Darby Bible Translation| target=|_top|&gt;DBY&lt;/a&gt;</v>
      </c>
      <c r="AO1114" t="str">
        <f t="shared" si="4455"/>
        <v>&lt;/li&gt;&lt;li&gt;&lt;a href=|http://isv.scripturetext.com/1_thessalonians/3.htm| title=|International Standard Version| target=|_top|&gt;ISV&lt;/a&gt;</v>
      </c>
      <c r="AP1114" t="str">
        <f t="shared" si="4455"/>
        <v>&lt;/li&gt;&lt;li&gt;&lt;a href=|http://tnt.scripturetext.com/1_thessalonians/3.htm| title=|Tyndale New Testament| target=|_top|&gt;TNT&lt;/a&gt;</v>
      </c>
      <c r="AQ1114" s="2" t="str">
        <f t="shared" si="4455"/>
        <v>&lt;/li&gt;&lt;li&gt;&lt;a href=|http://pnt.biblecommenter.com/1_thessalonians/3.htm| title=|People's New Testament| target=|_top|&gt;PNT&lt;/a&gt;</v>
      </c>
      <c r="AR1114" t="str">
        <f t="shared" si="4455"/>
        <v>&lt;/li&gt;&lt;li&gt;&lt;a href=|http://websterbible.com/1_thessalonians/3.htm| title=|Webster's Bible Translation| target=|_top|&gt;WBS&lt;/a&gt;</v>
      </c>
      <c r="AS1114" t="str">
        <f t="shared" si="4455"/>
        <v>&lt;/li&gt;&lt;li&gt;&lt;a href=|http://weymouthbible.com/1_thessalonians/3.htm| title=|Weymouth New Testament| target=|_top|&gt;WEY&lt;/a&gt;</v>
      </c>
      <c r="AT1114" t="str">
        <f>CONCATENATE("&lt;/li&gt;&lt;li&gt;&lt;a href=|http://",AT1191,"/1_thessalonians/3-1.htm","| ","title=|",AT1190,"| target=|_top|&gt;",AT1192,"&lt;/a&gt;")</f>
        <v>&lt;/li&gt;&lt;li&gt;&lt;a href=|http://biblebrowser.com/1_thessalonians/3-1.htm| title=|Split View| target=|_top|&gt;Split&lt;/a&gt;</v>
      </c>
      <c r="AU1114" s="2" t="s">
        <v>1276</v>
      </c>
      <c r="AV1114" t="s">
        <v>64</v>
      </c>
    </row>
    <row r="1115" spans="1:48">
      <c r="A1115" t="s">
        <v>622</v>
      </c>
      <c r="B1115" t="s">
        <v>546</v>
      </c>
      <c r="C1115" t="s">
        <v>624</v>
      </c>
      <c r="D1115" t="s">
        <v>1268</v>
      </c>
      <c r="E1115" t="s">
        <v>1277</v>
      </c>
      <c r="F1115" t="s">
        <v>1304</v>
      </c>
      <c r="G1115" t="s">
        <v>1266</v>
      </c>
      <c r="H1115" t="s">
        <v>1305</v>
      </c>
      <c r="I1115" t="s">
        <v>1303</v>
      </c>
      <c r="J1115" t="s">
        <v>1267</v>
      </c>
      <c r="K1115" t="s">
        <v>1275</v>
      </c>
      <c r="L1115" s="2" t="s">
        <v>1274</v>
      </c>
      <c r="M1115" t="str">
        <f t="shared" ref="M1115:AB1115" si="4456">CONCATENATE("&lt;/li&gt;&lt;li&gt;&lt;a href=|http://",M1191,"/1_thessalonians/4.htm","| ","title=|",M1190,"| target=|_top|&gt;",M1192,"&lt;/a&gt;")</f>
        <v>&lt;/li&gt;&lt;li&gt;&lt;a href=|http://niv.scripturetext.com/1_thessalonians/4.htm| title=|New International Version| target=|_top|&gt;NIV&lt;/a&gt;</v>
      </c>
      <c r="N1115" t="str">
        <f t="shared" si="4456"/>
        <v>&lt;/li&gt;&lt;li&gt;&lt;a href=|http://nlt.scripturetext.com/1_thessalonians/4.htm| title=|New Living Translation| target=|_top|&gt;NLT&lt;/a&gt;</v>
      </c>
      <c r="O1115" t="str">
        <f t="shared" si="4456"/>
        <v>&lt;/li&gt;&lt;li&gt;&lt;a href=|http://nasb.scripturetext.com/1_thessalonians/4.htm| title=|New American Standard Bible| target=|_top|&gt;NAS&lt;/a&gt;</v>
      </c>
      <c r="P1115" t="str">
        <f t="shared" si="4456"/>
        <v>&lt;/li&gt;&lt;li&gt;&lt;a href=|http://gwt.scripturetext.com/1_thessalonians/4.htm| title=|God's Word Translation| target=|_top|&gt;GWT&lt;/a&gt;</v>
      </c>
      <c r="Q1115" t="str">
        <f t="shared" si="4456"/>
        <v>&lt;/li&gt;&lt;li&gt;&lt;a href=|http://kingjbible.com/1_thessalonians/4.htm| title=|King James Bible| target=|_top|&gt;KJV&lt;/a&gt;</v>
      </c>
      <c r="R1115" t="str">
        <f t="shared" si="4456"/>
        <v>&lt;/li&gt;&lt;li&gt;&lt;a href=|http://asvbible.com/1_thessalonians/4.htm| title=|American Standard Version| target=|_top|&gt;ASV&lt;/a&gt;</v>
      </c>
      <c r="S1115" t="str">
        <f t="shared" si="4456"/>
        <v>&lt;/li&gt;&lt;li&gt;&lt;a href=|http://drb.scripturetext.com/1_thessalonians/4.htm| title=|Douay-Rheims Bible| target=|_top|&gt;DRB&lt;/a&gt;</v>
      </c>
      <c r="T1115" t="str">
        <f t="shared" si="4456"/>
        <v>&lt;/li&gt;&lt;li&gt;&lt;a href=|http://erv.scripturetext.com/1_thessalonians/4.htm| title=|English Revised Version| target=|_top|&gt;ERV&lt;/a&gt;</v>
      </c>
      <c r="U1115" t="str">
        <f>CONCATENATE("&lt;/li&gt;&lt;li&gt;&lt;a href=|http://",U1191,"/1_thessalonians/4.htm","| ","title=|",U1190,"| target=|_top|&gt;",U1192,"&lt;/a&gt;")</f>
        <v>&lt;/li&gt;&lt;li&gt;&lt;a href=|http://study.interlinearbible.org/1_thessalonians/4.htm| title=|Greek Study Bible| target=|_top|&gt;Grk Study&lt;/a&gt;</v>
      </c>
      <c r="W1115" t="str">
        <f t="shared" si="4456"/>
        <v>&lt;/li&gt;&lt;li&gt;&lt;a href=|http://apostolic.interlinearbible.org/1_thessalonians/4.htm| title=|Apostolic Bible Polyglot Interlinear| target=|_top|&gt;Polyglot&lt;/a&gt;</v>
      </c>
      <c r="X1115" t="str">
        <f t="shared" si="4456"/>
        <v>&lt;/li&gt;&lt;li&gt;&lt;a href=|http://interlinearbible.org/1_thessalonians/4.htm| title=|Interlinear Bible| target=|_top|&gt;Interlin&lt;/a&gt;</v>
      </c>
      <c r="Y1115" t="str">
        <f t="shared" ref="Y1115" si="4457">CONCATENATE("&lt;/li&gt;&lt;li&gt;&lt;a href=|http://",Y1191,"/1_thessalonians/4.htm","| ","title=|",Y1190,"| target=|_top|&gt;",Y1192,"&lt;/a&gt;")</f>
        <v>&lt;/li&gt;&lt;li&gt;&lt;a href=|http://bibleoutline.org/1_thessalonians/4.htm| title=|Outline with People and Places List| target=|_top|&gt;Outline&lt;/a&gt;</v>
      </c>
      <c r="Z1115" t="str">
        <f t="shared" si="4456"/>
        <v>&lt;/li&gt;&lt;li&gt;&lt;a href=|http://kjvs.scripturetext.com/1_thessalonians/4.htm| title=|King James Bible with Strong's Numbers| target=|_top|&gt;Strong's&lt;/a&gt;</v>
      </c>
      <c r="AA1115" t="str">
        <f t="shared" si="4456"/>
        <v>&lt;/li&gt;&lt;li&gt;&lt;a href=|http://childrensbibleonline.com/1_thessalonians/4.htm| title=|The Children's Bible| target=|_top|&gt;Children's&lt;/a&gt;</v>
      </c>
      <c r="AB1115" s="2" t="str">
        <f t="shared" si="4456"/>
        <v>&lt;/li&gt;&lt;li&gt;&lt;a href=|http://tsk.scripturetext.com/1_thessalonians/4.htm| title=|Treasury of Scripture Knowledge| target=|_top|&gt;TSK&lt;/a&gt;</v>
      </c>
      <c r="AC1115" t="str">
        <f>CONCATENATE("&lt;a href=|http://",AC1191,"/1_thessalonians/4.htm","| ","title=|",AC1190,"| target=|_top|&gt;",AC1192,"&lt;/a&gt;")</f>
        <v>&lt;a href=|http://parallelbible.com/1_thessalonians/4.htm| title=|Parallel Chapters| target=|_top|&gt;PAR&lt;/a&gt;</v>
      </c>
      <c r="AD1115" s="2" t="str">
        <f t="shared" ref="AD1115:AI1115" si="4458">CONCATENATE("&lt;/li&gt;&lt;li&gt;&lt;a href=|http://",AD1191,"/1_thessalonians/4.htm","| ","title=|",AD1190,"| target=|_top|&gt;",AD1192,"&lt;/a&gt;")</f>
        <v>&lt;/li&gt;&lt;li&gt;&lt;a href=|http://gsb.biblecommenter.com/1_thessalonians/4.htm| title=|Geneva Study Bible| target=|_top|&gt;GSB&lt;/a&gt;</v>
      </c>
      <c r="AE1115" s="2" t="str">
        <f t="shared" si="4458"/>
        <v>&lt;/li&gt;&lt;li&gt;&lt;a href=|http://jfb.biblecommenter.com/1_thessalonians/4.htm| title=|Jamieson-Fausset-Brown Bible Commentary| target=|_top|&gt;JFB&lt;/a&gt;</v>
      </c>
      <c r="AF1115" s="2" t="str">
        <f t="shared" si="4458"/>
        <v>&lt;/li&gt;&lt;li&gt;&lt;a href=|http://kjt.biblecommenter.com/1_thessalonians/4.htm| title=|King James Translators' Notes| target=|_top|&gt;KJT&lt;/a&gt;</v>
      </c>
      <c r="AG1115" s="2" t="str">
        <f t="shared" si="4458"/>
        <v>&lt;/li&gt;&lt;li&gt;&lt;a href=|http://mhc.biblecommenter.com/1_thessalonians/4.htm| title=|Matthew Henry's Concise Commentary| target=|_top|&gt;MHC&lt;/a&gt;</v>
      </c>
      <c r="AH1115" s="2" t="str">
        <f t="shared" si="4458"/>
        <v>&lt;/li&gt;&lt;li&gt;&lt;a href=|http://sco.biblecommenter.com/1_thessalonians/4.htm| title=|Scofield Reference Notes| target=|_top|&gt;SCO&lt;/a&gt;</v>
      </c>
      <c r="AI1115" s="2" t="str">
        <f t="shared" si="4458"/>
        <v>&lt;/li&gt;&lt;li&gt;&lt;a href=|http://wes.biblecommenter.com/1_thessalonians/4.htm| title=|Wesley's Notes on the Bible| target=|_top|&gt;WES&lt;/a&gt;</v>
      </c>
      <c r="AJ1115" t="str">
        <f>CONCATENATE("&lt;/li&gt;&lt;li&gt;&lt;a href=|http://",AJ1191,"/1_thessalonians/4.htm","| ","title=|",AJ1190,"| target=|_top|&gt;",AJ1192,"&lt;/a&gt;")</f>
        <v>&lt;/li&gt;&lt;li&gt;&lt;a href=|http://worldebible.com/1_thessalonians/4.htm| title=|World English Bible| target=|_top|&gt;WEB&lt;/a&gt;</v>
      </c>
      <c r="AK1115" t="str">
        <f>CONCATENATE("&lt;/li&gt;&lt;li&gt;&lt;a href=|http://",AK1191,"/1_thessalonians/4.htm","| ","title=|",AK1190,"| target=|_top|&gt;",AK1192,"&lt;/a&gt;")</f>
        <v>&lt;/li&gt;&lt;li&gt;&lt;a href=|http://yltbible.com/1_thessalonians/4.htm| title=|Young's Literal Translation| target=|_top|&gt;YLT&lt;/a&gt;</v>
      </c>
      <c r="AL1115" t="str">
        <f>CONCATENATE("&lt;a href=|http://",AL1191,"/1_thessalonians/4.htm","| ","title=|",AL1190,"| target=|_top|&gt;",AL1192,"&lt;/a&gt;")</f>
        <v>&lt;a href=|http://kjv.us/1_thessalonians/4.htm| title=|American King James Version| target=|_top|&gt;AKJ&lt;/a&gt;</v>
      </c>
      <c r="AM1115" t="str">
        <f t="shared" ref="AM1115:AS1115" si="4459">CONCATENATE("&lt;/li&gt;&lt;li&gt;&lt;a href=|http://",AM1191,"/1_thessalonians/4.htm","| ","title=|",AM1190,"| target=|_top|&gt;",AM1192,"&lt;/a&gt;")</f>
        <v>&lt;/li&gt;&lt;li&gt;&lt;a href=|http://basicenglishbible.com/1_thessalonians/4.htm| title=|Bible in Basic English| target=|_top|&gt;BBE&lt;/a&gt;</v>
      </c>
      <c r="AN1115" t="str">
        <f t="shared" si="4459"/>
        <v>&lt;/li&gt;&lt;li&gt;&lt;a href=|http://darbybible.com/1_thessalonians/4.htm| title=|Darby Bible Translation| target=|_top|&gt;DBY&lt;/a&gt;</v>
      </c>
      <c r="AO1115" t="str">
        <f t="shared" si="4459"/>
        <v>&lt;/li&gt;&lt;li&gt;&lt;a href=|http://isv.scripturetext.com/1_thessalonians/4.htm| title=|International Standard Version| target=|_top|&gt;ISV&lt;/a&gt;</v>
      </c>
      <c r="AP1115" t="str">
        <f t="shared" si="4459"/>
        <v>&lt;/li&gt;&lt;li&gt;&lt;a href=|http://tnt.scripturetext.com/1_thessalonians/4.htm| title=|Tyndale New Testament| target=|_top|&gt;TNT&lt;/a&gt;</v>
      </c>
      <c r="AQ1115" s="2" t="str">
        <f t="shared" si="4459"/>
        <v>&lt;/li&gt;&lt;li&gt;&lt;a href=|http://pnt.biblecommenter.com/1_thessalonians/4.htm| title=|People's New Testament| target=|_top|&gt;PNT&lt;/a&gt;</v>
      </c>
      <c r="AR1115" t="str">
        <f t="shared" si="4459"/>
        <v>&lt;/li&gt;&lt;li&gt;&lt;a href=|http://websterbible.com/1_thessalonians/4.htm| title=|Webster's Bible Translation| target=|_top|&gt;WBS&lt;/a&gt;</v>
      </c>
      <c r="AS1115" t="str">
        <f t="shared" si="4459"/>
        <v>&lt;/li&gt;&lt;li&gt;&lt;a href=|http://weymouthbible.com/1_thessalonians/4.htm| title=|Weymouth New Testament| target=|_top|&gt;WEY&lt;/a&gt;</v>
      </c>
      <c r="AT1115" t="str">
        <f>CONCATENATE("&lt;/li&gt;&lt;li&gt;&lt;a href=|http://",AT1191,"/1_thessalonians/4-1.htm","| ","title=|",AT1190,"| target=|_top|&gt;",AT1192,"&lt;/a&gt;")</f>
        <v>&lt;/li&gt;&lt;li&gt;&lt;a href=|http://biblebrowser.com/1_thessalonians/4-1.htm| title=|Split View| target=|_top|&gt;Split&lt;/a&gt;</v>
      </c>
      <c r="AU1115" s="2" t="s">
        <v>1276</v>
      </c>
      <c r="AV1115" t="s">
        <v>64</v>
      </c>
    </row>
    <row r="1116" spans="1:48">
      <c r="A1116" t="s">
        <v>622</v>
      </c>
      <c r="B1116" t="s">
        <v>547</v>
      </c>
      <c r="C1116" t="s">
        <v>624</v>
      </c>
      <c r="D1116" t="s">
        <v>1268</v>
      </c>
      <c r="E1116" t="s">
        <v>1277</v>
      </c>
      <c r="F1116" t="s">
        <v>1304</v>
      </c>
      <c r="G1116" t="s">
        <v>1266</v>
      </c>
      <c r="H1116" t="s">
        <v>1305</v>
      </c>
      <c r="I1116" t="s">
        <v>1303</v>
      </c>
      <c r="J1116" t="s">
        <v>1267</v>
      </c>
      <c r="K1116" t="s">
        <v>1275</v>
      </c>
      <c r="L1116" s="2" t="s">
        <v>1274</v>
      </c>
      <c r="M1116" t="str">
        <f t="shared" ref="M1116:AB1116" si="4460">CONCATENATE("&lt;/li&gt;&lt;li&gt;&lt;a href=|http://",M1191,"/1_thessalonians/5.htm","| ","title=|",M1190,"| target=|_top|&gt;",M1192,"&lt;/a&gt;")</f>
        <v>&lt;/li&gt;&lt;li&gt;&lt;a href=|http://niv.scripturetext.com/1_thessalonians/5.htm| title=|New International Version| target=|_top|&gt;NIV&lt;/a&gt;</v>
      </c>
      <c r="N1116" t="str">
        <f t="shared" si="4460"/>
        <v>&lt;/li&gt;&lt;li&gt;&lt;a href=|http://nlt.scripturetext.com/1_thessalonians/5.htm| title=|New Living Translation| target=|_top|&gt;NLT&lt;/a&gt;</v>
      </c>
      <c r="O1116" t="str">
        <f t="shared" si="4460"/>
        <v>&lt;/li&gt;&lt;li&gt;&lt;a href=|http://nasb.scripturetext.com/1_thessalonians/5.htm| title=|New American Standard Bible| target=|_top|&gt;NAS&lt;/a&gt;</v>
      </c>
      <c r="P1116" t="str">
        <f t="shared" si="4460"/>
        <v>&lt;/li&gt;&lt;li&gt;&lt;a href=|http://gwt.scripturetext.com/1_thessalonians/5.htm| title=|God's Word Translation| target=|_top|&gt;GWT&lt;/a&gt;</v>
      </c>
      <c r="Q1116" t="str">
        <f t="shared" si="4460"/>
        <v>&lt;/li&gt;&lt;li&gt;&lt;a href=|http://kingjbible.com/1_thessalonians/5.htm| title=|King James Bible| target=|_top|&gt;KJV&lt;/a&gt;</v>
      </c>
      <c r="R1116" t="str">
        <f t="shared" si="4460"/>
        <v>&lt;/li&gt;&lt;li&gt;&lt;a href=|http://asvbible.com/1_thessalonians/5.htm| title=|American Standard Version| target=|_top|&gt;ASV&lt;/a&gt;</v>
      </c>
      <c r="S1116" t="str">
        <f t="shared" si="4460"/>
        <v>&lt;/li&gt;&lt;li&gt;&lt;a href=|http://drb.scripturetext.com/1_thessalonians/5.htm| title=|Douay-Rheims Bible| target=|_top|&gt;DRB&lt;/a&gt;</v>
      </c>
      <c r="T1116" t="str">
        <f t="shared" si="4460"/>
        <v>&lt;/li&gt;&lt;li&gt;&lt;a href=|http://erv.scripturetext.com/1_thessalonians/5.htm| title=|English Revised Version| target=|_top|&gt;ERV&lt;/a&gt;</v>
      </c>
      <c r="U1116" t="str">
        <f>CONCATENATE("&lt;/li&gt;&lt;li&gt;&lt;a href=|http://",U1191,"/1_thessalonians/5.htm","| ","title=|",U1190,"| target=|_top|&gt;",U1192,"&lt;/a&gt;")</f>
        <v>&lt;/li&gt;&lt;li&gt;&lt;a href=|http://study.interlinearbible.org/1_thessalonians/5.htm| title=|Greek Study Bible| target=|_top|&gt;Grk Study&lt;/a&gt;</v>
      </c>
      <c r="W1116" t="str">
        <f t="shared" si="4460"/>
        <v>&lt;/li&gt;&lt;li&gt;&lt;a href=|http://apostolic.interlinearbible.org/1_thessalonians/5.htm| title=|Apostolic Bible Polyglot Interlinear| target=|_top|&gt;Polyglot&lt;/a&gt;</v>
      </c>
      <c r="X1116" t="str">
        <f t="shared" si="4460"/>
        <v>&lt;/li&gt;&lt;li&gt;&lt;a href=|http://interlinearbible.org/1_thessalonians/5.htm| title=|Interlinear Bible| target=|_top|&gt;Interlin&lt;/a&gt;</v>
      </c>
      <c r="Y1116" t="str">
        <f t="shared" ref="Y1116" si="4461">CONCATENATE("&lt;/li&gt;&lt;li&gt;&lt;a href=|http://",Y1191,"/1_thessalonians/5.htm","| ","title=|",Y1190,"| target=|_top|&gt;",Y1192,"&lt;/a&gt;")</f>
        <v>&lt;/li&gt;&lt;li&gt;&lt;a href=|http://bibleoutline.org/1_thessalonians/5.htm| title=|Outline with People and Places List| target=|_top|&gt;Outline&lt;/a&gt;</v>
      </c>
      <c r="Z1116" t="str">
        <f t="shared" si="4460"/>
        <v>&lt;/li&gt;&lt;li&gt;&lt;a href=|http://kjvs.scripturetext.com/1_thessalonians/5.htm| title=|King James Bible with Strong's Numbers| target=|_top|&gt;Strong's&lt;/a&gt;</v>
      </c>
      <c r="AA1116" t="str">
        <f t="shared" si="4460"/>
        <v>&lt;/li&gt;&lt;li&gt;&lt;a href=|http://childrensbibleonline.com/1_thessalonians/5.htm| title=|The Children's Bible| target=|_top|&gt;Children's&lt;/a&gt;</v>
      </c>
      <c r="AB1116" s="2" t="str">
        <f t="shared" si="4460"/>
        <v>&lt;/li&gt;&lt;li&gt;&lt;a href=|http://tsk.scripturetext.com/1_thessalonians/5.htm| title=|Treasury of Scripture Knowledge| target=|_top|&gt;TSK&lt;/a&gt;</v>
      </c>
      <c r="AC1116" t="str">
        <f>CONCATENATE("&lt;a href=|http://",AC1191,"/1_thessalonians/5.htm","| ","title=|",AC1190,"| target=|_top|&gt;",AC1192,"&lt;/a&gt;")</f>
        <v>&lt;a href=|http://parallelbible.com/1_thessalonians/5.htm| title=|Parallel Chapters| target=|_top|&gt;PAR&lt;/a&gt;</v>
      </c>
      <c r="AD1116" s="2" t="str">
        <f t="shared" ref="AD1116:AI1116" si="4462">CONCATENATE("&lt;/li&gt;&lt;li&gt;&lt;a href=|http://",AD1191,"/1_thessalonians/5.htm","| ","title=|",AD1190,"| target=|_top|&gt;",AD1192,"&lt;/a&gt;")</f>
        <v>&lt;/li&gt;&lt;li&gt;&lt;a href=|http://gsb.biblecommenter.com/1_thessalonians/5.htm| title=|Geneva Study Bible| target=|_top|&gt;GSB&lt;/a&gt;</v>
      </c>
      <c r="AE1116" s="2" t="str">
        <f t="shared" si="4462"/>
        <v>&lt;/li&gt;&lt;li&gt;&lt;a href=|http://jfb.biblecommenter.com/1_thessalonians/5.htm| title=|Jamieson-Fausset-Brown Bible Commentary| target=|_top|&gt;JFB&lt;/a&gt;</v>
      </c>
      <c r="AF1116" s="2" t="str">
        <f t="shared" si="4462"/>
        <v>&lt;/li&gt;&lt;li&gt;&lt;a href=|http://kjt.biblecommenter.com/1_thessalonians/5.htm| title=|King James Translators' Notes| target=|_top|&gt;KJT&lt;/a&gt;</v>
      </c>
      <c r="AG1116" s="2" t="str">
        <f t="shared" si="4462"/>
        <v>&lt;/li&gt;&lt;li&gt;&lt;a href=|http://mhc.biblecommenter.com/1_thessalonians/5.htm| title=|Matthew Henry's Concise Commentary| target=|_top|&gt;MHC&lt;/a&gt;</v>
      </c>
      <c r="AH1116" s="2" t="str">
        <f t="shared" si="4462"/>
        <v>&lt;/li&gt;&lt;li&gt;&lt;a href=|http://sco.biblecommenter.com/1_thessalonians/5.htm| title=|Scofield Reference Notes| target=|_top|&gt;SCO&lt;/a&gt;</v>
      </c>
      <c r="AI1116" s="2" t="str">
        <f t="shared" si="4462"/>
        <v>&lt;/li&gt;&lt;li&gt;&lt;a href=|http://wes.biblecommenter.com/1_thessalonians/5.htm| title=|Wesley's Notes on the Bible| target=|_top|&gt;WES&lt;/a&gt;</v>
      </c>
      <c r="AJ1116" t="str">
        <f>CONCATENATE("&lt;/li&gt;&lt;li&gt;&lt;a href=|http://",AJ1191,"/1_thessalonians/5.htm","| ","title=|",AJ1190,"| target=|_top|&gt;",AJ1192,"&lt;/a&gt;")</f>
        <v>&lt;/li&gt;&lt;li&gt;&lt;a href=|http://worldebible.com/1_thessalonians/5.htm| title=|World English Bible| target=|_top|&gt;WEB&lt;/a&gt;</v>
      </c>
      <c r="AK1116" t="str">
        <f>CONCATENATE("&lt;/li&gt;&lt;li&gt;&lt;a href=|http://",AK1191,"/1_thessalonians/5.htm","| ","title=|",AK1190,"| target=|_top|&gt;",AK1192,"&lt;/a&gt;")</f>
        <v>&lt;/li&gt;&lt;li&gt;&lt;a href=|http://yltbible.com/1_thessalonians/5.htm| title=|Young's Literal Translation| target=|_top|&gt;YLT&lt;/a&gt;</v>
      </c>
      <c r="AL1116" t="str">
        <f>CONCATENATE("&lt;a href=|http://",AL1191,"/1_thessalonians/5.htm","| ","title=|",AL1190,"| target=|_top|&gt;",AL1192,"&lt;/a&gt;")</f>
        <v>&lt;a href=|http://kjv.us/1_thessalonians/5.htm| title=|American King James Version| target=|_top|&gt;AKJ&lt;/a&gt;</v>
      </c>
      <c r="AM1116" t="str">
        <f t="shared" ref="AM1116:AS1116" si="4463">CONCATENATE("&lt;/li&gt;&lt;li&gt;&lt;a href=|http://",AM1191,"/1_thessalonians/5.htm","| ","title=|",AM1190,"| target=|_top|&gt;",AM1192,"&lt;/a&gt;")</f>
        <v>&lt;/li&gt;&lt;li&gt;&lt;a href=|http://basicenglishbible.com/1_thessalonians/5.htm| title=|Bible in Basic English| target=|_top|&gt;BBE&lt;/a&gt;</v>
      </c>
      <c r="AN1116" t="str">
        <f t="shared" si="4463"/>
        <v>&lt;/li&gt;&lt;li&gt;&lt;a href=|http://darbybible.com/1_thessalonians/5.htm| title=|Darby Bible Translation| target=|_top|&gt;DBY&lt;/a&gt;</v>
      </c>
      <c r="AO1116" t="str">
        <f t="shared" si="4463"/>
        <v>&lt;/li&gt;&lt;li&gt;&lt;a href=|http://isv.scripturetext.com/1_thessalonians/5.htm| title=|International Standard Version| target=|_top|&gt;ISV&lt;/a&gt;</v>
      </c>
      <c r="AP1116" t="str">
        <f t="shared" si="4463"/>
        <v>&lt;/li&gt;&lt;li&gt;&lt;a href=|http://tnt.scripturetext.com/1_thessalonians/5.htm| title=|Tyndale New Testament| target=|_top|&gt;TNT&lt;/a&gt;</v>
      </c>
      <c r="AQ1116" s="2" t="str">
        <f t="shared" si="4463"/>
        <v>&lt;/li&gt;&lt;li&gt;&lt;a href=|http://pnt.biblecommenter.com/1_thessalonians/5.htm| title=|People's New Testament| target=|_top|&gt;PNT&lt;/a&gt;</v>
      </c>
      <c r="AR1116" t="str">
        <f t="shared" si="4463"/>
        <v>&lt;/li&gt;&lt;li&gt;&lt;a href=|http://websterbible.com/1_thessalonians/5.htm| title=|Webster's Bible Translation| target=|_top|&gt;WBS&lt;/a&gt;</v>
      </c>
      <c r="AS1116" t="str">
        <f t="shared" si="4463"/>
        <v>&lt;/li&gt;&lt;li&gt;&lt;a href=|http://weymouthbible.com/1_thessalonians/5.htm| title=|Weymouth New Testament| target=|_top|&gt;WEY&lt;/a&gt;</v>
      </c>
      <c r="AT1116" t="str">
        <f>CONCATENATE("&lt;/li&gt;&lt;li&gt;&lt;a href=|http://",AT1191,"/1_thessalonians/5-1.htm","| ","title=|",AT1190,"| target=|_top|&gt;",AT1192,"&lt;/a&gt;")</f>
        <v>&lt;/li&gt;&lt;li&gt;&lt;a href=|http://biblebrowser.com/1_thessalonians/5-1.htm| title=|Split View| target=|_top|&gt;Split&lt;/a&gt;</v>
      </c>
      <c r="AU1116" s="2" t="s">
        <v>1276</v>
      </c>
      <c r="AV1116" t="s">
        <v>64</v>
      </c>
    </row>
    <row r="1117" spans="1:48">
      <c r="A1117" t="s">
        <v>622</v>
      </c>
      <c r="B1117" t="s">
        <v>548</v>
      </c>
      <c r="C1117" t="s">
        <v>624</v>
      </c>
      <c r="D1117" t="s">
        <v>1268</v>
      </c>
      <c r="E1117" t="s">
        <v>1277</v>
      </c>
      <c r="F1117" t="s">
        <v>1304</v>
      </c>
      <c r="G1117" t="s">
        <v>1266</v>
      </c>
      <c r="H1117" t="s">
        <v>1305</v>
      </c>
      <c r="I1117" t="s">
        <v>1303</v>
      </c>
      <c r="J1117" t="s">
        <v>1267</v>
      </c>
      <c r="K1117" t="s">
        <v>1275</v>
      </c>
      <c r="L1117" s="2" t="s">
        <v>1274</v>
      </c>
      <c r="M1117" t="str">
        <f t="shared" ref="M1117:AB1117" si="4464">CONCATENATE("&lt;/li&gt;&lt;li&gt;&lt;a href=|http://",M1191,"/2_thessalonians/1.htm","| ","title=|",M1190,"| target=|_top|&gt;",M1192,"&lt;/a&gt;")</f>
        <v>&lt;/li&gt;&lt;li&gt;&lt;a href=|http://niv.scripturetext.com/2_thessalonians/1.htm| title=|New International Version| target=|_top|&gt;NIV&lt;/a&gt;</v>
      </c>
      <c r="N1117" t="str">
        <f t="shared" si="4464"/>
        <v>&lt;/li&gt;&lt;li&gt;&lt;a href=|http://nlt.scripturetext.com/2_thessalonians/1.htm| title=|New Living Translation| target=|_top|&gt;NLT&lt;/a&gt;</v>
      </c>
      <c r="O1117" t="str">
        <f t="shared" si="4464"/>
        <v>&lt;/li&gt;&lt;li&gt;&lt;a href=|http://nasb.scripturetext.com/2_thessalonians/1.htm| title=|New American Standard Bible| target=|_top|&gt;NAS&lt;/a&gt;</v>
      </c>
      <c r="P1117" t="str">
        <f t="shared" si="4464"/>
        <v>&lt;/li&gt;&lt;li&gt;&lt;a href=|http://gwt.scripturetext.com/2_thessalonians/1.htm| title=|God's Word Translation| target=|_top|&gt;GWT&lt;/a&gt;</v>
      </c>
      <c r="Q1117" t="str">
        <f t="shared" si="4464"/>
        <v>&lt;/li&gt;&lt;li&gt;&lt;a href=|http://kingjbible.com/2_thessalonians/1.htm| title=|King James Bible| target=|_top|&gt;KJV&lt;/a&gt;</v>
      </c>
      <c r="R1117" t="str">
        <f t="shared" si="4464"/>
        <v>&lt;/li&gt;&lt;li&gt;&lt;a href=|http://asvbible.com/2_thessalonians/1.htm| title=|American Standard Version| target=|_top|&gt;ASV&lt;/a&gt;</v>
      </c>
      <c r="S1117" t="str">
        <f t="shared" si="4464"/>
        <v>&lt;/li&gt;&lt;li&gt;&lt;a href=|http://drb.scripturetext.com/2_thessalonians/1.htm| title=|Douay-Rheims Bible| target=|_top|&gt;DRB&lt;/a&gt;</v>
      </c>
      <c r="T1117" t="str">
        <f t="shared" si="4464"/>
        <v>&lt;/li&gt;&lt;li&gt;&lt;a href=|http://erv.scripturetext.com/2_thessalonians/1.htm| title=|English Revised Version| target=|_top|&gt;ERV&lt;/a&gt;</v>
      </c>
      <c r="U1117" t="str">
        <f>CONCATENATE("&lt;/li&gt;&lt;li&gt;&lt;a href=|http://",U1191,"/2_thessalonians/1.htm","| ","title=|",U1190,"| target=|_top|&gt;",U1192,"&lt;/a&gt;")</f>
        <v>&lt;/li&gt;&lt;li&gt;&lt;a href=|http://study.interlinearbible.org/2_thessalonians/1.htm| title=|Greek Study Bible| target=|_top|&gt;Grk Study&lt;/a&gt;</v>
      </c>
      <c r="W1117" t="str">
        <f t="shared" si="4464"/>
        <v>&lt;/li&gt;&lt;li&gt;&lt;a href=|http://apostolic.interlinearbible.org/2_thessalonians/1.htm| title=|Apostolic Bible Polyglot Interlinear| target=|_top|&gt;Polyglot&lt;/a&gt;</v>
      </c>
      <c r="X1117" t="str">
        <f t="shared" si="4464"/>
        <v>&lt;/li&gt;&lt;li&gt;&lt;a href=|http://interlinearbible.org/2_thessalonians/1.htm| title=|Interlinear Bible| target=|_top|&gt;Interlin&lt;/a&gt;</v>
      </c>
      <c r="Y1117" t="str">
        <f t="shared" ref="Y1117" si="4465">CONCATENATE("&lt;/li&gt;&lt;li&gt;&lt;a href=|http://",Y1191,"/2_thessalonians/1.htm","| ","title=|",Y1190,"| target=|_top|&gt;",Y1192,"&lt;/a&gt;")</f>
        <v>&lt;/li&gt;&lt;li&gt;&lt;a href=|http://bibleoutline.org/2_thessalonians/1.htm| title=|Outline with People and Places List| target=|_top|&gt;Outline&lt;/a&gt;</v>
      </c>
      <c r="Z1117" t="str">
        <f t="shared" si="4464"/>
        <v>&lt;/li&gt;&lt;li&gt;&lt;a href=|http://kjvs.scripturetext.com/2_thessalonians/1.htm| title=|King James Bible with Strong's Numbers| target=|_top|&gt;Strong's&lt;/a&gt;</v>
      </c>
      <c r="AA1117" t="str">
        <f t="shared" si="4464"/>
        <v>&lt;/li&gt;&lt;li&gt;&lt;a href=|http://childrensbibleonline.com/2_thessalonians/1.htm| title=|The Children's Bible| target=|_top|&gt;Children's&lt;/a&gt;</v>
      </c>
      <c r="AB1117" s="2" t="str">
        <f t="shared" si="4464"/>
        <v>&lt;/li&gt;&lt;li&gt;&lt;a href=|http://tsk.scripturetext.com/2_thessalonians/1.htm| title=|Treasury of Scripture Knowledge| target=|_top|&gt;TSK&lt;/a&gt;</v>
      </c>
      <c r="AC1117" t="str">
        <f>CONCATENATE("&lt;a href=|http://",AC1191,"/2_thessalonians/1.htm","| ","title=|",AC1190,"| target=|_top|&gt;",AC1192,"&lt;/a&gt;")</f>
        <v>&lt;a href=|http://parallelbible.com/2_thessalonians/1.htm| title=|Parallel Chapters| target=|_top|&gt;PAR&lt;/a&gt;</v>
      </c>
      <c r="AD1117" s="2" t="str">
        <f t="shared" ref="AD1117:AI1117" si="4466">CONCATENATE("&lt;/li&gt;&lt;li&gt;&lt;a href=|http://",AD1191,"/2_thessalonians/1.htm","| ","title=|",AD1190,"| target=|_top|&gt;",AD1192,"&lt;/a&gt;")</f>
        <v>&lt;/li&gt;&lt;li&gt;&lt;a href=|http://gsb.biblecommenter.com/2_thessalonians/1.htm| title=|Geneva Study Bible| target=|_top|&gt;GSB&lt;/a&gt;</v>
      </c>
      <c r="AE1117" s="2" t="str">
        <f t="shared" si="4466"/>
        <v>&lt;/li&gt;&lt;li&gt;&lt;a href=|http://jfb.biblecommenter.com/2_thessalonians/1.htm| title=|Jamieson-Fausset-Brown Bible Commentary| target=|_top|&gt;JFB&lt;/a&gt;</v>
      </c>
      <c r="AF1117" s="2" t="str">
        <f t="shared" si="4466"/>
        <v>&lt;/li&gt;&lt;li&gt;&lt;a href=|http://kjt.biblecommenter.com/2_thessalonians/1.htm| title=|King James Translators' Notes| target=|_top|&gt;KJT&lt;/a&gt;</v>
      </c>
      <c r="AG1117" s="2" t="str">
        <f t="shared" si="4466"/>
        <v>&lt;/li&gt;&lt;li&gt;&lt;a href=|http://mhc.biblecommenter.com/2_thessalonians/1.htm| title=|Matthew Henry's Concise Commentary| target=|_top|&gt;MHC&lt;/a&gt;</v>
      </c>
      <c r="AH1117" s="2" t="str">
        <f t="shared" si="4466"/>
        <v>&lt;/li&gt;&lt;li&gt;&lt;a href=|http://sco.biblecommenter.com/2_thessalonians/1.htm| title=|Scofield Reference Notes| target=|_top|&gt;SCO&lt;/a&gt;</v>
      </c>
      <c r="AI1117" s="2" t="str">
        <f t="shared" si="4466"/>
        <v>&lt;/li&gt;&lt;li&gt;&lt;a href=|http://wes.biblecommenter.com/2_thessalonians/1.htm| title=|Wesley's Notes on the Bible| target=|_top|&gt;WES&lt;/a&gt;</v>
      </c>
      <c r="AJ1117" t="str">
        <f>CONCATENATE("&lt;/li&gt;&lt;li&gt;&lt;a href=|http://",AJ1191,"/2_thessalonians/1.htm","| ","title=|",AJ1190,"| target=|_top|&gt;",AJ1192,"&lt;/a&gt;")</f>
        <v>&lt;/li&gt;&lt;li&gt;&lt;a href=|http://worldebible.com/2_thessalonians/1.htm| title=|World English Bible| target=|_top|&gt;WEB&lt;/a&gt;</v>
      </c>
      <c r="AK1117" t="str">
        <f>CONCATENATE("&lt;/li&gt;&lt;li&gt;&lt;a href=|http://",AK1191,"/2_thessalonians/1.htm","| ","title=|",AK1190,"| target=|_top|&gt;",AK1192,"&lt;/a&gt;")</f>
        <v>&lt;/li&gt;&lt;li&gt;&lt;a href=|http://yltbible.com/2_thessalonians/1.htm| title=|Young's Literal Translation| target=|_top|&gt;YLT&lt;/a&gt;</v>
      </c>
      <c r="AL1117" t="str">
        <f>CONCATENATE("&lt;a href=|http://",AL1191,"/2_thessalonians/1.htm","| ","title=|",AL1190,"| target=|_top|&gt;",AL1192,"&lt;/a&gt;")</f>
        <v>&lt;a href=|http://kjv.us/2_thessalonians/1.htm| title=|American King James Version| target=|_top|&gt;AKJ&lt;/a&gt;</v>
      </c>
      <c r="AM1117" t="str">
        <f t="shared" ref="AM1117:AS1117" si="4467">CONCATENATE("&lt;/li&gt;&lt;li&gt;&lt;a href=|http://",AM1191,"/2_thessalonians/1.htm","| ","title=|",AM1190,"| target=|_top|&gt;",AM1192,"&lt;/a&gt;")</f>
        <v>&lt;/li&gt;&lt;li&gt;&lt;a href=|http://basicenglishbible.com/2_thessalonians/1.htm| title=|Bible in Basic English| target=|_top|&gt;BBE&lt;/a&gt;</v>
      </c>
      <c r="AN1117" t="str">
        <f t="shared" si="4467"/>
        <v>&lt;/li&gt;&lt;li&gt;&lt;a href=|http://darbybible.com/2_thessalonians/1.htm| title=|Darby Bible Translation| target=|_top|&gt;DBY&lt;/a&gt;</v>
      </c>
      <c r="AO1117" t="str">
        <f t="shared" si="4467"/>
        <v>&lt;/li&gt;&lt;li&gt;&lt;a href=|http://isv.scripturetext.com/2_thessalonians/1.htm| title=|International Standard Version| target=|_top|&gt;ISV&lt;/a&gt;</v>
      </c>
      <c r="AP1117" t="str">
        <f t="shared" si="4467"/>
        <v>&lt;/li&gt;&lt;li&gt;&lt;a href=|http://tnt.scripturetext.com/2_thessalonians/1.htm| title=|Tyndale New Testament| target=|_top|&gt;TNT&lt;/a&gt;</v>
      </c>
      <c r="AQ1117" s="2" t="str">
        <f t="shared" si="4467"/>
        <v>&lt;/li&gt;&lt;li&gt;&lt;a href=|http://pnt.biblecommenter.com/2_thessalonians/1.htm| title=|People's New Testament| target=|_top|&gt;PNT&lt;/a&gt;</v>
      </c>
      <c r="AR1117" t="str">
        <f t="shared" si="4467"/>
        <v>&lt;/li&gt;&lt;li&gt;&lt;a href=|http://websterbible.com/2_thessalonians/1.htm| title=|Webster's Bible Translation| target=|_top|&gt;WBS&lt;/a&gt;</v>
      </c>
      <c r="AS1117" t="str">
        <f t="shared" si="4467"/>
        <v>&lt;/li&gt;&lt;li&gt;&lt;a href=|http://weymouthbible.com/2_thessalonians/1.htm| title=|Weymouth New Testament| target=|_top|&gt;WEY&lt;/a&gt;</v>
      </c>
      <c r="AT1117" t="str">
        <f>CONCATENATE("&lt;/li&gt;&lt;li&gt;&lt;a href=|http://",AT1191,"/2_thessalonians/1-1.htm","| ","title=|",AT1190,"| target=|_top|&gt;",AT1192,"&lt;/a&gt;")</f>
        <v>&lt;/li&gt;&lt;li&gt;&lt;a href=|http://biblebrowser.com/2_thessalonians/1-1.htm| title=|Split View| target=|_top|&gt;Split&lt;/a&gt;</v>
      </c>
      <c r="AU1117" s="2" t="s">
        <v>1276</v>
      </c>
      <c r="AV1117" t="s">
        <v>64</v>
      </c>
    </row>
    <row r="1118" spans="1:48">
      <c r="A1118" t="s">
        <v>622</v>
      </c>
      <c r="B1118" t="s">
        <v>549</v>
      </c>
      <c r="C1118" t="s">
        <v>624</v>
      </c>
      <c r="D1118" t="s">
        <v>1268</v>
      </c>
      <c r="E1118" t="s">
        <v>1277</v>
      </c>
      <c r="F1118" t="s">
        <v>1304</v>
      </c>
      <c r="G1118" t="s">
        <v>1266</v>
      </c>
      <c r="H1118" t="s">
        <v>1305</v>
      </c>
      <c r="I1118" t="s">
        <v>1303</v>
      </c>
      <c r="J1118" t="s">
        <v>1267</v>
      </c>
      <c r="K1118" t="s">
        <v>1275</v>
      </c>
      <c r="L1118" s="2" t="s">
        <v>1274</v>
      </c>
      <c r="M1118" t="str">
        <f t="shared" ref="M1118:AB1118" si="4468">CONCATENATE("&lt;/li&gt;&lt;li&gt;&lt;a href=|http://",M1191,"/2_thessalonians/2.htm","| ","title=|",M1190,"| target=|_top|&gt;",M1192,"&lt;/a&gt;")</f>
        <v>&lt;/li&gt;&lt;li&gt;&lt;a href=|http://niv.scripturetext.com/2_thessalonians/2.htm| title=|New International Version| target=|_top|&gt;NIV&lt;/a&gt;</v>
      </c>
      <c r="N1118" t="str">
        <f t="shared" si="4468"/>
        <v>&lt;/li&gt;&lt;li&gt;&lt;a href=|http://nlt.scripturetext.com/2_thessalonians/2.htm| title=|New Living Translation| target=|_top|&gt;NLT&lt;/a&gt;</v>
      </c>
      <c r="O1118" t="str">
        <f t="shared" si="4468"/>
        <v>&lt;/li&gt;&lt;li&gt;&lt;a href=|http://nasb.scripturetext.com/2_thessalonians/2.htm| title=|New American Standard Bible| target=|_top|&gt;NAS&lt;/a&gt;</v>
      </c>
      <c r="P1118" t="str">
        <f t="shared" si="4468"/>
        <v>&lt;/li&gt;&lt;li&gt;&lt;a href=|http://gwt.scripturetext.com/2_thessalonians/2.htm| title=|God's Word Translation| target=|_top|&gt;GWT&lt;/a&gt;</v>
      </c>
      <c r="Q1118" t="str">
        <f t="shared" si="4468"/>
        <v>&lt;/li&gt;&lt;li&gt;&lt;a href=|http://kingjbible.com/2_thessalonians/2.htm| title=|King James Bible| target=|_top|&gt;KJV&lt;/a&gt;</v>
      </c>
      <c r="R1118" t="str">
        <f t="shared" si="4468"/>
        <v>&lt;/li&gt;&lt;li&gt;&lt;a href=|http://asvbible.com/2_thessalonians/2.htm| title=|American Standard Version| target=|_top|&gt;ASV&lt;/a&gt;</v>
      </c>
      <c r="S1118" t="str">
        <f t="shared" si="4468"/>
        <v>&lt;/li&gt;&lt;li&gt;&lt;a href=|http://drb.scripturetext.com/2_thessalonians/2.htm| title=|Douay-Rheims Bible| target=|_top|&gt;DRB&lt;/a&gt;</v>
      </c>
      <c r="T1118" t="str">
        <f t="shared" si="4468"/>
        <v>&lt;/li&gt;&lt;li&gt;&lt;a href=|http://erv.scripturetext.com/2_thessalonians/2.htm| title=|English Revised Version| target=|_top|&gt;ERV&lt;/a&gt;</v>
      </c>
      <c r="U1118" t="str">
        <f>CONCATENATE("&lt;/li&gt;&lt;li&gt;&lt;a href=|http://",U1191,"/2_thessalonians/2.htm","| ","title=|",U1190,"| target=|_top|&gt;",U1192,"&lt;/a&gt;")</f>
        <v>&lt;/li&gt;&lt;li&gt;&lt;a href=|http://study.interlinearbible.org/2_thessalonians/2.htm| title=|Greek Study Bible| target=|_top|&gt;Grk Study&lt;/a&gt;</v>
      </c>
      <c r="W1118" t="str">
        <f t="shared" si="4468"/>
        <v>&lt;/li&gt;&lt;li&gt;&lt;a href=|http://apostolic.interlinearbible.org/2_thessalonians/2.htm| title=|Apostolic Bible Polyglot Interlinear| target=|_top|&gt;Polyglot&lt;/a&gt;</v>
      </c>
      <c r="X1118" t="str">
        <f t="shared" si="4468"/>
        <v>&lt;/li&gt;&lt;li&gt;&lt;a href=|http://interlinearbible.org/2_thessalonians/2.htm| title=|Interlinear Bible| target=|_top|&gt;Interlin&lt;/a&gt;</v>
      </c>
      <c r="Y1118" t="str">
        <f t="shared" ref="Y1118" si="4469">CONCATENATE("&lt;/li&gt;&lt;li&gt;&lt;a href=|http://",Y1191,"/2_thessalonians/2.htm","| ","title=|",Y1190,"| target=|_top|&gt;",Y1192,"&lt;/a&gt;")</f>
        <v>&lt;/li&gt;&lt;li&gt;&lt;a href=|http://bibleoutline.org/2_thessalonians/2.htm| title=|Outline with People and Places List| target=|_top|&gt;Outline&lt;/a&gt;</v>
      </c>
      <c r="Z1118" t="str">
        <f t="shared" si="4468"/>
        <v>&lt;/li&gt;&lt;li&gt;&lt;a href=|http://kjvs.scripturetext.com/2_thessalonians/2.htm| title=|King James Bible with Strong's Numbers| target=|_top|&gt;Strong's&lt;/a&gt;</v>
      </c>
      <c r="AA1118" t="str">
        <f t="shared" si="4468"/>
        <v>&lt;/li&gt;&lt;li&gt;&lt;a href=|http://childrensbibleonline.com/2_thessalonians/2.htm| title=|The Children's Bible| target=|_top|&gt;Children's&lt;/a&gt;</v>
      </c>
      <c r="AB1118" s="2" t="str">
        <f t="shared" si="4468"/>
        <v>&lt;/li&gt;&lt;li&gt;&lt;a href=|http://tsk.scripturetext.com/2_thessalonians/2.htm| title=|Treasury of Scripture Knowledge| target=|_top|&gt;TSK&lt;/a&gt;</v>
      </c>
      <c r="AC1118" t="str">
        <f>CONCATENATE("&lt;a href=|http://",AC1191,"/2_thessalonians/2.htm","| ","title=|",AC1190,"| target=|_top|&gt;",AC1192,"&lt;/a&gt;")</f>
        <v>&lt;a href=|http://parallelbible.com/2_thessalonians/2.htm| title=|Parallel Chapters| target=|_top|&gt;PAR&lt;/a&gt;</v>
      </c>
      <c r="AD1118" s="2" t="str">
        <f t="shared" ref="AD1118:AI1118" si="4470">CONCATENATE("&lt;/li&gt;&lt;li&gt;&lt;a href=|http://",AD1191,"/2_thessalonians/2.htm","| ","title=|",AD1190,"| target=|_top|&gt;",AD1192,"&lt;/a&gt;")</f>
        <v>&lt;/li&gt;&lt;li&gt;&lt;a href=|http://gsb.biblecommenter.com/2_thessalonians/2.htm| title=|Geneva Study Bible| target=|_top|&gt;GSB&lt;/a&gt;</v>
      </c>
      <c r="AE1118" s="2" t="str">
        <f t="shared" si="4470"/>
        <v>&lt;/li&gt;&lt;li&gt;&lt;a href=|http://jfb.biblecommenter.com/2_thessalonians/2.htm| title=|Jamieson-Fausset-Brown Bible Commentary| target=|_top|&gt;JFB&lt;/a&gt;</v>
      </c>
      <c r="AF1118" s="2" t="str">
        <f t="shared" si="4470"/>
        <v>&lt;/li&gt;&lt;li&gt;&lt;a href=|http://kjt.biblecommenter.com/2_thessalonians/2.htm| title=|King James Translators' Notes| target=|_top|&gt;KJT&lt;/a&gt;</v>
      </c>
      <c r="AG1118" s="2" t="str">
        <f t="shared" si="4470"/>
        <v>&lt;/li&gt;&lt;li&gt;&lt;a href=|http://mhc.biblecommenter.com/2_thessalonians/2.htm| title=|Matthew Henry's Concise Commentary| target=|_top|&gt;MHC&lt;/a&gt;</v>
      </c>
      <c r="AH1118" s="2" t="str">
        <f t="shared" si="4470"/>
        <v>&lt;/li&gt;&lt;li&gt;&lt;a href=|http://sco.biblecommenter.com/2_thessalonians/2.htm| title=|Scofield Reference Notes| target=|_top|&gt;SCO&lt;/a&gt;</v>
      </c>
      <c r="AI1118" s="2" t="str">
        <f t="shared" si="4470"/>
        <v>&lt;/li&gt;&lt;li&gt;&lt;a href=|http://wes.biblecommenter.com/2_thessalonians/2.htm| title=|Wesley's Notes on the Bible| target=|_top|&gt;WES&lt;/a&gt;</v>
      </c>
      <c r="AJ1118" t="str">
        <f>CONCATENATE("&lt;/li&gt;&lt;li&gt;&lt;a href=|http://",AJ1191,"/2_thessalonians/2.htm","| ","title=|",AJ1190,"| target=|_top|&gt;",AJ1192,"&lt;/a&gt;")</f>
        <v>&lt;/li&gt;&lt;li&gt;&lt;a href=|http://worldebible.com/2_thessalonians/2.htm| title=|World English Bible| target=|_top|&gt;WEB&lt;/a&gt;</v>
      </c>
      <c r="AK1118" t="str">
        <f>CONCATENATE("&lt;/li&gt;&lt;li&gt;&lt;a href=|http://",AK1191,"/2_thessalonians/2.htm","| ","title=|",AK1190,"| target=|_top|&gt;",AK1192,"&lt;/a&gt;")</f>
        <v>&lt;/li&gt;&lt;li&gt;&lt;a href=|http://yltbible.com/2_thessalonians/2.htm| title=|Young's Literal Translation| target=|_top|&gt;YLT&lt;/a&gt;</v>
      </c>
      <c r="AL1118" t="str">
        <f>CONCATENATE("&lt;a href=|http://",AL1191,"/2_thessalonians/2.htm","| ","title=|",AL1190,"| target=|_top|&gt;",AL1192,"&lt;/a&gt;")</f>
        <v>&lt;a href=|http://kjv.us/2_thessalonians/2.htm| title=|American King James Version| target=|_top|&gt;AKJ&lt;/a&gt;</v>
      </c>
      <c r="AM1118" t="str">
        <f t="shared" ref="AM1118:AS1118" si="4471">CONCATENATE("&lt;/li&gt;&lt;li&gt;&lt;a href=|http://",AM1191,"/2_thessalonians/2.htm","| ","title=|",AM1190,"| target=|_top|&gt;",AM1192,"&lt;/a&gt;")</f>
        <v>&lt;/li&gt;&lt;li&gt;&lt;a href=|http://basicenglishbible.com/2_thessalonians/2.htm| title=|Bible in Basic English| target=|_top|&gt;BBE&lt;/a&gt;</v>
      </c>
      <c r="AN1118" t="str">
        <f t="shared" si="4471"/>
        <v>&lt;/li&gt;&lt;li&gt;&lt;a href=|http://darbybible.com/2_thessalonians/2.htm| title=|Darby Bible Translation| target=|_top|&gt;DBY&lt;/a&gt;</v>
      </c>
      <c r="AO1118" t="str">
        <f t="shared" si="4471"/>
        <v>&lt;/li&gt;&lt;li&gt;&lt;a href=|http://isv.scripturetext.com/2_thessalonians/2.htm| title=|International Standard Version| target=|_top|&gt;ISV&lt;/a&gt;</v>
      </c>
      <c r="AP1118" t="str">
        <f t="shared" si="4471"/>
        <v>&lt;/li&gt;&lt;li&gt;&lt;a href=|http://tnt.scripturetext.com/2_thessalonians/2.htm| title=|Tyndale New Testament| target=|_top|&gt;TNT&lt;/a&gt;</v>
      </c>
      <c r="AQ1118" s="2" t="str">
        <f t="shared" si="4471"/>
        <v>&lt;/li&gt;&lt;li&gt;&lt;a href=|http://pnt.biblecommenter.com/2_thessalonians/2.htm| title=|People's New Testament| target=|_top|&gt;PNT&lt;/a&gt;</v>
      </c>
      <c r="AR1118" t="str">
        <f t="shared" si="4471"/>
        <v>&lt;/li&gt;&lt;li&gt;&lt;a href=|http://websterbible.com/2_thessalonians/2.htm| title=|Webster's Bible Translation| target=|_top|&gt;WBS&lt;/a&gt;</v>
      </c>
      <c r="AS1118" t="str">
        <f t="shared" si="4471"/>
        <v>&lt;/li&gt;&lt;li&gt;&lt;a href=|http://weymouthbible.com/2_thessalonians/2.htm| title=|Weymouth New Testament| target=|_top|&gt;WEY&lt;/a&gt;</v>
      </c>
      <c r="AT1118" t="str">
        <f>CONCATENATE("&lt;/li&gt;&lt;li&gt;&lt;a href=|http://",AT1191,"/2_thessalonians/2-1.htm","| ","title=|",AT1190,"| target=|_top|&gt;",AT1192,"&lt;/a&gt;")</f>
        <v>&lt;/li&gt;&lt;li&gt;&lt;a href=|http://biblebrowser.com/2_thessalonians/2-1.htm| title=|Split View| target=|_top|&gt;Split&lt;/a&gt;</v>
      </c>
      <c r="AU1118" s="2" t="s">
        <v>1276</v>
      </c>
      <c r="AV1118" t="s">
        <v>64</v>
      </c>
    </row>
    <row r="1119" spans="1:48">
      <c r="A1119" t="s">
        <v>622</v>
      </c>
      <c r="B1119" t="s">
        <v>550</v>
      </c>
      <c r="C1119" t="s">
        <v>624</v>
      </c>
      <c r="D1119" t="s">
        <v>1268</v>
      </c>
      <c r="E1119" t="s">
        <v>1277</v>
      </c>
      <c r="F1119" t="s">
        <v>1304</v>
      </c>
      <c r="G1119" t="s">
        <v>1266</v>
      </c>
      <c r="H1119" t="s">
        <v>1305</v>
      </c>
      <c r="I1119" t="s">
        <v>1303</v>
      </c>
      <c r="J1119" t="s">
        <v>1267</v>
      </c>
      <c r="K1119" t="s">
        <v>1275</v>
      </c>
      <c r="L1119" s="2" t="s">
        <v>1274</v>
      </c>
      <c r="M1119" t="str">
        <f t="shared" ref="M1119:AB1119" si="4472">CONCATENATE("&lt;/li&gt;&lt;li&gt;&lt;a href=|http://",M1191,"/2_thessalonians/3.htm","| ","title=|",M1190,"| target=|_top|&gt;",M1192,"&lt;/a&gt;")</f>
        <v>&lt;/li&gt;&lt;li&gt;&lt;a href=|http://niv.scripturetext.com/2_thessalonians/3.htm| title=|New International Version| target=|_top|&gt;NIV&lt;/a&gt;</v>
      </c>
      <c r="N1119" t="str">
        <f t="shared" si="4472"/>
        <v>&lt;/li&gt;&lt;li&gt;&lt;a href=|http://nlt.scripturetext.com/2_thessalonians/3.htm| title=|New Living Translation| target=|_top|&gt;NLT&lt;/a&gt;</v>
      </c>
      <c r="O1119" t="str">
        <f t="shared" si="4472"/>
        <v>&lt;/li&gt;&lt;li&gt;&lt;a href=|http://nasb.scripturetext.com/2_thessalonians/3.htm| title=|New American Standard Bible| target=|_top|&gt;NAS&lt;/a&gt;</v>
      </c>
      <c r="P1119" t="str">
        <f t="shared" si="4472"/>
        <v>&lt;/li&gt;&lt;li&gt;&lt;a href=|http://gwt.scripturetext.com/2_thessalonians/3.htm| title=|God's Word Translation| target=|_top|&gt;GWT&lt;/a&gt;</v>
      </c>
      <c r="Q1119" t="str">
        <f t="shared" si="4472"/>
        <v>&lt;/li&gt;&lt;li&gt;&lt;a href=|http://kingjbible.com/2_thessalonians/3.htm| title=|King James Bible| target=|_top|&gt;KJV&lt;/a&gt;</v>
      </c>
      <c r="R1119" t="str">
        <f t="shared" si="4472"/>
        <v>&lt;/li&gt;&lt;li&gt;&lt;a href=|http://asvbible.com/2_thessalonians/3.htm| title=|American Standard Version| target=|_top|&gt;ASV&lt;/a&gt;</v>
      </c>
      <c r="S1119" t="str">
        <f t="shared" si="4472"/>
        <v>&lt;/li&gt;&lt;li&gt;&lt;a href=|http://drb.scripturetext.com/2_thessalonians/3.htm| title=|Douay-Rheims Bible| target=|_top|&gt;DRB&lt;/a&gt;</v>
      </c>
      <c r="T1119" t="str">
        <f t="shared" si="4472"/>
        <v>&lt;/li&gt;&lt;li&gt;&lt;a href=|http://erv.scripturetext.com/2_thessalonians/3.htm| title=|English Revised Version| target=|_top|&gt;ERV&lt;/a&gt;</v>
      </c>
      <c r="U1119" t="str">
        <f>CONCATENATE("&lt;/li&gt;&lt;li&gt;&lt;a href=|http://",U1191,"/2_thessalonians/3.htm","| ","title=|",U1190,"| target=|_top|&gt;",U1192,"&lt;/a&gt;")</f>
        <v>&lt;/li&gt;&lt;li&gt;&lt;a href=|http://study.interlinearbible.org/2_thessalonians/3.htm| title=|Greek Study Bible| target=|_top|&gt;Grk Study&lt;/a&gt;</v>
      </c>
      <c r="W1119" t="str">
        <f t="shared" si="4472"/>
        <v>&lt;/li&gt;&lt;li&gt;&lt;a href=|http://apostolic.interlinearbible.org/2_thessalonians/3.htm| title=|Apostolic Bible Polyglot Interlinear| target=|_top|&gt;Polyglot&lt;/a&gt;</v>
      </c>
      <c r="X1119" t="str">
        <f t="shared" si="4472"/>
        <v>&lt;/li&gt;&lt;li&gt;&lt;a href=|http://interlinearbible.org/2_thessalonians/3.htm| title=|Interlinear Bible| target=|_top|&gt;Interlin&lt;/a&gt;</v>
      </c>
      <c r="Y1119" t="str">
        <f t="shared" ref="Y1119" si="4473">CONCATENATE("&lt;/li&gt;&lt;li&gt;&lt;a href=|http://",Y1191,"/2_thessalonians/3.htm","| ","title=|",Y1190,"| target=|_top|&gt;",Y1192,"&lt;/a&gt;")</f>
        <v>&lt;/li&gt;&lt;li&gt;&lt;a href=|http://bibleoutline.org/2_thessalonians/3.htm| title=|Outline with People and Places List| target=|_top|&gt;Outline&lt;/a&gt;</v>
      </c>
      <c r="Z1119" t="str">
        <f t="shared" si="4472"/>
        <v>&lt;/li&gt;&lt;li&gt;&lt;a href=|http://kjvs.scripturetext.com/2_thessalonians/3.htm| title=|King James Bible with Strong's Numbers| target=|_top|&gt;Strong's&lt;/a&gt;</v>
      </c>
      <c r="AA1119" t="str">
        <f t="shared" si="4472"/>
        <v>&lt;/li&gt;&lt;li&gt;&lt;a href=|http://childrensbibleonline.com/2_thessalonians/3.htm| title=|The Children's Bible| target=|_top|&gt;Children's&lt;/a&gt;</v>
      </c>
      <c r="AB1119" s="2" t="str">
        <f t="shared" si="4472"/>
        <v>&lt;/li&gt;&lt;li&gt;&lt;a href=|http://tsk.scripturetext.com/2_thessalonians/3.htm| title=|Treasury of Scripture Knowledge| target=|_top|&gt;TSK&lt;/a&gt;</v>
      </c>
      <c r="AC1119" t="str">
        <f>CONCATENATE("&lt;a href=|http://",AC1191,"/2_thessalonians/3.htm","| ","title=|",AC1190,"| target=|_top|&gt;",AC1192,"&lt;/a&gt;")</f>
        <v>&lt;a href=|http://parallelbible.com/2_thessalonians/3.htm| title=|Parallel Chapters| target=|_top|&gt;PAR&lt;/a&gt;</v>
      </c>
      <c r="AD1119" s="2" t="str">
        <f t="shared" ref="AD1119:AI1119" si="4474">CONCATENATE("&lt;/li&gt;&lt;li&gt;&lt;a href=|http://",AD1191,"/2_thessalonians/3.htm","| ","title=|",AD1190,"| target=|_top|&gt;",AD1192,"&lt;/a&gt;")</f>
        <v>&lt;/li&gt;&lt;li&gt;&lt;a href=|http://gsb.biblecommenter.com/2_thessalonians/3.htm| title=|Geneva Study Bible| target=|_top|&gt;GSB&lt;/a&gt;</v>
      </c>
      <c r="AE1119" s="2" t="str">
        <f t="shared" si="4474"/>
        <v>&lt;/li&gt;&lt;li&gt;&lt;a href=|http://jfb.biblecommenter.com/2_thessalonians/3.htm| title=|Jamieson-Fausset-Brown Bible Commentary| target=|_top|&gt;JFB&lt;/a&gt;</v>
      </c>
      <c r="AF1119" s="2" t="str">
        <f t="shared" si="4474"/>
        <v>&lt;/li&gt;&lt;li&gt;&lt;a href=|http://kjt.biblecommenter.com/2_thessalonians/3.htm| title=|King James Translators' Notes| target=|_top|&gt;KJT&lt;/a&gt;</v>
      </c>
      <c r="AG1119" s="2" t="str">
        <f t="shared" si="4474"/>
        <v>&lt;/li&gt;&lt;li&gt;&lt;a href=|http://mhc.biblecommenter.com/2_thessalonians/3.htm| title=|Matthew Henry's Concise Commentary| target=|_top|&gt;MHC&lt;/a&gt;</v>
      </c>
      <c r="AH1119" s="2" t="str">
        <f t="shared" si="4474"/>
        <v>&lt;/li&gt;&lt;li&gt;&lt;a href=|http://sco.biblecommenter.com/2_thessalonians/3.htm| title=|Scofield Reference Notes| target=|_top|&gt;SCO&lt;/a&gt;</v>
      </c>
      <c r="AI1119" s="2" t="str">
        <f t="shared" si="4474"/>
        <v>&lt;/li&gt;&lt;li&gt;&lt;a href=|http://wes.biblecommenter.com/2_thessalonians/3.htm| title=|Wesley's Notes on the Bible| target=|_top|&gt;WES&lt;/a&gt;</v>
      </c>
      <c r="AJ1119" t="str">
        <f>CONCATENATE("&lt;/li&gt;&lt;li&gt;&lt;a href=|http://",AJ1191,"/2_thessalonians/3.htm","| ","title=|",AJ1190,"| target=|_top|&gt;",AJ1192,"&lt;/a&gt;")</f>
        <v>&lt;/li&gt;&lt;li&gt;&lt;a href=|http://worldebible.com/2_thessalonians/3.htm| title=|World English Bible| target=|_top|&gt;WEB&lt;/a&gt;</v>
      </c>
      <c r="AK1119" t="str">
        <f>CONCATENATE("&lt;/li&gt;&lt;li&gt;&lt;a href=|http://",AK1191,"/2_thessalonians/3.htm","| ","title=|",AK1190,"| target=|_top|&gt;",AK1192,"&lt;/a&gt;")</f>
        <v>&lt;/li&gt;&lt;li&gt;&lt;a href=|http://yltbible.com/2_thessalonians/3.htm| title=|Young's Literal Translation| target=|_top|&gt;YLT&lt;/a&gt;</v>
      </c>
      <c r="AL1119" t="str">
        <f>CONCATENATE("&lt;a href=|http://",AL1191,"/2_thessalonians/3.htm","| ","title=|",AL1190,"| target=|_top|&gt;",AL1192,"&lt;/a&gt;")</f>
        <v>&lt;a href=|http://kjv.us/2_thessalonians/3.htm| title=|American King James Version| target=|_top|&gt;AKJ&lt;/a&gt;</v>
      </c>
      <c r="AM1119" t="str">
        <f t="shared" ref="AM1119:AS1119" si="4475">CONCATENATE("&lt;/li&gt;&lt;li&gt;&lt;a href=|http://",AM1191,"/2_thessalonians/3.htm","| ","title=|",AM1190,"| target=|_top|&gt;",AM1192,"&lt;/a&gt;")</f>
        <v>&lt;/li&gt;&lt;li&gt;&lt;a href=|http://basicenglishbible.com/2_thessalonians/3.htm| title=|Bible in Basic English| target=|_top|&gt;BBE&lt;/a&gt;</v>
      </c>
      <c r="AN1119" t="str">
        <f t="shared" si="4475"/>
        <v>&lt;/li&gt;&lt;li&gt;&lt;a href=|http://darbybible.com/2_thessalonians/3.htm| title=|Darby Bible Translation| target=|_top|&gt;DBY&lt;/a&gt;</v>
      </c>
      <c r="AO1119" t="str">
        <f t="shared" si="4475"/>
        <v>&lt;/li&gt;&lt;li&gt;&lt;a href=|http://isv.scripturetext.com/2_thessalonians/3.htm| title=|International Standard Version| target=|_top|&gt;ISV&lt;/a&gt;</v>
      </c>
      <c r="AP1119" t="str">
        <f t="shared" si="4475"/>
        <v>&lt;/li&gt;&lt;li&gt;&lt;a href=|http://tnt.scripturetext.com/2_thessalonians/3.htm| title=|Tyndale New Testament| target=|_top|&gt;TNT&lt;/a&gt;</v>
      </c>
      <c r="AQ1119" s="2" t="str">
        <f t="shared" si="4475"/>
        <v>&lt;/li&gt;&lt;li&gt;&lt;a href=|http://pnt.biblecommenter.com/2_thessalonians/3.htm| title=|People's New Testament| target=|_top|&gt;PNT&lt;/a&gt;</v>
      </c>
      <c r="AR1119" t="str">
        <f t="shared" si="4475"/>
        <v>&lt;/li&gt;&lt;li&gt;&lt;a href=|http://websterbible.com/2_thessalonians/3.htm| title=|Webster's Bible Translation| target=|_top|&gt;WBS&lt;/a&gt;</v>
      </c>
      <c r="AS1119" t="str">
        <f t="shared" si="4475"/>
        <v>&lt;/li&gt;&lt;li&gt;&lt;a href=|http://weymouthbible.com/2_thessalonians/3.htm| title=|Weymouth New Testament| target=|_top|&gt;WEY&lt;/a&gt;</v>
      </c>
      <c r="AT1119" t="str">
        <f>CONCATENATE("&lt;/li&gt;&lt;li&gt;&lt;a href=|http://",AT1191,"/2_thessalonians/3-1.htm","| ","title=|",AT1190,"| target=|_top|&gt;",AT1192,"&lt;/a&gt;")</f>
        <v>&lt;/li&gt;&lt;li&gt;&lt;a href=|http://biblebrowser.com/2_thessalonians/3-1.htm| title=|Split View| target=|_top|&gt;Split&lt;/a&gt;</v>
      </c>
      <c r="AU1119" s="2" t="s">
        <v>1276</v>
      </c>
      <c r="AV1119" t="s">
        <v>64</v>
      </c>
    </row>
    <row r="1120" spans="1:48">
      <c r="A1120" t="s">
        <v>622</v>
      </c>
      <c r="B1120" t="s">
        <v>551</v>
      </c>
      <c r="C1120" t="s">
        <v>624</v>
      </c>
      <c r="D1120" t="s">
        <v>1268</v>
      </c>
      <c r="E1120" t="s">
        <v>1277</v>
      </c>
      <c r="F1120" t="s">
        <v>1304</v>
      </c>
      <c r="G1120" t="s">
        <v>1266</v>
      </c>
      <c r="H1120" t="s">
        <v>1305</v>
      </c>
      <c r="I1120" t="s">
        <v>1303</v>
      </c>
      <c r="J1120" t="s">
        <v>1267</v>
      </c>
      <c r="K1120" t="s">
        <v>1275</v>
      </c>
      <c r="L1120" s="2" t="s">
        <v>1274</v>
      </c>
      <c r="M1120" t="str">
        <f t="shared" ref="M1120:AB1120" si="4476">CONCATENATE("&lt;/li&gt;&lt;li&gt;&lt;a href=|http://",M1191,"/1_timothy/1.htm","| ","title=|",M1190,"| target=|_top|&gt;",M1192,"&lt;/a&gt;")</f>
        <v>&lt;/li&gt;&lt;li&gt;&lt;a href=|http://niv.scripturetext.com/1_timothy/1.htm| title=|New International Version| target=|_top|&gt;NIV&lt;/a&gt;</v>
      </c>
      <c r="N1120" t="str">
        <f t="shared" si="4476"/>
        <v>&lt;/li&gt;&lt;li&gt;&lt;a href=|http://nlt.scripturetext.com/1_timothy/1.htm| title=|New Living Translation| target=|_top|&gt;NLT&lt;/a&gt;</v>
      </c>
      <c r="O1120" t="str">
        <f t="shared" si="4476"/>
        <v>&lt;/li&gt;&lt;li&gt;&lt;a href=|http://nasb.scripturetext.com/1_timothy/1.htm| title=|New American Standard Bible| target=|_top|&gt;NAS&lt;/a&gt;</v>
      </c>
      <c r="P1120" t="str">
        <f t="shared" si="4476"/>
        <v>&lt;/li&gt;&lt;li&gt;&lt;a href=|http://gwt.scripturetext.com/1_timothy/1.htm| title=|God's Word Translation| target=|_top|&gt;GWT&lt;/a&gt;</v>
      </c>
      <c r="Q1120" t="str">
        <f t="shared" si="4476"/>
        <v>&lt;/li&gt;&lt;li&gt;&lt;a href=|http://kingjbible.com/1_timothy/1.htm| title=|King James Bible| target=|_top|&gt;KJV&lt;/a&gt;</v>
      </c>
      <c r="R1120" t="str">
        <f t="shared" si="4476"/>
        <v>&lt;/li&gt;&lt;li&gt;&lt;a href=|http://asvbible.com/1_timothy/1.htm| title=|American Standard Version| target=|_top|&gt;ASV&lt;/a&gt;</v>
      </c>
      <c r="S1120" t="str">
        <f t="shared" si="4476"/>
        <v>&lt;/li&gt;&lt;li&gt;&lt;a href=|http://drb.scripturetext.com/1_timothy/1.htm| title=|Douay-Rheims Bible| target=|_top|&gt;DRB&lt;/a&gt;</v>
      </c>
      <c r="T1120" t="str">
        <f t="shared" si="4476"/>
        <v>&lt;/li&gt;&lt;li&gt;&lt;a href=|http://erv.scripturetext.com/1_timothy/1.htm| title=|English Revised Version| target=|_top|&gt;ERV&lt;/a&gt;</v>
      </c>
      <c r="U1120" t="str">
        <f>CONCATENATE("&lt;/li&gt;&lt;li&gt;&lt;a href=|http://",U1191,"/1_timothy/1.htm","| ","title=|",U1190,"| target=|_top|&gt;",U1192,"&lt;/a&gt;")</f>
        <v>&lt;/li&gt;&lt;li&gt;&lt;a href=|http://study.interlinearbible.org/1_timothy/1.htm| title=|Greek Study Bible| target=|_top|&gt;Grk Study&lt;/a&gt;</v>
      </c>
      <c r="W1120" t="str">
        <f t="shared" si="4476"/>
        <v>&lt;/li&gt;&lt;li&gt;&lt;a href=|http://apostolic.interlinearbible.org/1_timothy/1.htm| title=|Apostolic Bible Polyglot Interlinear| target=|_top|&gt;Polyglot&lt;/a&gt;</v>
      </c>
      <c r="X1120" t="str">
        <f t="shared" si="4476"/>
        <v>&lt;/li&gt;&lt;li&gt;&lt;a href=|http://interlinearbible.org/1_timothy/1.htm| title=|Interlinear Bible| target=|_top|&gt;Interlin&lt;/a&gt;</v>
      </c>
      <c r="Y1120" t="str">
        <f t="shared" ref="Y1120" si="4477">CONCATENATE("&lt;/li&gt;&lt;li&gt;&lt;a href=|http://",Y1191,"/1_timothy/1.htm","| ","title=|",Y1190,"| target=|_top|&gt;",Y1192,"&lt;/a&gt;")</f>
        <v>&lt;/li&gt;&lt;li&gt;&lt;a href=|http://bibleoutline.org/1_timothy/1.htm| title=|Outline with People and Places List| target=|_top|&gt;Outline&lt;/a&gt;</v>
      </c>
      <c r="Z1120" t="str">
        <f t="shared" si="4476"/>
        <v>&lt;/li&gt;&lt;li&gt;&lt;a href=|http://kjvs.scripturetext.com/1_timothy/1.htm| title=|King James Bible with Strong's Numbers| target=|_top|&gt;Strong's&lt;/a&gt;</v>
      </c>
      <c r="AA1120" t="str">
        <f t="shared" si="4476"/>
        <v>&lt;/li&gt;&lt;li&gt;&lt;a href=|http://childrensbibleonline.com/1_timothy/1.htm| title=|The Children's Bible| target=|_top|&gt;Children's&lt;/a&gt;</v>
      </c>
      <c r="AB1120" s="2" t="str">
        <f t="shared" si="4476"/>
        <v>&lt;/li&gt;&lt;li&gt;&lt;a href=|http://tsk.scripturetext.com/1_timothy/1.htm| title=|Treasury of Scripture Knowledge| target=|_top|&gt;TSK&lt;/a&gt;</v>
      </c>
      <c r="AC1120" t="str">
        <f>CONCATENATE("&lt;a href=|http://",AC1191,"/1_timothy/1.htm","| ","title=|",AC1190,"| target=|_top|&gt;",AC1192,"&lt;/a&gt;")</f>
        <v>&lt;a href=|http://parallelbible.com/1_timothy/1.htm| title=|Parallel Chapters| target=|_top|&gt;PAR&lt;/a&gt;</v>
      </c>
      <c r="AD1120" s="2" t="str">
        <f t="shared" ref="AD1120:AI1120" si="4478">CONCATENATE("&lt;/li&gt;&lt;li&gt;&lt;a href=|http://",AD1191,"/1_timothy/1.htm","| ","title=|",AD1190,"| target=|_top|&gt;",AD1192,"&lt;/a&gt;")</f>
        <v>&lt;/li&gt;&lt;li&gt;&lt;a href=|http://gsb.biblecommenter.com/1_timothy/1.htm| title=|Geneva Study Bible| target=|_top|&gt;GSB&lt;/a&gt;</v>
      </c>
      <c r="AE1120" s="2" t="str">
        <f t="shared" si="4478"/>
        <v>&lt;/li&gt;&lt;li&gt;&lt;a href=|http://jfb.biblecommenter.com/1_timothy/1.htm| title=|Jamieson-Fausset-Brown Bible Commentary| target=|_top|&gt;JFB&lt;/a&gt;</v>
      </c>
      <c r="AF1120" s="2" t="str">
        <f t="shared" si="4478"/>
        <v>&lt;/li&gt;&lt;li&gt;&lt;a href=|http://kjt.biblecommenter.com/1_timothy/1.htm| title=|King James Translators' Notes| target=|_top|&gt;KJT&lt;/a&gt;</v>
      </c>
      <c r="AG1120" s="2" t="str">
        <f t="shared" si="4478"/>
        <v>&lt;/li&gt;&lt;li&gt;&lt;a href=|http://mhc.biblecommenter.com/1_timothy/1.htm| title=|Matthew Henry's Concise Commentary| target=|_top|&gt;MHC&lt;/a&gt;</v>
      </c>
      <c r="AH1120" s="2" t="str">
        <f t="shared" si="4478"/>
        <v>&lt;/li&gt;&lt;li&gt;&lt;a href=|http://sco.biblecommenter.com/1_timothy/1.htm| title=|Scofield Reference Notes| target=|_top|&gt;SCO&lt;/a&gt;</v>
      </c>
      <c r="AI1120" s="2" t="str">
        <f t="shared" si="4478"/>
        <v>&lt;/li&gt;&lt;li&gt;&lt;a href=|http://wes.biblecommenter.com/1_timothy/1.htm| title=|Wesley's Notes on the Bible| target=|_top|&gt;WES&lt;/a&gt;</v>
      </c>
      <c r="AJ1120" t="str">
        <f>CONCATENATE("&lt;/li&gt;&lt;li&gt;&lt;a href=|http://",AJ1191,"/1_timothy/1.htm","| ","title=|",AJ1190,"| target=|_top|&gt;",AJ1192,"&lt;/a&gt;")</f>
        <v>&lt;/li&gt;&lt;li&gt;&lt;a href=|http://worldebible.com/1_timothy/1.htm| title=|World English Bible| target=|_top|&gt;WEB&lt;/a&gt;</v>
      </c>
      <c r="AK1120" t="str">
        <f>CONCATENATE("&lt;/li&gt;&lt;li&gt;&lt;a href=|http://",AK1191,"/1_timothy/1.htm","| ","title=|",AK1190,"| target=|_top|&gt;",AK1192,"&lt;/a&gt;")</f>
        <v>&lt;/li&gt;&lt;li&gt;&lt;a href=|http://yltbible.com/1_timothy/1.htm| title=|Young's Literal Translation| target=|_top|&gt;YLT&lt;/a&gt;</v>
      </c>
      <c r="AL1120" t="str">
        <f>CONCATENATE("&lt;a href=|http://",AL1191,"/1_timothy/1.htm","| ","title=|",AL1190,"| target=|_top|&gt;",AL1192,"&lt;/a&gt;")</f>
        <v>&lt;a href=|http://kjv.us/1_timothy/1.htm| title=|American King James Version| target=|_top|&gt;AKJ&lt;/a&gt;</v>
      </c>
      <c r="AM1120" t="str">
        <f t="shared" ref="AM1120:AS1120" si="4479">CONCATENATE("&lt;/li&gt;&lt;li&gt;&lt;a href=|http://",AM1191,"/1_timothy/1.htm","| ","title=|",AM1190,"| target=|_top|&gt;",AM1192,"&lt;/a&gt;")</f>
        <v>&lt;/li&gt;&lt;li&gt;&lt;a href=|http://basicenglishbible.com/1_timothy/1.htm| title=|Bible in Basic English| target=|_top|&gt;BBE&lt;/a&gt;</v>
      </c>
      <c r="AN1120" t="str">
        <f t="shared" si="4479"/>
        <v>&lt;/li&gt;&lt;li&gt;&lt;a href=|http://darbybible.com/1_timothy/1.htm| title=|Darby Bible Translation| target=|_top|&gt;DBY&lt;/a&gt;</v>
      </c>
      <c r="AO1120" t="str">
        <f t="shared" si="4479"/>
        <v>&lt;/li&gt;&lt;li&gt;&lt;a href=|http://isv.scripturetext.com/1_timothy/1.htm| title=|International Standard Version| target=|_top|&gt;ISV&lt;/a&gt;</v>
      </c>
      <c r="AP1120" t="str">
        <f t="shared" si="4479"/>
        <v>&lt;/li&gt;&lt;li&gt;&lt;a href=|http://tnt.scripturetext.com/1_timothy/1.htm| title=|Tyndale New Testament| target=|_top|&gt;TNT&lt;/a&gt;</v>
      </c>
      <c r="AQ1120" s="2" t="str">
        <f t="shared" si="4479"/>
        <v>&lt;/li&gt;&lt;li&gt;&lt;a href=|http://pnt.biblecommenter.com/1_timothy/1.htm| title=|People's New Testament| target=|_top|&gt;PNT&lt;/a&gt;</v>
      </c>
      <c r="AR1120" t="str">
        <f t="shared" si="4479"/>
        <v>&lt;/li&gt;&lt;li&gt;&lt;a href=|http://websterbible.com/1_timothy/1.htm| title=|Webster's Bible Translation| target=|_top|&gt;WBS&lt;/a&gt;</v>
      </c>
      <c r="AS1120" t="str">
        <f t="shared" si="4479"/>
        <v>&lt;/li&gt;&lt;li&gt;&lt;a href=|http://weymouthbible.com/1_timothy/1.htm| title=|Weymouth New Testament| target=|_top|&gt;WEY&lt;/a&gt;</v>
      </c>
      <c r="AT1120" t="str">
        <f>CONCATENATE("&lt;/li&gt;&lt;li&gt;&lt;a href=|http://",AT1191,"/1_timothy/1-1.htm","| ","title=|",AT1190,"| target=|_top|&gt;",AT1192,"&lt;/a&gt;")</f>
        <v>&lt;/li&gt;&lt;li&gt;&lt;a href=|http://biblebrowser.com/1_timothy/1-1.htm| title=|Split View| target=|_top|&gt;Split&lt;/a&gt;</v>
      </c>
      <c r="AU1120" s="2" t="s">
        <v>1276</v>
      </c>
      <c r="AV1120" t="s">
        <v>64</v>
      </c>
    </row>
    <row r="1121" spans="1:48">
      <c r="A1121" t="s">
        <v>622</v>
      </c>
      <c r="B1121" t="s">
        <v>552</v>
      </c>
      <c r="C1121" t="s">
        <v>624</v>
      </c>
      <c r="D1121" t="s">
        <v>1268</v>
      </c>
      <c r="E1121" t="s">
        <v>1277</v>
      </c>
      <c r="F1121" t="s">
        <v>1304</v>
      </c>
      <c r="G1121" t="s">
        <v>1266</v>
      </c>
      <c r="H1121" t="s">
        <v>1305</v>
      </c>
      <c r="I1121" t="s">
        <v>1303</v>
      </c>
      <c r="J1121" t="s">
        <v>1267</v>
      </c>
      <c r="K1121" t="s">
        <v>1275</v>
      </c>
      <c r="L1121" s="2" t="s">
        <v>1274</v>
      </c>
      <c r="M1121" t="str">
        <f t="shared" ref="M1121:AB1121" si="4480">CONCATENATE("&lt;/li&gt;&lt;li&gt;&lt;a href=|http://",M1191,"/1_timothy/2.htm","| ","title=|",M1190,"| target=|_top|&gt;",M1192,"&lt;/a&gt;")</f>
        <v>&lt;/li&gt;&lt;li&gt;&lt;a href=|http://niv.scripturetext.com/1_timothy/2.htm| title=|New International Version| target=|_top|&gt;NIV&lt;/a&gt;</v>
      </c>
      <c r="N1121" t="str">
        <f t="shared" si="4480"/>
        <v>&lt;/li&gt;&lt;li&gt;&lt;a href=|http://nlt.scripturetext.com/1_timothy/2.htm| title=|New Living Translation| target=|_top|&gt;NLT&lt;/a&gt;</v>
      </c>
      <c r="O1121" t="str">
        <f t="shared" si="4480"/>
        <v>&lt;/li&gt;&lt;li&gt;&lt;a href=|http://nasb.scripturetext.com/1_timothy/2.htm| title=|New American Standard Bible| target=|_top|&gt;NAS&lt;/a&gt;</v>
      </c>
      <c r="P1121" t="str">
        <f t="shared" si="4480"/>
        <v>&lt;/li&gt;&lt;li&gt;&lt;a href=|http://gwt.scripturetext.com/1_timothy/2.htm| title=|God's Word Translation| target=|_top|&gt;GWT&lt;/a&gt;</v>
      </c>
      <c r="Q1121" t="str">
        <f t="shared" si="4480"/>
        <v>&lt;/li&gt;&lt;li&gt;&lt;a href=|http://kingjbible.com/1_timothy/2.htm| title=|King James Bible| target=|_top|&gt;KJV&lt;/a&gt;</v>
      </c>
      <c r="R1121" t="str">
        <f t="shared" si="4480"/>
        <v>&lt;/li&gt;&lt;li&gt;&lt;a href=|http://asvbible.com/1_timothy/2.htm| title=|American Standard Version| target=|_top|&gt;ASV&lt;/a&gt;</v>
      </c>
      <c r="S1121" t="str">
        <f t="shared" si="4480"/>
        <v>&lt;/li&gt;&lt;li&gt;&lt;a href=|http://drb.scripturetext.com/1_timothy/2.htm| title=|Douay-Rheims Bible| target=|_top|&gt;DRB&lt;/a&gt;</v>
      </c>
      <c r="T1121" t="str">
        <f t="shared" si="4480"/>
        <v>&lt;/li&gt;&lt;li&gt;&lt;a href=|http://erv.scripturetext.com/1_timothy/2.htm| title=|English Revised Version| target=|_top|&gt;ERV&lt;/a&gt;</v>
      </c>
      <c r="U1121" t="str">
        <f>CONCATENATE("&lt;/li&gt;&lt;li&gt;&lt;a href=|http://",U1191,"/1_timothy/2.htm","| ","title=|",U1190,"| target=|_top|&gt;",U1192,"&lt;/a&gt;")</f>
        <v>&lt;/li&gt;&lt;li&gt;&lt;a href=|http://study.interlinearbible.org/1_timothy/2.htm| title=|Greek Study Bible| target=|_top|&gt;Grk Study&lt;/a&gt;</v>
      </c>
      <c r="W1121" t="str">
        <f t="shared" si="4480"/>
        <v>&lt;/li&gt;&lt;li&gt;&lt;a href=|http://apostolic.interlinearbible.org/1_timothy/2.htm| title=|Apostolic Bible Polyglot Interlinear| target=|_top|&gt;Polyglot&lt;/a&gt;</v>
      </c>
      <c r="X1121" t="str">
        <f t="shared" si="4480"/>
        <v>&lt;/li&gt;&lt;li&gt;&lt;a href=|http://interlinearbible.org/1_timothy/2.htm| title=|Interlinear Bible| target=|_top|&gt;Interlin&lt;/a&gt;</v>
      </c>
      <c r="Y1121" t="str">
        <f t="shared" ref="Y1121" si="4481">CONCATENATE("&lt;/li&gt;&lt;li&gt;&lt;a href=|http://",Y1191,"/1_timothy/2.htm","| ","title=|",Y1190,"| target=|_top|&gt;",Y1192,"&lt;/a&gt;")</f>
        <v>&lt;/li&gt;&lt;li&gt;&lt;a href=|http://bibleoutline.org/1_timothy/2.htm| title=|Outline with People and Places List| target=|_top|&gt;Outline&lt;/a&gt;</v>
      </c>
      <c r="Z1121" t="str">
        <f t="shared" si="4480"/>
        <v>&lt;/li&gt;&lt;li&gt;&lt;a href=|http://kjvs.scripturetext.com/1_timothy/2.htm| title=|King James Bible with Strong's Numbers| target=|_top|&gt;Strong's&lt;/a&gt;</v>
      </c>
      <c r="AA1121" t="str">
        <f t="shared" si="4480"/>
        <v>&lt;/li&gt;&lt;li&gt;&lt;a href=|http://childrensbibleonline.com/1_timothy/2.htm| title=|The Children's Bible| target=|_top|&gt;Children's&lt;/a&gt;</v>
      </c>
      <c r="AB1121" s="2" t="str">
        <f t="shared" si="4480"/>
        <v>&lt;/li&gt;&lt;li&gt;&lt;a href=|http://tsk.scripturetext.com/1_timothy/2.htm| title=|Treasury of Scripture Knowledge| target=|_top|&gt;TSK&lt;/a&gt;</v>
      </c>
      <c r="AC1121" t="str">
        <f>CONCATENATE("&lt;a href=|http://",AC1191,"/1_timothy/2.htm","| ","title=|",AC1190,"| target=|_top|&gt;",AC1192,"&lt;/a&gt;")</f>
        <v>&lt;a href=|http://parallelbible.com/1_timothy/2.htm| title=|Parallel Chapters| target=|_top|&gt;PAR&lt;/a&gt;</v>
      </c>
      <c r="AD1121" s="2" t="str">
        <f t="shared" ref="AD1121:AI1121" si="4482">CONCATENATE("&lt;/li&gt;&lt;li&gt;&lt;a href=|http://",AD1191,"/1_timothy/2.htm","| ","title=|",AD1190,"| target=|_top|&gt;",AD1192,"&lt;/a&gt;")</f>
        <v>&lt;/li&gt;&lt;li&gt;&lt;a href=|http://gsb.biblecommenter.com/1_timothy/2.htm| title=|Geneva Study Bible| target=|_top|&gt;GSB&lt;/a&gt;</v>
      </c>
      <c r="AE1121" s="2" t="str">
        <f t="shared" si="4482"/>
        <v>&lt;/li&gt;&lt;li&gt;&lt;a href=|http://jfb.biblecommenter.com/1_timothy/2.htm| title=|Jamieson-Fausset-Brown Bible Commentary| target=|_top|&gt;JFB&lt;/a&gt;</v>
      </c>
      <c r="AF1121" s="2" t="str">
        <f t="shared" si="4482"/>
        <v>&lt;/li&gt;&lt;li&gt;&lt;a href=|http://kjt.biblecommenter.com/1_timothy/2.htm| title=|King James Translators' Notes| target=|_top|&gt;KJT&lt;/a&gt;</v>
      </c>
      <c r="AG1121" s="2" t="str">
        <f t="shared" si="4482"/>
        <v>&lt;/li&gt;&lt;li&gt;&lt;a href=|http://mhc.biblecommenter.com/1_timothy/2.htm| title=|Matthew Henry's Concise Commentary| target=|_top|&gt;MHC&lt;/a&gt;</v>
      </c>
      <c r="AH1121" s="2" t="str">
        <f t="shared" si="4482"/>
        <v>&lt;/li&gt;&lt;li&gt;&lt;a href=|http://sco.biblecommenter.com/1_timothy/2.htm| title=|Scofield Reference Notes| target=|_top|&gt;SCO&lt;/a&gt;</v>
      </c>
      <c r="AI1121" s="2" t="str">
        <f t="shared" si="4482"/>
        <v>&lt;/li&gt;&lt;li&gt;&lt;a href=|http://wes.biblecommenter.com/1_timothy/2.htm| title=|Wesley's Notes on the Bible| target=|_top|&gt;WES&lt;/a&gt;</v>
      </c>
      <c r="AJ1121" t="str">
        <f>CONCATENATE("&lt;/li&gt;&lt;li&gt;&lt;a href=|http://",AJ1191,"/1_timothy/2.htm","| ","title=|",AJ1190,"| target=|_top|&gt;",AJ1192,"&lt;/a&gt;")</f>
        <v>&lt;/li&gt;&lt;li&gt;&lt;a href=|http://worldebible.com/1_timothy/2.htm| title=|World English Bible| target=|_top|&gt;WEB&lt;/a&gt;</v>
      </c>
      <c r="AK1121" t="str">
        <f>CONCATENATE("&lt;/li&gt;&lt;li&gt;&lt;a href=|http://",AK1191,"/1_timothy/2.htm","| ","title=|",AK1190,"| target=|_top|&gt;",AK1192,"&lt;/a&gt;")</f>
        <v>&lt;/li&gt;&lt;li&gt;&lt;a href=|http://yltbible.com/1_timothy/2.htm| title=|Young's Literal Translation| target=|_top|&gt;YLT&lt;/a&gt;</v>
      </c>
      <c r="AL1121" t="str">
        <f>CONCATENATE("&lt;a href=|http://",AL1191,"/1_timothy/2.htm","| ","title=|",AL1190,"| target=|_top|&gt;",AL1192,"&lt;/a&gt;")</f>
        <v>&lt;a href=|http://kjv.us/1_timothy/2.htm| title=|American King James Version| target=|_top|&gt;AKJ&lt;/a&gt;</v>
      </c>
      <c r="AM1121" t="str">
        <f t="shared" ref="AM1121:AS1121" si="4483">CONCATENATE("&lt;/li&gt;&lt;li&gt;&lt;a href=|http://",AM1191,"/1_timothy/2.htm","| ","title=|",AM1190,"| target=|_top|&gt;",AM1192,"&lt;/a&gt;")</f>
        <v>&lt;/li&gt;&lt;li&gt;&lt;a href=|http://basicenglishbible.com/1_timothy/2.htm| title=|Bible in Basic English| target=|_top|&gt;BBE&lt;/a&gt;</v>
      </c>
      <c r="AN1121" t="str">
        <f t="shared" si="4483"/>
        <v>&lt;/li&gt;&lt;li&gt;&lt;a href=|http://darbybible.com/1_timothy/2.htm| title=|Darby Bible Translation| target=|_top|&gt;DBY&lt;/a&gt;</v>
      </c>
      <c r="AO1121" t="str">
        <f t="shared" si="4483"/>
        <v>&lt;/li&gt;&lt;li&gt;&lt;a href=|http://isv.scripturetext.com/1_timothy/2.htm| title=|International Standard Version| target=|_top|&gt;ISV&lt;/a&gt;</v>
      </c>
      <c r="AP1121" t="str">
        <f t="shared" si="4483"/>
        <v>&lt;/li&gt;&lt;li&gt;&lt;a href=|http://tnt.scripturetext.com/1_timothy/2.htm| title=|Tyndale New Testament| target=|_top|&gt;TNT&lt;/a&gt;</v>
      </c>
      <c r="AQ1121" s="2" t="str">
        <f t="shared" si="4483"/>
        <v>&lt;/li&gt;&lt;li&gt;&lt;a href=|http://pnt.biblecommenter.com/1_timothy/2.htm| title=|People's New Testament| target=|_top|&gt;PNT&lt;/a&gt;</v>
      </c>
      <c r="AR1121" t="str">
        <f t="shared" si="4483"/>
        <v>&lt;/li&gt;&lt;li&gt;&lt;a href=|http://websterbible.com/1_timothy/2.htm| title=|Webster's Bible Translation| target=|_top|&gt;WBS&lt;/a&gt;</v>
      </c>
      <c r="AS1121" t="str">
        <f t="shared" si="4483"/>
        <v>&lt;/li&gt;&lt;li&gt;&lt;a href=|http://weymouthbible.com/1_timothy/2.htm| title=|Weymouth New Testament| target=|_top|&gt;WEY&lt;/a&gt;</v>
      </c>
      <c r="AT1121" t="str">
        <f>CONCATENATE("&lt;/li&gt;&lt;li&gt;&lt;a href=|http://",AT1191,"/1_timothy/2-1.htm","| ","title=|",AT1190,"| target=|_top|&gt;",AT1192,"&lt;/a&gt;")</f>
        <v>&lt;/li&gt;&lt;li&gt;&lt;a href=|http://biblebrowser.com/1_timothy/2-1.htm| title=|Split View| target=|_top|&gt;Split&lt;/a&gt;</v>
      </c>
      <c r="AU1121" s="2" t="s">
        <v>1276</v>
      </c>
      <c r="AV1121" t="s">
        <v>64</v>
      </c>
    </row>
    <row r="1122" spans="1:48">
      <c r="A1122" t="s">
        <v>622</v>
      </c>
      <c r="B1122" t="s">
        <v>553</v>
      </c>
      <c r="C1122" t="s">
        <v>624</v>
      </c>
      <c r="D1122" t="s">
        <v>1268</v>
      </c>
      <c r="E1122" t="s">
        <v>1277</v>
      </c>
      <c r="F1122" t="s">
        <v>1304</v>
      </c>
      <c r="G1122" t="s">
        <v>1266</v>
      </c>
      <c r="H1122" t="s">
        <v>1305</v>
      </c>
      <c r="I1122" t="s">
        <v>1303</v>
      </c>
      <c r="J1122" t="s">
        <v>1267</v>
      </c>
      <c r="K1122" t="s">
        <v>1275</v>
      </c>
      <c r="L1122" s="2" t="s">
        <v>1274</v>
      </c>
      <c r="M1122" t="str">
        <f t="shared" ref="M1122:AB1122" si="4484">CONCATENATE("&lt;/li&gt;&lt;li&gt;&lt;a href=|http://",M1191,"/1_timothy/3.htm","| ","title=|",M1190,"| target=|_top|&gt;",M1192,"&lt;/a&gt;")</f>
        <v>&lt;/li&gt;&lt;li&gt;&lt;a href=|http://niv.scripturetext.com/1_timothy/3.htm| title=|New International Version| target=|_top|&gt;NIV&lt;/a&gt;</v>
      </c>
      <c r="N1122" t="str">
        <f t="shared" si="4484"/>
        <v>&lt;/li&gt;&lt;li&gt;&lt;a href=|http://nlt.scripturetext.com/1_timothy/3.htm| title=|New Living Translation| target=|_top|&gt;NLT&lt;/a&gt;</v>
      </c>
      <c r="O1122" t="str">
        <f t="shared" si="4484"/>
        <v>&lt;/li&gt;&lt;li&gt;&lt;a href=|http://nasb.scripturetext.com/1_timothy/3.htm| title=|New American Standard Bible| target=|_top|&gt;NAS&lt;/a&gt;</v>
      </c>
      <c r="P1122" t="str">
        <f t="shared" si="4484"/>
        <v>&lt;/li&gt;&lt;li&gt;&lt;a href=|http://gwt.scripturetext.com/1_timothy/3.htm| title=|God's Word Translation| target=|_top|&gt;GWT&lt;/a&gt;</v>
      </c>
      <c r="Q1122" t="str">
        <f t="shared" si="4484"/>
        <v>&lt;/li&gt;&lt;li&gt;&lt;a href=|http://kingjbible.com/1_timothy/3.htm| title=|King James Bible| target=|_top|&gt;KJV&lt;/a&gt;</v>
      </c>
      <c r="R1122" t="str">
        <f t="shared" si="4484"/>
        <v>&lt;/li&gt;&lt;li&gt;&lt;a href=|http://asvbible.com/1_timothy/3.htm| title=|American Standard Version| target=|_top|&gt;ASV&lt;/a&gt;</v>
      </c>
      <c r="S1122" t="str">
        <f t="shared" si="4484"/>
        <v>&lt;/li&gt;&lt;li&gt;&lt;a href=|http://drb.scripturetext.com/1_timothy/3.htm| title=|Douay-Rheims Bible| target=|_top|&gt;DRB&lt;/a&gt;</v>
      </c>
      <c r="T1122" t="str">
        <f t="shared" si="4484"/>
        <v>&lt;/li&gt;&lt;li&gt;&lt;a href=|http://erv.scripturetext.com/1_timothy/3.htm| title=|English Revised Version| target=|_top|&gt;ERV&lt;/a&gt;</v>
      </c>
      <c r="U1122" t="str">
        <f>CONCATENATE("&lt;/li&gt;&lt;li&gt;&lt;a href=|http://",U1191,"/1_timothy/3.htm","| ","title=|",U1190,"| target=|_top|&gt;",U1192,"&lt;/a&gt;")</f>
        <v>&lt;/li&gt;&lt;li&gt;&lt;a href=|http://study.interlinearbible.org/1_timothy/3.htm| title=|Greek Study Bible| target=|_top|&gt;Grk Study&lt;/a&gt;</v>
      </c>
      <c r="W1122" t="str">
        <f t="shared" si="4484"/>
        <v>&lt;/li&gt;&lt;li&gt;&lt;a href=|http://apostolic.interlinearbible.org/1_timothy/3.htm| title=|Apostolic Bible Polyglot Interlinear| target=|_top|&gt;Polyglot&lt;/a&gt;</v>
      </c>
      <c r="X1122" t="str">
        <f t="shared" si="4484"/>
        <v>&lt;/li&gt;&lt;li&gt;&lt;a href=|http://interlinearbible.org/1_timothy/3.htm| title=|Interlinear Bible| target=|_top|&gt;Interlin&lt;/a&gt;</v>
      </c>
      <c r="Y1122" t="str">
        <f t="shared" ref="Y1122" si="4485">CONCATENATE("&lt;/li&gt;&lt;li&gt;&lt;a href=|http://",Y1191,"/1_timothy/3.htm","| ","title=|",Y1190,"| target=|_top|&gt;",Y1192,"&lt;/a&gt;")</f>
        <v>&lt;/li&gt;&lt;li&gt;&lt;a href=|http://bibleoutline.org/1_timothy/3.htm| title=|Outline with People and Places List| target=|_top|&gt;Outline&lt;/a&gt;</v>
      </c>
      <c r="Z1122" t="str">
        <f t="shared" si="4484"/>
        <v>&lt;/li&gt;&lt;li&gt;&lt;a href=|http://kjvs.scripturetext.com/1_timothy/3.htm| title=|King James Bible with Strong's Numbers| target=|_top|&gt;Strong's&lt;/a&gt;</v>
      </c>
      <c r="AA1122" t="str">
        <f t="shared" si="4484"/>
        <v>&lt;/li&gt;&lt;li&gt;&lt;a href=|http://childrensbibleonline.com/1_timothy/3.htm| title=|The Children's Bible| target=|_top|&gt;Children's&lt;/a&gt;</v>
      </c>
      <c r="AB1122" s="2" t="str">
        <f t="shared" si="4484"/>
        <v>&lt;/li&gt;&lt;li&gt;&lt;a href=|http://tsk.scripturetext.com/1_timothy/3.htm| title=|Treasury of Scripture Knowledge| target=|_top|&gt;TSK&lt;/a&gt;</v>
      </c>
      <c r="AC1122" t="str">
        <f>CONCATENATE("&lt;a href=|http://",AC1191,"/1_timothy/3.htm","| ","title=|",AC1190,"| target=|_top|&gt;",AC1192,"&lt;/a&gt;")</f>
        <v>&lt;a href=|http://parallelbible.com/1_timothy/3.htm| title=|Parallel Chapters| target=|_top|&gt;PAR&lt;/a&gt;</v>
      </c>
      <c r="AD1122" s="2" t="str">
        <f t="shared" ref="AD1122:AI1122" si="4486">CONCATENATE("&lt;/li&gt;&lt;li&gt;&lt;a href=|http://",AD1191,"/1_timothy/3.htm","| ","title=|",AD1190,"| target=|_top|&gt;",AD1192,"&lt;/a&gt;")</f>
        <v>&lt;/li&gt;&lt;li&gt;&lt;a href=|http://gsb.biblecommenter.com/1_timothy/3.htm| title=|Geneva Study Bible| target=|_top|&gt;GSB&lt;/a&gt;</v>
      </c>
      <c r="AE1122" s="2" t="str">
        <f t="shared" si="4486"/>
        <v>&lt;/li&gt;&lt;li&gt;&lt;a href=|http://jfb.biblecommenter.com/1_timothy/3.htm| title=|Jamieson-Fausset-Brown Bible Commentary| target=|_top|&gt;JFB&lt;/a&gt;</v>
      </c>
      <c r="AF1122" s="2" t="str">
        <f t="shared" si="4486"/>
        <v>&lt;/li&gt;&lt;li&gt;&lt;a href=|http://kjt.biblecommenter.com/1_timothy/3.htm| title=|King James Translators' Notes| target=|_top|&gt;KJT&lt;/a&gt;</v>
      </c>
      <c r="AG1122" s="2" t="str">
        <f t="shared" si="4486"/>
        <v>&lt;/li&gt;&lt;li&gt;&lt;a href=|http://mhc.biblecommenter.com/1_timothy/3.htm| title=|Matthew Henry's Concise Commentary| target=|_top|&gt;MHC&lt;/a&gt;</v>
      </c>
      <c r="AH1122" s="2" t="str">
        <f t="shared" si="4486"/>
        <v>&lt;/li&gt;&lt;li&gt;&lt;a href=|http://sco.biblecommenter.com/1_timothy/3.htm| title=|Scofield Reference Notes| target=|_top|&gt;SCO&lt;/a&gt;</v>
      </c>
      <c r="AI1122" s="2" t="str">
        <f t="shared" si="4486"/>
        <v>&lt;/li&gt;&lt;li&gt;&lt;a href=|http://wes.biblecommenter.com/1_timothy/3.htm| title=|Wesley's Notes on the Bible| target=|_top|&gt;WES&lt;/a&gt;</v>
      </c>
      <c r="AJ1122" t="str">
        <f>CONCATENATE("&lt;/li&gt;&lt;li&gt;&lt;a href=|http://",AJ1191,"/1_timothy/3.htm","| ","title=|",AJ1190,"| target=|_top|&gt;",AJ1192,"&lt;/a&gt;")</f>
        <v>&lt;/li&gt;&lt;li&gt;&lt;a href=|http://worldebible.com/1_timothy/3.htm| title=|World English Bible| target=|_top|&gt;WEB&lt;/a&gt;</v>
      </c>
      <c r="AK1122" t="str">
        <f>CONCATENATE("&lt;/li&gt;&lt;li&gt;&lt;a href=|http://",AK1191,"/1_timothy/3.htm","| ","title=|",AK1190,"| target=|_top|&gt;",AK1192,"&lt;/a&gt;")</f>
        <v>&lt;/li&gt;&lt;li&gt;&lt;a href=|http://yltbible.com/1_timothy/3.htm| title=|Young's Literal Translation| target=|_top|&gt;YLT&lt;/a&gt;</v>
      </c>
      <c r="AL1122" t="str">
        <f>CONCATENATE("&lt;a href=|http://",AL1191,"/1_timothy/3.htm","| ","title=|",AL1190,"| target=|_top|&gt;",AL1192,"&lt;/a&gt;")</f>
        <v>&lt;a href=|http://kjv.us/1_timothy/3.htm| title=|American King James Version| target=|_top|&gt;AKJ&lt;/a&gt;</v>
      </c>
      <c r="AM1122" t="str">
        <f t="shared" ref="AM1122:AS1122" si="4487">CONCATENATE("&lt;/li&gt;&lt;li&gt;&lt;a href=|http://",AM1191,"/1_timothy/3.htm","| ","title=|",AM1190,"| target=|_top|&gt;",AM1192,"&lt;/a&gt;")</f>
        <v>&lt;/li&gt;&lt;li&gt;&lt;a href=|http://basicenglishbible.com/1_timothy/3.htm| title=|Bible in Basic English| target=|_top|&gt;BBE&lt;/a&gt;</v>
      </c>
      <c r="AN1122" t="str">
        <f t="shared" si="4487"/>
        <v>&lt;/li&gt;&lt;li&gt;&lt;a href=|http://darbybible.com/1_timothy/3.htm| title=|Darby Bible Translation| target=|_top|&gt;DBY&lt;/a&gt;</v>
      </c>
      <c r="AO1122" t="str">
        <f t="shared" si="4487"/>
        <v>&lt;/li&gt;&lt;li&gt;&lt;a href=|http://isv.scripturetext.com/1_timothy/3.htm| title=|International Standard Version| target=|_top|&gt;ISV&lt;/a&gt;</v>
      </c>
      <c r="AP1122" t="str">
        <f t="shared" si="4487"/>
        <v>&lt;/li&gt;&lt;li&gt;&lt;a href=|http://tnt.scripturetext.com/1_timothy/3.htm| title=|Tyndale New Testament| target=|_top|&gt;TNT&lt;/a&gt;</v>
      </c>
      <c r="AQ1122" s="2" t="str">
        <f t="shared" si="4487"/>
        <v>&lt;/li&gt;&lt;li&gt;&lt;a href=|http://pnt.biblecommenter.com/1_timothy/3.htm| title=|People's New Testament| target=|_top|&gt;PNT&lt;/a&gt;</v>
      </c>
      <c r="AR1122" t="str">
        <f t="shared" si="4487"/>
        <v>&lt;/li&gt;&lt;li&gt;&lt;a href=|http://websterbible.com/1_timothy/3.htm| title=|Webster's Bible Translation| target=|_top|&gt;WBS&lt;/a&gt;</v>
      </c>
      <c r="AS1122" t="str">
        <f t="shared" si="4487"/>
        <v>&lt;/li&gt;&lt;li&gt;&lt;a href=|http://weymouthbible.com/1_timothy/3.htm| title=|Weymouth New Testament| target=|_top|&gt;WEY&lt;/a&gt;</v>
      </c>
      <c r="AT1122" t="str">
        <f>CONCATENATE("&lt;/li&gt;&lt;li&gt;&lt;a href=|http://",AT1191,"/1_timothy/3-1.htm","| ","title=|",AT1190,"| target=|_top|&gt;",AT1192,"&lt;/a&gt;")</f>
        <v>&lt;/li&gt;&lt;li&gt;&lt;a href=|http://biblebrowser.com/1_timothy/3-1.htm| title=|Split View| target=|_top|&gt;Split&lt;/a&gt;</v>
      </c>
      <c r="AU1122" s="2" t="s">
        <v>1276</v>
      </c>
      <c r="AV1122" t="s">
        <v>64</v>
      </c>
    </row>
    <row r="1123" spans="1:48">
      <c r="A1123" t="s">
        <v>622</v>
      </c>
      <c r="B1123" t="s">
        <v>554</v>
      </c>
      <c r="C1123" t="s">
        <v>624</v>
      </c>
      <c r="D1123" t="s">
        <v>1268</v>
      </c>
      <c r="E1123" t="s">
        <v>1277</v>
      </c>
      <c r="F1123" t="s">
        <v>1304</v>
      </c>
      <c r="G1123" t="s">
        <v>1266</v>
      </c>
      <c r="H1123" t="s">
        <v>1305</v>
      </c>
      <c r="I1123" t="s">
        <v>1303</v>
      </c>
      <c r="J1123" t="s">
        <v>1267</v>
      </c>
      <c r="K1123" t="s">
        <v>1275</v>
      </c>
      <c r="L1123" s="2" t="s">
        <v>1274</v>
      </c>
      <c r="M1123" t="str">
        <f t="shared" ref="M1123:AB1123" si="4488">CONCATENATE("&lt;/li&gt;&lt;li&gt;&lt;a href=|http://",M1191,"/1_timothy/4.htm","| ","title=|",M1190,"| target=|_top|&gt;",M1192,"&lt;/a&gt;")</f>
        <v>&lt;/li&gt;&lt;li&gt;&lt;a href=|http://niv.scripturetext.com/1_timothy/4.htm| title=|New International Version| target=|_top|&gt;NIV&lt;/a&gt;</v>
      </c>
      <c r="N1123" t="str">
        <f t="shared" si="4488"/>
        <v>&lt;/li&gt;&lt;li&gt;&lt;a href=|http://nlt.scripturetext.com/1_timothy/4.htm| title=|New Living Translation| target=|_top|&gt;NLT&lt;/a&gt;</v>
      </c>
      <c r="O1123" t="str">
        <f t="shared" si="4488"/>
        <v>&lt;/li&gt;&lt;li&gt;&lt;a href=|http://nasb.scripturetext.com/1_timothy/4.htm| title=|New American Standard Bible| target=|_top|&gt;NAS&lt;/a&gt;</v>
      </c>
      <c r="P1123" t="str">
        <f t="shared" si="4488"/>
        <v>&lt;/li&gt;&lt;li&gt;&lt;a href=|http://gwt.scripturetext.com/1_timothy/4.htm| title=|God's Word Translation| target=|_top|&gt;GWT&lt;/a&gt;</v>
      </c>
      <c r="Q1123" t="str">
        <f t="shared" si="4488"/>
        <v>&lt;/li&gt;&lt;li&gt;&lt;a href=|http://kingjbible.com/1_timothy/4.htm| title=|King James Bible| target=|_top|&gt;KJV&lt;/a&gt;</v>
      </c>
      <c r="R1123" t="str">
        <f t="shared" si="4488"/>
        <v>&lt;/li&gt;&lt;li&gt;&lt;a href=|http://asvbible.com/1_timothy/4.htm| title=|American Standard Version| target=|_top|&gt;ASV&lt;/a&gt;</v>
      </c>
      <c r="S1123" t="str">
        <f t="shared" si="4488"/>
        <v>&lt;/li&gt;&lt;li&gt;&lt;a href=|http://drb.scripturetext.com/1_timothy/4.htm| title=|Douay-Rheims Bible| target=|_top|&gt;DRB&lt;/a&gt;</v>
      </c>
      <c r="T1123" t="str">
        <f t="shared" si="4488"/>
        <v>&lt;/li&gt;&lt;li&gt;&lt;a href=|http://erv.scripturetext.com/1_timothy/4.htm| title=|English Revised Version| target=|_top|&gt;ERV&lt;/a&gt;</v>
      </c>
      <c r="U1123" t="str">
        <f>CONCATENATE("&lt;/li&gt;&lt;li&gt;&lt;a href=|http://",U1191,"/1_timothy/4.htm","| ","title=|",U1190,"| target=|_top|&gt;",U1192,"&lt;/a&gt;")</f>
        <v>&lt;/li&gt;&lt;li&gt;&lt;a href=|http://study.interlinearbible.org/1_timothy/4.htm| title=|Greek Study Bible| target=|_top|&gt;Grk Study&lt;/a&gt;</v>
      </c>
      <c r="W1123" t="str">
        <f t="shared" si="4488"/>
        <v>&lt;/li&gt;&lt;li&gt;&lt;a href=|http://apostolic.interlinearbible.org/1_timothy/4.htm| title=|Apostolic Bible Polyglot Interlinear| target=|_top|&gt;Polyglot&lt;/a&gt;</v>
      </c>
      <c r="X1123" t="str">
        <f t="shared" si="4488"/>
        <v>&lt;/li&gt;&lt;li&gt;&lt;a href=|http://interlinearbible.org/1_timothy/4.htm| title=|Interlinear Bible| target=|_top|&gt;Interlin&lt;/a&gt;</v>
      </c>
      <c r="Y1123" t="str">
        <f t="shared" ref="Y1123" si="4489">CONCATENATE("&lt;/li&gt;&lt;li&gt;&lt;a href=|http://",Y1191,"/1_timothy/4.htm","| ","title=|",Y1190,"| target=|_top|&gt;",Y1192,"&lt;/a&gt;")</f>
        <v>&lt;/li&gt;&lt;li&gt;&lt;a href=|http://bibleoutline.org/1_timothy/4.htm| title=|Outline with People and Places List| target=|_top|&gt;Outline&lt;/a&gt;</v>
      </c>
      <c r="Z1123" t="str">
        <f t="shared" si="4488"/>
        <v>&lt;/li&gt;&lt;li&gt;&lt;a href=|http://kjvs.scripturetext.com/1_timothy/4.htm| title=|King James Bible with Strong's Numbers| target=|_top|&gt;Strong's&lt;/a&gt;</v>
      </c>
      <c r="AA1123" t="str">
        <f t="shared" si="4488"/>
        <v>&lt;/li&gt;&lt;li&gt;&lt;a href=|http://childrensbibleonline.com/1_timothy/4.htm| title=|The Children's Bible| target=|_top|&gt;Children's&lt;/a&gt;</v>
      </c>
      <c r="AB1123" s="2" t="str">
        <f t="shared" si="4488"/>
        <v>&lt;/li&gt;&lt;li&gt;&lt;a href=|http://tsk.scripturetext.com/1_timothy/4.htm| title=|Treasury of Scripture Knowledge| target=|_top|&gt;TSK&lt;/a&gt;</v>
      </c>
      <c r="AC1123" t="str">
        <f>CONCATENATE("&lt;a href=|http://",AC1191,"/1_timothy/4.htm","| ","title=|",AC1190,"| target=|_top|&gt;",AC1192,"&lt;/a&gt;")</f>
        <v>&lt;a href=|http://parallelbible.com/1_timothy/4.htm| title=|Parallel Chapters| target=|_top|&gt;PAR&lt;/a&gt;</v>
      </c>
      <c r="AD1123" s="2" t="str">
        <f t="shared" ref="AD1123:AI1123" si="4490">CONCATENATE("&lt;/li&gt;&lt;li&gt;&lt;a href=|http://",AD1191,"/1_timothy/4.htm","| ","title=|",AD1190,"| target=|_top|&gt;",AD1192,"&lt;/a&gt;")</f>
        <v>&lt;/li&gt;&lt;li&gt;&lt;a href=|http://gsb.biblecommenter.com/1_timothy/4.htm| title=|Geneva Study Bible| target=|_top|&gt;GSB&lt;/a&gt;</v>
      </c>
      <c r="AE1123" s="2" t="str">
        <f t="shared" si="4490"/>
        <v>&lt;/li&gt;&lt;li&gt;&lt;a href=|http://jfb.biblecommenter.com/1_timothy/4.htm| title=|Jamieson-Fausset-Brown Bible Commentary| target=|_top|&gt;JFB&lt;/a&gt;</v>
      </c>
      <c r="AF1123" s="2" t="str">
        <f t="shared" si="4490"/>
        <v>&lt;/li&gt;&lt;li&gt;&lt;a href=|http://kjt.biblecommenter.com/1_timothy/4.htm| title=|King James Translators' Notes| target=|_top|&gt;KJT&lt;/a&gt;</v>
      </c>
      <c r="AG1123" s="2" t="str">
        <f t="shared" si="4490"/>
        <v>&lt;/li&gt;&lt;li&gt;&lt;a href=|http://mhc.biblecommenter.com/1_timothy/4.htm| title=|Matthew Henry's Concise Commentary| target=|_top|&gt;MHC&lt;/a&gt;</v>
      </c>
      <c r="AH1123" s="2" t="str">
        <f t="shared" si="4490"/>
        <v>&lt;/li&gt;&lt;li&gt;&lt;a href=|http://sco.biblecommenter.com/1_timothy/4.htm| title=|Scofield Reference Notes| target=|_top|&gt;SCO&lt;/a&gt;</v>
      </c>
      <c r="AI1123" s="2" t="str">
        <f t="shared" si="4490"/>
        <v>&lt;/li&gt;&lt;li&gt;&lt;a href=|http://wes.biblecommenter.com/1_timothy/4.htm| title=|Wesley's Notes on the Bible| target=|_top|&gt;WES&lt;/a&gt;</v>
      </c>
      <c r="AJ1123" t="str">
        <f>CONCATENATE("&lt;/li&gt;&lt;li&gt;&lt;a href=|http://",AJ1191,"/1_timothy/4.htm","| ","title=|",AJ1190,"| target=|_top|&gt;",AJ1192,"&lt;/a&gt;")</f>
        <v>&lt;/li&gt;&lt;li&gt;&lt;a href=|http://worldebible.com/1_timothy/4.htm| title=|World English Bible| target=|_top|&gt;WEB&lt;/a&gt;</v>
      </c>
      <c r="AK1123" t="str">
        <f>CONCATENATE("&lt;/li&gt;&lt;li&gt;&lt;a href=|http://",AK1191,"/1_timothy/4.htm","| ","title=|",AK1190,"| target=|_top|&gt;",AK1192,"&lt;/a&gt;")</f>
        <v>&lt;/li&gt;&lt;li&gt;&lt;a href=|http://yltbible.com/1_timothy/4.htm| title=|Young's Literal Translation| target=|_top|&gt;YLT&lt;/a&gt;</v>
      </c>
      <c r="AL1123" t="str">
        <f>CONCATENATE("&lt;a href=|http://",AL1191,"/1_timothy/4.htm","| ","title=|",AL1190,"| target=|_top|&gt;",AL1192,"&lt;/a&gt;")</f>
        <v>&lt;a href=|http://kjv.us/1_timothy/4.htm| title=|American King James Version| target=|_top|&gt;AKJ&lt;/a&gt;</v>
      </c>
      <c r="AM1123" t="str">
        <f t="shared" ref="AM1123:AS1123" si="4491">CONCATENATE("&lt;/li&gt;&lt;li&gt;&lt;a href=|http://",AM1191,"/1_timothy/4.htm","| ","title=|",AM1190,"| target=|_top|&gt;",AM1192,"&lt;/a&gt;")</f>
        <v>&lt;/li&gt;&lt;li&gt;&lt;a href=|http://basicenglishbible.com/1_timothy/4.htm| title=|Bible in Basic English| target=|_top|&gt;BBE&lt;/a&gt;</v>
      </c>
      <c r="AN1123" t="str">
        <f t="shared" si="4491"/>
        <v>&lt;/li&gt;&lt;li&gt;&lt;a href=|http://darbybible.com/1_timothy/4.htm| title=|Darby Bible Translation| target=|_top|&gt;DBY&lt;/a&gt;</v>
      </c>
      <c r="AO1123" t="str">
        <f t="shared" si="4491"/>
        <v>&lt;/li&gt;&lt;li&gt;&lt;a href=|http://isv.scripturetext.com/1_timothy/4.htm| title=|International Standard Version| target=|_top|&gt;ISV&lt;/a&gt;</v>
      </c>
      <c r="AP1123" t="str">
        <f t="shared" si="4491"/>
        <v>&lt;/li&gt;&lt;li&gt;&lt;a href=|http://tnt.scripturetext.com/1_timothy/4.htm| title=|Tyndale New Testament| target=|_top|&gt;TNT&lt;/a&gt;</v>
      </c>
      <c r="AQ1123" s="2" t="str">
        <f t="shared" si="4491"/>
        <v>&lt;/li&gt;&lt;li&gt;&lt;a href=|http://pnt.biblecommenter.com/1_timothy/4.htm| title=|People's New Testament| target=|_top|&gt;PNT&lt;/a&gt;</v>
      </c>
      <c r="AR1123" t="str">
        <f t="shared" si="4491"/>
        <v>&lt;/li&gt;&lt;li&gt;&lt;a href=|http://websterbible.com/1_timothy/4.htm| title=|Webster's Bible Translation| target=|_top|&gt;WBS&lt;/a&gt;</v>
      </c>
      <c r="AS1123" t="str">
        <f t="shared" si="4491"/>
        <v>&lt;/li&gt;&lt;li&gt;&lt;a href=|http://weymouthbible.com/1_timothy/4.htm| title=|Weymouth New Testament| target=|_top|&gt;WEY&lt;/a&gt;</v>
      </c>
      <c r="AT1123" t="str">
        <f>CONCATENATE("&lt;/li&gt;&lt;li&gt;&lt;a href=|http://",AT1191,"/1_timothy/4-1.htm","| ","title=|",AT1190,"| target=|_top|&gt;",AT1192,"&lt;/a&gt;")</f>
        <v>&lt;/li&gt;&lt;li&gt;&lt;a href=|http://biblebrowser.com/1_timothy/4-1.htm| title=|Split View| target=|_top|&gt;Split&lt;/a&gt;</v>
      </c>
      <c r="AU1123" s="2" t="s">
        <v>1276</v>
      </c>
      <c r="AV1123" t="s">
        <v>64</v>
      </c>
    </row>
    <row r="1124" spans="1:48">
      <c r="A1124" t="s">
        <v>622</v>
      </c>
      <c r="B1124" t="s">
        <v>555</v>
      </c>
      <c r="C1124" t="s">
        <v>624</v>
      </c>
      <c r="D1124" t="s">
        <v>1268</v>
      </c>
      <c r="E1124" t="s">
        <v>1277</v>
      </c>
      <c r="F1124" t="s">
        <v>1304</v>
      </c>
      <c r="G1124" t="s">
        <v>1266</v>
      </c>
      <c r="H1124" t="s">
        <v>1305</v>
      </c>
      <c r="I1124" t="s">
        <v>1303</v>
      </c>
      <c r="J1124" t="s">
        <v>1267</v>
      </c>
      <c r="K1124" t="s">
        <v>1275</v>
      </c>
      <c r="L1124" s="2" t="s">
        <v>1274</v>
      </c>
      <c r="M1124" t="str">
        <f t="shared" ref="M1124:AB1124" si="4492">CONCATENATE("&lt;/li&gt;&lt;li&gt;&lt;a href=|http://",M1191,"/1_timothy/5.htm","| ","title=|",M1190,"| target=|_top|&gt;",M1192,"&lt;/a&gt;")</f>
        <v>&lt;/li&gt;&lt;li&gt;&lt;a href=|http://niv.scripturetext.com/1_timothy/5.htm| title=|New International Version| target=|_top|&gt;NIV&lt;/a&gt;</v>
      </c>
      <c r="N1124" t="str">
        <f t="shared" si="4492"/>
        <v>&lt;/li&gt;&lt;li&gt;&lt;a href=|http://nlt.scripturetext.com/1_timothy/5.htm| title=|New Living Translation| target=|_top|&gt;NLT&lt;/a&gt;</v>
      </c>
      <c r="O1124" t="str">
        <f t="shared" si="4492"/>
        <v>&lt;/li&gt;&lt;li&gt;&lt;a href=|http://nasb.scripturetext.com/1_timothy/5.htm| title=|New American Standard Bible| target=|_top|&gt;NAS&lt;/a&gt;</v>
      </c>
      <c r="P1124" t="str">
        <f t="shared" si="4492"/>
        <v>&lt;/li&gt;&lt;li&gt;&lt;a href=|http://gwt.scripturetext.com/1_timothy/5.htm| title=|God's Word Translation| target=|_top|&gt;GWT&lt;/a&gt;</v>
      </c>
      <c r="Q1124" t="str">
        <f t="shared" si="4492"/>
        <v>&lt;/li&gt;&lt;li&gt;&lt;a href=|http://kingjbible.com/1_timothy/5.htm| title=|King James Bible| target=|_top|&gt;KJV&lt;/a&gt;</v>
      </c>
      <c r="R1124" t="str">
        <f t="shared" si="4492"/>
        <v>&lt;/li&gt;&lt;li&gt;&lt;a href=|http://asvbible.com/1_timothy/5.htm| title=|American Standard Version| target=|_top|&gt;ASV&lt;/a&gt;</v>
      </c>
      <c r="S1124" t="str">
        <f t="shared" si="4492"/>
        <v>&lt;/li&gt;&lt;li&gt;&lt;a href=|http://drb.scripturetext.com/1_timothy/5.htm| title=|Douay-Rheims Bible| target=|_top|&gt;DRB&lt;/a&gt;</v>
      </c>
      <c r="T1124" t="str">
        <f t="shared" si="4492"/>
        <v>&lt;/li&gt;&lt;li&gt;&lt;a href=|http://erv.scripturetext.com/1_timothy/5.htm| title=|English Revised Version| target=|_top|&gt;ERV&lt;/a&gt;</v>
      </c>
      <c r="U1124" t="str">
        <f>CONCATENATE("&lt;/li&gt;&lt;li&gt;&lt;a href=|http://",U1191,"/1_timothy/5.htm","| ","title=|",U1190,"| target=|_top|&gt;",U1192,"&lt;/a&gt;")</f>
        <v>&lt;/li&gt;&lt;li&gt;&lt;a href=|http://study.interlinearbible.org/1_timothy/5.htm| title=|Greek Study Bible| target=|_top|&gt;Grk Study&lt;/a&gt;</v>
      </c>
      <c r="W1124" t="str">
        <f t="shared" si="4492"/>
        <v>&lt;/li&gt;&lt;li&gt;&lt;a href=|http://apostolic.interlinearbible.org/1_timothy/5.htm| title=|Apostolic Bible Polyglot Interlinear| target=|_top|&gt;Polyglot&lt;/a&gt;</v>
      </c>
      <c r="X1124" t="str">
        <f t="shared" si="4492"/>
        <v>&lt;/li&gt;&lt;li&gt;&lt;a href=|http://interlinearbible.org/1_timothy/5.htm| title=|Interlinear Bible| target=|_top|&gt;Interlin&lt;/a&gt;</v>
      </c>
      <c r="Y1124" t="str">
        <f t="shared" ref="Y1124" si="4493">CONCATENATE("&lt;/li&gt;&lt;li&gt;&lt;a href=|http://",Y1191,"/1_timothy/5.htm","| ","title=|",Y1190,"| target=|_top|&gt;",Y1192,"&lt;/a&gt;")</f>
        <v>&lt;/li&gt;&lt;li&gt;&lt;a href=|http://bibleoutline.org/1_timothy/5.htm| title=|Outline with People and Places List| target=|_top|&gt;Outline&lt;/a&gt;</v>
      </c>
      <c r="Z1124" t="str">
        <f t="shared" si="4492"/>
        <v>&lt;/li&gt;&lt;li&gt;&lt;a href=|http://kjvs.scripturetext.com/1_timothy/5.htm| title=|King James Bible with Strong's Numbers| target=|_top|&gt;Strong's&lt;/a&gt;</v>
      </c>
      <c r="AA1124" t="str">
        <f t="shared" si="4492"/>
        <v>&lt;/li&gt;&lt;li&gt;&lt;a href=|http://childrensbibleonline.com/1_timothy/5.htm| title=|The Children's Bible| target=|_top|&gt;Children's&lt;/a&gt;</v>
      </c>
      <c r="AB1124" s="2" t="str">
        <f t="shared" si="4492"/>
        <v>&lt;/li&gt;&lt;li&gt;&lt;a href=|http://tsk.scripturetext.com/1_timothy/5.htm| title=|Treasury of Scripture Knowledge| target=|_top|&gt;TSK&lt;/a&gt;</v>
      </c>
      <c r="AC1124" t="str">
        <f>CONCATENATE("&lt;a href=|http://",AC1191,"/1_timothy/5.htm","| ","title=|",AC1190,"| target=|_top|&gt;",AC1192,"&lt;/a&gt;")</f>
        <v>&lt;a href=|http://parallelbible.com/1_timothy/5.htm| title=|Parallel Chapters| target=|_top|&gt;PAR&lt;/a&gt;</v>
      </c>
      <c r="AD1124" s="2" t="str">
        <f t="shared" ref="AD1124:AI1124" si="4494">CONCATENATE("&lt;/li&gt;&lt;li&gt;&lt;a href=|http://",AD1191,"/1_timothy/5.htm","| ","title=|",AD1190,"| target=|_top|&gt;",AD1192,"&lt;/a&gt;")</f>
        <v>&lt;/li&gt;&lt;li&gt;&lt;a href=|http://gsb.biblecommenter.com/1_timothy/5.htm| title=|Geneva Study Bible| target=|_top|&gt;GSB&lt;/a&gt;</v>
      </c>
      <c r="AE1124" s="2" t="str">
        <f t="shared" si="4494"/>
        <v>&lt;/li&gt;&lt;li&gt;&lt;a href=|http://jfb.biblecommenter.com/1_timothy/5.htm| title=|Jamieson-Fausset-Brown Bible Commentary| target=|_top|&gt;JFB&lt;/a&gt;</v>
      </c>
      <c r="AF1124" s="2" t="str">
        <f t="shared" si="4494"/>
        <v>&lt;/li&gt;&lt;li&gt;&lt;a href=|http://kjt.biblecommenter.com/1_timothy/5.htm| title=|King James Translators' Notes| target=|_top|&gt;KJT&lt;/a&gt;</v>
      </c>
      <c r="AG1124" s="2" t="str">
        <f t="shared" si="4494"/>
        <v>&lt;/li&gt;&lt;li&gt;&lt;a href=|http://mhc.biblecommenter.com/1_timothy/5.htm| title=|Matthew Henry's Concise Commentary| target=|_top|&gt;MHC&lt;/a&gt;</v>
      </c>
      <c r="AH1124" s="2" t="str">
        <f t="shared" si="4494"/>
        <v>&lt;/li&gt;&lt;li&gt;&lt;a href=|http://sco.biblecommenter.com/1_timothy/5.htm| title=|Scofield Reference Notes| target=|_top|&gt;SCO&lt;/a&gt;</v>
      </c>
      <c r="AI1124" s="2" t="str">
        <f t="shared" si="4494"/>
        <v>&lt;/li&gt;&lt;li&gt;&lt;a href=|http://wes.biblecommenter.com/1_timothy/5.htm| title=|Wesley's Notes on the Bible| target=|_top|&gt;WES&lt;/a&gt;</v>
      </c>
      <c r="AJ1124" t="str">
        <f>CONCATENATE("&lt;/li&gt;&lt;li&gt;&lt;a href=|http://",AJ1191,"/1_timothy/5.htm","| ","title=|",AJ1190,"| target=|_top|&gt;",AJ1192,"&lt;/a&gt;")</f>
        <v>&lt;/li&gt;&lt;li&gt;&lt;a href=|http://worldebible.com/1_timothy/5.htm| title=|World English Bible| target=|_top|&gt;WEB&lt;/a&gt;</v>
      </c>
      <c r="AK1124" t="str">
        <f>CONCATENATE("&lt;/li&gt;&lt;li&gt;&lt;a href=|http://",AK1191,"/1_timothy/5.htm","| ","title=|",AK1190,"| target=|_top|&gt;",AK1192,"&lt;/a&gt;")</f>
        <v>&lt;/li&gt;&lt;li&gt;&lt;a href=|http://yltbible.com/1_timothy/5.htm| title=|Young's Literal Translation| target=|_top|&gt;YLT&lt;/a&gt;</v>
      </c>
      <c r="AL1124" t="str">
        <f>CONCATENATE("&lt;a href=|http://",AL1191,"/1_timothy/5.htm","| ","title=|",AL1190,"| target=|_top|&gt;",AL1192,"&lt;/a&gt;")</f>
        <v>&lt;a href=|http://kjv.us/1_timothy/5.htm| title=|American King James Version| target=|_top|&gt;AKJ&lt;/a&gt;</v>
      </c>
      <c r="AM1124" t="str">
        <f t="shared" ref="AM1124:AS1124" si="4495">CONCATENATE("&lt;/li&gt;&lt;li&gt;&lt;a href=|http://",AM1191,"/1_timothy/5.htm","| ","title=|",AM1190,"| target=|_top|&gt;",AM1192,"&lt;/a&gt;")</f>
        <v>&lt;/li&gt;&lt;li&gt;&lt;a href=|http://basicenglishbible.com/1_timothy/5.htm| title=|Bible in Basic English| target=|_top|&gt;BBE&lt;/a&gt;</v>
      </c>
      <c r="AN1124" t="str">
        <f t="shared" si="4495"/>
        <v>&lt;/li&gt;&lt;li&gt;&lt;a href=|http://darbybible.com/1_timothy/5.htm| title=|Darby Bible Translation| target=|_top|&gt;DBY&lt;/a&gt;</v>
      </c>
      <c r="AO1124" t="str">
        <f t="shared" si="4495"/>
        <v>&lt;/li&gt;&lt;li&gt;&lt;a href=|http://isv.scripturetext.com/1_timothy/5.htm| title=|International Standard Version| target=|_top|&gt;ISV&lt;/a&gt;</v>
      </c>
      <c r="AP1124" t="str">
        <f t="shared" si="4495"/>
        <v>&lt;/li&gt;&lt;li&gt;&lt;a href=|http://tnt.scripturetext.com/1_timothy/5.htm| title=|Tyndale New Testament| target=|_top|&gt;TNT&lt;/a&gt;</v>
      </c>
      <c r="AQ1124" s="2" t="str">
        <f t="shared" si="4495"/>
        <v>&lt;/li&gt;&lt;li&gt;&lt;a href=|http://pnt.biblecommenter.com/1_timothy/5.htm| title=|People's New Testament| target=|_top|&gt;PNT&lt;/a&gt;</v>
      </c>
      <c r="AR1124" t="str">
        <f t="shared" si="4495"/>
        <v>&lt;/li&gt;&lt;li&gt;&lt;a href=|http://websterbible.com/1_timothy/5.htm| title=|Webster's Bible Translation| target=|_top|&gt;WBS&lt;/a&gt;</v>
      </c>
      <c r="AS1124" t="str">
        <f t="shared" si="4495"/>
        <v>&lt;/li&gt;&lt;li&gt;&lt;a href=|http://weymouthbible.com/1_timothy/5.htm| title=|Weymouth New Testament| target=|_top|&gt;WEY&lt;/a&gt;</v>
      </c>
      <c r="AT1124" t="str">
        <f>CONCATENATE("&lt;/li&gt;&lt;li&gt;&lt;a href=|http://",AT1191,"/1_timothy/5-1.htm","| ","title=|",AT1190,"| target=|_top|&gt;",AT1192,"&lt;/a&gt;")</f>
        <v>&lt;/li&gt;&lt;li&gt;&lt;a href=|http://biblebrowser.com/1_timothy/5-1.htm| title=|Split View| target=|_top|&gt;Split&lt;/a&gt;</v>
      </c>
      <c r="AU1124" s="2" t="s">
        <v>1276</v>
      </c>
      <c r="AV1124" t="s">
        <v>64</v>
      </c>
    </row>
    <row r="1125" spans="1:48">
      <c r="A1125" t="s">
        <v>622</v>
      </c>
      <c r="B1125" t="s">
        <v>556</v>
      </c>
      <c r="C1125" t="s">
        <v>624</v>
      </c>
      <c r="D1125" t="s">
        <v>1268</v>
      </c>
      <c r="E1125" t="s">
        <v>1277</v>
      </c>
      <c r="F1125" t="s">
        <v>1304</v>
      </c>
      <c r="G1125" t="s">
        <v>1266</v>
      </c>
      <c r="H1125" t="s">
        <v>1305</v>
      </c>
      <c r="I1125" t="s">
        <v>1303</v>
      </c>
      <c r="J1125" t="s">
        <v>1267</v>
      </c>
      <c r="K1125" t="s">
        <v>1275</v>
      </c>
      <c r="L1125" s="2" t="s">
        <v>1274</v>
      </c>
      <c r="M1125" t="str">
        <f t="shared" ref="M1125:AB1125" si="4496">CONCATENATE("&lt;/li&gt;&lt;li&gt;&lt;a href=|http://",M1191,"/1_timothy/6.htm","| ","title=|",M1190,"| target=|_top|&gt;",M1192,"&lt;/a&gt;")</f>
        <v>&lt;/li&gt;&lt;li&gt;&lt;a href=|http://niv.scripturetext.com/1_timothy/6.htm| title=|New International Version| target=|_top|&gt;NIV&lt;/a&gt;</v>
      </c>
      <c r="N1125" t="str">
        <f t="shared" si="4496"/>
        <v>&lt;/li&gt;&lt;li&gt;&lt;a href=|http://nlt.scripturetext.com/1_timothy/6.htm| title=|New Living Translation| target=|_top|&gt;NLT&lt;/a&gt;</v>
      </c>
      <c r="O1125" t="str">
        <f t="shared" si="4496"/>
        <v>&lt;/li&gt;&lt;li&gt;&lt;a href=|http://nasb.scripturetext.com/1_timothy/6.htm| title=|New American Standard Bible| target=|_top|&gt;NAS&lt;/a&gt;</v>
      </c>
      <c r="P1125" t="str">
        <f t="shared" si="4496"/>
        <v>&lt;/li&gt;&lt;li&gt;&lt;a href=|http://gwt.scripturetext.com/1_timothy/6.htm| title=|God's Word Translation| target=|_top|&gt;GWT&lt;/a&gt;</v>
      </c>
      <c r="Q1125" t="str">
        <f t="shared" si="4496"/>
        <v>&lt;/li&gt;&lt;li&gt;&lt;a href=|http://kingjbible.com/1_timothy/6.htm| title=|King James Bible| target=|_top|&gt;KJV&lt;/a&gt;</v>
      </c>
      <c r="R1125" t="str">
        <f t="shared" si="4496"/>
        <v>&lt;/li&gt;&lt;li&gt;&lt;a href=|http://asvbible.com/1_timothy/6.htm| title=|American Standard Version| target=|_top|&gt;ASV&lt;/a&gt;</v>
      </c>
      <c r="S1125" t="str">
        <f t="shared" si="4496"/>
        <v>&lt;/li&gt;&lt;li&gt;&lt;a href=|http://drb.scripturetext.com/1_timothy/6.htm| title=|Douay-Rheims Bible| target=|_top|&gt;DRB&lt;/a&gt;</v>
      </c>
      <c r="T1125" t="str">
        <f t="shared" si="4496"/>
        <v>&lt;/li&gt;&lt;li&gt;&lt;a href=|http://erv.scripturetext.com/1_timothy/6.htm| title=|English Revised Version| target=|_top|&gt;ERV&lt;/a&gt;</v>
      </c>
      <c r="U1125" t="str">
        <f>CONCATENATE("&lt;/li&gt;&lt;li&gt;&lt;a href=|http://",U1191,"/1_timothy/6.htm","| ","title=|",U1190,"| target=|_top|&gt;",U1192,"&lt;/a&gt;")</f>
        <v>&lt;/li&gt;&lt;li&gt;&lt;a href=|http://study.interlinearbible.org/1_timothy/6.htm| title=|Greek Study Bible| target=|_top|&gt;Grk Study&lt;/a&gt;</v>
      </c>
      <c r="W1125" t="str">
        <f t="shared" si="4496"/>
        <v>&lt;/li&gt;&lt;li&gt;&lt;a href=|http://apostolic.interlinearbible.org/1_timothy/6.htm| title=|Apostolic Bible Polyglot Interlinear| target=|_top|&gt;Polyglot&lt;/a&gt;</v>
      </c>
      <c r="X1125" t="str">
        <f t="shared" si="4496"/>
        <v>&lt;/li&gt;&lt;li&gt;&lt;a href=|http://interlinearbible.org/1_timothy/6.htm| title=|Interlinear Bible| target=|_top|&gt;Interlin&lt;/a&gt;</v>
      </c>
      <c r="Y1125" t="str">
        <f t="shared" ref="Y1125" si="4497">CONCATENATE("&lt;/li&gt;&lt;li&gt;&lt;a href=|http://",Y1191,"/1_timothy/6.htm","| ","title=|",Y1190,"| target=|_top|&gt;",Y1192,"&lt;/a&gt;")</f>
        <v>&lt;/li&gt;&lt;li&gt;&lt;a href=|http://bibleoutline.org/1_timothy/6.htm| title=|Outline with People and Places List| target=|_top|&gt;Outline&lt;/a&gt;</v>
      </c>
      <c r="Z1125" t="str">
        <f t="shared" si="4496"/>
        <v>&lt;/li&gt;&lt;li&gt;&lt;a href=|http://kjvs.scripturetext.com/1_timothy/6.htm| title=|King James Bible with Strong's Numbers| target=|_top|&gt;Strong's&lt;/a&gt;</v>
      </c>
      <c r="AA1125" t="str">
        <f t="shared" si="4496"/>
        <v>&lt;/li&gt;&lt;li&gt;&lt;a href=|http://childrensbibleonline.com/1_timothy/6.htm| title=|The Children's Bible| target=|_top|&gt;Children's&lt;/a&gt;</v>
      </c>
      <c r="AB1125" s="2" t="str">
        <f t="shared" si="4496"/>
        <v>&lt;/li&gt;&lt;li&gt;&lt;a href=|http://tsk.scripturetext.com/1_timothy/6.htm| title=|Treasury of Scripture Knowledge| target=|_top|&gt;TSK&lt;/a&gt;</v>
      </c>
      <c r="AC1125" t="str">
        <f>CONCATENATE("&lt;a href=|http://",AC1191,"/1_timothy/6.htm","| ","title=|",AC1190,"| target=|_top|&gt;",AC1192,"&lt;/a&gt;")</f>
        <v>&lt;a href=|http://parallelbible.com/1_timothy/6.htm| title=|Parallel Chapters| target=|_top|&gt;PAR&lt;/a&gt;</v>
      </c>
      <c r="AD1125" s="2" t="str">
        <f t="shared" ref="AD1125:AI1125" si="4498">CONCATENATE("&lt;/li&gt;&lt;li&gt;&lt;a href=|http://",AD1191,"/1_timothy/6.htm","| ","title=|",AD1190,"| target=|_top|&gt;",AD1192,"&lt;/a&gt;")</f>
        <v>&lt;/li&gt;&lt;li&gt;&lt;a href=|http://gsb.biblecommenter.com/1_timothy/6.htm| title=|Geneva Study Bible| target=|_top|&gt;GSB&lt;/a&gt;</v>
      </c>
      <c r="AE1125" s="2" t="str">
        <f t="shared" si="4498"/>
        <v>&lt;/li&gt;&lt;li&gt;&lt;a href=|http://jfb.biblecommenter.com/1_timothy/6.htm| title=|Jamieson-Fausset-Brown Bible Commentary| target=|_top|&gt;JFB&lt;/a&gt;</v>
      </c>
      <c r="AF1125" s="2" t="str">
        <f t="shared" si="4498"/>
        <v>&lt;/li&gt;&lt;li&gt;&lt;a href=|http://kjt.biblecommenter.com/1_timothy/6.htm| title=|King James Translators' Notes| target=|_top|&gt;KJT&lt;/a&gt;</v>
      </c>
      <c r="AG1125" s="2" t="str">
        <f t="shared" si="4498"/>
        <v>&lt;/li&gt;&lt;li&gt;&lt;a href=|http://mhc.biblecommenter.com/1_timothy/6.htm| title=|Matthew Henry's Concise Commentary| target=|_top|&gt;MHC&lt;/a&gt;</v>
      </c>
      <c r="AH1125" s="2" t="str">
        <f t="shared" si="4498"/>
        <v>&lt;/li&gt;&lt;li&gt;&lt;a href=|http://sco.biblecommenter.com/1_timothy/6.htm| title=|Scofield Reference Notes| target=|_top|&gt;SCO&lt;/a&gt;</v>
      </c>
      <c r="AI1125" s="2" t="str">
        <f t="shared" si="4498"/>
        <v>&lt;/li&gt;&lt;li&gt;&lt;a href=|http://wes.biblecommenter.com/1_timothy/6.htm| title=|Wesley's Notes on the Bible| target=|_top|&gt;WES&lt;/a&gt;</v>
      </c>
      <c r="AJ1125" t="str">
        <f>CONCATENATE("&lt;/li&gt;&lt;li&gt;&lt;a href=|http://",AJ1191,"/1_timothy/6.htm","| ","title=|",AJ1190,"| target=|_top|&gt;",AJ1192,"&lt;/a&gt;")</f>
        <v>&lt;/li&gt;&lt;li&gt;&lt;a href=|http://worldebible.com/1_timothy/6.htm| title=|World English Bible| target=|_top|&gt;WEB&lt;/a&gt;</v>
      </c>
      <c r="AK1125" t="str">
        <f>CONCATENATE("&lt;/li&gt;&lt;li&gt;&lt;a href=|http://",AK1191,"/1_timothy/6.htm","| ","title=|",AK1190,"| target=|_top|&gt;",AK1192,"&lt;/a&gt;")</f>
        <v>&lt;/li&gt;&lt;li&gt;&lt;a href=|http://yltbible.com/1_timothy/6.htm| title=|Young's Literal Translation| target=|_top|&gt;YLT&lt;/a&gt;</v>
      </c>
      <c r="AL1125" t="str">
        <f>CONCATENATE("&lt;a href=|http://",AL1191,"/1_timothy/6.htm","| ","title=|",AL1190,"| target=|_top|&gt;",AL1192,"&lt;/a&gt;")</f>
        <v>&lt;a href=|http://kjv.us/1_timothy/6.htm| title=|American King James Version| target=|_top|&gt;AKJ&lt;/a&gt;</v>
      </c>
      <c r="AM1125" t="str">
        <f t="shared" ref="AM1125:AS1125" si="4499">CONCATENATE("&lt;/li&gt;&lt;li&gt;&lt;a href=|http://",AM1191,"/1_timothy/6.htm","| ","title=|",AM1190,"| target=|_top|&gt;",AM1192,"&lt;/a&gt;")</f>
        <v>&lt;/li&gt;&lt;li&gt;&lt;a href=|http://basicenglishbible.com/1_timothy/6.htm| title=|Bible in Basic English| target=|_top|&gt;BBE&lt;/a&gt;</v>
      </c>
      <c r="AN1125" t="str">
        <f t="shared" si="4499"/>
        <v>&lt;/li&gt;&lt;li&gt;&lt;a href=|http://darbybible.com/1_timothy/6.htm| title=|Darby Bible Translation| target=|_top|&gt;DBY&lt;/a&gt;</v>
      </c>
      <c r="AO1125" t="str">
        <f t="shared" si="4499"/>
        <v>&lt;/li&gt;&lt;li&gt;&lt;a href=|http://isv.scripturetext.com/1_timothy/6.htm| title=|International Standard Version| target=|_top|&gt;ISV&lt;/a&gt;</v>
      </c>
      <c r="AP1125" t="str">
        <f t="shared" si="4499"/>
        <v>&lt;/li&gt;&lt;li&gt;&lt;a href=|http://tnt.scripturetext.com/1_timothy/6.htm| title=|Tyndale New Testament| target=|_top|&gt;TNT&lt;/a&gt;</v>
      </c>
      <c r="AQ1125" s="2" t="str">
        <f t="shared" si="4499"/>
        <v>&lt;/li&gt;&lt;li&gt;&lt;a href=|http://pnt.biblecommenter.com/1_timothy/6.htm| title=|People's New Testament| target=|_top|&gt;PNT&lt;/a&gt;</v>
      </c>
      <c r="AR1125" t="str">
        <f t="shared" si="4499"/>
        <v>&lt;/li&gt;&lt;li&gt;&lt;a href=|http://websterbible.com/1_timothy/6.htm| title=|Webster's Bible Translation| target=|_top|&gt;WBS&lt;/a&gt;</v>
      </c>
      <c r="AS1125" t="str">
        <f t="shared" si="4499"/>
        <v>&lt;/li&gt;&lt;li&gt;&lt;a href=|http://weymouthbible.com/1_timothy/6.htm| title=|Weymouth New Testament| target=|_top|&gt;WEY&lt;/a&gt;</v>
      </c>
      <c r="AT1125" t="str">
        <f>CONCATENATE("&lt;/li&gt;&lt;li&gt;&lt;a href=|http://",AT1191,"/1_timothy/6-1.htm","| ","title=|",AT1190,"| target=|_top|&gt;",AT1192,"&lt;/a&gt;")</f>
        <v>&lt;/li&gt;&lt;li&gt;&lt;a href=|http://biblebrowser.com/1_timothy/6-1.htm| title=|Split View| target=|_top|&gt;Split&lt;/a&gt;</v>
      </c>
      <c r="AU1125" s="2" t="s">
        <v>1276</v>
      </c>
      <c r="AV1125" t="s">
        <v>64</v>
      </c>
    </row>
    <row r="1126" spans="1:48">
      <c r="A1126" t="s">
        <v>622</v>
      </c>
      <c r="B1126" t="s">
        <v>557</v>
      </c>
      <c r="C1126" t="s">
        <v>624</v>
      </c>
      <c r="D1126" t="s">
        <v>1268</v>
      </c>
      <c r="E1126" t="s">
        <v>1277</v>
      </c>
      <c r="F1126" t="s">
        <v>1304</v>
      </c>
      <c r="G1126" t="s">
        <v>1266</v>
      </c>
      <c r="H1126" t="s">
        <v>1305</v>
      </c>
      <c r="I1126" t="s">
        <v>1303</v>
      </c>
      <c r="J1126" t="s">
        <v>1267</v>
      </c>
      <c r="K1126" t="s">
        <v>1275</v>
      </c>
      <c r="L1126" s="2" t="s">
        <v>1274</v>
      </c>
      <c r="M1126" t="str">
        <f t="shared" ref="M1126:AB1126" si="4500">CONCATENATE("&lt;/li&gt;&lt;li&gt;&lt;a href=|http://",M1191,"/2_timothy/1.htm","| ","title=|",M1190,"| target=|_top|&gt;",M1192,"&lt;/a&gt;")</f>
        <v>&lt;/li&gt;&lt;li&gt;&lt;a href=|http://niv.scripturetext.com/2_timothy/1.htm| title=|New International Version| target=|_top|&gt;NIV&lt;/a&gt;</v>
      </c>
      <c r="N1126" t="str">
        <f t="shared" si="4500"/>
        <v>&lt;/li&gt;&lt;li&gt;&lt;a href=|http://nlt.scripturetext.com/2_timothy/1.htm| title=|New Living Translation| target=|_top|&gt;NLT&lt;/a&gt;</v>
      </c>
      <c r="O1126" t="str">
        <f t="shared" si="4500"/>
        <v>&lt;/li&gt;&lt;li&gt;&lt;a href=|http://nasb.scripturetext.com/2_timothy/1.htm| title=|New American Standard Bible| target=|_top|&gt;NAS&lt;/a&gt;</v>
      </c>
      <c r="P1126" t="str">
        <f t="shared" si="4500"/>
        <v>&lt;/li&gt;&lt;li&gt;&lt;a href=|http://gwt.scripturetext.com/2_timothy/1.htm| title=|God's Word Translation| target=|_top|&gt;GWT&lt;/a&gt;</v>
      </c>
      <c r="Q1126" t="str">
        <f t="shared" si="4500"/>
        <v>&lt;/li&gt;&lt;li&gt;&lt;a href=|http://kingjbible.com/2_timothy/1.htm| title=|King James Bible| target=|_top|&gt;KJV&lt;/a&gt;</v>
      </c>
      <c r="R1126" t="str">
        <f t="shared" si="4500"/>
        <v>&lt;/li&gt;&lt;li&gt;&lt;a href=|http://asvbible.com/2_timothy/1.htm| title=|American Standard Version| target=|_top|&gt;ASV&lt;/a&gt;</v>
      </c>
      <c r="S1126" t="str">
        <f t="shared" si="4500"/>
        <v>&lt;/li&gt;&lt;li&gt;&lt;a href=|http://drb.scripturetext.com/2_timothy/1.htm| title=|Douay-Rheims Bible| target=|_top|&gt;DRB&lt;/a&gt;</v>
      </c>
      <c r="T1126" t="str">
        <f t="shared" si="4500"/>
        <v>&lt;/li&gt;&lt;li&gt;&lt;a href=|http://erv.scripturetext.com/2_timothy/1.htm| title=|English Revised Version| target=|_top|&gt;ERV&lt;/a&gt;</v>
      </c>
      <c r="U1126" t="str">
        <f>CONCATENATE("&lt;/li&gt;&lt;li&gt;&lt;a href=|http://",U1191,"/2_timothy/1.htm","| ","title=|",U1190,"| target=|_top|&gt;",U1192,"&lt;/a&gt;")</f>
        <v>&lt;/li&gt;&lt;li&gt;&lt;a href=|http://study.interlinearbible.org/2_timothy/1.htm| title=|Greek Study Bible| target=|_top|&gt;Grk Study&lt;/a&gt;</v>
      </c>
      <c r="W1126" t="str">
        <f t="shared" si="4500"/>
        <v>&lt;/li&gt;&lt;li&gt;&lt;a href=|http://apostolic.interlinearbible.org/2_timothy/1.htm| title=|Apostolic Bible Polyglot Interlinear| target=|_top|&gt;Polyglot&lt;/a&gt;</v>
      </c>
      <c r="X1126" t="str">
        <f t="shared" si="4500"/>
        <v>&lt;/li&gt;&lt;li&gt;&lt;a href=|http://interlinearbible.org/2_timothy/1.htm| title=|Interlinear Bible| target=|_top|&gt;Interlin&lt;/a&gt;</v>
      </c>
      <c r="Y1126" t="str">
        <f t="shared" ref="Y1126" si="4501">CONCATENATE("&lt;/li&gt;&lt;li&gt;&lt;a href=|http://",Y1191,"/2_timothy/1.htm","| ","title=|",Y1190,"| target=|_top|&gt;",Y1192,"&lt;/a&gt;")</f>
        <v>&lt;/li&gt;&lt;li&gt;&lt;a href=|http://bibleoutline.org/2_timothy/1.htm| title=|Outline with People and Places List| target=|_top|&gt;Outline&lt;/a&gt;</v>
      </c>
      <c r="Z1126" t="str">
        <f t="shared" si="4500"/>
        <v>&lt;/li&gt;&lt;li&gt;&lt;a href=|http://kjvs.scripturetext.com/2_timothy/1.htm| title=|King James Bible with Strong's Numbers| target=|_top|&gt;Strong's&lt;/a&gt;</v>
      </c>
      <c r="AA1126" t="str">
        <f t="shared" si="4500"/>
        <v>&lt;/li&gt;&lt;li&gt;&lt;a href=|http://childrensbibleonline.com/2_timothy/1.htm| title=|The Children's Bible| target=|_top|&gt;Children's&lt;/a&gt;</v>
      </c>
      <c r="AB1126" s="2" t="str">
        <f t="shared" si="4500"/>
        <v>&lt;/li&gt;&lt;li&gt;&lt;a href=|http://tsk.scripturetext.com/2_timothy/1.htm| title=|Treasury of Scripture Knowledge| target=|_top|&gt;TSK&lt;/a&gt;</v>
      </c>
      <c r="AC1126" t="str">
        <f>CONCATENATE("&lt;a href=|http://",AC1191,"/2_timothy/1.htm","| ","title=|",AC1190,"| target=|_top|&gt;",AC1192,"&lt;/a&gt;")</f>
        <v>&lt;a href=|http://parallelbible.com/2_timothy/1.htm| title=|Parallel Chapters| target=|_top|&gt;PAR&lt;/a&gt;</v>
      </c>
      <c r="AD1126" s="2" t="str">
        <f t="shared" ref="AD1126:AI1126" si="4502">CONCATENATE("&lt;/li&gt;&lt;li&gt;&lt;a href=|http://",AD1191,"/2_timothy/1.htm","| ","title=|",AD1190,"| target=|_top|&gt;",AD1192,"&lt;/a&gt;")</f>
        <v>&lt;/li&gt;&lt;li&gt;&lt;a href=|http://gsb.biblecommenter.com/2_timothy/1.htm| title=|Geneva Study Bible| target=|_top|&gt;GSB&lt;/a&gt;</v>
      </c>
      <c r="AE1126" s="2" t="str">
        <f t="shared" si="4502"/>
        <v>&lt;/li&gt;&lt;li&gt;&lt;a href=|http://jfb.biblecommenter.com/2_timothy/1.htm| title=|Jamieson-Fausset-Brown Bible Commentary| target=|_top|&gt;JFB&lt;/a&gt;</v>
      </c>
      <c r="AF1126" s="2" t="str">
        <f t="shared" si="4502"/>
        <v>&lt;/li&gt;&lt;li&gt;&lt;a href=|http://kjt.biblecommenter.com/2_timothy/1.htm| title=|King James Translators' Notes| target=|_top|&gt;KJT&lt;/a&gt;</v>
      </c>
      <c r="AG1126" s="2" t="str">
        <f t="shared" si="4502"/>
        <v>&lt;/li&gt;&lt;li&gt;&lt;a href=|http://mhc.biblecommenter.com/2_timothy/1.htm| title=|Matthew Henry's Concise Commentary| target=|_top|&gt;MHC&lt;/a&gt;</v>
      </c>
      <c r="AH1126" s="2" t="str">
        <f t="shared" si="4502"/>
        <v>&lt;/li&gt;&lt;li&gt;&lt;a href=|http://sco.biblecommenter.com/2_timothy/1.htm| title=|Scofield Reference Notes| target=|_top|&gt;SCO&lt;/a&gt;</v>
      </c>
      <c r="AI1126" s="2" t="str">
        <f t="shared" si="4502"/>
        <v>&lt;/li&gt;&lt;li&gt;&lt;a href=|http://wes.biblecommenter.com/2_timothy/1.htm| title=|Wesley's Notes on the Bible| target=|_top|&gt;WES&lt;/a&gt;</v>
      </c>
      <c r="AJ1126" t="str">
        <f>CONCATENATE("&lt;/li&gt;&lt;li&gt;&lt;a href=|http://",AJ1191,"/2_timothy/1.htm","| ","title=|",AJ1190,"| target=|_top|&gt;",AJ1192,"&lt;/a&gt;")</f>
        <v>&lt;/li&gt;&lt;li&gt;&lt;a href=|http://worldebible.com/2_timothy/1.htm| title=|World English Bible| target=|_top|&gt;WEB&lt;/a&gt;</v>
      </c>
      <c r="AK1126" t="str">
        <f>CONCATENATE("&lt;/li&gt;&lt;li&gt;&lt;a href=|http://",AK1191,"/2_timothy/1.htm","| ","title=|",AK1190,"| target=|_top|&gt;",AK1192,"&lt;/a&gt;")</f>
        <v>&lt;/li&gt;&lt;li&gt;&lt;a href=|http://yltbible.com/2_timothy/1.htm| title=|Young's Literal Translation| target=|_top|&gt;YLT&lt;/a&gt;</v>
      </c>
      <c r="AL1126" t="str">
        <f>CONCATENATE("&lt;a href=|http://",AL1191,"/2_timothy/1.htm","| ","title=|",AL1190,"| target=|_top|&gt;",AL1192,"&lt;/a&gt;")</f>
        <v>&lt;a href=|http://kjv.us/2_timothy/1.htm| title=|American King James Version| target=|_top|&gt;AKJ&lt;/a&gt;</v>
      </c>
      <c r="AM1126" t="str">
        <f t="shared" ref="AM1126:AS1126" si="4503">CONCATENATE("&lt;/li&gt;&lt;li&gt;&lt;a href=|http://",AM1191,"/2_timothy/1.htm","| ","title=|",AM1190,"| target=|_top|&gt;",AM1192,"&lt;/a&gt;")</f>
        <v>&lt;/li&gt;&lt;li&gt;&lt;a href=|http://basicenglishbible.com/2_timothy/1.htm| title=|Bible in Basic English| target=|_top|&gt;BBE&lt;/a&gt;</v>
      </c>
      <c r="AN1126" t="str">
        <f t="shared" si="4503"/>
        <v>&lt;/li&gt;&lt;li&gt;&lt;a href=|http://darbybible.com/2_timothy/1.htm| title=|Darby Bible Translation| target=|_top|&gt;DBY&lt;/a&gt;</v>
      </c>
      <c r="AO1126" t="str">
        <f t="shared" si="4503"/>
        <v>&lt;/li&gt;&lt;li&gt;&lt;a href=|http://isv.scripturetext.com/2_timothy/1.htm| title=|International Standard Version| target=|_top|&gt;ISV&lt;/a&gt;</v>
      </c>
      <c r="AP1126" t="str">
        <f t="shared" si="4503"/>
        <v>&lt;/li&gt;&lt;li&gt;&lt;a href=|http://tnt.scripturetext.com/2_timothy/1.htm| title=|Tyndale New Testament| target=|_top|&gt;TNT&lt;/a&gt;</v>
      </c>
      <c r="AQ1126" s="2" t="str">
        <f t="shared" si="4503"/>
        <v>&lt;/li&gt;&lt;li&gt;&lt;a href=|http://pnt.biblecommenter.com/2_timothy/1.htm| title=|People's New Testament| target=|_top|&gt;PNT&lt;/a&gt;</v>
      </c>
      <c r="AR1126" t="str">
        <f t="shared" si="4503"/>
        <v>&lt;/li&gt;&lt;li&gt;&lt;a href=|http://websterbible.com/2_timothy/1.htm| title=|Webster's Bible Translation| target=|_top|&gt;WBS&lt;/a&gt;</v>
      </c>
      <c r="AS1126" t="str">
        <f t="shared" si="4503"/>
        <v>&lt;/li&gt;&lt;li&gt;&lt;a href=|http://weymouthbible.com/2_timothy/1.htm| title=|Weymouth New Testament| target=|_top|&gt;WEY&lt;/a&gt;</v>
      </c>
      <c r="AT1126" t="str">
        <f>CONCATENATE("&lt;/li&gt;&lt;li&gt;&lt;a href=|http://",AT1191,"/2_timothy/1-1.htm","| ","title=|",AT1190,"| target=|_top|&gt;",AT1192,"&lt;/a&gt;")</f>
        <v>&lt;/li&gt;&lt;li&gt;&lt;a href=|http://biblebrowser.com/2_timothy/1-1.htm| title=|Split View| target=|_top|&gt;Split&lt;/a&gt;</v>
      </c>
      <c r="AU1126" s="2" t="s">
        <v>1276</v>
      </c>
      <c r="AV1126" t="s">
        <v>64</v>
      </c>
    </row>
    <row r="1127" spans="1:48">
      <c r="A1127" t="s">
        <v>622</v>
      </c>
      <c r="B1127" t="s">
        <v>558</v>
      </c>
      <c r="C1127" t="s">
        <v>624</v>
      </c>
      <c r="D1127" t="s">
        <v>1268</v>
      </c>
      <c r="E1127" t="s">
        <v>1277</v>
      </c>
      <c r="F1127" t="s">
        <v>1304</v>
      </c>
      <c r="G1127" t="s">
        <v>1266</v>
      </c>
      <c r="H1127" t="s">
        <v>1305</v>
      </c>
      <c r="I1127" t="s">
        <v>1303</v>
      </c>
      <c r="J1127" t="s">
        <v>1267</v>
      </c>
      <c r="K1127" t="s">
        <v>1275</v>
      </c>
      <c r="L1127" s="2" t="s">
        <v>1274</v>
      </c>
      <c r="M1127" t="str">
        <f t="shared" ref="M1127:AB1127" si="4504">CONCATENATE("&lt;/li&gt;&lt;li&gt;&lt;a href=|http://",M1191,"/2_timothy/2.htm","| ","title=|",M1190,"| target=|_top|&gt;",M1192,"&lt;/a&gt;")</f>
        <v>&lt;/li&gt;&lt;li&gt;&lt;a href=|http://niv.scripturetext.com/2_timothy/2.htm| title=|New International Version| target=|_top|&gt;NIV&lt;/a&gt;</v>
      </c>
      <c r="N1127" t="str">
        <f t="shared" si="4504"/>
        <v>&lt;/li&gt;&lt;li&gt;&lt;a href=|http://nlt.scripturetext.com/2_timothy/2.htm| title=|New Living Translation| target=|_top|&gt;NLT&lt;/a&gt;</v>
      </c>
      <c r="O1127" t="str">
        <f t="shared" si="4504"/>
        <v>&lt;/li&gt;&lt;li&gt;&lt;a href=|http://nasb.scripturetext.com/2_timothy/2.htm| title=|New American Standard Bible| target=|_top|&gt;NAS&lt;/a&gt;</v>
      </c>
      <c r="P1127" t="str">
        <f t="shared" si="4504"/>
        <v>&lt;/li&gt;&lt;li&gt;&lt;a href=|http://gwt.scripturetext.com/2_timothy/2.htm| title=|God's Word Translation| target=|_top|&gt;GWT&lt;/a&gt;</v>
      </c>
      <c r="Q1127" t="str">
        <f t="shared" si="4504"/>
        <v>&lt;/li&gt;&lt;li&gt;&lt;a href=|http://kingjbible.com/2_timothy/2.htm| title=|King James Bible| target=|_top|&gt;KJV&lt;/a&gt;</v>
      </c>
      <c r="R1127" t="str">
        <f t="shared" si="4504"/>
        <v>&lt;/li&gt;&lt;li&gt;&lt;a href=|http://asvbible.com/2_timothy/2.htm| title=|American Standard Version| target=|_top|&gt;ASV&lt;/a&gt;</v>
      </c>
      <c r="S1127" t="str">
        <f t="shared" si="4504"/>
        <v>&lt;/li&gt;&lt;li&gt;&lt;a href=|http://drb.scripturetext.com/2_timothy/2.htm| title=|Douay-Rheims Bible| target=|_top|&gt;DRB&lt;/a&gt;</v>
      </c>
      <c r="T1127" t="str">
        <f t="shared" si="4504"/>
        <v>&lt;/li&gt;&lt;li&gt;&lt;a href=|http://erv.scripturetext.com/2_timothy/2.htm| title=|English Revised Version| target=|_top|&gt;ERV&lt;/a&gt;</v>
      </c>
      <c r="U1127" t="str">
        <f>CONCATENATE("&lt;/li&gt;&lt;li&gt;&lt;a href=|http://",U1191,"/2_timothy/2.htm","| ","title=|",U1190,"| target=|_top|&gt;",U1192,"&lt;/a&gt;")</f>
        <v>&lt;/li&gt;&lt;li&gt;&lt;a href=|http://study.interlinearbible.org/2_timothy/2.htm| title=|Greek Study Bible| target=|_top|&gt;Grk Study&lt;/a&gt;</v>
      </c>
      <c r="W1127" t="str">
        <f t="shared" si="4504"/>
        <v>&lt;/li&gt;&lt;li&gt;&lt;a href=|http://apostolic.interlinearbible.org/2_timothy/2.htm| title=|Apostolic Bible Polyglot Interlinear| target=|_top|&gt;Polyglot&lt;/a&gt;</v>
      </c>
      <c r="X1127" t="str">
        <f t="shared" si="4504"/>
        <v>&lt;/li&gt;&lt;li&gt;&lt;a href=|http://interlinearbible.org/2_timothy/2.htm| title=|Interlinear Bible| target=|_top|&gt;Interlin&lt;/a&gt;</v>
      </c>
      <c r="Y1127" t="str">
        <f t="shared" ref="Y1127" si="4505">CONCATENATE("&lt;/li&gt;&lt;li&gt;&lt;a href=|http://",Y1191,"/2_timothy/2.htm","| ","title=|",Y1190,"| target=|_top|&gt;",Y1192,"&lt;/a&gt;")</f>
        <v>&lt;/li&gt;&lt;li&gt;&lt;a href=|http://bibleoutline.org/2_timothy/2.htm| title=|Outline with People and Places List| target=|_top|&gt;Outline&lt;/a&gt;</v>
      </c>
      <c r="Z1127" t="str">
        <f t="shared" si="4504"/>
        <v>&lt;/li&gt;&lt;li&gt;&lt;a href=|http://kjvs.scripturetext.com/2_timothy/2.htm| title=|King James Bible with Strong's Numbers| target=|_top|&gt;Strong's&lt;/a&gt;</v>
      </c>
      <c r="AA1127" t="str">
        <f t="shared" si="4504"/>
        <v>&lt;/li&gt;&lt;li&gt;&lt;a href=|http://childrensbibleonline.com/2_timothy/2.htm| title=|The Children's Bible| target=|_top|&gt;Children's&lt;/a&gt;</v>
      </c>
      <c r="AB1127" s="2" t="str">
        <f t="shared" si="4504"/>
        <v>&lt;/li&gt;&lt;li&gt;&lt;a href=|http://tsk.scripturetext.com/2_timothy/2.htm| title=|Treasury of Scripture Knowledge| target=|_top|&gt;TSK&lt;/a&gt;</v>
      </c>
      <c r="AC1127" t="str">
        <f>CONCATENATE("&lt;a href=|http://",AC1191,"/2_timothy/2.htm","| ","title=|",AC1190,"| target=|_top|&gt;",AC1192,"&lt;/a&gt;")</f>
        <v>&lt;a href=|http://parallelbible.com/2_timothy/2.htm| title=|Parallel Chapters| target=|_top|&gt;PAR&lt;/a&gt;</v>
      </c>
      <c r="AD1127" s="2" t="str">
        <f t="shared" ref="AD1127:AI1127" si="4506">CONCATENATE("&lt;/li&gt;&lt;li&gt;&lt;a href=|http://",AD1191,"/2_timothy/2.htm","| ","title=|",AD1190,"| target=|_top|&gt;",AD1192,"&lt;/a&gt;")</f>
        <v>&lt;/li&gt;&lt;li&gt;&lt;a href=|http://gsb.biblecommenter.com/2_timothy/2.htm| title=|Geneva Study Bible| target=|_top|&gt;GSB&lt;/a&gt;</v>
      </c>
      <c r="AE1127" s="2" t="str">
        <f t="shared" si="4506"/>
        <v>&lt;/li&gt;&lt;li&gt;&lt;a href=|http://jfb.biblecommenter.com/2_timothy/2.htm| title=|Jamieson-Fausset-Brown Bible Commentary| target=|_top|&gt;JFB&lt;/a&gt;</v>
      </c>
      <c r="AF1127" s="2" t="str">
        <f t="shared" si="4506"/>
        <v>&lt;/li&gt;&lt;li&gt;&lt;a href=|http://kjt.biblecommenter.com/2_timothy/2.htm| title=|King James Translators' Notes| target=|_top|&gt;KJT&lt;/a&gt;</v>
      </c>
      <c r="AG1127" s="2" t="str">
        <f t="shared" si="4506"/>
        <v>&lt;/li&gt;&lt;li&gt;&lt;a href=|http://mhc.biblecommenter.com/2_timothy/2.htm| title=|Matthew Henry's Concise Commentary| target=|_top|&gt;MHC&lt;/a&gt;</v>
      </c>
      <c r="AH1127" s="2" t="str">
        <f t="shared" si="4506"/>
        <v>&lt;/li&gt;&lt;li&gt;&lt;a href=|http://sco.biblecommenter.com/2_timothy/2.htm| title=|Scofield Reference Notes| target=|_top|&gt;SCO&lt;/a&gt;</v>
      </c>
      <c r="AI1127" s="2" t="str">
        <f t="shared" si="4506"/>
        <v>&lt;/li&gt;&lt;li&gt;&lt;a href=|http://wes.biblecommenter.com/2_timothy/2.htm| title=|Wesley's Notes on the Bible| target=|_top|&gt;WES&lt;/a&gt;</v>
      </c>
      <c r="AJ1127" t="str">
        <f>CONCATENATE("&lt;/li&gt;&lt;li&gt;&lt;a href=|http://",AJ1191,"/2_timothy/2.htm","| ","title=|",AJ1190,"| target=|_top|&gt;",AJ1192,"&lt;/a&gt;")</f>
        <v>&lt;/li&gt;&lt;li&gt;&lt;a href=|http://worldebible.com/2_timothy/2.htm| title=|World English Bible| target=|_top|&gt;WEB&lt;/a&gt;</v>
      </c>
      <c r="AK1127" t="str">
        <f>CONCATENATE("&lt;/li&gt;&lt;li&gt;&lt;a href=|http://",AK1191,"/2_timothy/2.htm","| ","title=|",AK1190,"| target=|_top|&gt;",AK1192,"&lt;/a&gt;")</f>
        <v>&lt;/li&gt;&lt;li&gt;&lt;a href=|http://yltbible.com/2_timothy/2.htm| title=|Young's Literal Translation| target=|_top|&gt;YLT&lt;/a&gt;</v>
      </c>
      <c r="AL1127" t="str">
        <f>CONCATENATE("&lt;a href=|http://",AL1191,"/2_timothy/2.htm","| ","title=|",AL1190,"| target=|_top|&gt;",AL1192,"&lt;/a&gt;")</f>
        <v>&lt;a href=|http://kjv.us/2_timothy/2.htm| title=|American King James Version| target=|_top|&gt;AKJ&lt;/a&gt;</v>
      </c>
      <c r="AM1127" t="str">
        <f t="shared" ref="AM1127:AS1127" si="4507">CONCATENATE("&lt;/li&gt;&lt;li&gt;&lt;a href=|http://",AM1191,"/2_timothy/2.htm","| ","title=|",AM1190,"| target=|_top|&gt;",AM1192,"&lt;/a&gt;")</f>
        <v>&lt;/li&gt;&lt;li&gt;&lt;a href=|http://basicenglishbible.com/2_timothy/2.htm| title=|Bible in Basic English| target=|_top|&gt;BBE&lt;/a&gt;</v>
      </c>
      <c r="AN1127" t="str">
        <f t="shared" si="4507"/>
        <v>&lt;/li&gt;&lt;li&gt;&lt;a href=|http://darbybible.com/2_timothy/2.htm| title=|Darby Bible Translation| target=|_top|&gt;DBY&lt;/a&gt;</v>
      </c>
      <c r="AO1127" t="str">
        <f t="shared" si="4507"/>
        <v>&lt;/li&gt;&lt;li&gt;&lt;a href=|http://isv.scripturetext.com/2_timothy/2.htm| title=|International Standard Version| target=|_top|&gt;ISV&lt;/a&gt;</v>
      </c>
      <c r="AP1127" t="str">
        <f t="shared" si="4507"/>
        <v>&lt;/li&gt;&lt;li&gt;&lt;a href=|http://tnt.scripturetext.com/2_timothy/2.htm| title=|Tyndale New Testament| target=|_top|&gt;TNT&lt;/a&gt;</v>
      </c>
      <c r="AQ1127" s="2" t="str">
        <f t="shared" si="4507"/>
        <v>&lt;/li&gt;&lt;li&gt;&lt;a href=|http://pnt.biblecommenter.com/2_timothy/2.htm| title=|People's New Testament| target=|_top|&gt;PNT&lt;/a&gt;</v>
      </c>
      <c r="AR1127" t="str">
        <f t="shared" si="4507"/>
        <v>&lt;/li&gt;&lt;li&gt;&lt;a href=|http://websterbible.com/2_timothy/2.htm| title=|Webster's Bible Translation| target=|_top|&gt;WBS&lt;/a&gt;</v>
      </c>
      <c r="AS1127" t="str">
        <f t="shared" si="4507"/>
        <v>&lt;/li&gt;&lt;li&gt;&lt;a href=|http://weymouthbible.com/2_timothy/2.htm| title=|Weymouth New Testament| target=|_top|&gt;WEY&lt;/a&gt;</v>
      </c>
      <c r="AT1127" t="str">
        <f>CONCATENATE("&lt;/li&gt;&lt;li&gt;&lt;a href=|http://",AT1191,"/2_timothy/2-1.htm","| ","title=|",AT1190,"| target=|_top|&gt;",AT1192,"&lt;/a&gt;")</f>
        <v>&lt;/li&gt;&lt;li&gt;&lt;a href=|http://biblebrowser.com/2_timothy/2-1.htm| title=|Split View| target=|_top|&gt;Split&lt;/a&gt;</v>
      </c>
      <c r="AU1127" s="2" t="s">
        <v>1276</v>
      </c>
      <c r="AV1127" t="s">
        <v>64</v>
      </c>
    </row>
    <row r="1128" spans="1:48">
      <c r="A1128" t="s">
        <v>622</v>
      </c>
      <c r="B1128" t="s">
        <v>559</v>
      </c>
      <c r="C1128" t="s">
        <v>624</v>
      </c>
      <c r="D1128" t="s">
        <v>1268</v>
      </c>
      <c r="E1128" t="s">
        <v>1277</v>
      </c>
      <c r="F1128" t="s">
        <v>1304</v>
      </c>
      <c r="G1128" t="s">
        <v>1266</v>
      </c>
      <c r="H1128" t="s">
        <v>1305</v>
      </c>
      <c r="I1128" t="s">
        <v>1303</v>
      </c>
      <c r="J1128" t="s">
        <v>1267</v>
      </c>
      <c r="K1128" t="s">
        <v>1275</v>
      </c>
      <c r="L1128" s="2" t="s">
        <v>1274</v>
      </c>
      <c r="M1128" t="str">
        <f t="shared" ref="M1128:AB1128" si="4508">CONCATENATE("&lt;/li&gt;&lt;li&gt;&lt;a href=|http://",M1191,"/2_timothy/3.htm","| ","title=|",M1190,"| target=|_top|&gt;",M1192,"&lt;/a&gt;")</f>
        <v>&lt;/li&gt;&lt;li&gt;&lt;a href=|http://niv.scripturetext.com/2_timothy/3.htm| title=|New International Version| target=|_top|&gt;NIV&lt;/a&gt;</v>
      </c>
      <c r="N1128" t="str">
        <f t="shared" si="4508"/>
        <v>&lt;/li&gt;&lt;li&gt;&lt;a href=|http://nlt.scripturetext.com/2_timothy/3.htm| title=|New Living Translation| target=|_top|&gt;NLT&lt;/a&gt;</v>
      </c>
      <c r="O1128" t="str">
        <f t="shared" si="4508"/>
        <v>&lt;/li&gt;&lt;li&gt;&lt;a href=|http://nasb.scripturetext.com/2_timothy/3.htm| title=|New American Standard Bible| target=|_top|&gt;NAS&lt;/a&gt;</v>
      </c>
      <c r="P1128" t="str">
        <f t="shared" si="4508"/>
        <v>&lt;/li&gt;&lt;li&gt;&lt;a href=|http://gwt.scripturetext.com/2_timothy/3.htm| title=|God's Word Translation| target=|_top|&gt;GWT&lt;/a&gt;</v>
      </c>
      <c r="Q1128" t="str">
        <f t="shared" si="4508"/>
        <v>&lt;/li&gt;&lt;li&gt;&lt;a href=|http://kingjbible.com/2_timothy/3.htm| title=|King James Bible| target=|_top|&gt;KJV&lt;/a&gt;</v>
      </c>
      <c r="R1128" t="str">
        <f t="shared" si="4508"/>
        <v>&lt;/li&gt;&lt;li&gt;&lt;a href=|http://asvbible.com/2_timothy/3.htm| title=|American Standard Version| target=|_top|&gt;ASV&lt;/a&gt;</v>
      </c>
      <c r="S1128" t="str">
        <f t="shared" si="4508"/>
        <v>&lt;/li&gt;&lt;li&gt;&lt;a href=|http://drb.scripturetext.com/2_timothy/3.htm| title=|Douay-Rheims Bible| target=|_top|&gt;DRB&lt;/a&gt;</v>
      </c>
      <c r="T1128" t="str">
        <f t="shared" si="4508"/>
        <v>&lt;/li&gt;&lt;li&gt;&lt;a href=|http://erv.scripturetext.com/2_timothy/3.htm| title=|English Revised Version| target=|_top|&gt;ERV&lt;/a&gt;</v>
      </c>
      <c r="U1128" t="str">
        <f>CONCATENATE("&lt;/li&gt;&lt;li&gt;&lt;a href=|http://",U1191,"/2_timothy/3.htm","| ","title=|",U1190,"| target=|_top|&gt;",U1192,"&lt;/a&gt;")</f>
        <v>&lt;/li&gt;&lt;li&gt;&lt;a href=|http://study.interlinearbible.org/2_timothy/3.htm| title=|Greek Study Bible| target=|_top|&gt;Grk Study&lt;/a&gt;</v>
      </c>
      <c r="W1128" t="str">
        <f t="shared" si="4508"/>
        <v>&lt;/li&gt;&lt;li&gt;&lt;a href=|http://apostolic.interlinearbible.org/2_timothy/3.htm| title=|Apostolic Bible Polyglot Interlinear| target=|_top|&gt;Polyglot&lt;/a&gt;</v>
      </c>
      <c r="X1128" t="str">
        <f t="shared" si="4508"/>
        <v>&lt;/li&gt;&lt;li&gt;&lt;a href=|http://interlinearbible.org/2_timothy/3.htm| title=|Interlinear Bible| target=|_top|&gt;Interlin&lt;/a&gt;</v>
      </c>
      <c r="Y1128" t="str">
        <f t="shared" ref="Y1128" si="4509">CONCATENATE("&lt;/li&gt;&lt;li&gt;&lt;a href=|http://",Y1191,"/2_timothy/3.htm","| ","title=|",Y1190,"| target=|_top|&gt;",Y1192,"&lt;/a&gt;")</f>
        <v>&lt;/li&gt;&lt;li&gt;&lt;a href=|http://bibleoutline.org/2_timothy/3.htm| title=|Outline with People and Places List| target=|_top|&gt;Outline&lt;/a&gt;</v>
      </c>
      <c r="Z1128" t="str">
        <f t="shared" si="4508"/>
        <v>&lt;/li&gt;&lt;li&gt;&lt;a href=|http://kjvs.scripturetext.com/2_timothy/3.htm| title=|King James Bible with Strong's Numbers| target=|_top|&gt;Strong's&lt;/a&gt;</v>
      </c>
      <c r="AA1128" t="str">
        <f t="shared" si="4508"/>
        <v>&lt;/li&gt;&lt;li&gt;&lt;a href=|http://childrensbibleonline.com/2_timothy/3.htm| title=|The Children's Bible| target=|_top|&gt;Children's&lt;/a&gt;</v>
      </c>
      <c r="AB1128" s="2" t="str">
        <f t="shared" si="4508"/>
        <v>&lt;/li&gt;&lt;li&gt;&lt;a href=|http://tsk.scripturetext.com/2_timothy/3.htm| title=|Treasury of Scripture Knowledge| target=|_top|&gt;TSK&lt;/a&gt;</v>
      </c>
      <c r="AC1128" t="str">
        <f>CONCATENATE("&lt;a href=|http://",AC1191,"/2_timothy/3.htm","| ","title=|",AC1190,"| target=|_top|&gt;",AC1192,"&lt;/a&gt;")</f>
        <v>&lt;a href=|http://parallelbible.com/2_timothy/3.htm| title=|Parallel Chapters| target=|_top|&gt;PAR&lt;/a&gt;</v>
      </c>
      <c r="AD1128" s="2" t="str">
        <f t="shared" ref="AD1128:AI1128" si="4510">CONCATENATE("&lt;/li&gt;&lt;li&gt;&lt;a href=|http://",AD1191,"/2_timothy/3.htm","| ","title=|",AD1190,"| target=|_top|&gt;",AD1192,"&lt;/a&gt;")</f>
        <v>&lt;/li&gt;&lt;li&gt;&lt;a href=|http://gsb.biblecommenter.com/2_timothy/3.htm| title=|Geneva Study Bible| target=|_top|&gt;GSB&lt;/a&gt;</v>
      </c>
      <c r="AE1128" s="2" t="str">
        <f t="shared" si="4510"/>
        <v>&lt;/li&gt;&lt;li&gt;&lt;a href=|http://jfb.biblecommenter.com/2_timothy/3.htm| title=|Jamieson-Fausset-Brown Bible Commentary| target=|_top|&gt;JFB&lt;/a&gt;</v>
      </c>
      <c r="AF1128" s="2" t="str">
        <f t="shared" si="4510"/>
        <v>&lt;/li&gt;&lt;li&gt;&lt;a href=|http://kjt.biblecommenter.com/2_timothy/3.htm| title=|King James Translators' Notes| target=|_top|&gt;KJT&lt;/a&gt;</v>
      </c>
      <c r="AG1128" s="2" t="str">
        <f t="shared" si="4510"/>
        <v>&lt;/li&gt;&lt;li&gt;&lt;a href=|http://mhc.biblecommenter.com/2_timothy/3.htm| title=|Matthew Henry's Concise Commentary| target=|_top|&gt;MHC&lt;/a&gt;</v>
      </c>
      <c r="AH1128" s="2" t="str">
        <f t="shared" si="4510"/>
        <v>&lt;/li&gt;&lt;li&gt;&lt;a href=|http://sco.biblecommenter.com/2_timothy/3.htm| title=|Scofield Reference Notes| target=|_top|&gt;SCO&lt;/a&gt;</v>
      </c>
      <c r="AI1128" s="2" t="str">
        <f t="shared" si="4510"/>
        <v>&lt;/li&gt;&lt;li&gt;&lt;a href=|http://wes.biblecommenter.com/2_timothy/3.htm| title=|Wesley's Notes on the Bible| target=|_top|&gt;WES&lt;/a&gt;</v>
      </c>
      <c r="AJ1128" t="str">
        <f>CONCATENATE("&lt;/li&gt;&lt;li&gt;&lt;a href=|http://",AJ1191,"/2_timothy/3.htm","| ","title=|",AJ1190,"| target=|_top|&gt;",AJ1192,"&lt;/a&gt;")</f>
        <v>&lt;/li&gt;&lt;li&gt;&lt;a href=|http://worldebible.com/2_timothy/3.htm| title=|World English Bible| target=|_top|&gt;WEB&lt;/a&gt;</v>
      </c>
      <c r="AK1128" t="str">
        <f>CONCATENATE("&lt;/li&gt;&lt;li&gt;&lt;a href=|http://",AK1191,"/2_timothy/3.htm","| ","title=|",AK1190,"| target=|_top|&gt;",AK1192,"&lt;/a&gt;")</f>
        <v>&lt;/li&gt;&lt;li&gt;&lt;a href=|http://yltbible.com/2_timothy/3.htm| title=|Young's Literal Translation| target=|_top|&gt;YLT&lt;/a&gt;</v>
      </c>
      <c r="AL1128" t="str">
        <f>CONCATENATE("&lt;a href=|http://",AL1191,"/2_timothy/3.htm","| ","title=|",AL1190,"| target=|_top|&gt;",AL1192,"&lt;/a&gt;")</f>
        <v>&lt;a href=|http://kjv.us/2_timothy/3.htm| title=|American King James Version| target=|_top|&gt;AKJ&lt;/a&gt;</v>
      </c>
      <c r="AM1128" t="str">
        <f t="shared" ref="AM1128:AS1128" si="4511">CONCATENATE("&lt;/li&gt;&lt;li&gt;&lt;a href=|http://",AM1191,"/2_timothy/3.htm","| ","title=|",AM1190,"| target=|_top|&gt;",AM1192,"&lt;/a&gt;")</f>
        <v>&lt;/li&gt;&lt;li&gt;&lt;a href=|http://basicenglishbible.com/2_timothy/3.htm| title=|Bible in Basic English| target=|_top|&gt;BBE&lt;/a&gt;</v>
      </c>
      <c r="AN1128" t="str">
        <f t="shared" si="4511"/>
        <v>&lt;/li&gt;&lt;li&gt;&lt;a href=|http://darbybible.com/2_timothy/3.htm| title=|Darby Bible Translation| target=|_top|&gt;DBY&lt;/a&gt;</v>
      </c>
      <c r="AO1128" t="str">
        <f t="shared" si="4511"/>
        <v>&lt;/li&gt;&lt;li&gt;&lt;a href=|http://isv.scripturetext.com/2_timothy/3.htm| title=|International Standard Version| target=|_top|&gt;ISV&lt;/a&gt;</v>
      </c>
      <c r="AP1128" t="str">
        <f t="shared" si="4511"/>
        <v>&lt;/li&gt;&lt;li&gt;&lt;a href=|http://tnt.scripturetext.com/2_timothy/3.htm| title=|Tyndale New Testament| target=|_top|&gt;TNT&lt;/a&gt;</v>
      </c>
      <c r="AQ1128" s="2" t="str">
        <f t="shared" si="4511"/>
        <v>&lt;/li&gt;&lt;li&gt;&lt;a href=|http://pnt.biblecommenter.com/2_timothy/3.htm| title=|People's New Testament| target=|_top|&gt;PNT&lt;/a&gt;</v>
      </c>
      <c r="AR1128" t="str">
        <f t="shared" si="4511"/>
        <v>&lt;/li&gt;&lt;li&gt;&lt;a href=|http://websterbible.com/2_timothy/3.htm| title=|Webster's Bible Translation| target=|_top|&gt;WBS&lt;/a&gt;</v>
      </c>
      <c r="AS1128" t="str">
        <f t="shared" si="4511"/>
        <v>&lt;/li&gt;&lt;li&gt;&lt;a href=|http://weymouthbible.com/2_timothy/3.htm| title=|Weymouth New Testament| target=|_top|&gt;WEY&lt;/a&gt;</v>
      </c>
      <c r="AT1128" t="str">
        <f>CONCATENATE("&lt;/li&gt;&lt;li&gt;&lt;a href=|http://",AT1191,"/2_timothy/3-1.htm","| ","title=|",AT1190,"| target=|_top|&gt;",AT1192,"&lt;/a&gt;")</f>
        <v>&lt;/li&gt;&lt;li&gt;&lt;a href=|http://biblebrowser.com/2_timothy/3-1.htm| title=|Split View| target=|_top|&gt;Split&lt;/a&gt;</v>
      </c>
      <c r="AU1128" s="2" t="s">
        <v>1276</v>
      </c>
      <c r="AV1128" t="s">
        <v>64</v>
      </c>
    </row>
    <row r="1129" spans="1:48">
      <c r="A1129" t="s">
        <v>622</v>
      </c>
      <c r="B1129" t="s">
        <v>560</v>
      </c>
      <c r="C1129" t="s">
        <v>624</v>
      </c>
      <c r="D1129" t="s">
        <v>1268</v>
      </c>
      <c r="E1129" t="s">
        <v>1277</v>
      </c>
      <c r="F1129" t="s">
        <v>1304</v>
      </c>
      <c r="G1129" t="s">
        <v>1266</v>
      </c>
      <c r="H1129" t="s">
        <v>1305</v>
      </c>
      <c r="I1129" t="s">
        <v>1303</v>
      </c>
      <c r="J1129" t="s">
        <v>1267</v>
      </c>
      <c r="K1129" t="s">
        <v>1275</v>
      </c>
      <c r="L1129" s="2" t="s">
        <v>1274</v>
      </c>
      <c r="M1129" t="str">
        <f t="shared" ref="M1129:AB1129" si="4512">CONCATENATE("&lt;/li&gt;&lt;li&gt;&lt;a href=|http://",M1191,"/2_timothy/4.htm","| ","title=|",M1190,"| target=|_top|&gt;",M1192,"&lt;/a&gt;")</f>
        <v>&lt;/li&gt;&lt;li&gt;&lt;a href=|http://niv.scripturetext.com/2_timothy/4.htm| title=|New International Version| target=|_top|&gt;NIV&lt;/a&gt;</v>
      </c>
      <c r="N1129" t="str">
        <f t="shared" si="4512"/>
        <v>&lt;/li&gt;&lt;li&gt;&lt;a href=|http://nlt.scripturetext.com/2_timothy/4.htm| title=|New Living Translation| target=|_top|&gt;NLT&lt;/a&gt;</v>
      </c>
      <c r="O1129" t="str">
        <f t="shared" si="4512"/>
        <v>&lt;/li&gt;&lt;li&gt;&lt;a href=|http://nasb.scripturetext.com/2_timothy/4.htm| title=|New American Standard Bible| target=|_top|&gt;NAS&lt;/a&gt;</v>
      </c>
      <c r="P1129" t="str">
        <f t="shared" si="4512"/>
        <v>&lt;/li&gt;&lt;li&gt;&lt;a href=|http://gwt.scripturetext.com/2_timothy/4.htm| title=|God's Word Translation| target=|_top|&gt;GWT&lt;/a&gt;</v>
      </c>
      <c r="Q1129" t="str">
        <f t="shared" si="4512"/>
        <v>&lt;/li&gt;&lt;li&gt;&lt;a href=|http://kingjbible.com/2_timothy/4.htm| title=|King James Bible| target=|_top|&gt;KJV&lt;/a&gt;</v>
      </c>
      <c r="R1129" t="str">
        <f t="shared" si="4512"/>
        <v>&lt;/li&gt;&lt;li&gt;&lt;a href=|http://asvbible.com/2_timothy/4.htm| title=|American Standard Version| target=|_top|&gt;ASV&lt;/a&gt;</v>
      </c>
      <c r="S1129" t="str">
        <f t="shared" si="4512"/>
        <v>&lt;/li&gt;&lt;li&gt;&lt;a href=|http://drb.scripturetext.com/2_timothy/4.htm| title=|Douay-Rheims Bible| target=|_top|&gt;DRB&lt;/a&gt;</v>
      </c>
      <c r="T1129" t="str">
        <f t="shared" si="4512"/>
        <v>&lt;/li&gt;&lt;li&gt;&lt;a href=|http://erv.scripturetext.com/2_timothy/4.htm| title=|English Revised Version| target=|_top|&gt;ERV&lt;/a&gt;</v>
      </c>
      <c r="U1129" t="str">
        <f>CONCATENATE("&lt;/li&gt;&lt;li&gt;&lt;a href=|http://",U1191,"/2_timothy/4.htm","| ","title=|",U1190,"| target=|_top|&gt;",U1192,"&lt;/a&gt;")</f>
        <v>&lt;/li&gt;&lt;li&gt;&lt;a href=|http://study.interlinearbible.org/2_timothy/4.htm| title=|Greek Study Bible| target=|_top|&gt;Grk Study&lt;/a&gt;</v>
      </c>
      <c r="W1129" t="str">
        <f t="shared" si="4512"/>
        <v>&lt;/li&gt;&lt;li&gt;&lt;a href=|http://apostolic.interlinearbible.org/2_timothy/4.htm| title=|Apostolic Bible Polyglot Interlinear| target=|_top|&gt;Polyglot&lt;/a&gt;</v>
      </c>
      <c r="X1129" t="str">
        <f t="shared" si="4512"/>
        <v>&lt;/li&gt;&lt;li&gt;&lt;a href=|http://interlinearbible.org/2_timothy/4.htm| title=|Interlinear Bible| target=|_top|&gt;Interlin&lt;/a&gt;</v>
      </c>
      <c r="Y1129" t="str">
        <f t="shared" ref="Y1129" si="4513">CONCATENATE("&lt;/li&gt;&lt;li&gt;&lt;a href=|http://",Y1191,"/2_timothy/4.htm","| ","title=|",Y1190,"| target=|_top|&gt;",Y1192,"&lt;/a&gt;")</f>
        <v>&lt;/li&gt;&lt;li&gt;&lt;a href=|http://bibleoutline.org/2_timothy/4.htm| title=|Outline with People and Places List| target=|_top|&gt;Outline&lt;/a&gt;</v>
      </c>
      <c r="Z1129" t="str">
        <f t="shared" si="4512"/>
        <v>&lt;/li&gt;&lt;li&gt;&lt;a href=|http://kjvs.scripturetext.com/2_timothy/4.htm| title=|King James Bible with Strong's Numbers| target=|_top|&gt;Strong's&lt;/a&gt;</v>
      </c>
      <c r="AA1129" t="str">
        <f t="shared" si="4512"/>
        <v>&lt;/li&gt;&lt;li&gt;&lt;a href=|http://childrensbibleonline.com/2_timothy/4.htm| title=|The Children's Bible| target=|_top|&gt;Children's&lt;/a&gt;</v>
      </c>
      <c r="AB1129" s="2" t="str">
        <f t="shared" si="4512"/>
        <v>&lt;/li&gt;&lt;li&gt;&lt;a href=|http://tsk.scripturetext.com/2_timothy/4.htm| title=|Treasury of Scripture Knowledge| target=|_top|&gt;TSK&lt;/a&gt;</v>
      </c>
      <c r="AC1129" t="str">
        <f>CONCATENATE("&lt;a href=|http://",AC1191,"/2_timothy/4.htm","| ","title=|",AC1190,"| target=|_top|&gt;",AC1192,"&lt;/a&gt;")</f>
        <v>&lt;a href=|http://parallelbible.com/2_timothy/4.htm| title=|Parallel Chapters| target=|_top|&gt;PAR&lt;/a&gt;</v>
      </c>
      <c r="AD1129" s="2" t="str">
        <f t="shared" ref="AD1129:AI1129" si="4514">CONCATENATE("&lt;/li&gt;&lt;li&gt;&lt;a href=|http://",AD1191,"/2_timothy/4.htm","| ","title=|",AD1190,"| target=|_top|&gt;",AD1192,"&lt;/a&gt;")</f>
        <v>&lt;/li&gt;&lt;li&gt;&lt;a href=|http://gsb.biblecommenter.com/2_timothy/4.htm| title=|Geneva Study Bible| target=|_top|&gt;GSB&lt;/a&gt;</v>
      </c>
      <c r="AE1129" s="2" t="str">
        <f t="shared" si="4514"/>
        <v>&lt;/li&gt;&lt;li&gt;&lt;a href=|http://jfb.biblecommenter.com/2_timothy/4.htm| title=|Jamieson-Fausset-Brown Bible Commentary| target=|_top|&gt;JFB&lt;/a&gt;</v>
      </c>
      <c r="AF1129" s="2" t="str">
        <f t="shared" si="4514"/>
        <v>&lt;/li&gt;&lt;li&gt;&lt;a href=|http://kjt.biblecommenter.com/2_timothy/4.htm| title=|King James Translators' Notes| target=|_top|&gt;KJT&lt;/a&gt;</v>
      </c>
      <c r="AG1129" s="2" t="str">
        <f t="shared" si="4514"/>
        <v>&lt;/li&gt;&lt;li&gt;&lt;a href=|http://mhc.biblecommenter.com/2_timothy/4.htm| title=|Matthew Henry's Concise Commentary| target=|_top|&gt;MHC&lt;/a&gt;</v>
      </c>
      <c r="AH1129" s="2" t="str">
        <f t="shared" si="4514"/>
        <v>&lt;/li&gt;&lt;li&gt;&lt;a href=|http://sco.biblecommenter.com/2_timothy/4.htm| title=|Scofield Reference Notes| target=|_top|&gt;SCO&lt;/a&gt;</v>
      </c>
      <c r="AI1129" s="2" t="str">
        <f t="shared" si="4514"/>
        <v>&lt;/li&gt;&lt;li&gt;&lt;a href=|http://wes.biblecommenter.com/2_timothy/4.htm| title=|Wesley's Notes on the Bible| target=|_top|&gt;WES&lt;/a&gt;</v>
      </c>
      <c r="AJ1129" t="str">
        <f>CONCATENATE("&lt;/li&gt;&lt;li&gt;&lt;a href=|http://",AJ1191,"/2_timothy/4.htm","| ","title=|",AJ1190,"| target=|_top|&gt;",AJ1192,"&lt;/a&gt;")</f>
        <v>&lt;/li&gt;&lt;li&gt;&lt;a href=|http://worldebible.com/2_timothy/4.htm| title=|World English Bible| target=|_top|&gt;WEB&lt;/a&gt;</v>
      </c>
      <c r="AK1129" t="str">
        <f>CONCATENATE("&lt;/li&gt;&lt;li&gt;&lt;a href=|http://",AK1191,"/2_timothy/4.htm","| ","title=|",AK1190,"| target=|_top|&gt;",AK1192,"&lt;/a&gt;")</f>
        <v>&lt;/li&gt;&lt;li&gt;&lt;a href=|http://yltbible.com/2_timothy/4.htm| title=|Young's Literal Translation| target=|_top|&gt;YLT&lt;/a&gt;</v>
      </c>
      <c r="AL1129" t="str">
        <f>CONCATENATE("&lt;a href=|http://",AL1191,"/2_timothy/4.htm","| ","title=|",AL1190,"| target=|_top|&gt;",AL1192,"&lt;/a&gt;")</f>
        <v>&lt;a href=|http://kjv.us/2_timothy/4.htm| title=|American King James Version| target=|_top|&gt;AKJ&lt;/a&gt;</v>
      </c>
      <c r="AM1129" t="str">
        <f t="shared" ref="AM1129:AS1129" si="4515">CONCATENATE("&lt;/li&gt;&lt;li&gt;&lt;a href=|http://",AM1191,"/2_timothy/4.htm","| ","title=|",AM1190,"| target=|_top|&gt;",AM1192,"&lt;/a&gt;")</f>
        <v>&lt;/li&gt;&lt;li&gt;&lt;a href=|http://basicenglishbible.com/2_timothy/4.htm| title=|Bible in Basic English| target=|_top|&gt;BBE&lt;/a&gt;</v>
      </c>
      <c r="AN1129" t="str">
        <f t="shared" si="4515"/>
        <v>&lt;/li&gt;&lt;li&gt;&lt;a href=|http://darbybible.com/2_timothy/4.htm| title=|Darby Bible Translation| target=|_top|&gt;DBY&lt;/a&gt;</v>
      </c>
      <c r="AO1129" t="str">
        <f t="shared" si="4515"/>
        <v>&lt;/li&gt;&lt;li&gt;&lt;a href=|http://isv.scripturetext.com/2_timothy/4.htm| title=|International Standard Version| target=|_top|&gt;ISV&lt;/a&gt;</v>
      </c>
      <c r="AP1129" t="str">
        <f t="shared" si="4515"/>
        <v>&lt;/li&gt;&lt;li&gt;&lt;a href=|http://tnt.scripturetext.com/2_timothy/4.htm| title=|Tyndale New Testament| target=|_top|&gt;TNT&lt;/a&gt;</v>
      </c>
      <c r="AQ1129" s="2" t="str">
        <f t="shared" si="4515"/>
        <v>&lt;/li&gt;&lt;li&gt;&lt;a href=|http://pnt.biblecommenter.com/2_timothy/4.htm| title=|People's New Testament| target=|_top|&gt;PNT&lt;/a&gt;</v>
      </c>
      <c r="AR1129" t="str">
        <f t="shared" si="4515"/>
        <v>&lt;/li&gt;&lt;li&gt;&lt;a href=|http://websterbible.com/2_timothy/4.htm| title=|Webster's Bible Translation| target=|_top|&gt;WBS&lt;/a&gt;</v>
      </c>
      <c r="AS1129" t="str">
        <f t="shared" si="4515"/>
        <v>&lt;/li&gt;&lt;li&gt;&lt;a href=|http://weymouthbible.com/2_timothy/4.htm| title=|Weymouth New Testament| target=|_top|&gt;WEY&lt;/a&gt;</v>
      </c>
      <c r="AT1129" t="str">
        <f>CONCATENATE("&lt;/li&gt;&lt;li&gt;&lt;a href=|http://",AT1191,"/2_timothy/4-1.htm","| ","title=|",AT1190,"| target=|_top|&gt;",AT1192,"&lt;/a&gt;")</f>
        <v>&lt;/li&gt;&lt;li&gt;&lt;a href=|http://biblebrowser.com/2_timothy/4-1.htm| title=|Split View| target=|_top|&gt;Split&lt;/a&gt;</v>
      </c>
      <c r="AU1129" s="2" t="s">
        <v>1276</v>
      </c>
      <c r="AV1129" t="s">
        <v>64</v>
      </c>
    </row>
    <row r="1130" spans="1:48">
      <c r="A1130" t="s">
        <v>622</v>
      </c>
      <c r="B1130" t="s">
        <v>561</v>
      </c>
      <c r="C1130" t="s">
        <v>624</v>
      </c>
      <c r="D1130" t="s">
        <v>1268</v>
      </c>
      <c r="E1130" t="s">
        <v>1277</v>
      </c>
      <c r="F1130" t="s">
        <v>1304</v>
      </c>
      <c r="G1130" t="s">
        <v>1266</v>
      </c>
      <c r="H1130" t="s">
        <v>1305</v>
      </c>
      <c r="I1130" t="s">
        <v>1303</v>
      </c>
      <c r="J1130" t="s">
        <v>1267</v>
      </c>
      <c r="K1130" t="s">
        <v>1275</v>
      </c>
      <c r="L1130" s="2" t="s">
        <v>1274</v>
      </c>
      <c r="M1130" t="str">
        <f t="shared" ref="M1130:AB1130" si="4516">CONCATENATE("&lt;/li&gt;&lt;li&gt;&lt;a href=|http://",M1191,"/titus/1.htm","| ","title=|",M1190,"| target=|_top|&gt;",M1192,"&lt;/a&gt;")</f>
        <v>&lt;/li&gt;&lt;li&gt;&lt;a href=|http://niv.scripturetext.com/titus/1.htm| title=|New International Version| target=|_top|&gt;NIV&lt;/a&gt;</v>
      </c>
      <c r="N1130" t="str">
        <f t="shared" si="4516"/>
        <v>&lt;/li&gt;&lt;li&gt;&lt;a href=|http://nlt.scripturetext.com/titus/1.htm| title=|New Living Translation| target=|_top|&gt;NLT&lt;/a&gt;</v>
      </c>
      <c r="O1130" t="str">
        <f t="shared" si="4516"/>
        <v>&lt;/li&gt;&lt;li&gt;&lt;a href=|http://nasb.scripturetext.com/titus/1.htm| title=|New American Standard Bible| target=|_top|&gt;NAS&lt;/a&gt;</v>
      </c>
      <c r="P1130" t="str">
        <f t="shared" si="4516"/>
        <v>&lt;/li&gt;&lt;li&gt;&lt;a href=|http://gwt.scripturetext.com/titus/1.htm| title=|God's Word Translation| target=|_top|&gt;GWT&lt;/a&gt;</v>
      </c>
      <c r="Q1130" t="str">
        <f t="shared" si="4516"/>
        <v>&lt;/li&gt;&lt;li&gt;&lt;a href=|http://kingjbible.com/titus/1.htm| title=|King James Bible| target=|_top|&gt;KJV&lt;/a&gt;</v>
      </c>
      <c r="R1130" t="str">
        <f t="shared" si="4516"/>
        <v>&lt;/li&gt;&lt;li&gt;&lt;a href=|http://asvbible.com/titus/1.htm| title=|American Standard Version| target=|_top|&gt;ASV&lt;/a&gt;</v>
      </c>
      <c r="S1130" t="str">
        <f t="shared" si="4516"/>
        <v>&lt;/li&gt;&lt;li&gt;&lt;a href=|http://drb.scripturetext.com/titus/1.htm| title=|Douay-Rheims Bible| target=|_top|&gt;DRB&lt;/a&gt;</v>
      </c>
      <c r="T1130" t="str">
        <f t="shared" si="4516"/>
        <v>&lt;/li&gt;&lt;li&gt;&lt;a href=|http://erv.scripturetext.com/titus/1.htm| title=|English Revised Version| target=|_top|&gt;ERV&lt;/a&gt;</v>
      </c>
      <c r="U1130" t="str">
        <f>CONCATENATE("&lt;/li&gt;&lt;li&gt;&lt;a href=|http://",U1191,"/titus/1.htm","| ","title=|",U1190,"| target=|_top|&gt;",U1192,"&lt;/a&gt;")</f>
        <v>&lt;/li&gt;&lt;li&gt;&lt;a href=|http://study.interlinearbible.org/titus/1.htm| title=|Greek Study Bible| target=|_top|&gt;Grk Study&lt;/a&gt;</v>
      </c>
      <c r="W1130" t="str">
        <f t="shared" si="4516"/>
        <v>&lt;/li&gt;&lt;li&gt;&lt;a href=|http://apostolic.interlinearbible.org/titus/1.htm| title=|Apostolic Bible Polyglot Interlinear| target=|_top|&gt;Polyglot&lt;/a&gt;</v>
      </c>
      <c r="X1130" t="str">
        <f t="shared" si="4516"/>
        <v>&lt;/li&gt;&lt;li&gt;&lt;a href=|http://interlinearbible.org/titus/1.htm| title=|Interlinear Bible| target=|_top|&gt;Interlin&lt;/a&gt;</v>
      </c>
      <c r="Y1130" t="str">
        <f t="shared" ref="Y1130" si="4517">CONCATENATE("&lt;/li&gt;&lt;li&gt;&lt;a href=|http://",Y1191,"/titus/1.htm","| ","title=|",Y1190,"| target=|_top|&gt;",Y1192,"&lt;/a&gt;")</f>
        <v>&lt;/li&gt;&lt;li&gt;&lt;a href=|http://bibleoutline.org/titus/1.htm| title=|Outline with People and Places List| target=|_top|&gt;Outline&lt;/a&gt;</v>
      </c>
      <c r="Z1130" t="str">
        <f t="shared" si="4516"/>
        <v>&lt;/li&gt;&lt;li&gt;&lt;a href=|http://kjvs.scripturetext.com/titus/1.htm| title=|King James Bible with Strong's Numbers| target=|_top|&gt;Strong's&lt;/a&gt;</v>
      </c>
      <c r="AA1130" t="str">
        <f t="shared" si="4516"/>
        <v>&lt;/li&gt;&lt;li&gt;&lt;a href=|http://childrensbibleonline.com/titus/1.htm| title=|The Children's Bible| target=|_top|&gt;Children's&lt;/a&gt;</v>
      </c>
      <c r="AB1130" s="2" t="str">
        <f t="shared" si="4516"/>
        <v>&lt;/li&gt;&lt;li&gt;&lt;a href=|http://tsk.scripturetext.com/titus/1.htm| title=|Treasury of Scripture Knowledge| target=|_top|&gt;TSK&lt;/a&gt;</v>
      </c>
      <c r="AC1130" t="str">
        <f>CONCATENATE("&lt;a href=|http://",AC1191,"/titus/1.htm","| ","title=|",AC1190,"| target=|_top|&gt;",AC1192,"&lt;/a&gt;")</f>
        <v>&lt;a href=|http://parallelbible.com/titus/1.htm| title=|Parallel Chapters| target=|_top|&gt;PAR&lt;/a&gt;</v>
      </c>
      <c r="AD1130" s="2" t="str">
        <f t="shared" ref="AD1130:AI1130" si="4518">CONCATENATE("&lt;/li&gt;&lt;li&gt;&lt;a href=|http://",AD1191,"/titus/1.htm","| ","title=|",AD1190,"| target=|_top|&gt;",AD1192,"&lt;/a&gt;")</f>
        <v>&lt;/li&gt;&lt;li&gt;&lt;a href=|http://gsb.biblecommenter.com/titus/1.htm| title=|Geneva Study Bible| target=|_top|&gt;GSB&lt;/a&gt;</v>
      </c>
      <c r="AE1130" s="2" t="str">
        <f t="shared" si="4518"/>
        <v>&lt;/li&gt;&lt;li&gt;&lt;a href=|http://jfb.biblecommenter.com/titus/1.htm| title=|Jamieson-Fausset-Brown Bible Commentary| target=|_top|&gt;JFB&lt;/a&gt;</v>
      </c>
      <c r="AF1130" s="2" t="str">
        <f t="shared" si="4518"/>
        <v>&lt;/li&gt;&lt;li&gt;&lt;a href=|http://kjt.biblecommenter.com/titus/1.htm| title=|King James Translators' Notes| target=|_top|&gt;KJT&lt;/a&gt;</v>
      </c>
      <c r="AG1130" s="2" t="str">
        <f t="shared" si="4518"/>
        <v>&lt;/li&gt;&lt;li&gt;&lt;a href=|http://mhc.biblecommenter.com/titus/1.htm| title=|Matthew Henry's Concise Commentary| target=|_top|&gt;MHC&lt;/a&gt;</v>
      </c>
      <c r="AH1130" s="2" t="str">
        <f t="shared" si="4518"/>
        <v>&lt;/li&gt;&lt;li&gt;&lt;a href=|http://sco.biblecommenter.com/titus/1.htm| title=|Scofield Reference Notes| target=|_top|&gt;SCO&lt;/a&gt;</v>
      </c>
      <c r="AI1130" s="2" t="str">
        <f t="shared" si="4518"/>
        <v>&lt;/li&gt;&lt;li&gt;&lt;a href=|http://wes.biblecommenter.com/titus/1.htm| title=|Wesley's Notes on the Bible| target=|_top|&gt;WES&lt;/a&gt;</v>
      </c>
      <c r="AJ1130" t="str">
        <f>CONCATENATE("&lt;/li&gt;&lt;li&gt;&lt;a href=|http://",AJ1191,"/titus/1.htm","| ","title=|",AJ1190,"| target=|_top|&gt;",AJ1192,"&lt;/a&gt;")</f>
        <v>&lt;/li&gt;&lt;li&gt;&lt;a href=|http://worldebible.com/titus/1.htm| title=|World English Bible| target=|_top|&gt;WEB&lt;/a&gt;</v>
      </c>
      <c r="AK1130" t="str">
        <f>CONCATENATE("&lt;/li&gt;&lt;li&gt;&lt;a href=|http://",AK1191,"/titus/1.htm","| ","title=|",AK1190,"| target=|_top|&gt;",AK1192,"&lt;/a&gt;")</f>
        <v>&lt;/li&gt;&lt;li&gt;&lt;a href=|http://yltbible.com/titus/1.htm| title=|Young's Literal Translation| target=|_top|&gt;YLT&lt;/a&gt;</v>
      </c>
      <c r="AL1130" t="str">
        <f>CONCATENATE("&lt;a href=|http://",AL1191,"/titus/1.htm","| ","title=|",AL1190,"| target=|_top|&gt;",AL1192,"&lt;/a&gt;")</f>
        <v>&lt;a href=|http://kjv.us/titus/1.htm| title=|American King James Version| target=|_top|&gt;AKJ&lt;/a&gt;</v>
      </c>
      <c r="AM1130" t="str">
        <f t="shared" ref="AM1130:AS1130" si="4519">CONCATENATE("&lt;/li&gt;&lt;li&gt;&lt;a href=|http://",AM1191,"/titus/1.htm","| ","title=|",AM1190,"| target=|_top|&gt;",AM1192,"&lt;/a&gt;")</f>
        <v>&lt;/li&gt;&lt;li&gt;&lt;a href=|http://basicenglishbible.com/titus/1.htm| title=|Bible in Basic English| target=|_top|&gt;BBE&lt;/a&gt;</v>
      </c>
      <c r="AN1130" t="str">
        <f t="shared" si="4519"/>
        <v>&lt;/li&gt;&lt;li&gt;&lt;a href=|http://darbybible.com/titus/1.htm| title=|Darby Bible Translation| target=|_top|&gt;DBY&lt;/a&gt;</v>
      </c>
      <c r="AO1130" t="str">
        <f t="shared" si="4519"/>
        <v>&lt;/li&gt;&lt;li&gt;&lt;a href=|http://isv.scripturetext.com/titus/1.htm| title=|International Standard Version| target=|_top|&gt;ISV&lt;/a&gt;</v>
      </c>
      <c r="AP1130" t="str">
        <f t="shared" si="4519"/>
        <v>&lt;/li&gt;&lt;li&gt;&lt;a href=|http://tnt.scripturetext.com/titus/1.htm| title=|Tyndale New Testament| target=|_top|&gt;TNT&lt;/a&gt;</v>
      </c>
      <c r="AQ1130" s="2" t="str">
        <f t="shared" si="4519"/>
        <v>&lt;/li&gt;&lt;li&gt;&lt;a href=|http://pnt.biblecommenter.com/titus/1.htm| title=|People's New Testament| target=|_top|&gt;PNT&lt;/a&gt;</v>
      </c>
      <c r="AR1130" t="str">
        <f t="shared" si="4519"/>
        <v>&lt;/li&gt;&lt;li&gt;&lt;a href=|http://websterbible.com/titus/1.htm| title=|Webster's Bible Translation| target=|_top|&gt;WBS&lt;/a&gt;</v>
      </c>
      <c r="AS1130" t="str">
        <f t="shared" si="4519"/>
        <v>&lt;/li&gt;&lt;li&gt;&lt;a href=|http://weymouthbible.com/titus/1.htm| title=|Weymouth New Testament| target=|_top|&gt;WEY&lt;/a&gt;</v>
      </c>
      <c r="AT1130" t="str">
        <f>CONCATENATE("&lt;/li&gt;&lt;li&gt;&lt;a href=|http://",AT1191,"/titus/1-1.htm","| ","title=|",AT1190,"| target=|_top|&gt;",AT1192,"&lt;/a&gt;")</f>
        <v>&lt;/li&gt;&lt;li&gt;&lt;a href=|http://biblebrowser.com/titus/1-1.htm| title=|Split View| target=|_top|&gt;Split&lt;/a&gt;</v>
      </c>
      <c r="AU1130" s="2" t="s">
        <v>1276</v>
      </c>
      <c r="AV1130" t="s">
        <v>64</v>
      </c>
    </row>
    <row r="1131" spans="1:48">
      <c r="A1131" t="s">
        <v>622</v>
      </c>
      <c r="B1131" t="s">
        <v>562</v>
      </c>
      <c r="C1131" t="s">
        <v>624</v>
      </c>
      <c r="D1131" t="s">
        <v>1268</v>
      </c>
      <c r="E1131" t="s">
        <v>1277</v>
      </c>
      <c r="F1131" t="s">
        <v>1304</v>
      </c>
      <c r="G1131" t="s">
        <v>1266</v>
      </c>
      <c r="H1131" t="s">
        <v>1305</v>
      </c>
      <c r="I1131" t="s">
        <v>1303</v>
      </c>
      <c r="J1131" t="s">
        <v>1267</v>
      </c>
      <c r="K1131" t="s">
        <v>1275</v>
      </c>
      <c r="L1131" s="2" t="s">
        <v>1274</v>
      </c>
      <c r="M1131" t="str">
        <f t="shared" ref="M1131:AB1131" si="4520">CONCATENATE("&lt;/li&gt;&lt;li&gt;&lt;a href=|http://",M1191,"/titus/2.htm","| ","title=|",M1190,"| target=|_top|&gt;",M1192,"&lt;/a&gt;")</f>
        <v>&lt;/li&gt;&lt;li&gt;&lt;a href=|http://niv.scripturetext.com/titus/2.htm| title=|New International Version| target=|_top|&gt;NIV&lt;/a&gt;</v>
      </c>
      <c r="N1131" t="str">
        <f t="shared" si="4520"/>
        <v>&lt;/li&gt;&lt;li&gt;&lt;a href=|http://nlt.scripturetext.com/titus/2.htm| title=|New Living Translation| target=|_top|&gt;NLT&lt;/a&gt;</v>
      </c>
      <c r="O1131" t="str">
        <f t="shared" si="4520"/>
        <v>&lt;/li&gt;&lt;li&gt;&lt;a href=|http://nasb.scripturetext.com/titus/2.htm| title=|New American Standard Bible| target=|_top|&gt;NAS&lt;/a&gt;</v>
      </c>
      <c r="P1131" t="str">
        <f t="shared" si="4520"/>
        <v>&lt;/li&gt;&lt;li&gt;&lt;a href=|http://gwt.scripturetext.com/titus/2.htm| title=|God's Word Translation| target=|_top|&gt;GWT&lt;/a&gt;</v>
      </c>
      <c r="Q1131" t="str">
        <f t="shared" si="4520"/>
        <v>&lt;/li&gt;&lt;li&gt;&lt;a href=|http://kingjbible.com/titus/2.htm| title=|King James Bible| target=|_top|&gt;KJV&lt;/a&gt;</v>
      </c>
      <c r="R1131" t="str">
        <f t="shared" si="4520"/>
        <v>&lt;/li&gt;&lt;li&gt;&lt;a href=|http://asvbible.com/titus/2.htm| title=|American Standard Version| target=|_top|&gt;ASV&lt;/a&gt;</v>
      </c>
      <c r="S1131" t="str">
        <f t="shared" si="4520"/>
        <v>&lt;/li&gt;&lt;li&gt;&lt;a href=|http://drb.scripturetext.com/titus/2.htm| title=|Douay-Rheims Bible| target=|_top|&gt;DRB&lt;/a&gt;</v>
      </c>
      <c r="T1131" t="str">
        <f t="shared" si="4520"/>
        <v>&lt;/li&gt;&lt;li&gt;&lt;a href=|http://erv.scripturetext.com/titus/2.htm| title=|English Revised Version| target=|_top|&gt;ERV&lt;/a&gt;</v>
      </c>
      <c r="U1131" t="str">
        <f>CONCATENATE("&lt;/li&gt;&lt;li&gt;&lt;a href=|http://",U1191,"/titus/2.htm","| ","title=|",U1190,"| target=|_top|&gt;",U1192,"&lt;/a&gt;")</f>
        <v>&lt;/li&gt;&lt;li&gt;&lt;a href=|http://study.interlinearbible.org/titus/2.htm| title=|Greek Study Bible| target=|_top|&gt;Grk Study&lt;/a&gt;</v>
      </c>
      <c r="W1131" t="str">
        <f t="shared" si="4520"/>
        <v>&lt;/li&gt;&lt;li&gt;&lt;a href=|http://apostolic.interlinearbible.org/titus/2.htm| title=|Apostolic Bible Polyglot Interlinear| target=|_top|&gt;Polyglot&lt;/a&gt;</v>
      </c>
      <c r="X1131" t="str">
        <f t="shared" si="4520"/>
        <v>&lt;/li&gt;&lt;li&gt;&lt;a href=|http://interlinearbible.org/titus/2.htm| title=|Interlinear Bible| target=|_top|&gt;Interlin&lt;/a&gt;</v>
      </c>
      <c r="Y1131" t="str">
        <f t="shared" ref="Y1131" si="4521">CONCATENATE("&lt;/li&gt;&lt;li&gt;&lt;a href=|http://",Y1191,"/titus/2.htm","| ","title=|",Y1190,"| target=|_top|&gt;",Y1192,"&lt;/a&gt;")</f>
        <v>&lt;/li&gt;&lt;li&gt;&lt;a href=|http://bibleoutline.org/titus/2.htm| title=|Outline with People and Places List| target=|_top|&gt;Outline&lt;/a&gt;</v>
      </c>
      <c r="Z1131" t="str">
        <f t="shared" si="4520"/>
        <v>&lt;/li&gt;&lt;li&gt;&lt;a href=|http://kjvs.scripturetext.com/titus/2.htm| title=|King James Bible with Strong's Numbers| target=|_top|&gt;Strong's&lt;/a&gt;</v>
      </c>
      <c r="AA1131" t="str">
        <f t="shared" si="4520"/>
        <v>&lt;/li&gt;&lt;li&gt;&lt;a href=|http://childrensbibleonline.com/titus/2.htm| title=|The Children's Bible| target=|_top|&gt;Children's&lt;/a&gt;</v>
      </c>
      <c r="AB1131" s="2" t="str">
        <f t="shared" si="4520"/>
        <v>&lt;/li&gt;&lt;li&gt;&lt;a href=|http://tsk.scripturetext.com/titus/2.htm| title=|Treasury of Scripture Knowledge| target=|_top|&gt;TSK&lt;/a&gt;</v>
      </c>
      <c r="AC1131" t="str">
        <f>CONCATENATE("&lt;a href=|http://",AC1191,"/titus/2.htm","| ","title=|",AC1190,"| target=|_top|&gt;",AC1192,"&lt;/a&gt;")</f>
        <v>&lt;a href=|http://parallelbible.com/titus/2.htm| title=|Parallel Chapters| target=|_top|&gt;PAR&lt;/a&gt;</v>
      </c>
      <c r="AD1131" s="2" t="str">
        <f t="shared" ref="AD1131:AI1131" si="4522">CONCATENATE("&lt;/li&gt;&lt;li&gt;&lt;a href=|http://",AD1191,"/titus/2.htm","| ","title=|",AD1190,"| target=|_top|&gt;",AD1192,"&lt;/a&gt;")</f>
        <v>&lt;/li&gt;&lt;li&gt;&lt;a href=|http://gsb.biblecommenter.com/titus/2.htm| title=|Geneva Study Bible| target=|_top|&gt;GSB&lt;/a&gt;</v>
      </c>
      <c r="AE1131" s="2" t="str">
        <f t="shared" si="4522"/>
        <v>&lt;/li&gt;&lt;li&gt;&lt;a href=|http://jfb.biblecommenter.com/titus/2.htm| title=|Jamieson-Fausset-Brown Bible Commentary| target=|_top|&gt;JFB&lt;/a&gt;</v>
      </c>
      <c r="AF1131" s="2" t="str">
        <f t="shared" si="4522"/>
        <v>&lt;/li&gt;&lt;li&gt;&lt;a href=|http://kjt.biblecommenter.com/titus/2.htm| title=|King James Translators' Notes| target=|_top|&gt;KJT&lt;/a&gt;</v>
      </c>
      <c r="AG1131" s="2" t="str">
        <f t="shared" si="4522"/>
        <v>&lt;/li&gt;&lt;li&gt;&lt;a href=|http://mhc.biblecommenter.com/titus/2.htm| title=|Matthew Henry's Concise Commentary| target=|_top|&gt;MHC&lt;/a&gt;</v>
      </c>
      <c r="AH1131" s="2" t="str">
        <f t="shared" si="4522"/>
        <v>&lt;/li&gt;&lt;li&gt;&lt;a href=|http://sco.biblecommenter.com/titus/2.htm| title=|Scofield Reference Notes| target=|_top|&gt;SCO&lt;/a&gt;</v>
      </c>
      <c r="AI1131" s="2" t="str">
        <f t="shared" si="4522"/>
        <v>&lt;/li&gt;&lt;li&gt;&lt;a href=|http://wes.biblecommenter.com/titus/2.htm| title=|Wesley's Notes on the Bible| target=|_top|&gt;WES&lt;/a&gt;</v>
      </c>
      <c r="AJ1131" t="str">
        <f>CONCATENATE("&lt;/li&gt;&lt;li&gt;&lt;a href=|http://",AJ1191,"/titus/2.htm","| ","title=|",AJ1190,"| target=|_top|&gt;",AJ1192,"&lt;/a&gt;")</f>
        <v>&lt;/li&gt;&lt;li&gt;&lt;a href=|http://worldebible.com/titus/2.htm| title=|World English Bible| target=|_top|&gt;WEB&lt;/a&gt;</v>
      </c>
      <c r="AK1131" t="str">
        <f>CONCATENATE("&lt;/li&gt;&lt;li&gt;&lt;a href=|http://",AK1191,"/titus/2.htm","| ","title=|",AK1190,"| target=|_top|&gt;",AK1192,"&lt;/a&gt;")</f>
        <v>&lt;/li&gt;&lt;li&gt;&lt;a href=|http://yltbible.com/titus/2.htm| title=|Young's Literal Translation| target=|_top|&gt;YLT&lt;/a&gt;</v>
      </c>
      <c r="AL1131" t="str">
        <f>CONCATENATE("&lt;a href=|http://",AL1191,"/titus/2.htm","| ","title=|",AL1190,"| target=|_top|&gt;",AL1192,"&lt;/a&gt;")</f>
        <v>&lt;a href=|http://kjv.us/titus/2.htm| title=|American King James Version| target=|_top|&gt;AKJ&lt;/a&gt;</v>
      </c>
      <c r="AM1131" t="str">
        <f t="shared" ref="AM1131:AS1131" si="4523">CONCATENATE("&lt;/li&gt;&lt;li&gt;&lt;a href=|http://",AM1191,"/titus/2.htm","| ","title=|",AM1190,"| target=|_top|&gt;",AM1192,"&lt;/a&gt;")</f>
        <v>&lt;/li&gt;&lt;li&gt;&lt;a href=|http://basicenglishbible.com/titus/2.htm| title=|Bible in Basic English| target=|_top|&gt;BBE&lt;/a&gt;</v>
      </c>
      <c r="AN1131" t="str">
        <f t="shared" si="4523"/>
        <v>&lt;/li&gt;&lt;li&gt;&lt;a href=|http://darbybible.com/titus/2.htm| title=|Darby Bible Translation| target=|_top|&gt;DBY&lt;/a&gt;</v>
      </c>
      <c r="AO1131" t="str">
        <f t="shared" si="4523"/>
        <v>&lt;/li&gt;&lt;li&gt;&lt;a href=|http://isv.scripturetext.com/titus/2.htm| title=|International Standard Version| target=|_top|&gt;ISV&lt;/a&gt;</v>
      </c>
      <c r="AP1131" t="str">
        <f t="shared" si="4523"/>
        <v>&lt;/li&gt;&lt;li&gt;&lt;a href=|http://tnt.scripturetext.com/titus/2.htm| title=|Tyndale New Testament| target=|_top|&gt;TNT&lt;/a&gt;</v>
      </c>
      <c r="AQ1131" s="2" t="str">
        <f t="shared" si="4523"/>
        <v>&lt;/li&gt;&lt;li&gt;&lt;a href=|http://pnt.biblecommenter.com/titus/2.htm| title=|People's New Testament| target=|_top|&gt;PNT&lt;/a&gt;</v>
      </c>
      <c r="AR1131" t="str">
        <f t="shared" si="4523"/>
        <v>&lt;/li&gt;&lt;li&gt;&lt;a href=|http://websterbible.com/titus/2.htm| title=|Webster's Bible Translation| target=|_top|&gt;WBS&lt;/a&gt;</v>
      </c>
      <c r="AS1131" t="str">
        <f t="shared" si="4523"/>
        <v>&lt;/li&gt;&lt;li&gt;&lt;a href=|http://weymouthbible.com/titus/2.htm| title=|Weymouth New Testament| target=|_top|&gt;WEY&lt;/a&gt;</v>
      </c>
      <c r="AT1131" t="str">
        <f>CONCATENATE("&lt;/li&gt;&lt;li&gt;&lt;a href=|http://",AT1191,"/titus/2-1.htm","| ","title=|",AT1190,"| target=|_top|&gt;",AT1192,"&lt;/a&gt;")</f>
        <v>&lt;/li&gt;&lt;li&gt;&lt;a href=|http://biblebrowser.com/titus/2-1.htm| title=|Split View| target=|_top|&gt;Split&lt;/a&gt;</v>
      </c>
      <c r="AU1131" s="2" t="s">
        <v>1276</v>
      </c>
      <c r="AV1131" t="s">
        <v>64</v>
      </c>
    </row>
    <row r="1132" spans="1:48">
      <c r="A1132" t="s">
        <v>622</v>
      </c>
      <c r="B1132" t="s">
        <v>563</v>
      </c>
      <c r="C1132" t="s">
        <v>624</v>
      </c>
      <c r="D1132" t="s">
        <v>1268</v>
      </c>
      <c r="E1132" t="s">
        <v>1277</v>
      </c>
      <c r="F1132" t="s">
        <v>1304</v>
      </c>
      <c r="G1132" t="s">
        <v>1266</v>
      </c>
      <c r="H1132" t="s">
        <v>1305</v>
      </c>
      <c r="I1132" t="s">
        <v>1303</v>
      </c>
      <c r="J1132" t="s">
        <v>1267</v>
      </c>
      <c r="K1132" t="s">
        <v>1275</v>
      </c>
      <c r="L1132" s="2" t="s">
        <v>1274</v>
      </c>
      <c r="M1132" t="str">
        <f t="shared" ref="M1132:AB1132" si="4524">CONCATENATE("&lt;/li&gt;&lt;li&gt;&lt;a href=|http://",M1191,"/titus/3.htm","| ","title=|",M1190,"| target=|_top|&gt;",M1192,"&lt;/a&gt;")</f>
        <v>&lt;/li&gt;&lt;li&gt;&lt;a href=|http://niv.scripturetext.com/titus/3.htm| title=|New International Version| target=|_top|&gt;NIV&lt;/a&gt;</v>
      </c>
      <c r="N1132" t="str">
        <f t="shared" si="4524"/>
        <v>&lt;/li&gt;&lt;li&gt;&lt;a href=|http://nlt.scripturetext.com/titus/3.htm| title=|New Living Translation| target=|_top|&gt;NLT&lt;/a&gt;</v>
      </c>
      <c r="O1132" t="str">
        <f t="shared" si="4524"/>
        <v>&lt;/li&gt;&lt;li&gt;&lt;a href=|http://nasb.scripturetext.com/titus/3.htm| title=|New American Standard Bible| target=|_top|&gt;NAS&lt;/a&gt;</v>
      </c>
      <c r="P1132" t="str">
        <f t="shared" si="4524"/>
        <v>&lt;/li&gt;&lt;li&gt;&lt;a href=|http://gwt.scripturetext.com/titus/3.htm| title=|God's Word Translation| target=|_top|&gt;GWT&lt;/a&gt;</v>
      </c>
      <c r="Q1132" t="str">
        <f t="shared" si="4524"/>
        <v>&lt;/li&gt;&lt;li&gt;&lt;a href=|http://kingjbible.com/titus/3.htm| title=|King James Bible| target=|_top|&gt;KJV&lt;/a&gt;</v>
      </c>
      <c r="R1132" t="str">
        <f t="shared" si="4524"/>
        <v>&lt;/li&gt;&lt;li&gt;&lt;a href=|http://asvbible.com/titus/3.htm| title=|American Standard Version| target=|_top|&gt;ASV&lt;/a&gt;</v>
      </c>
      <c r="S1132" t="str">
        <f t="shared" si="4524"/>
        <v>&lt;/li&gt;&lt;li&gt;&lt;a href=|http://drb.scripturetext.com/titus/3.htm| title=|Douay-Rheims Bible| target=|_top|&gt;DRB&lt;/a&gt;</v>
      </c>
      <c r="T1132" t="str">
        <f t="shared" si="4524"/>
        <v>&lt;/li&gt;&lt;li&gt;&lt;a href=|http://erv.scripturetext.com/titus/3.htm| title=|English Revised Version| target=|_top|&gt;ERV&lt;/a&gt;</v>
      </c>
      <c r="U1132" t="str">
        <f>CONCATENATE("&lt;/li&gt;&lt;li&gt;&lt;a href=|http://",U1191,"/titus/3.htm","| ","title=|",U1190,"| target=|_top|&gt;",U1192,"&lt;/a&gt;")</f>
        <v>&lt;/li&gt;&lt;li&gt;&lt;a href=|http://study.interlinearbible.org/titus/3.htm| title=|Greek Study Bible| target=|_top|&gt;Grk Study&lt;/a&gt;</v>
      </c>
      <c r="W1132" t="str">
        <f t="shared" si="4524"/>
        <v>&lt;/li&gt;&lt;li&gt;&lt;a href=|http://apostolic.interlinearbible.org/titus/3.htm| title=|Apostolic Bible Polyglot Interlinear| target=|_top|&gt;Polyglot&lt;/a&gt;</v>
      </c>
      <c r="X1132" t="str">
        <f t="shared" si="4524"/>
        <v>&lt;/li&gt;&lt;li&gt;&lt;a href=|http://interlinearbible.org/titus/3.htm| title=|Interlinear Bible| target=|_top|&gt;Interlin&lt;/a&gt;</v>
      </c>
      <c r="Y1132" t="str">
        <f t="shared" ref="Y1132" si="4525">CONCATENATE("&lt;/li&gt;&lt;li&gt;&lt;a href=|http://",Y1191,"/titus/3.htm","| ","title=|",Y1190,"| target=|_top|&gt;",Y1192,"&lt;/a&gt;")</f>
        <v>&lt;/li&gt;&lt;li&gt;&lt;a href=|http://bibleoutline.org/titus/3.htm| title=|Outline with People and Places List| target=|_top|&gt;Outline&lt;/a&gt;</v>
      </c>
      <c r="Z1132" t="str">
        <f t="shared" si="4524"/>
        <v>&lt;/li&gt;&lt;li&gt;&lt;a href=|http://kjvs.scripturetext.com/titus/3.htm| title=|King James Bible with Strong's Numbers| target=|_top|&gt;Strong's&lt;/a&gt;</v>
      </c>
      <c r="AA1132" t="str">
        <f t="shared" si="4524"/>
        <v>&lt;/li&gt;&lt;li&gt;&lt;a href=|http://childrensbibleonline.com/titus/3.htm| title=|The Children's Bible| target=|_top|&gt;Children's&lt;/a&gt;</v>
      </c>
      <c r="AB1132" s="2" t="str">
        <f t="shared" si="4524"/>
        <v>&lt;/li&gt;&lt;li&gt;&lt;a href=|http://tsk.scripturetext.com/titus/3.htm| title=|Treasury of Scripture Knowledge| target=|_top|&gt;TSK&lt;/a&gt;</v>
      </c>
      <c r="AC1132" t="str">
        <f>CONCATENATE("&lt;a href=|http://",AC1191,"/titus/3.htm","| ","title=|",AC1190,"| target=|_top|&gt;",AC1192,"&lt;/a&gt;")</f>
        <v>&lt;a href=|http://parallelbible.com/titus/3.htm| title=|Parallel Chapters| target=|_top|&gt;PAR&lt;/a&gt;</v>
      </c>
      <c r="AD1132" s="2" t="str">
        <f t="shared" ref="AD1132:AI1132" si="4526">CONCATENATE("&lt;/li&gt;&lt;li&gt;&lt;a href=|http://",AD1191,"/titus/3.htm","| ","title=|",AD1190,"| target=|_top|&gt;",AD1192,"&lt;/a&gt;")</f>
        <v>&lt;/li&gt;&lt;li&gt;&lt;a href=|http://gsb.biblecommenter.com/titus/3.htm| title=|Geneva Study Bible| target=|_top|&gt;GSB&lt;/a&gt;</v>
      </c>
      <c r="AE1132" s="2" t="str">
        <f t="shared" si="4526"/>
        <v>&lt;/li&gt;&lt;li&gt;&lt;a href=|http://jfb.biblecommenter.com/titus/3.htm| title=|Jamieson-Fausset-Brown Bible Commentary| target=|_top|&gt;JFB&lt;/a&gt;</v>
      </c>
      <c r="AF1132" s="2" t="str">
        <f t="shared" si="4526"/>
        <v>&lt;/li&gt;&lt;li&gt;&lt;a href=|http://kjt.biblecommenter.com/titus/3.htm| title=|King James Translators' Notes| target=|_top|&gt;KJT&lt;/a&gt;</v>
      </c>
      <c r="AG1132" s="2" t="str">
        <f t="shared" si="4526"/>
        <v>&lt;/li&gt;&lt;li&gt;&lt;a href=|http://mhc.biblecommenter.com/titus/3.htm| title=|Matthew Henry's Concise Commentary| target=|_top|&gt;MHC&lt;/a&gt;</v>
      </c>
      <c r="AH1132" s="2" t="str">
        <f t="shared" si="4526"/>
        <v>&lt;/li&gt;&lt;li&gt;&lt;a href=|http://sco.biblecommenter.com/titus/3.htm| title=|Scofield Reference Notes| target=|_top|&gt;SCO&lt;/a&gt;</v>
      </c>
      <c r="AI1132" s="2" t="str">
        <f t="shared" si="4526"/>
        <v>&lt;/li&gt;&lt;li&gt;&lt;a href=|http://wes.biblecommenter.com/titus/3.htm| title=|Wesley's Notes on the Bible| target=|_top|&gt;WES&lt;/a&gt;</v>
      </c>
      <c r="AJ1132" t="str">
        <f>CONCATENATE("&lt;/li&gt;&lt;li&gt;&lt;a href=|http://",AJ1191,"/titus/3.htm","| ","title=|",AJ1190,"| target=|_top|&gt;",AJ1192,"&lt;/a&gt;")</f>
        <v>&lt;/li&gt;&lt;li&gt;&lt;a href=|http://worldebible.com/titus/3.htm| title=|World English Bible| target=|_top|&gt;WEB&lt;/a&gt;</v>
      </c>
      <c r="AK1132" t="str">
        <f>CONCATENATE("&lt;/li&gt;&lt;li&gt;&lt;a href=|http://",AK1191,"/titus/3.htm","| ","title=|",AK1190,"| target=|_top|&gt;",AK1192,"&lt;/a&gt;")</f>
        <v>&lt;/li&gt;&lt;li&gt;&lt;a href=|http://yltbible.com/titus/3.htm| title=|Young's Literal Translation| target=|_top|&gt;YLT&lt;/a&gt;</v>
      </c>
      <c r="AL1132" t="str">
        <f>CONCATENATE("&lt;a href=|http://",AL1191,"/titus/3.htm","| ","title=|",AL1190,"| target=|_top|&gt;",AL1192,"&lt;/a&gt;")</f>
        <v>&lt;a href=|http://kjv.us/titus/3.htm| title=|American King James Version| target=|_top|&gt;AKJ&lt;/a&gt;</v>
      </c>
      <c r="AM1132" t="str">
        <f t="shared" ref="AM1132:AS1132" si="4527">CONCATENATE("&lt;/li&gt;&lt;li&gt;&lt;a href=|http://",AM1191,"/titus/3.htm","| ","title=|",AM1190,"| target=|_top|&gt;",AM1192,"&lt;/a&gt;")</f>
        <v>&lt;/li&gt;&lt;li&gt;&lt;a href=|http://basicenglishbible.com/titus/3.htm| title=|Bible in Basic English| target=|_top|&gt;BBE&lt;/a&gt;</v>
      </c>
      <c r="AN1132" t="str">
        <f t="shared" si="4527"/>
        <v>&lt;/li&gt;&lt;li&gt;&lt;a href=|http://darbybible.com/titus/3.htm| title=|Darby Bible Translation| target=|_top|&gt;DBY&lt;/a&gt;</v>
      </c>
      <c r="AO1132" t="str">
        <f t="shared" si="4527"/>
        <v>&lt;/li&gt;&lt;li&gt;&lt;a href=|http://isv.scripturetext.com/titus/3.htm| title=|International Standard Version| target=|_top|&gt;ISV&lt;/a&gt;</v>
      </c>
      <c r="AP1132" t="str">
        <f t="shared" si="4527"/>
        <v>&lt;/li&gt;&lt;li&gt;&lt;a href=|http://tnt.scripturetext.com/titus/3.htm| title=|Tyndale New Testament| target=|_top|&gt;TNT&lt;/a&gt;</v>
      </c>
      <c r="AQ1132" s="2" t="str">
        <f t="shared" si="4527"/>
        <v>&lt;/li&gt;&lt;li&gt;&lt;a href=|http://pnt.biblecommenter.com/titus/3.htm| title=|People's New Testament| target=|_top|&gt;PNT&lt;/a&gt;</v>
      </c>
      <c r="AR1132" t="str">
        <f t="shared" si="4527"/>
        <v>&lt;/li&gt;&lt;li&gt;&lt;a href=|http://websterbible.com/titus/3.htm| title=|Webster's Bible Translation| target=|_top|&gt;WBS&lt;/a&gt;</v>
      </c>
      <c r="AS1132" t="str">
        <f t="shared" si="4527"/>
        <v>&lt;/li&gt;&lt;li&gt;&lt;a href=|http://weymouthbible.com/titus/3.htm| title=|Weymouth New Testament| target=|_top|&gt;WEY&lt;/a&gt;</v>
      </c>
      <c r="AT1132" t="str">
        <f>CONCATENATE("&lt;/li&gt;&lt;li&gt;&lt;a href=|http://",AT1191,"/titus/3-1.htm","| ","title=|",AT1190,"| target=|_top|&gt;",AT1192,"&lt;/a&gt;")</f>
        <v>&lt;/li&gt;&lt;li&gt;&lt;a href=|http://biblebrowser.com/titus/3-1.htm| title=|Split View| target=|_top|&gt;Split&lt;/a&gt;</v>
      </c>
      <c r="AU1132" s="2" t="s">
        <v>1276</v>
      </c>
      <c r="AV1132" t="s">
        <v>64</v>
      </c>
    </row>
    <row r="1133" spans="1:48">
      <c r="A1133" t="s">
        <v>622</v>
      </c>
      <c r="B1133" t="s">
        <v>564</v>
      </c>
      <c r="C1133" t="s">
        <v>624</v>
      </c>
      <c r="D1133" t="s">
        <v>1268</v>
      </c>
      <c r="E1133" t="s">
        <v>1277</v>
      </c>
      <c r="F1133" t="s">
        <v>1304</v>
      </c>
      <c r="G1133" t="s">
        <v>1266</v>
      </c>
      <c r="H1133" t="s">
        <v>1305</v>
      </c>
      <c r="I1133" t="s">
        <v>1303</v>
      </c>
      <c r="J1133" t="s">
        <v>1267</v>
      </c>
      <c r="K1133" t="s">
        <v>1275</v>
      </c>
      <c r="L1133" s="2" t="s">
        <v>1274</v>
      </c>
      <c r="M1133" t="str">
        <f t="shared" ref="M1133:AB1133" si="4528">CONCATENATE("&lt;/li&gt;&lt;li&gt;&lt;a href=|http://",M1191,"/philemon/1.htm","| ","title=|",M1190,"| target=|_top|&gt;",M1192,"&lt;/a&gt;")</f>
        <v>&lt;/li&gt;&lt;li&gt;&lt;a href=|http://niv.scripturetext.com/philemon/1.htm| title=|New International Version| target=|_top|&gt;NIV&lt;/a&gt;</v>
      </c>
      <c r="N1133" t="str">
        <f t="shared" si="4528"/>
        <v>&lt;/li&gt;&lt;li&gt;&lt;a href=|http://nlt.scripturetext.com/philemon/1.htm| title=|New Living Translation| target=|_top|&gt;NLT&lt;/a&gt;</v>
      </c>
      <c r="O1133" t="str">
        <f t="shared" si="4528"/>
        <v>&lt;/li&gt;&lt;li&gt;&lt;a href=|http://nasb.scripturetext.com/philemon/1.htm| title=|New American Standard Bible| target=|_top|&gt;NAS&lt;/a&gt;</v>
      </c>
      <c r="P1133" t="str">
        <f t="shared" si="4528"/>
        <v>&lt;/li&gt;&lt;li&gt;&lt;a href=|http://gwt.scripturetext.com/philemon/1.htm| title=|God's Word Translation| target=|_top|&gt;GWT&lt;/a&gt;</v>
      </c>
      <c r="Q1133" t="str">
        <f t="shared" si="4528"/>
        <v>&lt;/li&gt;&lt;li&gt;&lt;a href=|http://kingjbible.com/philemon/1.htm| title=|King James Bible| target=|_top|&gt;KJV&lt;/a&gt;</v>
      </c>
      <c r="R1133" t="str">
        <f t="shared" si="4528"/>
        <v>&lt;/li&gt;&lt;li&gt;&lt;a href=|http://asvbible.com/philemon/1.htm| title=|American Standard Version| target=|_top|&gt;ASV&lt;/a&gt;</v>
      </c>
      <c r="S1133" t="str">
        <f t="shared" si="4528"/>
        <v>&lt;/li&gt;&lt;li&gt;&lt;a href=|http://drb.scripturetext.com/philemon/1.htm| title=|Douay-Rheims Bible| target=|_top|&gt;DRB&lt;/a&gt;</v>
      </c>
      <c r="T1133" t="str">
        <f t="shared" si="4528"/>
        <v>&lt;/li&gt;&lt;li&gt;&lt;a href=|http://erv.scripturetext.com/philemon/1.htm| title=|English Revised Version| target=|_top|&gt;ERV&lt;/a&gt;</v>
      </c>
      <c r="U1133" t="str">
        <f>CONCATENATE("&lt;/li&gt;&lt;li&gt;&lt;a href=|http://",U1191,"/philemon/1.htm","| ","title=|",U1190,"| target=|_top|&gt;",U1192,"&lt;/a&gt;")</f>
        <v>&lt;/li&gt;&lt;li&gt;&lt;a href=|http://study.interlinearbible.org/philemon/1.htm| title=|Greek Study Bible| target=|_top|&gt;Grk Study&lt;/a&gt;</v>
      </c>
      <c r="W1133" t="str">
        <f t="shared" si="4528"/>
        <v>&lt;/li&gt;&lt;li&gt;&lt;a href=|http://apostolic.interlinearbible.org/philemon/1.htm| title=|Apostolic Bible Polyglot Interlinear| target=|_top|&gt;Polyglot&lt;/a&gt;</v>
      </c>
      <c r="X1133" t="str">
        <f t="shared" si="4528"/>
        <v>&lt;/li&gt;&lt;li&gt;&lt;a href=|http://interlinearbible.org/philemon/1.htm| title=|Interlinear Bible| target=|_top|&gt;Interlin&lt;/a&gt;</v>
      </c>
      <c r="Y1133" t="str">
        <f t="shared" ref="Y1133" si="4529">CONCATENATE("&lt;/li&gt;&lt;li&gt;&lt;a href=|http://",Y1191,"/philemon/1.htm","| ","title=|",Y1190,"| target=|_top|&gt;",Y1192,"&lt;/a&gt;")</f>
        <v>&lt;/li&gt;&lt;li&gt;&lt;a href=|http://bibleoutline.org/philemon/1.htm| title=|Outline with People and Places List| target=|_top|&gt;Outline&lt;/a&gt;</v>
      </c>
      <c r="Z1133" t="str">
        <f t="shared" si="4528"/>
        <v>&lt;/li&gt;&lt;li&gt;&lt;a href=|http://kjvs.scripturetext.com/philemon/1.htm| title=|King James Bible with Strong's Numbers| target=|_top|&gt;Strong's&lt;/a&gt;</v>
      </c>
      <c r="AA1133" t="str">
        <f t="shared" si="4528"/>
        <v>&lt;/li&gt;&lt;li&gt;&lt;a href=|http://childrensbibleonline.com/philemon/1.htm| title=|The Children's Bible| target=|_top|&gt;Children's&lt;/a&gt;</v>
      </c>
      <c r="AB1133" s="2" t="str">
        <f t="shared" si="4528"/>
        <v>&lt;/li&gt;&lt;li&gt;&lt;a href=|http://tsk.scripturetext.com/philemon/1.htm| title=|Treasury of Scripture Knowledge| target=|_top|&gt;TSK&lt;/a&gt;</v>
      </c>
      <c r="AC1133" t="str">
        <f>CONCATENATE("&lt;a href=|http://",AC1191,"/philemon/1.htm","| ","title=|",AC1190,"| target=|_top|&gt;",AC1192,"&lt;/a&gt;")</f>
        <v>&lt;a href=|http://parallelbible.com/philemon/1.htm| title=|Parallel Chapters| target=|_top|&gt;PAR&lt;/a&gt;</v>
      </c>
      <c r="AD1133" s="2" t="str">
        <f t="shared" ref="AD1133:AI1133" si="4530">CONCATENATE("&lt;/li&gt;&lt;li&gt;&lt;a href=|http://",AD1191,"/philemon/1.htm","| ","title=|",AD1190,"| target=|_top|&gt;",AD1192,"&lt;/a&gt;")</f>
        <v>&lt;/li&gt;&lt;li&gt;&lt;a href=|http://gsb.biblecommenter.com/philemon/1.htm| title=|Geneva Study Bible| target=|_top|&gt;GSB&lt;/a&gt;</v>
      </c>
      <c r="AE1133" s="2" t="str">
        <f t="shared" si="4530"/>
        <v>&lt;/li&gt;&lt;li&gt;&lt;a href=|http://jfb.biblecommenter.com/philemon/1.htm| title=|Jamieson-Fausset-Brown Bible Commentary| target=|_top|&gt;JFB&lt;/a&gt;</v>
      </c>
      <c r="AF1133" s="2" t="str">
        <f t="shared" si="4530"/>
        <v>&lt;/li&gt;&lt;li&gt;&lt;a href=|http://kjt.biblecommenter.com/philemon/1.htm| title=|King James Translators' Notes| target=|_top|&gt;KJT&lt;/a&gt;</v>
      </c>
      <c r="AG1133" s="2" t="str">
        <f t="shared" si="4530"/>
        <v>&lt;/li&gt;&lt;li&gt;&lt;a href=|http://mhc.biblecommenter.com/philemon/1.htm| title=|Matthew Henry's Concise Commentary| target=|_top|&gt;MHC&lt;/a&gt;</v>
      </c>
      <c r="AH1133" s="2" t="str">
        <f t="shared" si="4530"/>
        <v>&lt;/li&gt;&lt;li&gt;&lt;a href=|http://sco.biblecommenter.com/philemon/1.htm| title=|Scofield Reference Notes| target=|_top|&gt;SCO&lt;/a&gt;</v>
      </c>
      <c r="AI1133" s="2" t="str">
        <f t="shared" si="4530"/>
        <v>&lt;/li&gt;&lt;li&gt;&lt;a href=|http://wes.biblecommenter.com/philemon/1.htm| title=|Wesley's Notes on the Bible| target=|_top|&gt;WES&lt;/a&gt;</v>
      </c>
      <c r="AJ1133" t="str">
        <f>CONCATENATE("&lt;/li&gt;&lt;li&gt;&lt;a href=|http://",AJ1191,"/philemon/1.htm","| ","title=|",AJ1190,"| target=|_top|&gt;",AJ1192,"&lt;/a&gt;")</f>
        <v>&lt;/li&gt;&lt;li&gt;&lt;a href=|http://worldebible.com/philemon/1.htm| title=|World English Bible| target=|_top|&gt;WEB&lt;/a&gt;</v>
      </c>
      <c r="AK1133" t="str">
        <f>CONCATENATE("&lt;/li&gt;&lt;li&gt;&lt;a href=|http://",AK1191,"/philemon/1.htm","| ","title=|",AK1190,"| target=|_top|&gt;",AK1192,"&lt;/a&gt;")</f>
        <v>&lt;/li&gt;&lt;li&gt;&lt;a href=|http://yltbible.com/philemon/1.htm| title=|Young's Literal Translation| target=|_top|&gt;YLT&lt;/a&gt;</v>
      </c>
      <c r="AL1133" t="str">
        <f>CONCATENATE("&lt;a href=|http://",AL1191,"/philemon/1.htm","| ","title=|",AL1190,"| target=|_top|&gt;",AL1192,"&lt;/a&gt;")</f>
        <v>&lt;a href=|http://kjv.us/philemon/1.htm| title=|American King James Version| target=|_top|&gt;AKJ&lt;/a&gt;</v>
      </c>
      <c r="AM1133" t="str">
        <f t="shared" ref="AM1133:AS1133" si="4531">CONCATENATE("&lt;/li&gt;&lt;li&gt;&lt;a href=|http://",AM1191,"/philemon/1.htm","| ","title=|",AM1190,"| target=|_top|&gt;",AM1192,"&lt;/a&gt;")</f>
        <v>&lt;/li&gt;&lt;li&gt;&lt;a href=|http://basicenglishbible.com/philemon/1.htm| title=|Bible in Basic English| target=|_top|&gt;BBE&lt;/a&gt;</v>
      </c>
      <c r="AN1133" t="str">
        <f t="shared" si="4531"/>
        <v>&lt;/li&gt;&lt;li&gt;&lt;a href=|http://darbybible.com/philemon/1.htm| title=|Darby Bible Translation| target=|_top|&gt;DBY&lt;/a&gt;</v>
      </c>
      <c r="AO1133" t="str">
        <f t="shared" si="4531"/>
        <v>&lt;/li&gt;&lt;li&gt;&lt;a href=|http://isv.scripturetext.com/philemon/1.htm| title=|International Standard Version| target=|_top|&gt;ISV&lt;/a&gt;</v>
      </c>
      <c r="AP1133" t="str">
        <f t="shared" si="4531"/>
        <v>&lt;/li&gt;&lt;li&gt;&lt;a href=|http://tnt.scripturetext.com/philemon/1.htm| title=|Tyndale New Testament| target=|_top|&gt;TNT&lt;/a&gt;</v>
      </c>
      <c r="AQ1133" s="2" t="str">
        <f t="shared" si="4531"/>
        <v>&lt;/li&gt;&lt;li&gt;&lt;a href=|http://pnt.biblecommenter.com/philemon/1.htm| title=|People's New Testament| target=|_top|&gt;PNT&lt;/a&gt;</v>
      </c>
      <c r="AR1133" t="str">
        <f t="shared" si="4531"/>
        <v>&lt;/li&gt;&lt;li&gt;&lt;a href=|http://websterbible.com/philemon/1.htm| title=|Webster's Bible Translation| target=|_top|&gt;WBS&lt;/a&gt;</v>
      </c>
      <c r="AS1133" t="str">
        <f t="shared" si="4531"/>
        <v>&lt;/li&gt;&lt;li&gt;&lt;a href=|http://weymouthbible.com/philemon/1.htm| title=|Weymouth New Testament| target=|_top|&gt;WEY&lt;/a&gt;</v>
      </c>
      <c r="AT1133" t="str">
        <f>CONCATENATE("&lt;/li&gt;&lt;li&gt;&lt;a href=|http://",AT1191,"/philemon/1-1.htm","| ","title=|",AT1190,"| target=|_top|&gt;",AT1192,"&lt;/a&gt;")</f>
        <v>&lt;/li&gt;&lt;li&gt;&lt;a href=|http://biblebrowser.com/philemon/1-1.htm| title=|Split View| target=|_top|&gt;Split&lt;/a&gt;</v>
      </c>
      <c r="AU1133" s="2" t="s">
        <v>1276</v>
      </c>
      <c r="AV1133" t="s">
        <v>64</v>
      </c>
    </row>
    <row r="1134" spans="1:48">
      <c r="A1134" t="s">
        <v>622</v>
      </c>
      <c r="B1134" t="s">
        <v>565</v>
      </c>
      <c r="C1134" t="s">
        <v>624</v>
      </c>
      <c r="D1134" t="s">
        <v>1268</v>
      </c>
      <c r="E1134" t="s">
        <v>1277</v>
      </c>
      <c r="F1134" t="s">
        <v>1304</v>
      </c>
      <c r="G1134" t="s">
        <v>1266</v>
      </c>
      <c r="H1134" t="s">
        <v>1305</v>
      </c>
      <c r="I1134" t="s">
        <v>1303</v>
      </c>
      <c r="J1134" t="s">
        <v>1267</v>
      </c>
      <c r="K1134" t="s">
        <v>1275</v>
      </c>
      <c r="L1134" s="2" t="s">
        <v>1274</v>
      </c>
      <c r="M1134" t="str">
        <f t="shared" ref="M1134:AB1134" si="4532">CONCATENATE("&lt;/li&gt;&lt;li&gt;&lt;a href=|http://",M1191,"/hebrews/1.htm","| ","title=|",M1190,"| target=|_top|&gt;",M1192,"&lt;/a&gt;")</f>
        <v>&lt;/li&gt;&lt;li&gt;&lt;a href=|http://niv.scripturetext.com/hebrews/1.htm| title=|New International Version| target=|_top|&gt;NIV&lt;/a&gt;</v>
      </c>
      <c r="N1134" t="str">
        <f t="shared" si="4532"/>
        <v>&lt;/li&gt;&lt;li&gt;&lt;a href=|http://nlt.scripturetext.com/hebrews/1.htm| title=|New Living Translation| target=|_top|&gt;NLT&lt;/a&gt;</v>
      </c>
      <c r="O1134" t="str">
        <f t="shared" si="4532"/>
        <v>&lt;/li&gt;&lt;li&gt;&lt;a href=|http://nasb.scripturetext.com/hebrews/1.htm| title=|New American Standard Bible| target=|_top|&gt;NAS&lt;/a&gt;</v>
      </c>
      <c r="P1134" t="str">
        <f t="shared" si="4532"/>
        <v>&lt;/li&gt;&lt;li&gt;&lt;a href=|http://gwt.scripturetext.com/hebrews/1.htm| title=|God's Word Translation| target=|_top|&gt;GWT&lt;/a&gt;</v>
      </c>
      <c r="Q1134" t="str">
        <f t="shared" si="4532"/>
        <v>&lt;/li&gt;&lt;li&gt;&lt;a href=|http://kingjbible.com/hebrews/1.htm| title=|King James Bible| target=|_top|&gt;KJV&lt;/a&gt;</v>
      </c>
      <c r="R1134" t="str">
        <f t="shared" si="4532"/>
        <v>&lt;/li&gt;&lt;li&gt;&lt;a href=|http://asvbible.com/hebrews/1.htm| title=|American Standard Version| target=|_top|&gt;ASV&lt;/a&gt;</v>
      </c>
      <c r="S1134" t="str">
        <f t="shared" si="4532"/>
        <v>&lt;/li&gt;&lt;li&gt;&lt;a href=|http://drb.scripturetext.com/hebrews/1.htm| title=|Douay-Rheims Bible| target=|_top|&gt;DRB&lt;/a&gt;</v>
      </c>
      <c r="T1134" t="str">
        <f t="shared" si="4532"/>
        <v>&lt;/li&gt;&lt;li&gt;&lt;a href=|http://erv.scripturetext.com/hebrews/1.htm| title=|English Revised Version| target=|_top|&gt;ERV&lt;/a&gt;</v>
      </c>
      <c r="U1134" t="str">
        <f>CONCATENATE("&lt;/li&gt;&lt;li&gt;&lt;a href=|http://",U1191,"/hebrews/1.htm","| ","title=|",U1190,"| target=|_top|&gt;",U1192,"&lt;/a&gt;")</f>
        <v>&lt;/li&gt;&lt;li&gt;&lt;a href=|http://study.interlinearbible.org/hebrews/1.htm| title=|Greek Study Bible| target=|_top|&gt;Grk Study&lt;/a&gt;</v>
      </c>
      <c r="W1134" t="str">
        <f t="shared" si="4532"/>
        <v>&lt;/li&gt;&lt;li&gt;&lt;a href=|http://apostolic.interlinearbible.org/hebrews/1.htm| title=|Apostolic Bible Polyglot Interlinear| target=|_top|&gt;Polyglot&lt;/a&gt;</v>
      </c>
      <c r="X1134" t="str">
        <f t="shared" si="4532"/>
        <v>&lt;/li&gt;&lt;li&gt;&lt;a href=|http://interlinearbible.org/hebrews/1.htm| title=|Interlinear Bible| target=|_top|&gt;Interlin&lt;/a&gt;</v>
      </c>
      <c r="Y1134" t="str">
        <f t="shared" ref="Y1134" si="4533">CONCATENATE("&lt;/li&gt;&lt;li&gt;&lt;a href=|http://",Y1191,"/hebrews/1.htm","| ","title=|",Y1190,"| target=|_top|&gt;",Y1192,"&lt;/a&gt;")</f>
        <v>&lt;/li&gt;&lt;li&gt;&lt;a href=|http://bibleoutline.org/hebrews/1.htm| title=|Outline with People and Places List| target=|_top|&gt;Outline&lt;/a&gt;</v>
      </c>
      <c r="Z1134" t="str">
        <f t="shared" si="4532"/>
        <v>&lt;/li&gt;&lt;li&gt;&lt;a href=|http://kjvs.scripturetext.com/hebrews/1.htm| title=|King James Bible with Strong's Numbers| target=|_top|&gt;Strong's&lt;/a&gt;</v>
      </c>
      <c r="AA1134" t="str">
        <f t="shared" si="4532"/>
        <v>&lt;/li&gt;&lt;li&gt;&lt;a href=|http://childrensbibleonline.com/hebrews/1.htm| title=|The Children's Bible| target=|_top|&gt;Children's&lt;/a&gt;</v>
      </c>
      <c r="AB1134" s="2" t="str">
        <f t="shared" si="4532"/>
        <v>&lt;/li&gt;&lt;li&gt;&lt;a href=|http://tsk.scripturetext.com/hebrews/1.htm| title=|Treasury of Scripture Knowledge| target=|_top|&gt;TSK&lt;/a&gt;</v>
      </c>
      <c r="AC1134" t="str">
        <f>CONCATENATE("&lt;a href=|http://",AC1191,"/hebrews/1.htm","| ","title=|",AC1190,"| target=|_top|&gt;",AC1192,"&lt;/a&gt;")</f>
        <v>&lt;a href=|http://parallelbible.com/hebrews/1.htm| title=|Parallel Chapters| target=|_top|&gt;PAR&lt;/a&gt;</v>
      </c>
      <c r="AD1134" s="2" t="str">
        <f t="shared" ref="AD1134:AI1134" si="4534">CONCATENATE("&lt;/li&gt;&lt;li&gt;&lt;a href=|http://",AD1191,"/hebrews/1.htm","| ","title=|",AD1190,"| target=|_top|&gt;",AD1192,"&lt;/a&gt;")</f>
        <v>&lt;/li&gt;&lt;li&gt;&lt;a href=|http://gsb.biblecommenter.com/hebrews/1.htm| title=|Geneva Study Bible| target=|_top|&gt;GSB&lt;/a&gt;</v>
      </c>
      <c r="AE1134" s="2" t="str">
        <f t="shared" si="4534"/>
        <v>&lt;/li&gt;&lt;li&gt;&lt;a href=|http://jfb.biblecommenter.com/hebrews/1.htm| title=|Jamieson-Fausset-Brown Bible Commentary| target=|_top|&gt;JFB&lt;/a&gt;</v>
      </c>
      <c r="AF1134" s="2" t="str">
        <f t="shared" si="4534"/>
        <v>&lt;/li&gt;&lt;li&gt;&lt;a href=|http://kjt.biblecommenter.com/hebrews/1.htm| title=|King James Translators' Notes| target=|_top|&gt;KJT&lt;/a&gt;</v>
      </c>
      <c r="AG1134" s="2" t="str">
        <f t="shared" si="4534"/>
        <v>&lt;/li&gt;&lt;li&gt;&lt;a href=|http://mhc.biblecommenter.com/hebrews/1.htm| title=|Matthew Henry's Concise Commentary| target=|_top|&gt;MHC&lt;/a&gt;</v>
      </c>
      <c r="AH1134" s="2" t="str">
        <f t="shared" si="4534"/>
        <v>&lt;/li&gt;&lt;li&gt;&lt;a href=|http://sco.biblecommenter.com/hebrews/1.htm| title=|Scofield Reference Notes| target=|_top|&gt;SCO&lt;/a&gt;</v>
      </c>
      <c r="AI1134" s="2" t="str">
        <f t="shared" si="4534"/>
        <v>&lt;/li&gt;&lt;li&gt;&lt;a href=|http://wes.biblecommenter.com/hebrews/1.htm| title=|Wesley's Notes on the Bible| target=|_top|&gt;WES&lt;/a&gt;</v>
      </c>
      <c r="AJ1134" t="str">
        <f>CONCATENATE("&lt;/li&gt;&lt;li&gt;&lt;a href=|http://",AJ1191,"/hebrews/1.htm","| ","title=|",AJ1190,"| target=|_top|&gt;",AJ1192,"&lt;/a&gt;")</f>
        <v>&lt;/li&gt;&lt;li&gt;&lt;a href=|http://worldebible.com/hebrews/1.htm| title=|World English Bible| target=|_top|&gt;WEB&lt;/a&gt;</v>
      </c>
      <c r="AK1134" t="str">
        <f>CONCATENATE("&lt;/li&gt;&lt;li&gt;&lt;a href=|http://",AK1191,"/hebrews/1.htm","| ","title=|",AK1190,"| target=|_top|&gt;",AK1192,"&lt;/a&gt;")</f>
        <v>&lt;/li&gt;&lt;li&gt;&lt;a href=|http://yltbible.com/hebrews/1.htm| title=|Young's Literal Translation| target=|_top|&gt;YLT&lt;/a&gt;</v>
      </c>
      <c r="AL1134" t="str">
        <f>CONCATENATE("&lt;a href=|http://",AL1191,"/hebrews/1.htm","| ","title=|",AL1190,"| target=|_top|&gt;",AL1192,"&lt;/a&gt;")</f>
        <v>&lt;a href=|http://kjv.us/hebrews/1.htm| title=|American King James Version| target=|_top|&gt;AKJ&lt;/a&gt;</v>
      </c>
      <c r="AM1134" t="str">
        <f t="shared" ref="AM1134:AS1134" si="4535">CONCATENATE("&lt;/li&gt;&lt;li&gt;&lt;a href=|http://",AM1191,"/hebrews/1.htm","| ","title=|",AM1190,"| target=|_top|&gt;",AM1192,"&lt;/a&gt;")</f>
        <v>&lt;/li&gt;&lt;li&gt;&lt;a href=|http://basicenglishbible.com/hebrews/1.htm| title=|Bible in Basic English| target=|_top|&gt;BBE&lt;/a&gt;</v>
      </c>
      <c r="AN1134" t="str">
        <f t="shared" si="4535"/>
        <v>&lt;/li&gt;&lt;li&gt;&lt;a href=|http://darbybible.com/hebrews/1.htm| title=|Darby Bible Translation| target=|_top|&gt;DBY&lt;/a&gt;</v>
      </c>
      <c r="AO1134" t="str">
        <f t="shared" si="4535"/>
        <v>&lt;/li&gt;&lt;li&gt;&lt;a href=|http://isv.scripturetext.com/hebrews/1.htm| title=|International Standard Version| target=|_top|&gt;ISV&lt;/a&gt;</v>
      </c>
      <c r="AP1134" t="str">
        <f t="shared" si="4535"/>
        <v>&lt;/li&gt;&lt;li&gt;&lt;a href=|http://tnt.scripturetext.com/hebrews/1.htm| title=|Tyndale New Testament| target=|_top|&gt;TNT&lt;/a&gt;</v>
      </c>
      <c r="AQ1134" s="2" t="str">
        <f t="shared" si="4535"/>
        <v>&lt;/li&gt;&lt;li&gt;&lt;a href=|http://pnt.biblecommenter.com/hebrews/1.htm| title=|People's New Testament| target=|_top|&gt;PNT&lt;/a&gt;</v>
      </c>
      <c r="AR1134" t="str">
        <f t="shared" si="4535"/>
        <v>&lt;/li&gt;&lt;li&gt;&lt;a href=|http://websterbible.com/hebrews/1.htm| title=|Webster's Bible Translation| target=|_top|&gt;WBS&lt;/a&gt;</v>
      </c>
      <c r="AS1134" t="str">
        <f t="shared" si="4535"/>
        <v>&lt;/li&gt;&lt;li&gt;&lt;a href=|http://weymouthbible.com/hebrews/1.htm| title=|Weymouth New Testament| target=|_top|&gt;WEY&lt;/a&gt;</v>
      </c>
      <c r="AT1134" t="str">
        <f>CONCATENATE("&lt;/li&gt;&lt;li&gt;&lt;a href=|http://",AT1191,"/hebrews/1-1.htm","| ","title=|",AT1190,"| target=|_top|&gt;",AT1192,"&lt;/a&gt;")</f>
        <v>&lt;/li&gt;&lt;li&gt;&lt;a href=|http://biblebrowser.com/hebrews/1-1.htm| title=|Split View| target=|_top|&gt;Split&lt;/a&gt;</v>
      </c>
      <c r="AU1134" s="2" t="s">
        <v>1276</v>
      </c>
      <c r="AV1134" t="s">
        <v>64</v>
      </c>
    </row>
    <row r="1135" spans="1:48">
      <c r="A1135" t="s">
        <v>622</v>
      </c>
      <c r="B1135" t="s">
        <v>566</v>
      </c>
      <c r="C1135" t="s">
        <v>624</v>
      </c>
      <c r="D1135" t="s">
        <v>1268</v>
      </c>
      <c r="E1135" t="s">
        <v>1277</v>
      </c>
      <c r="F1135" t="s">
        <v>1304</v>
      </c>
      <c r="G1135" t="s">
        <v>1266</v>
      </c>
      <c r="H1135" t="s">
        <v>1305</v>
      </c>
      <c r="I1135" t="s">
        <v>1303</v>
      </c>
      <c r="J1135" t="s">
        <v>1267</v>
      </c>
      <c r="K1135" t="s">
        <v>1275</v>
      </c>
      <c r="L1135" s="2" t="s">
        <v>1274</v>
      </c>
      <c r="M1135" t="str">
        <f t="shared" ref="M1135:AB1135" si="4536">CONCATENATE("&lt;/li&gt;&lt;li&gt;&lt;a href=|http://",M1191,"/hebrews/2.htm","| ","title=|",M1190,"| target=|_top|&gt;",M1192,"&lt;/a&gt;")</f>
        <v>&lt;/li&gt;&lt;li&gt;&lt;a href=|http://niv.scripturetext.com/hebrews/2.htm| title=|New International Version| target=|_top|&gt;NIV&lt;/a&gt;</v>
      </c>
      <c r="N1135" t="str">
        <f t="shared" si="4536"/>
        <v>&lt;/li&gt;&lt;li&gt;&lt;a href=|http://nlt.scripturetext.com/hebrews/2.htm| title=|New Living Translation| target=|_top|&gt;NLT&lt;/a&gt;</v>
      </c>
      <c r="O1135" t="str">
        <f t="shared" si="4536"/>
        <v>&lt;/li&gt;&lt;li&gt;&lt;a href=|http://nasb.scripturetext.com/hebrews/2.htm| title=|New American Standard Bible| target=|_top|&gt;NAS&lt;/a&gt;</v>
      </c>
      <c r="P1135" t="str">
        <f t="shared" si="4536"/>
        <v>&lt;/li&gt;&lt;li&gt;&lt;a href=|http://gwt.scripturetext.com/hebrews/2.htm| title=|God's Word Translation| target=|_top|&gt;GWT&lt;/a&gt;</v>
      </c>
      <c r="Q1135" t="str">
        <f t="shared" si="4536"/>
        <v>&lt;/li&gt;&lt;li&gt;&lt;a href=|http://kingjbible.com/hebrews/2.htm| title=|King James Bible| target=|_top|&gt;KJV&lt;/a&gt;</v>
      </c>
      <c r="R1135" t="str">
        <f t="shared" si="4536"/>
        <v>&lt;/li&gt;&lt;li&gt;&lt;a href=|http://asvbible.com/hebrews/2.htm| title=|American Standard Version| target=|_top|&gt;ASV&lt;/a&gt;</v>
      </c>
      <c r="S1135" t="str">
        <f t="shared" si="4536"/>
        <v>&lt;/li&gt;&lt;li&gt;&lt;a href=|http://drb.scripturetext.com/hebrews/2.htm| title=|Douay-Rheims Bible| target=|_top|&gt;DRB&lt;/a&gt;</v>
      </c>
      <c r="T1135" t="str">
        <f t="shared" si="4536"/>
        <v>&lt;/li&gt;&lt;li&gt;&lt;a href=|http://erv.scripturetext.com/hebrews/2.htm| title=|English Revised Version| target=|_top|&gt;ERV&lt;/a&gt;</v>
      </c>
      <c r="U1135" t="str">
        <f>CONCATENATE("&lt;/li&gt;&lt;li&gt;&lt;a href=|http://",U1191,"/hebrews/2.htm","| ","title=|",U1190,"| target=|_top|&gt;",U1192,"&lt;/a&gt;")</f>
        <v>&lt;/li&gt;&lt;li&gt;&lt;a href=|http://study.interlinearbible.org/hebrews/2.htm| title=|Greek Study Bible| target=|_top|&gt;Grk Study&lt;/a&gt;</v>
      </c>
      <c r="W1135" t="str">
        <f t="shared" si="4536"/>
        <v>&lt;/li&gt;&lt;li&gt;&lt;a href=|http://apostolic.interlinearbible.org/hebrews/2.htm| title=|Apostolic Bible Polyglot Interlinear| target=|_top|&gt;Polyglot&lt;/a&gt;</v>
      </c>
      <c r="X1135" t="str">
        <f t="shared" si="4536"/>
        <v>&lt;/li&gt;&lt;li&gt;&lt;a href=|http://interlinearbible.org/hebrews/2.htm| title=|Interlinear Bible| target=|_top|&gt;Interlin&lt;/a&gt;</v>
      </c>
      <c r="Y1135" t="str">
        <f t="shared" ref="Y1135" si="4537">CONCATENATE("&lt;/li&gt;&lt;li&gt;&lt;a href=|http://",Y1191,"/hebrews/2.htm","| ","title=|",Y1190,"| target=|_top|&gt;",Y1192,"&lt;/a&gt;")</f>
        <v>&lt;/li&gt;&lt;li&gt;&lt;a href=|http://bibleoutline.org/hebrews/2.htm| title=|Outline with People and Places List| target=|_top|&gt;Outline&lt;/a&gt;</v>
      </c>
      <c r="Z1135" t="str">
        <f t="shared" si="4536"/>
        <v>&lt;/li&gt;&lt;li&gt;&lt;a href=|http://kjvs.scripturetext.com/hebrews/2.htm| title=|King James Bible with Strong's Numbers| target=|_top|&gt;Strong's&lt;/a&gt;</v>
      </c>
      <c r="AA1135" t="str">
        <f t="shared" si="4536"/>
        <v>&lt;/li&gt;&lt;li&gt;&lt;a href=|http://childrensbibleonline.com/hebrews/2.htm| title=|The Children's Bible| target=|_top|&gt;Children's&lt;/a&gt;</v>
      </c>
      <c r="AB1135" s="2" t="str">
        <f t="shared" si="4536"/>
        <v>&lt;/li&gt;&lt;li&gt;&lt;a href=|http://tsk.scripturetext.com/hebrews/2.htm| title=|Treasury of Scripture Knowledge| target=|_top|&gt;TSK&lt;/a&gt;</v>
      </c>
      <c r="AC1135" t="str">
        <f>CONCATENATE("&lt;a href=|http://",AC1191,"/hebrews/2.htm","| ","title=|",AC1190,"| target=|_top|&gt;",AC1192,"&lt;/a&gt;")</f>
        <v>&lt;a href=|http://parallelbible.com/hebrews/2.htm| title=|Parallel Chapters| target=|_top|&gt;PAR&lt;/a&gt;</v>
      </c>
      <c r="AD1135" s="2" t="str">
        <f t="shared" ref="AD1135:AI1135" si="4538">CONCATENATE("&lt;/li&gt;&lt;li&gt;&lt;a href=|http://",AD1191,"/hebrews/2.htm","| ","title=|",AD1190,"| target=|_top|&gt;",AD1192,"&lt;/a&gt;")</f>
        <v>&lt;/li&gt;&lt;li&gt;&lt;a href=|http://gsb.biblecommenter.com/hebrews/2.htm| title=|Geneva Study Bible| target=|_top|&gt;GSB&lt;/a&gt;</v>
      </c>
      <c r="AE1135" s="2" t="str">
        <f t="shared" si="4538"/>
        <v>&lt;/li&gt;&lt;li&gt;&lt;a href=|http://jfb.biblecommenter.com/hebrews/2.htm| title=|Jamieson-Fausset-Brown Bible Commentary| target=|_top|&gt;JFB&lt;/a&gt;</v>
      </c>
      <c r="AF1135" s="2" t="str">
        <f t="shared" si="4538"/>
        <v>&lt;/li&gt;&lt;li&gt;&lt;a href=|http://kjt.biblecommenter.com/hebrews/2.htm| title=|King James Translators' Notes| target=|_top|&gt;KJT&lt;/a&gt;</v>
      </c>
      <c r="AG1135" s="2" t="str">
        <f t="shared" si="4538"/>
        <v>&lt;/li&gt;&lt;li&gt;&lt;a href=|http://mhc.biblecommenter.com/hebrews/2.htm| title=|Matthew Henry's Concise Commentary| target=|_top|&gt;MHC&lt;/a&gt;</v>
      </c>
      <c r="AH1135" s="2" t="str">
        <f t="shared" si="4538"/>
        <v>&lt;/li&gt;&lt;li&gt;&lt;a href=|http://sco.biblecommenter.com/hebrews/2.htm| title=|Scofield Reference Notes| target=|_top|&gt;SCO&lt;/a&gt;</v>
      </c>
      <c r="AI1135" s="2" t="str">
        <f t="shared" si="4538"/>
        <v>&lt;/li&gt;&lt;li&gt;&lt;a href=|http://wes.biblecommenter.com/hebrews/2.htm| title=|Wesley's Notes on the Bible| target=|_top|&gt;WES&lt;/a&gt;</v>
      </c>
      <c r="AJ1135" t="str">
        <f>CONCATENATE("&lt;/li&gt;&lt;li&gt;&lt;a href=|http://",AJ1191,"/hebrews/2.htm","| ","title=|",AJ1190,"| target=|_top|&gt;",AJ1192,"&lt;/a&gt;")</f>
        <v>&lt;/li&gt;&lt;li&gt;&lt;a href=|http://worldebible.com/hebrews/2.htm| title=|World English Bible| target=|_top|&gt;WEB&lt;/a&gt;</v>
      </c>
      <c r="AK1135" t="str">
        <f>CONCATENATE("&lt;/li&gt;&lt;li&gt;&lt;a href=|http://",AK1191,"/hebrews/2.htm","| ","title=|",AK1190,"| target=|_top|&gt;",AK1192,"&lt;/a&gt;")</f>
        <v>&lt;/li&gt;&lt;li&gt;&lt;a href=|http://yltbible.com/hebrews/2.htm| title=|Young's Literal Translation| target=|_top|&gt;YLT&lt;/a&gt;</v>
      </c>
      <c r="AL1135" t="str">
        <f>CONCATENATE("&lt;a href=|http://",AL1191,"/hebrews/2.htm","| ","title=|",AL1190,"| target=|_top|&gt;",AL1192,"&lt;/a&gt;")</f>
        <v>&lt;a href=|http://kjv.us/hebrews/2.htm| title=|American King James Version| target=|_top|&gt;AKJ&lt;/a&gt;</v>
      </c>
      <c r="AM1135" t="str">
        <f t="shared" ref="AM1135:AS1135" si="4539">CONCATENATE("&lt;/li&gt;&lt;li&gt;&lt;a href=|http://",AM1191,"/hebrews/2.htm","| ","title=|",AM1190,"| target=|_top|&gt;",AM1192,"&lt;/a&gt;")</f>
        <v>&lt;/li&gt;&lt;li&gt;&lt;a href=|http://basicenglishbible.com/hebrews/2.htm| title=|Bible in Basic English| target=|_top|&gt;BBE&lt;/a&gt;</v>
      </c>
      <c r="AN1135" t="str">
        <f t="shared" si="4539"/>
        <v>&lt;/li&gt;&lt;li&gt;&lt;a href=|http://darbybible.com/hebrews/2.htm| title=|Darby Bible Translation| target=|_top|&gt;DBY&lt;/a&gt;</v>
      </c>
      <c r="AO1135" t="str">
        <f t="shared" si="4539"/>
        <v>&lt;/li&gt;&lt;li&gt;&lt;a href=|http://isv.scripturetext.com/hebrews/2.htm| title=|International Standard Version| target=|_top|&gt;ISV&lt;/a&gt;</v>
      </c>
      <c r="AP1135" t="str">
        <f t="shared" si="4539"/>
        <v>&lt;/li&gt;&lt;li&gt;&lt;a href=|http://tnt.scripturetext.com/hebrews/2.htm| title=|Tyndale New Testament| target=|_top|&gt;TNT&lt;/a&gt;</v>
      </c>
      <c r="AQ1135" s="2" t="str">
        <f t="shared" si="4539"/>
        <v>&lt;/li&gt;&lt;li&gt;&lt;a href=|http://pnt.biblecommenter.com/hebrews/2.htm| title=|People's New Testament| target=|_top|&gt;PNT&lt;/a&gt;</v>
      </c>
      <c r="AR1135" t="str">
        <f t="shared" si="4539"/>
        <v>&lt;/li&gt;&lt;li&gt;&lt;a href=|http://websterbible.com/hebrews/2.htm| title=|Webster's Bible Translation| target=|_top|&gt;WBS&lt;/a&gt;</v>
      </c>
      <c r="AS1135" t="str">
        <f t="shared" si="4539"/>
        <v>&lt;/li&gt;&lt;li&gt;&lt;a href=|http://weymouthbible.com/hebrews/2.htm| title=|Weymouth New Testament| target=|_top|&gt;WEY&lt;/a&gt;</v>
      </c>
      <c r="AT1135" t="str">
        <f>CONCATENATE("&lt;/li&gt;&lt;li&gt;&lt;a href=|http://",AT1191,"/hebrews/2-1.htm","| ","title=|",AT1190,"| target=|_top|&gt;",AT1192,"&lt;/a&gt;")</f>
        <v>&lt;/li&gt;&lt;li&gt;&lt;a href=|http://biblebrowser.com/hebrews/2-1.htm| title=|Split View| target=|_top|&gt;Split&lt;/a&gt;</v>
      </c>
      <c r="AU1135" s="2" t="s">
        <v>1276</v>
      </c>
      <c r="AV1135" t="s">
        <v>64</v>
      </c>
    </row>
    <row r="1136" spans="1:48">
      <c r="A1136" t="s">
        <v>622</v>
      </c>
      <c r="B1136" t="s">
        <v>567</v>
      </c>
      <c r="C1136" t="s">
        <v>624</v>
      </c>
      <c r="D1136" t="s">
        <v>1268</v>
      </c>
      <c r="E1136" t="s">
        <v>1277</v>
      </c>
      <c r="F1136" t="s">
        <v>1304</v>
      </c>
      <c r="G1136" t="s">
        <v>1266</v>
      </c>
      <c r="H1136" t="s">
        <v>1305</v>
      </c>
      <c r="I1136" t="s">
        <v>1303</v>
      </c>
      <c r="J1136" t="s">
        <v>1267</v>
      </c>
      <c r="K1136" t="s">
        <v>1275</v>
      </c>
      <c r="L1136" s="2" t="s">
        <v>1274</v>
      </c>
      <c r="M1136" t="str">
        <f t="shared" ref="M1136:AB1136" si="4540">CONCATENATE("&lt;/li&gt;&lt;li&gt;&lt;a href=|http://",M1191,"/hebrews/3.htm","| ","title=|",M1190,"| target=|_top|&gt;",M1192,"&lt;/a&gt;")</f>
        <v>&lt;/li&gt;&lt;li&gt;&lt;a href=|http://niv.scripturetext.com/hebrews/3.htm| title=|New International Version| target=|_top|&gt;NIV&lt;/a&gt;</v>
      </c>
      <c r="N1136" t="str">
        <f t="shared" si="4540"/>
        <v>&lt;/li&gt;&lt;li&gt;&lt;a href=|http://nlt.scripturetext.com/hebrews/3.htm| title=|New Living Translation| target=|_top|&gt;NLT&lt;/a&gt;</v>
      </c>
      <c r="O1136" t="str">
        <f t="shared" si="4540"/>
        <v>&lt;/li&gt;&lt;li&gt;&lt;a href=|http://nasb.scripturetext.com/hebrews/3.htm| title=|New American Standard Bible| target=|_top|&gt;NAS&lt;/a&gt;</v>
      </c>
      <c r="P1136" t="str">
        <f t="shared" si="4540"/>
        <v>&lt;/li&gt;&lt;li&gt;&lt;a href=|http://gwt.scripturetext.com/hebrews/3.htm| title=|God's Word Translation| target=|_top|&gt;GWT&lt;/a&gt;</v>
      </c>
      <c r="Q1136" t="str">
        <f t="shared" si="4540"/>
        <v>&lt;/li&gt;&lt;li&gt;&lt;a href=|http://kingjbible.com/hebrews/3.htm| title=|King James Bible| target=|_top|&gt;KJV&lt;/a&gt;</v>
      </c>
      <c r="R1136" t="str">
        <f t="shared" si="4540"/>
        <v>&lt;/li&gt;&lt;li&gt;&lt;a href=|http://asvbible.com/hebrews/3.htm| title=|American Standard Version| target=|_top|&gt;ASV&lt;/a&gt;</v>
      </c>
      <c r="S1136" t="str">
        <f t="shared" si="4540"/>
        <v>&lt;/li&gt;&lt;li&gt;&lt;a href=|http://drb.scripturetext.com/hebrews/3.htm| title=|Douay-Rheims Bible| target=|_top|&gt;DRB&lt;/a&gt;</v>
      </c>
      <c r="T1136" t="str">
        <f t="shared" si="4540"/>
        <v>&lt;/li&gt;&lt;li&gt;&lt;a href=|http://erv.scripturetext.com/hebrews/3.htm| title=|English Revised Version| target=|_top|&gt;ERV&lt;/a&gt;</v>
      </c>
      <c r="U1136" t="str">
        <f>CONCATENATE("&lt;/li&gt;&lt;li&gt;&lt;a href=|http://",U1191,"/hebrews/3.htm","| ","title=|",U1190,"| target=|_top|&gt;",U1192,"&lt;/a&gt;")</f>
        <v>&lt;/li&gt;&lt;li&gt;&lt;a href=|http://study.interlinearbible.org/hebrews/3.htm| title=|Greek Study Bible| target=|_top|&gt;Grk Study&lt;/a&gt;</v>
      </c>
      <c r="W1136" t="str">
        <f t="shared" si="4540"/>
        <v>&lt;/li&gt;&lt;li&gt;&lt;a href=|http://apostolic.interlinearbible.org/hebrews/3.htm| title=|Apostolic Bible Polyglot Interlinear| target=|_top|&gt;Polyglot&lt;/a&gt;</v>
      </c>
      <c r="X1136" t="str">
        <f t="shared" si="4540"/>
        <v>&lt;/li&gt;&lt;li&gt;&lt;a href=|http://interlinearbible.org/hebrews/3.htm| title=|Interlinear Bible| target=|_top|&gt;Interlin&lt;/a&gt;</v>
      </c>
      <c r="Y1136" t="str">
        <f t="shared" ref="Y1136" si="4541">CONCATENATE("&lt;/li&gt;&lt;li&gt;&lt;a href=|http://",Y1191,"/hebrews/3.htm","| ","title=|",Y1190,"| target=|_top|&gt;",Y1192,"&lt;/a&gt;")</f>
        <v>&lt;/li&gt;&lt;li&gt;&lt;a href=|http://bibleoutline.org/hebrews/3.htm| title=|Outline with People and Places List| target=|_top|&gt;Outline&lt;/a&gt;</v>
      </c>
      <c r="Z1136" t="str">
        <f t="shared" si="4540"/>
        <v>&lt;/li&gt;&lt;li&gt;&lt;a href=|http://kjvs.scripturetext.com/hebrews/3.htm| title=|King James Bible with Strong's Numbers| target=|_top|&gt;Strong's&lt;/a&gt;</v>
      </c>
      <c r="AA1136" t="str">
        <f t="shared" si="4540"/>
        <v>&lt;/li&gt;&lt;li&gt;&lt;a href=|http://childrensbibleonline.com/hebrews/3.htm| title=|The Children's Bible| target=|_top|&gt;Children's&lt;/a&gt;</v>
      </c>
      <c r="AB1136" s="2" t="str">
        <f t="shared" si="4540"/>
        <v>&lt;/li&gt;&lt;li&gt;&lt;a href=|http://tsk.scripturetext.com/hebrews/3.htm| title=|Treasury of Scripture Knowledge| target=|_top|&gt;TSK&lt;/a&gt;</v>
      </c>
      <c r="AC1136" t="str">
        <f>CONCATENATE("&lt;a href=|http://",AC1191,"/hebrews/3.htm","| ","title=|",AC1190,"| target=|_top|&gt;",AC1192,"&lt;/a&gt;")</f>
        <v>&lt;a href=|http://parallelbible.com/hebrews/3.htm| title=|Parallel Chapters| target=|_top|&gt;PAR&lt;/a&gt;</v>
      </c>
      <c r="AD1136" s="2" t="str">
        <f t="shared" ref="AD1136:AI1136" si="4542">CONCATENATE("&lt;/li&gt;&lt;li&gt;&lt;a href=|http://",AD1191,"/hebrews/3.htm","| ","title=|",AD1190,"| target=|_top|&gt;",AD1192,"&lt;/a&gt;")</f>
        <v>&lt;/li&gt;&lt;li&gt;&lt;a href=|http://gsb.biblecommenter.com/hebrews/3.htm| title=|Geneva Study Bible| target=|_top|&gt;GSB&lt;/a&gt;</v>
      </c>
      <c r="AE1136" s="2" t="str">
        <f t="shared" si="4542"/>
        <v>&lt;/li&gt;&lt;li&gt;&lt;a href=|http://jfb.biblecommenter.com/hebrews/3.htm| title=|Jamieson-Fausset-Brown Bible Commentary| target=|_top|&gt;JFB&lt;/a&gt;</v>
      </c>
      <c r="AF1136" s="2" t="str">
        <f t="shared" si="4542"/>
        <v>&lt;/li&gt;&lt;li&gt;&lt;a href=|http://kjt.biblecommenter.com/hebrews/3.htm| title=|King James Translators' Notes| target=|_top|&gt;KJT&lt;/a&gt;</v>
      </c>
      <c r="AG1136" s="2" t="str">
        <f t="shared" si="4542"/>
        <v>&lt;/li&gt;&lt;li&gt;&lt;a href=|http://mhc.biblecommenter.com/hebrews/3.htm| title=|Matthew Henry's Concise Commentary| target=|_top|&gt;MHC&lt;/a&gt;</v>
      </c>
      <c r="AH1136" s="2" t="str">
        <f t="shared" si="4542"/>
        <v>&lt;/li&gt;&lt;li&gt;&lt;a href=|http://sco.biblecommenter.com/hebrews/3.htm| title=|Scofield Reference Notes| target=|_top|&gt;SCO&lt;/a&gt;</v>
      </c>
      <c r="AI1136" s="2" t="str">
        <f t="shared" si="4542"/>
        <v>&lt;/li&gt;&lt;li&gt;&lt;a href=|http://wes.biblecommenter.com/hebrews/3.htm| title=|Wesley's Notes on the Bible| target=|_top|&gt;WES&lt;/a&gt;</v>
      </c>
      <c r="AJ1136" t="str">
        <f>CONCATENATE("&lt;/li&gt;&lt;li&gt;&lt;a href=|http://",AJ1191,"/hebrews/3.htm","| ","title=|",AJ1190,"| target=|_top|&gt;",AJ1192,"&lt;/a&gt;")</f>
        <v>&lt;/li&gt;&lt;li&gt;&lt;a href=|http://worldebible.com/hebrews/3.htm| title=|World English Bible| target=|_top|&gt;WEB&lt;/a&gt;</v>
      </c>
      <c r="AK1136" t="str">
        <f>CONCATENATE("&lt;/li&gt;&lt;li&gt;&lt;a href=|http://",AK1191,"/hebrews/3.htm","| ","title=|",AK1190,"| target=|_top|&gt;",AK1192,"&lt;/a&gt;")</f>
        <v>&lt;/li&gt;&lt;li&gt;&lt;a href=|http://yltbible.com/hebrews/3.htm| title=|Young's Literal Translation| target=|_top|&gt;YLT&lt;/a&gt;</v>
      </c>
      <c r="AL1136" t="str">
        <f>CONCATENATE("&lt;a href=|http://",AL1191,"/hebrews/3.htm","| ","title=|",AL1190,"| target=|_top|&gt;",AL1192,"&lt;/a&gt;")</f>
        <v>&lt;a href=|http://kjv.us/hebrews/3.htm| title=|American King James Version| target=|_top|&gt;AKJ&lt;/a&gt;</v>
      </c>
      <c r="AM1136" t="str">
        <f t="shared" ref="AM1136:AS1136" si="4543">CONCATENATE("&lt;/li&gt;&lt;li&gt;&lt;a href=|http://",AM1191,"/hebrews/3.htm","| ","title=|",AM1190,"| target=|_top|&gt;",AM1192,"&lt;/a&gt;")</f>
        <v>&lt;/li&gt;&lt;li&gt;&lt;a href=|http://basicenglishbible.com/hebrews/3.htm| title=|Bible in Basic English| target=|_top|&gt;BBE&lt;/a&gt;</v>
      </c>
      <c r="AN1136" t="str">
        <f t="shared" si="4543"/>
        <v>&lt;/li&gt;&lt;li&gt;&lt;a href=|http://darbybible.com/hebrews/3.htm| title=|Darby Bible Translation| target=|_top|&gt;DBY&lt;/a&gt;</v>
      </c>
      <c r="AO1136" t="str">
        <f t="shared" si="4543"/>
        <v>&lt;/li&gt;&lt;li&gt;&lt;a href=|http://isv.scripturetext.com/hebrews/3.htm| title=|International Standard Version| target=|_top|&gt;ISV&lt;/a&gt;</v>
      </c>
      <c r="AP1136" t="str">
        <f t="shared" si="4543"/>
        <v>&lt;/li&gt;&lt;li&gt;&lt;a href=|http://tnt.scripturetext.com/hebrews/3.htm| title=|Tyndale New Testament| target=|_top|&gt;TNT&lt;/a&gt;</v>
      </c>
      <c r="AQ1136" s="2" t="str">
        <f t="shared" si="4543"/>
        <v>&lt;/li&gt;&lt;li&gt;&lt;a href=|http://pnt.biblecommenter.com/hebrews/3.htm| title=|People's New Testament| target=|_top|&gt;PNT&lt;/a&gt;</v>
      </c>
      <c r="AR1136" t="str">
        <f t="shared" si="4543"/>
        <v>&lt;/li&gt;&lt;li&gt;&lt;a href=|http://websterbible.com/hebrews/3.htm| title=|Webster's Bible Translation| target=|_top|&gt;WBS&lt;/a&gt;</v>
      </c>
      <c r="AS1136" t="str">
        <f t="shared" si="4543"/>
        <v>&lt;/li&gt;&lt;li&gt;&lt;a href=|http://weymouthbible.com/hebrews/3.htm| title=|Weymouth New Testament| target=|_top|&gt;WEY&lt;/a&gt;</v>
      </c>
      <c r="AT1136" t="str">
        <f>CONCATENATE("&lt;/li&gt;&lt;li&gt;&lt;a href=|http://",AT1191,"/hebrews/3-1.htm","| ","title=|",AT1190,"| target=|_top|&gt;",AT1192,"&lt;/a&gt;")</f>
        <v>&lt;/li&gt;&lt;li&gt;&lt;a href=|http://biblebrowser.com/hebrews/3-1.htm| title=|Split View| target=|_top|&gt;Split&lt;/a&gt;</v>
      </c>
      <c r="AU1136" s="2" t="s">
        <v>1276</v>
      </c>
      <c r="AV1136" t="s">
        <v>64</v>
      </c>
    </row>
    <row r="1137" spans="1:48">
      <c r="A1137" t="s">
        <v>622</v>
      </c>
      <c r="B1137" t="s">
        <v>568</v>
      </c>
      <c r="C1137" t="s">
        <v>624</v>
      </c>
      <c r="D1137" t="s">
        <v>1268</v>
      </c>
      <c r="E1137" t="s">
        <v>1277</v>
      </c>
      <c r="F1137" t="s">
        <v>1304</v>
      </c>
      <c r="G1137" t="s">
        <v>1266</v>
      </c>
      <c r="H1137" t="s">
        <v>1305</v>
      </c>
      <c r="I1137" t="s">
        <v>1303</v>
      </c>
      <c r="J1137" t="s">
        <v>1267</v>
      </c>
      <c r="K1137" t="s">
        <v>1275</v>
      </c>
      <c r="L1137" s="2" t="s">
        <v>1274</v>
      </c>
      <c r="M1137" t="str">
        <f t="shared" ref="M1137:AB1137" si="4544">CONCATENATE("&lt;/li&gt;&lt;li&gt;&lt;a href=|http://",M1191,"/hebrews/4.htm","| ","title=|",M1190,"| target=|_top|&gt;",M1192,"&lt;/a&gt;")</f>
        <v>&lt;/li&gt;&lt;li&gt;&lt;a href=|http://niv.scripturetext.com/hebrews/4.htm| title=|New International Version| target=|_top|&gt;NIV&lt;/a&gt;</v>
      </c>
      <c r="N1137" t="str">
        <f t="shared" si="4544"/>
        <v>&lt;/li&gt;&lt;li&gt;&lt;a href=|http://nlt.scripturetext.com/hebrews/4.htm| title=|New Living Translation| target=|_top|&gt;NLT&lt;/a&gt;</v>
      </c>
      <c r="O1137" t="str">
        <f t="shared" si="4544"/>
        <v>&lt;/li&gt;&lt;li&gt;&lt;a href=|http://nasb.scripturetext.com/hebrews/4.htm| title=|New American Standard Bible| target=|_top|&gt;NAS&lt;/a&gt;</v>
      </c>
      <c r="P1137" t="str">
        <f t="shared" si="4544"/>
        <v>&lt;/li&gt;&lt;li&gt;&lt;a href=|http://gwt.scripturetext.com/hebrews/4.htm| title=|God's Word Translation| target=|_top|&gt;GWT&lt;/a&gt;</v>
      </c>
      <c r="Q1137" t="str">
        <f t="shared" si="4544"/>
        <v>&lt;/li&gt;&lt;li&gt;&lt;a href=|http://kingjbible.com/hebrews/4.htm| title=|King James Bible| target=|_top|&gt;KJV&lt;/a&gt;</v>
      </c>
      <c r="R1137" t="str">
        <f t="shared" si="4544"/>
        <v>&lt;/li&gt;&lt;li&gt;&lt;a href=|http://asvbible.com/hebrews/4.htm| title=|American Standard Version| target=|_top|&gt;ASV&lt;/a&gt;</v>
      </c>
      <c r="S1137" t="str">
        <f t="shared" si="4544"/>
        <v>&lt;/li&gt;&lt;li&gt;&lt;a href=|http://drb.scripturetext.com/hebrews/4.htm| title=|Douay-Rheims Bible| target=|_top|&gt;DRB&lt;/a&gt;</v>
      </c>
      <c r="T1137" t="str">
        <f t="shared" si="4544"/>
        <v>&lt;/li&gt;&lt;li&gt;&lt;a href=|http://erv.scripturetext.com/hebrews/4.htm| title=|English Revised Version| target=|_top|&gt;ERV&lt;/a&gt;</v>
      </c>
      <c r="U1137" t="str">
        <f>CONCATENATE("&lt;/li&gt;&lt;li&gt;&lt;a href=|http://",U1191,"/hebrews/4.htm","| ","title=|",U1190,"| target=|_top|&gt;",U1192,"&lt;/a&gt;")</f>
        <v>&lt;/li&gt;&lt;li&gt;&lt;a href=|http://study.interlinearbible.org/hebrews/4.htm| title=|Greek Study Bible| target=|_top|&gt;Grk Study&lt;/a&gt;</v>
      </c>
      <c r="W1137" t="str">
        <f t="shared" si="4544"/>
        <v>&lt;/li&gt;&lt;li&gt;&lt;a href=|http://apostolic.interlinearbible.org/hebrews/4.htm| title=|Apostolic Bible Polyglot Interlinear| target=|_top|&gt;Polyglot&lt;/a&gt;</v>
      </c>
      <c r="X1137" t="str">
        <f t="shared" si="4544"/>
        <v>&lt;/li&gt;&lt;li&gt;&lt;a href=|http://interlinearbible.org/hebrews/4.htm| title=|Interlinear Bible| target=|_top|&gt;Interlin&lt;/a&gt;</v>
      </c>
      <c r="Y1137" t="str">
        <f t="shared" ref="Y1137" si="4545">CONCATENATE("&lt;/li&gt;&lt;li&gt;&lt;a href=|http://",Y1191,"/hebrews/4.htm","| ","title=|",Y1190,"| target=|_top|&gt;",Y1192,"&lt;/a&gt;")</f>
        <v>&lt;/li&gt;&lt;li&gt;&lt;a href=|http://bibleoutline.org/hebrews/4.htm| title=|Outline with People and Places List| target=|_top|&gt;Outline&lt;/a&gt;</v>
      </c>
      <c r="Z1137" t="str">
        <f t="shared" si="4544"/>
        <v>&lt;/li&gt;&lt;li&gt;&lt;a href=|http://kjvs.scripturetext.com/hebrews/4.htm| title=|King James Bible with Strong's Numbers| target=|_top|&gt;Strong's&lt;/a&gt;</v>
      </c>
      <c r="AA1137" t="str">
        <f t="shared" si="4544"/>
        <v>&lt;/li&gt;&lt;li&gt;&lt;a href=|http://childrensbibleonline.com/hebrews/4.htm| title=|The Children's Bible| target=|_top|&gt;Children's&lt;/a&gt;</v>
      </c>
      <c r="AB1137" s="2" t="str">
        <f t="shared" si="4544"/>
        <v>&lt;/li&gt;&lt;li&gt;&lt;a href=|http://tsk.scripturetext.com/hebrews/4.htm| title=|Treasury of Scripture Knowledge| target=|_top|&gt;TSK&lt;/a&gt;</v>
      </c>
      <c r="AC1137" t="str">
        <f>CONCATENATE("&lt;a href=|http://",AC1191,"/hebrews/4.htm","| ","title=|",AC1190,"| target=|_top|&gt;",AC1192,"&lt;/a&gt;")</f>
        <v>&lt;a href=|http://parallelbible.com/hebrews/4.htm| title=|Parallel Chapters| target=|_top|&gt;PAR&lt;/a&gt;</v>
      </c>
      <c r="AD1137" s="2" t="str">
        <f t="shared" ref="AD1137:AI1137" si="4546">CONCATENATE("&lt;/li&gt;&lt;li&gt;&lt;a href=|http://",AD1191,"/hebrews/4.htm","| ","title=|",AD1190,"| target=|_top|&gt;",AD1192,"&lt;/a&gt;")</f>
        <v>&lt;/li&gt;&lt;li&gt;&lt;a href=|http://gsb.biblecommenter.com/hebrews/4.htm| title=|Geneva Study Bible| target=|_top|&gt;GSB&lt;/a&gt;</v>
      </c>
      <c r="AE1137" s="2" t="str">
        <f t="shared" si="4546"/>
        <v>&lt;/li&gt;&lt;li&gt;&lt;a href=|http://jfb.biblecommenter.com/hebrews/4.htm| title=|Jamieson-Fausset-Brown Bible Commentary| target=|_top|&gt;JFB&lt;/a&gt;</v>
      </c>
      <c r="AF1137" s="2" t="str">
        <f t="shared" si="4546"/>
        <v>&lt;/li&gt;&lt;li&gt;&lt;a href=|http://kjt.biblecommenter.com/hebrews/4.htm| title=|King James Translators' Notes| target=|_top|&gt;KJT&lt;/a&gt;</v>
      </c>
      <c r="AG1137" s="2" t="str">
        <f t="shared" si="4546"/>
        <v>&lt;/li&gt;&lt;li&gt;&lt;a href=|http://mhc.biblecommenter.com/hebrews/4.htm| title=|Matthew Henry's Concise Commentary| target=|_top|&gt;MHC&lt;/a&gt;</v>
      </c>
      <c r="AH1137" s="2" t="str">
        <f t="shared" si="4546"/>
        <v>&lt;/li&gt;&lt;li&gt;&lt;a href=|http://sco.biblecommenter.com/hebrews/4.htm| title=|Scofield Reference Notes| target=|_top|&gt;SCO&lt;/a&gt;</v>
      </c>
      <c r="AI1137" s="2" t="str">
        <f t="shared" si="4546"/>
        <v>&lt;/li&gt;&lt;li&gt;&lt;a href=|http://wes.biblecommenter.com/hebrews/4.htm| title=|Wesley's Notes on the Bible| target=|_top|&gt;WES&lt;/a&gt;</v>
      </c>
      <c r="AJ1137" t="str">
        <f>CONCATENATE("&lt;/li&gt;&lt;li&gt;&lt;a href=|http://",AJ1191,"/hebrews/4.htm","| ","title=|",AJ1190,"| target=|_top|&gt;",AJ1192,"&lt;/a&gt;")</f>
        <v>&lt;/li&gt;&lt;li&gt;&lt;a href=|http://worldebible.com/hebrews/4.htm| title=|World English Bible| target=|_top|&gt;WEB&lt;/a&gt;</v>
      </c>
      <c r="AK1137" t="str">
        <f>CONCATENATE("&lt;/li&gt;&lt;li&gt;&lt;a href=|http://",AK1191,"/hebrews/4.htm","| ","title=|",AK1190,"| target=|_top|&gt;",AK1192,"&lt;/a&gt;")</f>
        <v>&lt;/li&gt;&lt;li&gt;&lt;a href=|http://yltbible.com/hebrews/4.htm| title=|Young's Literal Translation| target=|_top|&gt;YLT&lt;/a&gt;</v>
      </c>
      <c r="AL1137" t="str">
        <f>CONCATENATE("&lt;a href=|http://",AL1191,"/hebrews/4.htm","| ","title=|",AL1190,"| target=|_top|&gt;",AL1192,"&lt;/a&gt;")</f>
        <v>&lt;a href=|http://kjv.us/hebrews/4.htm| title=|American King James Version| target=|_top|&gt;AKJ&lt;/a&gt;</v>
      </c>
      <c r="AM1137" t="str">
        <f t="shared" ref="AM1137:AS1137" si="4547">CONCATENATE("&lt;/li&gt;&lt;li&gt;&lt;a href=|http://",AM1191,"/hebrews/4.htm","| ","title=|",AM1190,"| target=|_top|&gt;",AM1192,"&lt;/a&gt;")</f>
        <v>&lt;/li&gt;&lt;li&gt;&lt;a href=|http://basicenglishbible.com/hebrews/4.htm| title=|Bible in Basic English| target=|_top|&gt;BBE&lt;/a&gt;</v>
      </c>
      <c r="AN1137" t="str">
        <f t="shared" si="4547"/>
        <v>&lt;/li&gt;&lt;li&gt;&lt;a href=|http://darbybible.com/hebrews/4.htm| title=|Darby Bible Translation| target=|_top|&gt;DBY&lt;/a&gt;</v>
      </c>
      <c r="AO1137" t="str">
        <f t="shared" si="4547"/>
        <v>&lt;/li&gt;&lt;li&gt;&lt;a href=|http://isv.scripturetext.com/hebrews/4.htm| title=|International Standard Version| target=|_top|&gt;ISV&lt;/a&gt;</v>
      </c>
      <c r="AP1137" t="str">
        <f t="shared" si="4547"/>
        <v>&lt;/li&gt;&lt;li&gt;&lt;a href=|http://tnt.scripturetext.com/hebrews/4.htm| title=|Tyndale New Testament| target=|_top|&gt;TNT&lt;/a&gt;</v>
      </c>
      <c r="AQ1137" s="2" t="str">
        <f t="shared" si="4547"/>
        <v>&lt;/li&gt;&lt;li&gt;&lt;a href=|http://pnt.biblecommenter.com/hebrews/4.htm| title=|People's New Testament| target=|_top|&gt;PNT&lt;/a&gt;</v>
      </c>
      <c r="AR1137" t="str">
        <f t="shared" si="4547"/>
        <v>&lt;/li&gt;&lt;li&gt;&lt;a href=|http://websterbible.com/hebrews/4.htm| title=|Webster's Bible Translation| target=|_top|&gt;WBS&lt;/a&gt;</v>
      </c>
      <c r="AS1137" t="str">
        <f t="shared" si="4547"/>
        <v>&lt;/li&gt;&lt;li&gt;&lt;a href=|http://weymouthbible.com/hebrews/4.htm| title=|Weymouth New Testament| target=|_top|&gt;WEY&lt;/a&gt;</v>
      </c>
      <c r="AT1137" t="str">
        <f>CONCATENATE("&lt;/li&gt;&lt;li&gt;&lt;a href=|http://",AT1191,"/hebrews/4-1.htm","| ","title=|",AT1190,"| target=|_top|&gt;",AT1192,"&lt;/a&gt;")</f>
        <v>&lt;/li&gt;&lt;li&gt;&lt;a href=|http://biblebrowser.com/hebrews/4-1.htm| title=|Split View| target=|_top|&gt;Split&lt;/a&gt;</v>
      </c>
      <c r="AU1137" s="2" t="s">
        <v>1276</v>
      </c>
      <c r="AV1137" t="s">
        <v>64</v>
      </c>
    </row>
    <row r="1138" spans="1:48">
      <c r="A1138" t="s">
        <v>622</v>
      </c>
      <c r="B1138" t="s">
        <v>569</v>
      </c>
      <c r="C1138" t="s">
        <v>624</v>
      </c>
      <c r="D1138" t="s">
        <v>1268</v>
      </c>
      <c r="E1138" t="s">
        <v>1277</v>
      </c>
      <c r="F1138" t="s">
        <v>1304</v>
      </c>
      <c r="G1138" t="s">
        <v>1266</v>
      </c>
      <c r="H1138" t="s">
        <v>1305</v>
      </c>
      <c r="I1138" t="s">
        <v>1303</v>
      </c>
      <c r="J1138" t="s">
        <v>1267</v>
      </c>
      <c r="K1138" t="s">
        <v>1275</v>
      </c>
      <c r="L1138" s="2" t="s">
        <v>1274</v>
      </c>
      <c r="M1138" t="str">
        <f t="shared" ref="M1138:AB1138" si="4548">CONCATENATE("&lt;/li&gt;&lt;li&gt;&lt;a href=|http://",M1191,"/hebrews/5.htm","| ","title=|",M1190,"| target=|_top|&gt;",M1192,"&lt;/a&gt;")</f>
        <v>&lt;/li&gt;&lt;li&gt;&lt;a href=|http://niv.scripturetext.com/hebrews/5.htm| title=|New International Version| target=|_top|&gt;NIV&lt;/a&gt;</v>
      </c>
      <c r="N1138" t="str">
        <f t="shared" si="4548"/>
        <v>&lt;/li&gt;&lt;li&gt;&lt;a href=|http://nlt.scripturetext.com/hebrews/5.htm| title=|New Living Translation| target=|_top|&gt;NLT&lt;/a&gt;</v>
      </c>
      <c r="O1138" t="str">
        <f t="shared" si="4548"/>
        <v>&lt;/li&gt;&lt;li&gt;&lt;a href=|http://nasb.scripturetext.com/hebrews/5.htm| title=|New American Standard Bible| target=|_top|&gt;NAS&lt;/a&gt;</v>
      </c>
      <c r="P1138" t="str">
        <f t="shared" si="4548"/>
        <v>&lt;/li&gt;&lt;li&gt;&lt;a href=|http://gwt.scripturetext.com/hebrews/5.htm| title=|God's Word Translation| target=|_top|&gt;GWT&lt;/a&gt;</v>
      </c>
      <c r="Q1138" t="str">
        <f t="shared" si="4548"/>
        <v>&lt;/li&gt;&lt;li&gt;&lt;a href=|http://kingjbible.com/hebrews/5.htm| title=|King James Bible| target=|_top|&gt;KJV&lt;/a&gt;</v>
      </c>
      <c r="R1138" t="str">
        <f t="shared" si="4548"/>
        <v>&lt;/li&gt;&lt;li&gt;&lt;a href=|http://asvbible.com/hebrews/5.htm| title=|American Standard Version| target=|_top|&gt;ASV&lt;/a&gt;</v>
      </c>
      <c r="S1138" t="str">
        <f t="shared" si="4548"/>
        <v>&lt;/li&gt;&lt;li&gt;&lt;a href=|http://drb.scripturetext.com/hebrews/5.htm| title=|Douay-Rheims Bible| target=|_top|&gt;DRB&lt;/a&gt;</v>
      </c>
      <c r="T1138" t="str">
        <f t="shared" si="4548"/>
        <v>&lt;/li&gt;&lt;li&gt;&lt;a href=|http://erv.scripturetext.com/hebrews/5.htm| title=|English Revised Version| target=|_top|&gt;ERV&lt;/a&gt;</v>
      </c>
      <c r="U1138" t="str">
        <f>CONCATENATE("&lt;/li&gt;&lt;li&gt;&lt;a href=|http://",U1191,"/hebrews/5.htm","| ","title=|",U1190,"| target=|_top|&gt;",U1192,"&lt;/a&gt;")</f>
        <v>&lt;/li&gt;&lt;li&gt;&lt;a href=|http://study.interlinearbible.org/hebrews/5.htm| title=|Greek Study Bible| target=|_top|&gt;Grk Study&lt;/a&gt;</v>
      </c>
      <c r="W1138" t="str">
        <f t="shared" si="4548"/>
        <v>&lt;/li&gt;&lt;li&gt;&lt;a href=|http://apostolic.interlinearbible.org/hebrews/5.htm| title=|Apostolic Bible Polyglot Interlinear| target=|_top|&gt;Polyglot&lt;/a&gt;</v>
      </c>
      <c r="X1138" t="str">
        <f t="shared" si="4548"/>
        <v>&lt;/li&gt;&lt;li&gt;&lt;a href=|http://interlinearbible.org/hebrews/5.htm| title=|Interlinear Bible| target=|_top|&gt;Interlin&lt;/a&gt;</v>
      </c>
      <c r="Y1138" t="str">
        <f t="shared" ref="Y1138" si="4549">CONCATENATE("&lt;/li&gt;&lt;li&gt;&lt;a href=|http://",Y1191,"/hebrews/5.htm","| ","title=|",Y1190,"| target=|_top|&gt;",Y1192,"&lt;/a&gt;")</f>
        <v>&lt;/li&gt;&lt;li&gt;&lt;a href=|http://bibleoutline.org/hebrews/5.htm| title=|Outline with People and Places List| target=|_top|&gt;Outline&lt;/a&gt;</v>
      </c>
      <c r="Z1138" t="str">
        <f t="shared" si="4548"/>
        <v>&lt;/li&gt;&lt;li&gt;&lt;a href=|http://kjvs.scripturetext.com/hebrews/5.htm| title=|King James Bible with Strong's Numbers| target=|_top|&gt;Strong's&lt;/a&gt;</v>
      </c>
      <c r="AA1138" t="str">
        <f t="shared" si="4548"/>
        <v>&lt;/li&gt;&lt;li&gt;&lt;a href=|http://childrensbibleonline.com/hebrews/5.htm| title=|The Children's Bible| target=|_top|&gt;Children's&lt;/a&gt;</v>
      </c>
      <c r="AB1138" s="2" t="str">
        <f t="shared" si="4548"/>
        <v>&lt;/li&gt;&lt;li&gt;&lt;a href=|http://tsk.scripturetext.com/hebrews/5.htm| title=|Treasury of Scripture Knowledge| target=|_top|&gt;TSK&lt;/a&gt;</v>
      </c>
      <c r="AC1138" t="str">
        <f>CONCATENATE("&lt;a href=|http://",AC1191,"/hebrews/5.htm","| ","title=|",AC1190,"| target=|_top|&gt;",AC1192,"&lt;/a&gt;")</f>
        <v>&lt;a href=|http://parallelbible.com/hebrews/5.htm| title=|Parallel Chapters| target=|_top|&gt;PAR&lt;/a&gt;</v>
      </c>
      <c r="AD1138" s="2" t="str">
        <f t="shared" ref="AD1138:AI1138" si="4550">CONCATENATE("&lt;/li&gt;&lt;li&gt;&lt;a href=|http://",AD1191,"/hebrews/5.htm","| ","title=|",AD1190,"| target=|_top|&gt;",AD1192,"&lt;/a&gt;")</f>
        <v>&lt;/li&gt;&lt;li&gt;&lt;a href=|http://gsb.biblecommenter.com/hebrews/5.htm| title=|Geneva Study Bible| target=|_top|&gt;GSB&lt;/a&gt;</v>
      </c>
      <c r="AE1138" s="2" t="str">
        <f t="shared" si="4550"/>
        <v>&lt;/li&gt;&lt;li&gt;&lt;a href=|http://jfb.biblecommenter.com/hebrews/5.htm| title=|Jamieson-Fausset-Brown Bible Commentary| target=|_top|&gt;JFB&lt;/a&gt;</v>
      </c>
      <c r="AF1138" s="2" t="str">
        <f t="shared" si="4550"/>
        <v>&lt;/li&gt;&lt;li&gt;&lt;a href=|http://kjt.biblecommenter.com/hebrews/5.htm| title=|King James Translators' Notes| target=|_top|&gt;KJT&lt;/a&gt;</v>
      </c>
      <c r="AG1138" s="2" t="str">
        <f t="shared" si="4550"/>
        <v>&lt;/li&gt;&lt;li&gt;&lt;a href=|http://mhc.biblecommenter.com/hebrews/5.htm| title=|Matthew Henry's Concise Commentary| target=|_top|&gt;MHC&lt;/a&gt;</v>
      </c>
      <c r="AH1138" s="2" t="str">
        <f t="shared" si="4550"/>
        <v>&lt;/li&gt;&lt;li&gt;&lt;a href=|http://sco.biblecommenter.com/hebrews/5.htm| title=|Scofield Reference Notes| target=|_top|&gt;SCO&lt;/a&gt;</v>
      </c>
      <c r="AI1138" s="2" t="str">
        <f t="shared" si="4550"/>
        <v>&lt;/li&gt;&lt;li&gt;&lt;a href=|http://wes.biblecommenter.com/hebrews/5.htm| title=|Wesley's Notes on the Bible| target=|_top|&gt;WES&lt;/a&gt;</v>
      </c>
      <c r="AJ1138" t="str">
        <f>CONCATENATE("&lt;/li&gt;&lt;li&gt;&lt;a href=|http://",AJ1191,"/hebrews/5.htm","| ","title=|",AJ1190,"| target=|_top|&gt;",AJ1192,"&lt;/a&gt;")</f>
        <v>&lt;/li&gt;&lt;li&gt;&lt;a href=|http://worldebible.com/hebrews/5.htm| title=|World English Bible| target=|_top|&gt;WEB&lt;/a&gt;</v>
      </c>
      <c r="AK1138" t="str">
        <f>CONCATENATE("&lt;/li&gt;&lt;li&gt;&lt;a href=|http://",AK1191,"/hebrews/5.htm","| ","title=|",AK1190,"| target=|_top|&gt;",AK1192,"&lt;/a&gt;")</f>
        <v>&lt;/li&gt;&lt;li&gt;&lt;a href=|http://yltbible.com/hebrews/5.htm| title=|Young's Literal Translation| target=|_top|&gt;YLT&lt;/a&gt;</v>
      </c>
      <c r="AL1138" t="str">
        <f>CONCATENATE("&lt;a href=|http://",AL1191,"/hebrews/5.htm","| ","title=|",AL1190,"| target=|_top|&gt;",AL1192,"&lt;/a&gt;")</f>
        <v>&lt;a href=|http://kjv.us/hebrews/5.htm| title=|American King James Version| target=|_top|&gt;AKJ&lt;/a&gt;</v>
      </c>
      <c r="AM1138" t="str">
        <f t="shared" ref="AM1138:AS1138" si="4551">CONCATENATE("&lt;/li&gt;&lt;li&gt;&lt;a href=|http://",AM1191,"/hebrews/5.htm","| ","title=|",AM1190,"| target=|_top|&gt;",AM1192,"&lt;/a&gt;")</f>
        <v>&lt;/li&gt;&lt;li&gt;&lt;a href=|http://basicenglishbible.com/hebrews/5.htm| title=|Bible in Basic English| target=|_top|&gt;BBE&lt;/a&gt;</v>
      </c>
      <c r="AN1138" t="str">
        <f t="shared" si="4551"/>
        <v>&lt;/li&gt;&lt;li&gt;&lt;a href=|http://darbybible.com/hebrews/5.htm| title=|Darby Bible Translation| target=|_top|&gt;DBY&lt;/a&gt;</v>
      </c>
      <c r="AO1138" t="str">
        <f t="shared" si="4551"/>
        <v>&lt;/li&gt;&lt;li&gt;&lt;a href=|http://isv.scripturetext.com/hebrews/5.htm| title=|International Standard Version| target=|_top|&gt;ISV&lt;/a&gt;</v>
      </c>
      <c r="AP1138" t="str">
        <f t="shared" si="4551"/>
        <v>&lt;/li&gt;&lt;li&gt;&lt;a href=|http://tnt.scripturetext.com/hebrews/5.htm| title=|Tyndale New Testament| target=|_top|&gt;TNT&lt;/a&gt;</v>
      </c>
      <c r="AQ1138" s="2" t="str">
        <f t="shared" si="4551"/>
        <v>&lt;/li&gt;&lt;li&gt;&lt;a href=|http://pnt.biblecommenter.com/hebrews/5.htm| title=|People's New Testament| target=|_top|&gt;PNT&lt;/a&gt;</v>
      </c>
      <c r="AR1138" t="str">
        <f t="shared" si="4551"/>
        <v>&lt;/li&gt;&lt;li&gt;&lt;a href=|http://websterbible.com/hebrews/5.htm| title=|Webster's Bible Translation| target=|_top|&gt;WBS&lt;/a&gt;</v>
      </c>
      <c r="AS1138" t="str">
        <f t="shared" si="4551"/>
        <v>&lt;/li&gt;&lt;li&gt;&lt;a href=|http://weymouthbible.com/hebrews/5.htm| title=|Weymouth New Testament| target=|_top|&gt;WEY&lt;/a&gt;</v>
      </c>
      <c r="AT1138" t="str">
        <f>CONCATENATE("&lt;/li&gt;&lt;li&gt;&lt;a href=|http://",AT1191,"/hebrews/5-1.htm","| ","title=|",AT1190,"| target=|_top|&gt;",AT1192,"&lt;/a&gt;")</f>
        <v>&lt;/li&gt;&lt;li&gt;&lt;a href=|http://biblebrowser.com/hebrews/5-1.htm| title=|Split View| target=|_top|&gt;Split&lt;/a&gt;</v>
      </c>
      <c r="AU1138" s="2" t="s">
        <v>1276</v>
      </c>
      <c r="AV1138" t="s">
        <v>64</v>
      </c>
    </row>
    <row r="1139" spans="1:48">
      <c r="A1139" t="s">
        <v>622</v>
      </c>
      <c r="B1139" t="s">
        <v>570</v>
      </c>
      <c r="C1139" t="s">
        <v>624</v>
      </c>
      <c r="D1139" t="s">
        <v>1268</v>
      </c>
      <c r="E1139" t="s">
        <v>1277</v>
      </c>
      <c r="F1139" t="s">
        <v>1304</v>
      </c>
      <c r="G1139" t="s">
        <v>1266</v>
      </c>
      <c r="H1139" t="s">
        <v>1305</v>
      </c>
      <c r="I1139" t="s">
        <v>1303</v>
      </c>
      <c r="J1139" t="s">
        <v>1267</v>
      </c>
      <c r="K1139" t="s">
        <v>1275</v>
      </c>
      <c r="L1139" s="2" t="s">
        <v>1274</v>
      </c>
      <c r="M1139" t="str">
        <f t="shared" ref="M1139:AB1139" si="4552">CONCATENATE("&lt;/li&gt;&lt;li&gt;&lt;a href=|http://",M1191,"/hebrews/6.htm","| ","title=|",M1190,"| target=|_top|&gt;",M1192,"&lt;/a&gt;")</f>
        <v>&lt;/li&gt;&lt;li&gt;&lt;a href=|http://niv.scripturetext.com/hebrews/6.htm| title=|New International Version| target=|_top|&gt;NIV&lt;/a&gt;</v>
      </c>
      <c r="N1139" t="str">
        <f t="shared" si="4552"/>
        <v>&lt;/li&gt;&lt;li&gt;&lt;a href=|http://nlt.scripturetext.com/hebrews/6.htm| title=|New Living Translation| target=|_top|&gt;NLT&lt;/a&gt;</v>
      </c>
      <c r="O1139" t="str">
        <f t="shared" si="4552"/>
        <v>&lt;/li&gt;&lt;li&gt;&lt;a href=|http://nasb.scripturetext.com/hebrews/6.htm| title=|New American Standard Bible| target=|_top|&gt;NAS&lt;/a&gt;</v>
      </c>
      <c r="P1139" t="str">
        <f t="shared" si="4552"/>
        <v>&lt;/li&gt;&lt;li&gt;&lt;a href=|http://gwt.scripturetext.com/hebrews/6.htm| title=|God's Word Translation| target=|_top|&gt;GWT&lt;/a&gt;</v>
      </c>
      <c r="Q1139" t="str">
        <f t="shared" si="4552"/>
        <v>&lt;/li&gt;&lt;li&gt;&lt;a href=|http://kingjbible.com/hebrews/6.htm| title=|King James Bible| target=|_top|&gt;KJV&lt;/a&gt;</v>
      </c>
      <c r="R1139" t="str">
        <f t="shared" si="4552"/>
        <v>&lt;/li&gt;&lt;li&gt;&lt;a href=|http://asvbible.com/hebrews/6.htm| title=|American Standard Version| target=|_top|&gt;ASV&lt;/a&gt;</v>
      </c>
      <c r="S1139" t="str">
        <f t="shared" si="4552"/>
        <v>&lt;/li&gt;&lt;li&gt;&lt;a href=|http://drb.scripturetext.com/hebrews/6.htm| title=|Douay-Rheims Bible| target=|_top|&gt;DRB&lt;/a&gt;</v>
      </c>
      <c r="T1139" t="str">
        <f t="shared" si="4552"/>
        <v>&lt;/li&gt;&lt;li&gt;&lt;a href=|http://erv.scripturetext.com/hebrews/6.htm| title=|English Revised Version| target=|_top|&gt;ERV&lt;/a&gt;</v>
      </c>
      <c r="U1139" t="str">
        <f>CONCATENATE("&lt;/li&gt;&lt;li&gt;&lt;a href=|http://",U1191,"/hebrews/6.htm","| ","title=|",U1190,"| target=|_top|&gt;",U1192,"&lt;/a&gt;")</f>
        <v>&lt;/li&gt;&lt;li&gt;&lt;a href=|http://study.interlinearbible.org/hebrews/6.htm| title=|Greek Study Bible| target=|_top|&gt;Grk Study&lt;/a&gt;</v>
      </c>
      <c r="W1139" t="str">
        <f t="shared" si="4552"/>
        <v>&lt;/li&gt;&lt;li&gt;&lt;a href=|http://apostolic.interlinearbible.org/hebrews/6.htm| title=|Apostolic Bible Polyglot Interlinear| target=|_top|&gt;Polyglot&lt;/a&gt;</v>
      </c>
      <c r="X1139" t="str">
        <f t="shared" si="4552"/>
        <v>&lt;/li&gt;&lt;li&gt;&lt;a href=|http://interlinearbible.org/hebrews/6.htm| title=|Interlinear Bible| target=|_top|&gt;Interlin&lt;/a&gt;</v>
      </c>
      <c r="Y1139" t="str">
        <f t="shared" ref="Y1139" si="4553">CONCATENATE("&lt;/li&gt;&lt;li&gt;&lt;a href=|http://",Y1191,"/hebrews/6.htm","| ","title=|",Y1190,"| target=|_top|&gt;",Y1192,"&lt;/a&gt;")</f>
        <v>&lt;/li&gt;&lt;li&gt;&lt;a href=|http://bibleoutline.org/hebrews/6.htm| title=|Outline with People and Places List| target=|_top|&gt;Outline&lt;/a&gt;</v>
      </c>
      <c r="Z1139" t="str">
        <f t="shared" si="4552"/>
        <v>&lt;/li&gt;&lt;li&gt;&lt;a href=|http://kjvs.scripturetext.com/hebrews/6.htm| title=|King James Bible with Strong's Numbers| target=|_top|&gt;Strong's&lt;/a&gt;</v>
      </c>
      <c r="AA1139" t="str">
        <f t="shared" si="4552"/>
        <v>&lt;/li&gt;&lt;li&gt;&lt;a href=|http://childrensbibleonline.com/hebrews/6.htm| title=|The Children's Bible| target=|_top|&gt;Children's&lt;/a&gt;</v>
      </c>
      <c r="AB1139" s="2" t="str">
        <f t="shared" si="4552"/>
        <v>&lt;/li&gt;&lt;li&gt;&lt;a href=|http://tsk.scripturetext.com/hebrews/6.htm| title=|Treasury of Scripture Knowledge| target=|_top|&gt;TSK&lt;/a&gt;</v>
      </c>
      <c r="AC1139" t="str">
        <f>CONCATENATE("&lt;a href=|http://",AC1191,"/hebrews/6.htm","| ","title=|",AC1190,"| target=|_top|&gt;",AC1192,"&lt;/a&gt;")</f>
        <v>&lt;a href=|http://parallelbible.com/hebrews/6.htm| title=|Parallel Chapters| target=|_top|&gt;PAR&lt;/a&gt;</v>
      </c>
      <c r="AD1139" s="2" t="str">
        <f t="shared" ref="AD1139:AI1139" si="4554">CONCATENATE("&lt;/li&gt;&lt;li&gt;&lt;a href=|http://",AD1191,"/hebrews/6.htm","| ","title=|",AD1190,"| target=|_top|&gt;",AD1192,"&lt;/a&gt;")</f>
        <v>&lt;/li&gt;&lt;li&gt;&lt;a href=|http://gsb.biblecommenter.com/hebrews/6.htm| title=|Geneva Study Bible| target=|_top|&gt;GSB&lt;/a&gt;</v>
      </c>
      <c r="AE1139" s="2" t="str">
        <f t="shared" si="4554"/>
        <v>&lt;/li&gt;&lt;li&gt;&lt;a href=|http://jfb.biblecommenter.com/hebrews/6.htm| title=|Jamieson-Fausset-Brown Bible Commentary| target=|_top|&gt;JFB&lt;/a&gt;</v>
      </c>
      <c r="AF1139" s="2" t="str">
        <f t="shared" si="4554"/>
        <v>&lt;/li&gt;&lt;li&gt;&lt;a href=|http://kjt.biblecommenter.com/hebrews/6.htm| title=|King James Translators' Notes| target=|_top|&gt;KJT&lt;/a&gt;</v>
      </c>
      <c r="AG1139" s="2" t="str">
        <f t="shared" si="4554"/>
        <v>&lt;/li&gt;&lt;li&gt;&lt;a href=|http://mhc.biblecommenter.com/hebrews/6.htm| title=|Matthew Henry's Concise Commentary| target=|_top|&gt;MHC&lt;/a&gt;</v>
      </c>
      <c r="AH1139" s="2" t="str">
        <f t="shared" si="4554"/>
        <v>&lt;/li&gt;&lt;li&gt;&lt;a href=|http://sco.biblecommenter.com/hebrews/6.htm| title=|Scofield Reference Notes| target=|_top|&gt;SCO&lt;/a&gt;</v>
      </c>
      <c r="AI1139" s="2" t="str">
        <f t="shared" si="4554"/>
        <v>&lt;/li&gt;&lt;li&gt;&lt;a href=|http://wes.biblecommenter.com/hebrews/6.htm| title=|Wesley's Notes on the Bible| target=|_top|&gt;WES&lt;/a&gt;</v>
      </c>
      <c r="AJ1139" t="str">
        <f>CONCATENATE("&lt;/li&gt;&lt;li&gt;&lt;a href=|http://",AJ1191,"/hebrews/6.htm","| ","title=|",AJ1190,"| target=|_top|&gt;",AJ1192,"&lt;/a&gt;")</f>
        <v>&lt;/li&gt;&lt;li&gt;&lt;a href=|http://worldebible.com/hebrews/6.htm| title=|World English Bible| target=|_top|&gt;WEB&lt;/a&gt;</v>
      </c>
      <c r="AK1139" t="str">
        <f>CONCATENATE("&lt;/li&gt;&lt;li&gt;&lt;a href=|http://",AK1191,"/hebrews/6.htm","| ","title=|",AK1190,"| target=|_top|&gt;",AK1192,"&lt;/a&gt;")</f>
        <v>&lt;/li&gt;&lt;li&gt;&lt;a href=|http://yltbible.com/hebrews/6.htm| title=|Young's Literal Translation| target=|_top|&gt;YLT&lt;/a&gt;</v>
      </c>
      <c r="AL1139" t="str">
        <f>CONCATENATE("&lt;a href=|http://",AL1191,"/hebrews/6.htm","| ","title=|",AL1190,"| target=|_top|&gt;",AL1192,"&lt;/a&gt;")</f>
        <v>&lt;a href=|http://kjv.us/hebrews/6.htm| title=|American King James Version| target=|_top|&gt;AKJ&lt;/a&gt;</v>
      </c>
      <c r="AM1139" t="str">
        <f t="shared" ref="AM1139:AS1139" si="4555">CONCATENATE("&lt;/li&gt;&lt;li&gt;&lt;a href=|http://",AM1191,"/hebrews/6.htm","| ","title=|",AM1190,"| target=|_top|&gt;",AM1192,"&lt;/a&gt;")</f>
        <v>&lt;/li&gt;&lt;li&gt;&lt;a href=|http://basicenglishbible.com/hebrews/6.htm| title=|Bible in Basic English| target=|_top|&gt;BBE&lt;/a&gt;</v>
      </c>
      <c r="AN1139" t="str">
        <f t="shared" si="4555"/>
        <v>&lt;/li&gt;&lt;li&gt;&lt;a href=|http://darbybible.com/hebrews/6.htm| title=|Darby Bible Translation| target=|_top|&gt;DBY&lt;/a&gt;</v>
      </c>
      <c r="AO1139" t="str">
        <f t="shared" si="4555"/>
        <v>&lt;/li&gt;&lt;li&gt;&lt;a href=|http://isv.scripturetext.com/hebrews/6.htm| title=|International Standard Version| target=|_top|&gt;ISV&lt;/a&gt;</v>
      </c>
      <c r="AP1139" t="str">
        <f t="shared" si="4555"/>
        <v>&lt;/li&gt;&lt;li&gt;&lt;a href=|http://tnt.scripturetext.com/hebrews/6.htm| title=|Tyndale New Testament| target=|_top|&gt;TNT&lt;/a&gt;</v>
      </c>
      <c r="AQ1139" s="2" t="str">
        <f t="shared" si="4555"/>
        <v>&lt;/li&gt;&lt;li&gt;&lt;a href=|http://pnt.biblecommenter.com/hebrews/6.htm| title=|People's New Testament| target=|_top|&gt;PNT&lt;/a&gt;</v>
      </c>
      <c r="AR1139" t="str">
        <f t="shared" si="4555"/>
        <v>&lt;/li&gt;&lt;li&gt;&lt;a href=|http://websterbible.com/hebrews/6.htm| title=|Webster's Bible Translation| target=|_top|&gt;WBS&lt;/a&gt;</v>
      </c>
      <c r="AS1139" t="str">
        <f t="shared" si="4555"/>
        <v>&lt;/li&gt;&lt;li&gt;&lt;a href=|http://weymouthbible.com/hebrews/6.htm| title=|Weymouth New Testament| target=|_top|&gt;WEY&lt;/a&gt;</v>
      </c>
      <c r="AT1139" t="str">
        <f>CONCATENATE("&lt;/li&gt;&lt;li&gt;&lt;a href=|http://",AT1191,"/hebrews/6-1.htm","| ","title=|",AT1190,"| target=|_top|&gt;",AT1192,"&lt;/a&gt;")</f>
        <v>&lt;/li&gt;&lt;li&gt;&lt;a href=|http://biblebrowser.com/hebrews/6-1.htm| title=|Split View| target=|_top|&gt;Split&lt;/a&gt;</v>
      </c>
      <c r="AU1139" s="2" t="s">
        <v>1276</v>
      </c>
      <c r="AV1139" t="s">
        <v>64</v>
      </c>
    </row>
    <row r="1140" spans="1:48">
      <c r="A1140" t="s">
        <v>622</v>
      </c>
      <c r="B1140" t="s">
        <v>571</v>
      </c>
      <c r="C1140" t="s">
        <v>624</v>
      </c>
      <c r="D1140" t="s">
        <v>1268</v>
      </c>
      <c r="E1140" t="s">
        <v>1277</v>
      </c>
      <c r="F1140" t="s">
        <v>1304</v>
      </c>
      <c r="G1140" t="s">
        <v>1266</v>
      </c>
      <c r="H1140" t="s">
        <v>1305</v>
      </c>
      <c r="I1140" t="s">
        <v>1303</v>
      </c>
      <c r="J1140" t="s">
        <v>1267</v>
      </c>
      <c r="K1140" t="s">
        <v>1275</v>
      </c>
      <c r="L1140" s="2" t="s">
        <v>1274</v>
      </c>
      <c r="M1140" t="str">
        <f t="shared" ref="M1140:AB1140" si="4556">CONCATENATE("&lt;/li&gt;&lt;li&gt;&lt;a href=|http://",M1191,"/hebrews/7.htm","| ","title=|",M1190,"| target=|_top|&gt;",M1192,"&lt;/a&gt;")</f>
        <v>&lt;/li&gt;&lt;li&gt;&lt;a href=|http://niv.scripturetext.com/hebrews/7.htm| title=|New International Version| target=|_top|&gt;NIV&lt;/a&gt;</v>
      </c>
      <c r="N1140" t="str">
        <f t="shared" si="4556"/>
        <v>&lt;/li&gt;&lt;li&gt;&lt;a href=|http://nlt.scripturetext.com/hebrews/7.htm| title=|New Living Translation| target=|_top|&gt;NLT&lt;/a&gt;</v>
      </c>
      <c r="O1140" t="str">
        <f t="shared" si="4556"/>
        <v>&lt;/li&gt;&lt;li&gt;&lt;a href=|http://nasb.scripturetext.com/hebrews/7.htm| title=|New American Standard Bible| target=|_top|&gt;NAS&lt;/a&gt;</v>
      </c>
      <c r="P1140" t="str">
        <f t="shared" si="4556"/>
        <v>&lt;/li&gt;&lt;li&gt;&lt;a href=|http://gwt.scripturetext.com/hebrews/7.htm| title=|God's Word Translation| target=|_top|&gt;GWT&lt;/a&gt;</v>
      </c>
      <c r="Q1140" t="str">
        <f t="shared" si="4556"/>
        <v>&lt;/li&gt;&lt;li&gt;&lt;a href=|http://kingjbible.com/hebrews/7.htm| title=|King James Bible| target=|_top|&gt;KJV&lt;/a&gt;</v>
      </c>
      <c r="R1140" t="str">
        <f t="shared" si="4556"/>
        <v>&lt;/li&gt;&lt;li&gt;&lt;a href=|http://asvbible.com/hebrews/7.htm| title=|American Standard Version| target=|_top|&gt;ASV&lt;/a&gt;</v>
      </c>
      <c r="S1140" t="str">
        <f t="shared" si="4556"/>
        <v>&lt;/li&gt;&lt;li&gt;&lt;a href=|http://drb.scripturetext.com/hebrews/7.htm| title=|Douay-Rheims Bible| target=|_top|&gt;DRB&lt;/a&gt;</v>
      </c>
      <c r="T1140" t="str">
        <f t="shared" si="4556"/>
        <v>&lt;/li&gt;&lt;li&gt;&lt;a href=|http://erv.scripturetext.com/hebrews/7.htm| title=|English Revised Version| target=|_top|&gt;ERV&lt;/a&gt;</v>
      </c>
      <c r="U1140" t="str">
        <f>CONCATENATE("&lt;/li&gt;&lt;li&gt;&lt;a href=|http://",U1191,"/hebrews/7.htm","| ","title=|",U1190,"| target=|_top|&gt;",U1192,"&lt;/a&gt;")</f>
        <v>&lt;/li&gt;&lt;li&gt;&lt;a href=|http://study.interlinearbible.org/hebrews/7.htm| title=|Greek Study Bible| target=|_top|&gt;Grk Study&lt;/a&gt;</v>
      </c>
      <c r="W1140" t="str">
        <f t="shared" si="4556"/>
        <v>&lt;/li&gt;&lt;li&gt;&lt;a href=|http://apostolic.interlinearbible.org/hebrews/7.htm| title=|Apostolic Bible Polyglot Interlinear| target=|_top|&gt;Polyglot&lt;/a&gt;</v>
      </c>
      <c r="X1140" t="str">
        <f t="shared" si="4556"/>
        <v>&lt;/li&gt;&lt;li&gt;&lt;a href=|http://interlinearbible.org/hebrews/7.htm| title=|Interlinear Bible| target=|_top|&gt;Interlin&lt;/a&gt;</v>
      </c>
      <c r="Y1140" t="str">
        <f t="shared" ref="Y1140" si="4557">CONCATENATE("&lt;/li&gt;&lt;li&gt;&lt;a href=|http://",Y1191,"/hebrews/7.htm","| ","title=|",Y1190,"| target=|_top|&gt;",Y1192,"&lt;/a&gt;")</f>
        <v>&lt;/li&gt;&lt;li&gt;&lt;a href=|http://bibleoutline.org/hebrews/7.htm| title=|Outline with People and Places List| target=|_top|&gt;Outline&lt;/a&gt;</v>
      </c>
      <c r="Z1140" t="str">
        <f t="shared" si="4556"/>
        <v>&lt;/li&gt;&lt;li&gt;&lt;a href=|http://kjvs.scripturetext.com/hebrews/7.htm| title=|King James Bible with Strong's Numbers| target=|_top|&gt;Strong's&lt;/a&gt;</v>
      </c>
      <c r="AA1140" t="str">
        <f t="shared" si="4556"/>
        <v>&lt;/li&gt;&lt;li&gt;&lt;a href=|http://childrensbibleonline.com/hebrews/7.htm| title=|The Children's Bible| target=|_top|&gt;Children's&lt;/a&gt;</v>
      </c>
      <c r="AB1140" s="2" t="str">
        <f t="shared" si="4556"/>
        <v>&lt;/li&gt;&lt;li&gt;&lt;a href=|http://tsk.scripturetext.com/hebrews/7.htm| title=|Treasury of Scripture Knowledge| target=|_top|&gt;TSK&lt;/a&gt;</v>
      </c>
      <c r="AC1140" t="str">
        <f>CONCATENATE("&lt;a href=|http://",AC1191,"/hebrews/7.htm","| ","title=|",AC1190,"| target=|_top|&gt;",AC1192,"&lt;/a&gt;")</f>
        <v>&lt;a href=|http://parallelbible.com/hebrews/7.htm| title=|Parallel Chapters| target=|_top|&gt;PAR&lt;/a&gt;</v>
      </c>
      <c r="AD1140" s="2" t="str">
        <f t="shared" ref="AD1140:AI1140" si="4558">CONCATENATE("&lt;/li&gt;&lt;li&gt;&lt;a href=|http://",AD1191,"/hebrews/7.htm","| ","title=|",AD1190,"| target=|_top|&gt;",AD1192,"&lt;/a&gt;")</f>
        <v>&lt;/li&gt;&lt;li&gt;&lt;a href=|http://gsb.biblecommenter.com/hebrews/7.htm| title=|Geneva Study Bible| target=|_top|&gt;GSB&lt;/a&gt;</v>
      </c>
      <c r="AE1140" s="2" t="str">
        <f t="shared" si="4558"/>
        <v>&lt;/li&gt;&lt;li&gt;&lt;a href=|http://jfb.biblecommenter.com/hebrews/7.htm| title=|Jamieson-Fausset-Brown Bible Commentary| target=|_top|&gt;JFB&lt;/a&gt;</v>
      </c>
      <c r="AF1140" s="2" t="str">
        <f t="shared" si="4558"/>
        <v>&lt;/li&gt;&lt;li&gt;&lt;a href=|http://kjt.biblecommenter.com/hebrews/7.htm| title=|King James Translators' Notes| target=|_top|&gt;KJT&lt;/a&gt;</v>
      </c>
      <c r="AG1140" s="2" t="str">
        <f t="shared" si="4558"/>
        <v>&lt;/li&gt;&lt;li&gt;&lt;a href=|http://mhc.biblecommenter.com/hebrews/7.htm| title=|Matthew Henry's Concise Commentary| target=|_top|&gt;MHC&lt;/a&gt;</v>
      </c>
      <c r="AH1140" s="2" t="str">
        <f t="shared" si="4558"/>
        <v>&lt;/li&gt;&lt;li&gt;&lt;a href=|http://sco.biblecommenter.com/hebrews/7.htm| title=|Scofield Reference Notes| target=|_top|&gt;SCO&lt;/a&gt;</v>
      </c>
      <c r="AI1140" s="2" t="str">
        <f t="shared" si="4558"/>
        <v>&lt;/li&gt;&lt;li&gt;&lt;a href=|http://wes.biblecommenter.com/hebrews/7.htm| title=|Wesley's Notes on the Bible| target=|_top|&gt;WES&lt;/a&gt;</v>
      </c>
      <c r="AJ1140" t="str">
        <f>CONCATENATE("&lt;/li&gt;&lt;li&gt;&lt;a href=|http://",AJ1191,"/hebrews/7.htm","| ","title=|",AJ1190,"| target=|_top|&gt;",AJ1192,"&lt;/a&gt;")</f>
        <v>&lt;/li&gt;&lt;li&gt;&lt;a href=|http://worldebible.com/hebrews/7.htm| title=|World English Bible| target=|_top|&gt;WEB&lt;/a&gt;</v>
      </c>
      <c r="AK1140" t="str">
        <f>CONCATENATE("&lt;/li&gt;&lt;li&gt;&lt;a href=|http://",AK1191,"/hebrews/7.htm","| ","title=|",AK1190,"| target=|_top|&gt;",AK1192,"&lt;/a&gt;")</f>
        <v>&lt;/li&gt;&lt;li&gt;&lt;a href=|http://yltbible.com/hebrews/7.htm| title=|Young's Literal Translation| target=|_top|&gt;YLT&lt;/a&gt;</v>
      </c>
      <c r="AL1140" t="str">
        <f>CONCATENATE("&lt;a href=|http://",AL1191,"/hebrews/7.htm","| ","title=|",AL1190,"| target=|_top|&gt;",AL1192,"&lt;/a&gt;")</f>
        <v>&lt;a href=|http://kjv.us/hebrews/7.htm| title=|American King James Version| target=|_top|&gt;AKJ&lt;/a&gt;</v>
      </c>
      <c r="AM1140" t="str">
        <f t="shared" ref="AM1140:AS1140" si="4559">CONCATENATE("&lt;/li&gt;&lt;li&gt;&lt;a href=|http://",AM1191,"/hebrews/7.htm","| ","title=|",AM1190,"| target=|_top|&gt;",AM1192,"&lt;/a&gt;")</f>
        <v>&lt;/li&gt;&lt;li&gt;&lt;a href=|http://basicenglishbible.com/hebrews/7.htm| title=|Bible in Basic English| target=|_top|&gt;BBE&lt;/a&gt;</v>
      </c>
      <c r="AN1140" t="str">
        <f t="shared" si="4559"/>
        <v>&lt;/li&gt;&lt;li&gt;&lt;a href=|http://darbybible.com/hebrews/7.htm| title=|Darby Bible Translation| target=|_top|&gt;DBY&lt;/a&gt;</v>
      </c>
      <c r="AO1140" t="str">
        <f t="shared" si="4559"/>
        <v>&lt;/li&gt;&lt;li&gt;&lt;a href=|http://isv.scripturetext.com/hebrews/7.htm| title=|International Standard Version| target=|_top|&gt;ISV&lt;/a&gt;</v>
      </c>
      <c r="AP1140" t="str">
        <f t="shared" si="4559"/>
        <v>&lt;/li&gt;&lt;li&gt;&lt;a href=|http://tnt.scripturetext.com/hebrews/7.htm| title=|Tyndale New Testament| target=|_top|&gt;TNT&lt;/a&gt;</v>
      </c>
      <c r="AQ1140" s="2" t="str">
        <f t="shared" si="4559"/>
        <v>&lt;/li&gt;&lt;li&gt;&lt;a href=|http://pnt.biblecommenter.com/hebrews/7.htm| title=|People's New Testament| target=|_top|&gt;PNT&lt;/a&gt;</v>
      </c>
      <c r="AR1140" t="str">
        <f t="shared" si="4559"/>
        <v>&lt;/li&gt;&lt;li&gt;&lt;a href=|http://websterbible.com/hebrews/7.htm| title=|Webster's Bible Translation| target=|_top|&gt;WBS&lt;/a&gt;</v>
      </c>
      <c r="AS1140" t="str">
        <f t="shared" si="4559"/>
        <v>&lt;/li&gt;&lt;li&gt;&lt;a href=|http://weymouthbible.com/hebrews/7.htm| title=|Weymouth New Testament| target=|_top|&gt;WEY&lt;/a&gt;</v>
      </c>
      <c r="AT1140" t="str">
        <f>CONCATENATE("&lt;/li&gt;&lt;li&gt;&lt;a href=|http://",AT1191,"/hebrews/7-1.htm","| ","title=|",AT1190,"| target=|_top|&gt;",AT1192,"&lt;/a&gt;")</f>
        <v>&lt;/li&gt;&lt;li&gt;&lt;a href=|http://biblebrowser.com/hebrews/7-1.htm| title=|Split View| target=|_top|&gt;Split&lt;/a&gt;</v>
      </c>
      <c r="AU1140" s="2" t="s">
        <v>1276</v>
      </c>
      <c r="AV1140" t="s">
        <v>64</v>
      </c>
    </row>
    <row r="1141" spans="1:48">
      <c r="A1141" t="s">
        <v>622</v>
      </c>
      <c r="B1141" t="s">
        <v>572</v>
      </c>
      <c r="C1141" t="s">
        <v>624</v>
      </c>
      <c r="D1141" t="s">
        <v>1268</v>
      </c>
      <c r="E1141" t="s">
        <v>1277</v>
      </c>
      <c r="F1141" t="s">
        <v>1304</v>
      </c>
      <c r="G1141" t="s">
        <v>1266</v>
      </c>
      <c r="H1141" t="s">
        <v>1305</v>
      </c>
      <c r="I1141" t="s">
        <v>1303</v>
      </c>
      <c r="J1141" t="s">
        <v>1267</v>
      </c>
      <c r="K1141" t="s">
        <v>1275</v>
      </c>
      <c r="L1141" s="2" t="s">
        <v>1274</v>
      </c>
      <c r="M1141" t="str">
        <f t="shared" ref="M1141:AB1141" si="4560">CONCATENATE("&lt;/li&gt;&lt;li&gt;&lt;a href=|http://",M1191,"/hebrews/8.htm","| ","title=|",M1190,"| target=|_top|&gt;",M1192,"&lt;/a&gt;")</f>
        <v>&lt;/li&gt;&lt;li&gt;&lt;a href=|http://niv.scripturetext.com/hebrews/8.htm| title=|New International Version| target=|_top|&gt;NIV&lt;/a&gt;</v>
      </c>
      <c r="N1141" t="str">
        <f t="shared" si="4560"/>
        <v>&lt;/li&gt;&lt;li&gt;&lt;a href=|http://nlt.scripturetext.com/hebrews/8.htm| title=|New Living Translation| target=|_top|&gt;NLT&lt;/a&gt;</v>
      </c>
      <c r="O1141" t="str">
        <f t="shared" si="4560"/>
        <v>&lt;/li&gt;&lt;li&gt;&lt;a href=|http://nasb.scripturetext.com/hebrews/8.htm| title=|New American Standard Bible| target=|_top|&gt;NAS&lt;/a&gt;</v>
      </c>
      <c r="P1141" t="str">
        <f t="shared" si="4560"/>
        <v>&lt;/li&gt;&lt;li&gt;&lt;a href=|http://gwt.scripturetext.com/hebrews/8.htm| title=|God's Word Translation| target=|_top|&gt;GWT&lt;/a&gt;</v>
      </c>
      <c r="Q1141" t="str">
        <f t="shared" si="4560"/>
        <v>&lt;/li&gt;&lt;li&gt;&lt;a href=|http://kingjbible.com/hebrews/8.htm| title=|King James Bible| target=|_top|&gt;KJV&lt;/a&gt;</v>
      </c>
      <c r="R1141" t="str">
        <f t="shared" si="4560"/>
        <v>&lt;/li&gt;&lt;li&gt;&lt;a href=|http://asvbible.com/hebrews/8.htm| title=|American Standard Version| target=|_top|&gt;ASV&lt;/a&gt;</v>
      </c>
      <c r="S1141" t="str">
        <f t="shared" si="4560"/>
        <v>&lt;/li&gt;&lt;li&gt;&lt;a href=|http://drb.scripturetext.com/hebrews/8.htm| title=|Douay-Rheims Bible| target=|_top|&gt;DRB&lt;/a&gt;</v>
      </c>
      <c r="T1141" t="str">
        <f t="shared" si="4560"/>
        <v>&lt;/li&gt;&lt;li&gt;&lt;a href=|http://erv.scripturetext.com/hebrews/8.htm| title=|English Revised Version| target=|_top|&gt;ERV&lt;/a&gt;</v>
      </c>
      <c r="U1141" t="str">
        <f>CONCATENATE("&lt;/li&gt;&lt;li&gt;&lt;a href=|http://",U1191,"/hebrews/8.htm","| ","title=|",U1190,"| target=|_top|&gt;",U1192,"&lt;/a&gt;")</f>
        <v>&lt;/li&gt;&lt;li&gt;&lt;a href=|http://study.interlinearbible.org/hebrews/8.htm| title=|Greek Study Bible| target=|_top|&gt;Grk Study&lt;/a&gt;</v>
      </c>
      <c r="W1141" t="str">
        <f t="shared" si="4560"/>
        <v>&lt;/li&gt;&lt;li&gt;&lt;a href=|http://apostolic.interlinearbible.org/hebrews/8.htm| title=|Apostolic Bible Polyglot Interlinear| target=|_top|&gt;Polyglot&lt;/a&gt;</v>
      </c>
      <c r="X1141" t="str">
        <f t="shared" si="4560"/>
        <v>&lt;/li&gt;&lt;li&gt;&lt;a href=|http://interlinearbible.org/hebrews/8.htm| title=|Interlinear Bible| target=|_top|&gt;Interlin&lt;/a&gt;</v>
      </c>
      <c r="Y1141" t="str">
        <f t="shared" ref="Y1141" si="4561">CONCATENATE("&lt;/li&gt;&lt;li&gt;&lt;a href=|http://",Y1191,"/hebrews/8.htm","| ","title=|",Y1190,"| target=|_top|&gt;",Y1192,"&lt;/a&gt;")</f>
        <v>&lt;/li&gt;&lt;li&gt;&lt;a href=|http://bibleoutline.org/hebrews/8.htm| title=|Outline with People and Places List| target=|_top|&gt;Outline&lt;/a&gt;</v>
      </c>
      <c r="Z1141" t="str">
        <f t="shared" si="4560"/>
        <v>&lt;/li&gt;&lt;li&gt;&lt;a href=|http://kjvs.scripturetext.com/hebrews/8.htm| title=|King James Bible with Strong's Numbers| target=|_top|&gt;Strong's&lt;/a&gt;</v>
      </c>
      <c r="AA1141" t="str">
        <f t="shared" si="4560"/>
        <v>&lt;/li&gt;&lt;li&gt;&lt;a href=|http://childrensbibleonline.com/hebrews/8.htm| title=|The Children's Bible| target=|_top|&gt;Children's&lt;/a&gt;</v>
      </c>
      <c r="AB1141" s="2" t="str">
        <f t="shared" si="4560"/>
        <v>&lt;/li&gt;&lt;li&gt;&lt;a href=|http://tsk.scripturetext.com/hebrews/8.htm| title=|Treasury of Scripture Knowledge| target=|_top|&gt;TSK&lt;/a&gt;</v>
      </c>
      <c r="AC1141" t="str">
        <f>CONCATENATE("&lt;a href=|http://",AC1191,"/hebrews/8.htm","| ","title=|",AC1190,"| target=|_top|&gt;",AC1192,"&lt;/a&gt;")</f>
        <v>&lt;a href=|http://parallelbible.com/hebrews/8.htm| title=|Parallel Chapters| target=|_top|&gt;PAR&lt;/a&gt;</v>
      </c>
      <c r="AD1141" s="2" t="str">
        <f t="shared" ref="AD1141:AI1141" si="4562">CONCATENATE("&lt;/li&gt;&lt;li&gt;&lt;a href=|http://",AD1191,"/hebrews/8.htm","| ","title=|",AD1190,"| target=|_top|&gt;",AD1192,"&lt;/a&gt;")</f>
        <v>&lt;/li&gt;&lt;li&gt;&lt;a href=|http://gsb.biblecommenter.com/hebrews/8.htm| title=|Geneva Study Bible| target=|_top|&gt;GSB&lt;/a&gt;</v>
      </c>
      <c r="AE1141" s="2" t="str">
        <f t="shared" si="4562"/>
        <v>&lt;/li&gt;&lt;li&gt;&lt;a href=|http://jfb.biblecommenter.com/hebrews/8.htm| title=|Jamieson-Fausset-Brown Bible Commentary| target=|_top|&gt;JFB&lt;/a&gt;</v>
      </c>
      <c r="AF1141" s="2" t="str">
        <f t="shared" si="4562"/>
        <v>&lt;/li&gt;&lt;li&gt;&lt;a href=|http://kjt.biblecommenter.com/hebrews/8.htm| title=|King James Translators' Notes| target=|_top|&gt;KJT&lt;/a&gt;</v>
      </c>
      <c r="AG1141" s="2" t="str">
        <f t="shared" si="4562"/>
        <v>&lt;/li&gt;&lt;li&gt;&lt;a href=|http://mhc.biblecommenter.com/hebrews/8.htm| title=|Matthew Henry's Concise Commentary| target=|_top|&gt;MHC&lt;/a&gt;</v>
      </c>
      <c r="AH1141" s="2" t="str">
        <f t="shared" si="4562"/>
        <v>&lt;/li&gt;&lt;li&gt;&lt;a href=|http://sco.biblecommenter.com/hebrews/8.htm| title=|Scofield Reference Notes| target=|_top|&gt;SCO&lt;/a&gt;</v>
      </c>
      <c r="AI1141" s="2" t="str">
        <f t="shared" si="4562"/>
        <v>&lt;/li&gt;&lt;li&gt;&lt;a href=|http://wes.biblecommenter.com/hebrews/8.htm| title=|Wesley's Notes on the Bible| target=|_top|&gt;WES&lt;/a&gt;</v>
      </c>
      <c r="AJ1141" t="str">
        <f>CONCATENATE("&lt;/li&gt;&lt;li&gt;&lt;a href=|http://",AJ1191,"/hebrews/8.htm","| ","title=|",AJ1190,"| target=|_top|&gt;",AJ1192,"&lt;/a&gt;")</f>
        <v>&lt;/li&gt;&lt;li&gt;&lt;a href=|http://worldebible.com/hebrews/8.htm| title=|World English Bible| target=|_top|&gt;WEB&lt;/a&gt;</v>
      </c>
      <c r="AK1141" t="str">
        <f>CONCATENATE("&lt;/li&gt;&lt;li&gt;&lt;a href=|http://",AK1191,"/hebrews/8.htm","| ","title=|",AK1190,"| target=|_top|&gt;",AK1192,"&lt;/a&gt;")</f>
        <v>&lt;/li&gt;&lt;li&gt;&lt;a href=|http://yltbible.com/hebrews/8.htm| title=|Young's Literal Translation| target=|_top|&gt;YLT&lt;/a&gt;</v>
      </c>
      <c r="AL1141" t="str">
        <f>CONCATENATE("&lt;a href=|http://",AL1191,"/hebrews/8.htm","| ","title=|",AL1190,"| target=|_top|&gt;",AL1192,"&lt;/a&gt;")</f>
        <v>&lt;a href=|http://kjv.us/hebrews/8.htm| title=|American King James Version| target=|_top|&gt;AKJ&lt;/a&gt;</v>
      </c>
      <c r="AM1141" t="str">
        <f t="shared" ref="AM1141:AS1141" si="4563">CONCATENATE("&lt;/li&gt;&lt;li&gt;&lt;a href=|http://",AM1191,"/hebrews/8.htm","| ","title=|",AM1190,"| target=|_top|&gt;",AM1192,"&lt;/a&gt;")</f>
        <v>&lt;/li&gt;&lt;li&gt;&lt;a href=|http://basicenglishbible.com/hebrews/8.htm| title=|Bible in Basic English| target=|_top|&gt;BBE&lt;/a&gt;</v>
      </c>
      <c r="AN1141" t="str">
        <f t="shared" si="4563"/>
        <v>&lt;/li&gt;&lt;li&gt;&lt;a href=|http://darbybible.com/hebrews/8.htm| title=|Darby Bible Translation| target=|_top|&gt;DBY&lt;/a&gt;</v>
      </c>
      <c r="AO1141" t="str">
        <f t="shared" si="4563"/>
        <v>&lt;/li&gt;&lt;li&gt;&lt;a href=|http://isv.scripturetext.com/hebrews/8.htm| title=|International Standard Version| target=|_top|&gt;ISV&lt;/a&gt;</v>
      </c>
      <c r="AP1141" t="str">
        <f t="shared" si="4563"/>
        <v>&lt;/li&gt;&lt;li&gt;&lt;a href=|http://tnt.scripturetext.com/hebrews/8.htm| title=|Tyndale New Testament| target=|_top|&gt;TNT&lt;/a&gt;</v>
      </c>
      <c r="AQ1141" s="2" t="str">
        <f t="shared" si="4563"/>
        <v>&lt;/li&gt;&lt;li&gt;&lt;a href=|http://pnt.biblecommenter.com/hebrews/8.htm| title=|People's New Testament| target=|_top|&gt;PNT&lt;/a&gt;</v>
      </c>
      <c r="AR1141" t="str">
        <f t="shared" si="4563"/>
        <v>&lt;/li&gt;&lt;li&gt;&lt;a href=|http://websterbible.com/hebrews/8.htm| title=|Webster's Bible Translation| target=|_top|&gt;WBS&lt;/a&gt;</v>
      </c>
      <c r="AS1141" t="str">
        <f t="shared" si="4563"/>
        <v>&lt;/li&gt;&lt;li&gt;&lt;a href=|http://weymouthbible.com/hebrews/8.htm| title=|Weymouth New Testament| target=|_top|&gt;WEY&lt;/a&gt;</v>
      </c>
      <c r="AT1141" t="str">
        <f>CONCATENATE("&lt;/li&gt;&lt;li&gt;&lt;a href=|http://",AT1191,"/hebrews/8-1.htm","| ","title=|",AT1190,"| target=|_top|&gt;",AT1192,"&lt;/a&gt;")</f>
        <v>&lt;/li&gt;&lt;li&gt;&lt;a href=|http://biblebrowser.com/hebrews/8-1.htm| title=|Split View| target=|_top|&gt;Split&lt;/a&gt;</v>
      </c>
      <c r="AU1141" s="2" t="s">
        <v>1276</v>
      </c>
      <c r="AV1141" t="s">
        <v>64</v>
      </c>
    </row>
    <row r="1142" spans="1:48">
      <c r="A1142" t="s">
        <v>622</v>
      </c>
      <c r="B1142" t="s">
        <v>573</v>
      </c>
      <c r="C1142" t="s">
        <v>624</v>
      </c>
      <c r="D1142" t="s">
        <v>1268</v>
      </c>
      <c r="E1142" t="s">
        <v>1277</v>
      </c>
      <c r="F1142" t="s">
        <v>1304</v>
      </c>
      <c r="G1142" t="s">
        <v>1266</v>
      </c>
      <c r="H1142" t="s">
        <v>1305</v>
      </c>
      <c r="I1142" t="s">
        <v>1303</v>
      </c>
      <c r="J1142" t="s">
        <v>1267</v>
      </c>
      <c r="K1142" t="s">
        <v>1275</v>
      </c>
      <c r="L1142" s="2" t="s">
        <v>1274</v>
      </c>
      <c r="M1142" t="str">
        <f t="shared" ref="M1142:AB1142" si="4564">CONCATENATE("&lt;/li&gt;&lt;li&gt;&lt;a href=|http://",M1191,"/hebrews/9.htm","| ","title=|",M1190,"| target=|_top|&gt;",M1192,"&lt;/a&gt;")</f>
        <v>&lt;/li&gt;&lt;li&gt;&lt;a href=|http://niv.scripturetext.com/hebrews/9.htm| title=|New International Version| target=|_top|&gt;NIV&lt;/a&gt;</v>
      </c>
      <c r="N1142" t="str">
        <f t="shared" si="4564"/>
        <v>&lt;/li&gt;&lt;li&gt;&lt;a href=|http://nlt.scripturetext.com/hebrews/9.htm| title=|New Living Translation| target=|_top|&gt;NLT&lt;/a&gt;</v>
      </c>
      <c r="O1142" t="str">
        <f t="shared" si="4564"/>
        <v>&lt;/li&gt;&lt;li&gt;&lt;a href=|http://nasb.scripturetext.com/hebrews/9.htm| title=|New American Standard Bible| target=|_top|&gt;NAS&lt;/a&gt;</v>
      </c>
      <c r="P1142" t="str">
        <f t="shared" si="4564"/>
        <v>&lt;/li&gt;&lt;li&gt;&lt;a href=|http://gwt.scripturetext.com/hebrews/9.htm| title=|God's Word Translation| target=|_top|&gt;GWT&lt;/a&gt;</v>
      </c>
      <c r="Q1142" t="str">
        <f t="shared" si="4564"/>
        <v>&lt;/li&gt;&lt;li&gt;&lt;a href=|http://kingjbible.com/hebrews/9.htm| title=|King James Bible| target=|_top|&gt;KJV&lt;/a&gt;</v>
      </c>
      <c r="R1142" t="str">
        <f t="shared" si="4564"/>
        <v>&lt;/li&gt;&lt;li&gt;&lt;a href=|http://asvbible.com/hebrews/9.htm| title=|American Standard Version| target=|_top|&gt;ASV&lt;/a&gt;</v>
      </c>
      <c r="S1142" t="str">
        <f t="shared" si="4564"/>
        <v>&lt;/li&gt;&lt;li&gt;&lt;a href=|http://drb.scripturetext.com/hebrews/9.htm| title=|Douay-Rheims Bible| target=|_top|&gt;DRB&lt;/a&gt;</v>
      </c>
      <c r="T1142" t="str">
        <f t="shared" si="4564"/>
        <v>&lt;/li&gt;&lt;li&gt;&lt;a href=|http://erv.scripturetext.com/hebrews/9.htm| title=|English Revised Version| target=|_top|&gt;ERV&lt;/a&gt;</v>
      </c>
      <c r="U1142" t="str">
        <f>CONCATENATE("&lt;/li&gt;&lt;li&gt;&lt;a href=|http://",U1191,"/hebrews/9.htm","| ","title=|",U1190,"| target=|_top|&gt;",U1192,"&lt;/a&gt;")</f>
        <v>&lt;/li&gt;&lt;li&gt;&lt;a href=|http://study.interlinearbible.org/hebrews/9.htm| title=|Greek Study Bible| target=|_top|&gt;Grk Study&lt;/a&gt;</v>
      </c>
      <c r="W1142" t="str">
        <f t="shared" si="4564"/>
        <v>&lt;/li&gt;&lt;li&gt;&lt;a href=|http://apostolic.interlinearbible.org/hebrews/9.htm| title=|Apostolic Bible Polyglot Interlinear| target=|_top|&gt;Polyglot&lt;/a&gt;</v>
      </c>
      <c r="X1142" t="str">
        <f t="shared" si="4564"/>
        <v>&lt;/li&gt;&lt;li&gt;&lt;a href=|http://interlinearbible.org/hebrews/9.htm| title=|Interlinear Bible| target=|_top|&gt;Interlin&lt;/a&gt;</v>
      </c>
      <c r="Y1142" t="str">
        <f t="shared" ref="Y1142" si="4565">CONCATENATE("&lt;/li&gt;&lt;li&gt;&lt;a href=|http://",Y1191,"/hebrews/9.htm","| ","title=|",Y1190,"| target=|_top|&gt;",Y1192,"&lt;/a&gt;")</f>
        <v>&lt;/li&gt;&lt;li&gt;&lt;a href=|http://bibleoutline.org/hebrews/9.htm| title=|Outline with People and Places List| target=|_top|&gt;Outline&lt;/a&gt;</v>
      </c>
      <c r="Z1142" t="str">
        <f t="shared" si="4564"/>
        <v>&lt;/li&gt;&lt;li&gt;&lt;a href=|http://kjvs.scripturetext.com/hebrews/9.htm| title=|King James Bible with Strong's Numbers| target=|_top|&gt;Strong's&lt;/a&gt;</v>
      </c>
      <c r="AA1142" t="str">
        <f t="shared" si="4564"/>
        <v>&lt;/li&gt;&lt;li&gt;&lt;a href=|http://childrensbibleonline.com/hebrews/9.htm| title=|The Children's Bible| target=|_top|&gt;Children's&lt;/a&gt;</v>
      </c>
      <c r="AB1142" s="2" t="str">
        <f t="shared" si="4564"/>
        <v>&lt;/li&gt;&lt;li&gt;&lt;a href=|http://tsk.scripturetext.com/hebrews/9.htm| title=|Treasury of Scripture Knowledge| target=|_top|&gt;TSK&lt;/a&gt;</v>
      </c>
      <c r="AC1142" t="str">
        <f>CONCATENATE("&lt;a href=|http://",AC1191,"/hebrews/9.htm","| ","title=|",AC1190,"| target=|_top|&gt;",AC1192,"&lt;/a&gt;")</f>
        <v>&lt;a href=|http://parallelbible.com/hebrews/9.htm| title=|Parallel Chapters| target=|_top|&gt;PAR&lt;/a&gt;</v>
      </c>
      <c r="AD1142" s="2" t="str">
        <f t="shared" ref="AD1142:AI1142" si="4566">CONCATENATE("&lt;/li&gt;&lt;li&gt;&lt;a href=|http://",AD1191,"/hebrews/9.htm","| ","title=|",AD1190,"| target=|_top|&gt;",AD1192,"&lt;/a&gt;")</f>
        <v>&lt;/li&gt;&lt;li&gt;&lt;a href=|http://gsb.biblecommenter.com/hebrews/9.htm| title=|Geneva Study Bible| target=|_top|&gt;GSB&lt;/a&gt;</v>
      </c>
      <c r="AE1142" s="2" t="str">
        <f t="shared" si="4566"/>
        <v>&lt;/li&gt;&lt;li&gt;&lt;a href=|http://jfb.biblecommenter.com/hebrews/9.htm| title=|Jamieson-Fausset-Brown Bible Commentary| target=|_top|&gt;JFB&lt;/a&gt;</v>
      </c>
      <c r="AF1142" s="2" t="str">
        <f t="shared" si="4566"/>
        <v>&lt;/li&gt;&lt;li&gt;&lt;a href=|http://kjt.biblecommenter.com/hebrews/9.htm| title=|King James Translators' Notes| target=|_top|&gt;KJT&lt;/a&gt;</v>
      </c>
      <c r="AG1142" s="2" t="str">
        <f t="shared" si="4566"/>
        <v>&lt;/li&gt;&lt;li&gt;&lt;a href=|http://mhc.biblecommenter.com/hebrews/9.htm| title=|Matthew Henry's Concise Commentary| target=|_top|&gt;MHC&lt;/a&gt;</v>
      </c>
      <c r="AH1142" s="2" t="str">
        <f t="shared" si="4566"/>
        <v>&lt;/li&gt;&lt;li&gt;&lt;a href=|http://sco.biblecommenter.com/hebrews/9.htm| title=|Scofield Reference Notes| target=|_top|&gt;SCO&lt;/a&gt;</v>
      </c>
      <c r="AI1142" s="2" t="str">
        <f t="shared" si="4566"/>
        <v>&lt;/li&gt;&lt;li&gt;&lt;a href=|http://wes.biblecommenter.com/hebrews/9.htm| title=|Wesley's Notes on the Bible| target=|_top|&gt;WES&lt;/a&gt;</v>
      </c>
      <c r="AJ1142" t="str">
        <f>CONCATENATE("&lt;/li&gt;&lt;li&gt;&lt;a href=|http://",AJ1191,"/hebrews/9.htm","| ","title=|",AJ1190,"| target=|_top|&gt;",AJ1192,"&lt;/a&gt;")</f>
        <v>&lt;/li&gt;&lt;li&gt;&lt;a href=|http://worldebible.com/hebrews/9.htm| title=|World English Bible| target=|_top|&gt;WEB&lt;/a&gt;</v>
      </c>
      <c r="AK1142" t="str">
        <f>CONCATENATE("&lt;/li&gt;&lt;li&gt;&lt;a href=|http://",AK1191,"/hebrews/9.htm","| ","title=|",AK1190,"| target=|_top|&gt;",AK1192,"&lt;/a&gt;")</f>
        <v>&lt;/li&gt;&lt;li&gt;&lt;a href=|http://yltbible.com/hebrews/9.htm| title=|Young's Literal Translation| target=|_top|&gt;YLT&lt;/a&gt;</v>
      </c>
      <c r="AL1142" t="str">
        <f>CONCATENATE("&lt;a href=|http://",AL1191,"/hebrews/9.htm","| ","title=|",AL1190,"| target=|_top|&gt;",AL1192,"&lt;/a&gt;")</f>
        <v>&lt;a href=|http://kjv.us/hebrews/9.htm| title=|American King James Version| target=|_top|&gt;AKJ&lt;/a&gt;</v>
      </c>
      <c r="AM1142" t="str">
        <f t="shared" ref="AM1142:AS1142" si="4567">CONCATENATE("&lt;/li&gt;&lt;li&gt;&lt;a href=|http://",AM1191,"/hebrews/9.htm","| ","title=|",AM1190,"| target=|_top|&gt;",AM1192,"&lt;/a&gt;")</f>
        <v>&lt;/li&gt;&lt;li&gt;&lt;a href=|http://basicenglishbible.com/hebrews/9.htm| title=|Bible in Basic English| target=|_top|&gt;BBE&lt;/a&gt;</v>
      </c>
      <c r="AN1142" t="str">
        <f t="shared" si="4567"/>
        <v>&lt;/li&gt;&lt;li&gt;&lt;a href=|http://darbybible.com/hebrews/9.htm| title=|Darby Bible Translation| target=|_top|&gt;DBY&lt;/a&gt;</v>
      </c>
      <c r="AO1142" t="str">
        <f t="shared" si="4567"/>
        <v>&lt;/li&gt;&lt;li&gt;&lt;a href=|http://isv.scripturetext.com/hebrews/9.htm| title=|International Standard Version| target=|_top|&gt;ISV&lt;/a&gt;</v>
      </c>
      <c r="AP1142" t="str">
        <f t="shared" si="4567"/>
        <v>&lt;/li&gt;&lt;li&gt;&lt;a href=|http://tnt.scripturetext.com/hebrews/9.htm| title=|Tyndale New Testament| target=|_top|&gt;TNT&lt;/a&gt;</v>
      </c>
      <c r="AQ1142" s="2" t="str">
        <f t="shared" si="4567"/>
        <v>&lt;/li&gt;&lt;li&gt;&lt;a href=|http://pnt.biblecommenter.com/hebrews/9.htm| title=|People's New Testament| target=|_top|&gt;PNT&lt;/a&gt;</v>
      </c>
      <c r="AR1142" t="str">
        <f t="shared" si="4567"/>
        <v>&lt;/li&gt;&lt;li&gt;&lt;a href=|http://websterbible.com/hebrews/9.htm| title=|Webster's Bible Translation| target=|_top|&gt;WBS&lt;/a&gt;</v>
      </c>
      <c r="AS1142" t="str">
        <f t="shared" si="4567"/>
        <v>&lt;/li&gt;&lt;li&gt;&lt;a href=|http://weymouthbible.com/hebrews/9.htm| title=|Weymouth New Testament| target=|_top|&gt;WEY&lt;/a&gt;</v>
      </c>
      <c r="AT1142" t="str">
        <f>CONCATENATE("&lt;/li&gt;&lt;li&gt;&lt;a href=|http://",AT1191,"/hebrews/9-1.htm","| ","title=|",AT1190,"| target=|_top|&gt;",AT1192,"&lt;/a&gt;")</f>
        <v>&lt;/li&gt;&lt;li&gt;&lt;a href=|http://biblebrowser.com/hebrews/9-1.htm| title=|Split View| target=|_top|&gt;Split&lt;/a&gt;</v>
      </c>
      <c r="AU1142" s="2" t="s">
        <v>1276</v>
      </c>
      <c r="AV1142" t="s">
        <v>64</v>
      </c>
    </row>
    <row r="1143" spans="1:48">
      <c r="A1143" t="s">
        <v>622</v>
      </c>
      <c r="B1143" t="s">
        <v>574</v>
      </c>
      <c r="C1143" t="s">
        <v>624</v>
      </c>
      <c r="D1143" t="s">
        <v>1268</v>
      </c>
      <c r="E1143" t="s">
        <v>1277</v>
      </c>
      <c r="F1143" t="s">
        <v>1304</v>
      </c>
      <c r="G1143" t="s">
        <v>1266</v>
      </c>
      <c r="H1143" t="s">
        <v>1305</v>
      </c>
      <c r="I1143" t="s">
        <v>1303</v>
      </c>
      <c r="J1143" t="s">
        <v>1267</v>
      </c>
      <c r="K1143" t="s">
        <v>1275</v>
      </c>
      <c r="L1143" s="2" t="s">
        <v>1274</v>
      </c>
      <c r="M1143" t="str">
        <f t="shared" ref="M1143:AB1143" si="4568">CONCATENATE("&lt;/li&gt;&lt;li&gt;&lt;a href=|http://",M1191,"/hebrews/10.htm","| ","title=|",M1190,"| target=|_top|&gt;",M1192,"&lt;/a&gt;")</f>
        <v>&lt;/li&gt;&lt;li&gt;&lt;a href=|http://niv.scripturetext.com/hebrews/10.htm| title=|New International Version| target=|_top|&gt;NIV&lt;/a&gt;</v>
      </c>
      <c r="N1143" t="str">
        <f t="shared" si="4568"/>
        <v>&lt;/li&gt;&lt;li&gt;&lt;a href=|http://nlt.scripturetext.com/hebrews/10.htm| title=|New Living Translation| target=|_top|&gt;NLT&lt;/a&gt;</v>
      </c>
      <c r="O1143" t="str">
        <f t="shared" si="4568"/>
        <v>&lt;/li&gt;&lt;li&gt;&lt;a href=|http://nasb.scripturetext.com/hebrews/10.htm| title=|New American Standard Bible| target=|_top|&gt;NAS&lt;/a&gt;</v>
      </c>
      <c r="P1143" t="str">
        <f t="shared" si="4568"/>
        <v>&lt;/li&gt;&lt;li&gt;&lt;a href=|http://gwt.scripturetext.com/hebrews/10.htm| title=|God's Word Translation| target=|_top|&gt;GWT&lt;/a&gt;</v>
      </c>
      <c r="Q1143" t="str">
        <f t="shared" si="4568"/>
        <v>&lt;/li&gt;&lt;li&gt;&lt;a href=|http://kingjbible.com/hebrews/10.htm| title=|King James Bible| target=|_top|&gt;KJV&lt;/a&gt;</v>
      </c>
      <c r="R1143" t="str">
        <f t="shared" si="4568"/>
        <v>&lt;/li&gt;&lt;li&gt;&lt;a href=|http://asvbible.com/hebrews/10.htm| title=|American Standard Version| target=|_top|&gt;ASV&lt;/a&gt;</v>
      </c>
      <c r="S1143" t="str">
        <f t="shared" si="4568"/>
        <v>&lt;/li&gt;&lt;li&gt;&lt;a href=|http://drb.scripturetext.com/hebrews/10.htm| title=|Douay-Rheims Bible| target=|_top|&gt;DRB&lt;/a&gt;</v>
      </c>
      <c r="T1143" t="str">
        <f t="shared" si="4568"/>
        <v>&lt;/li&gt;&lt;li&gt;&lt;a href=|http://erv.scripturetext.com/hebrews/10.htm| title=|English Revised Version| target=|_top|&gt;ERV&lt;/a&gt;</v>
      </c>
      <c r="U1143" t="str">
        <f>CONCATENATE("&lt;/li&gt;&lt;li&gt;&lt;a href=|http://",U1191,"/hebrews/10.htm","| ","title=|",U1190,"| target=|_top|&gt;",U1192,"&lt;/a&gt;")</f>
        <v>&lt;/li&gt;&lt;li&gt;&lt;a href=|http://study.interlinearbible.org/hebrews/10.htm| title=|Greek Study Bible| target=|_top|&gt;Grk Study&lt;/a&gt;</v>
      </c>
      <c r="W1143" t="str">
        <f t="shared" si="4568"/>
        <v>&lt;/li&gt;&lt;li&gt;&lt;a href=|http://apostolic.interlinearbible.org/hebrews/10.htm| title=|Apostolic Bible Polyglot Interlinear| target=|_top|&gt;Polyglot&lt;/a&gt;</v>
      </c>
      <c r="X1143" t="str">
        <f t="shared" si="4568"/>
        <v>&lt;/li&gt;&lt;li&gt;&lt;a href=|http://interlinearbible.org/hebrews/10.htm| title=|Interlinear Bible| target=|_top|&gt;Interlin&lt;/a&gt;</v>
      </c>
      <c r="Y1143" t="str">
        <f t="shared" ref="Y1143" si="4569">CONCATENATE("&lt;/li&gt;&lt;li&gt;&lt;a href=|http://",Y1191,"/hebrews/10.htm","| ","title=|",Y1190,"| target=|_top|&gt;",Y1192,"&lt;/a&gt;")</f>
        <v>&lt;/li&gt;&lt;li&gt;&lt;a href=|http://bibleoutline.org/hebrews/10.htm| title=|Outline with People and Places List| target=|_top|&gt;Outline&lt;/a&gt;</v>
      </c>
      <c r="Z1143" t="str">
        <f t="shared" si="4568"/>
        <v>&lt;/li&gt;&lt;li&gt;&lt;a href=|http://kjvs.scripturetext.com/hebrews/10.htm| title=|King James Bible with Strong's Numbers| target=|_top|&gt;Strong's&lt;/a&gt;</v>
      </c>
      <c r="AA1143" t="str">
        <f t="shared" si="4568"/>
        <v>&lt;/li&gt;&lt;li&gt;&lt;a href=|http://childrensbibleonline.com/hebrews/10.htm| title=|The Children's Bible| target=|_top|&gt;Children's&lt;/a&gt;</v>
      </c>
      <c r="AB1143" s="2" t="str">
        <f t="shared" si="4568"/>
        <v>&lt;/li&gt;&lt;li&gt;&lt;a href=|http://tsk.scripturetext.com/hebrews/10.htm| title=|Treasury of Scripture Knowledge| target=|_top|&gt;TSK&lt;/a&gt;</v>
      </c>
      <c r="AC1143" t="str">
        <f>CONCATENATE("&lt;a href=|http://",AC1191,"/hebrews/10.htm","| ","title=|",AC1190,"| target=|_top|&gt;",AC1192,"&lt;/a&gt;")</f>
        <v>&lt;a href=|http://parallelbible.com/hebrews/10.htm| title=|Parallel Chapters| target=|_top|&gt;PAR&lt;/a&gt;</v>
      </c>
      <c r="AD1143" s="2" t="str">
        <f t="shared" ref="AD1143:AI1143" si="4570">CONCATENATE("&lt;/li&gt;&lt;li&gt;&lt;a href=|http://",AD1191,"/hebrews/10.htm","| ","title=|",AD1190,"| target=|_top|&gt;",AD1192,"&lt;/a&gt;")</f>
        <v>&lt;/li&gt;&lt;li&gt;&lt;a href=|http://gsb.biblecommenter.com/hebrews/10.htm| title=|Geneva Study Bible| target=|_top|&gt;GSB&lt;/a&gt;</v>
      </c>
      <c r="AE1143" s="2" t="str">
        <f t="shared" si="4570"/>
        <v>&lt;/li&gt;&lt;li&gt;&lt;a href=|http://jfb.biblecommenter.com/hebrews/10.htm| title=|Jamieson-Fausset-Brown Bible Commentary| target=|_top|&gt;JFB&lt;/a&gt;</v>
      </c>
      <c r="AF1143" s="2" t="str">
        <f t="shared" si="4570"/>
        <v>&lt;/li&gt;&lt;li&gt;&lt;a href=|http://kjt.biblecommenter.com/hebrews/10.htm| title=|King James Translators' Notes| target=|_top|&gt;KJT&lt;/a&gt;</v>
      </c>
      <c r="AG1143" s="2" t="str">
        <f t="shared" si="4570"/>
        <v>&lt;/li&gt;&lt;li&gt;&lt;a href=|http://mhc.biblecommenter.com/hebrews/10.htm| title=|Matthew Henry's Concise Commentary| target=|_top|&gt;MHC&lt;/a&gt;</v>
      </c>
      <c r="AH1143" s="2" t="str">
        <f t="shared" si="4570"/>
        <v>&lt;/li&gt;&lt;li&gt;&lt;a href=|http://sco.biblecommenter.com/hebrews/10.htm| title=|Scofield Reference Notes| target=|_top|&gt;SCO&lt;/a&gt;</v>
      </c>
      <c r="AI1143" s="2" t="str">
        <f t="shared" si="4570"/>
        <v>&lt;/li&gt;&lt;li&gt;&lt;a href=|http://wes.biblecommenter.com/hebrews/10.htm| title=|Wesley's Notes on the Bible| target=|_top|&gt;WES&lt;/a&gt;</v>
      </c>
      <c r="AJ1143" t="str">
        <f>CONCATENATE("&lt;/li&gt;&lt;li&gt;&lt;a href=|http://",AJ1191,"/hebrews/10.htm","| ","title=|",AJ1190,"| target=|_top|&gt;",AJ1192,"&lt;/a&gt;")</f>
        <v>&lt;/li&gt;&lt;li&gt;&lt;a href=|http://worldebible.com/hebrews/10.htm| title=|World English Bible| target=|_top|&gt;WEB&lt;/a&gt;</v>
      </c>
      <c r="AK1143" t="str">
        <f>CONCATENATE("&lt;/li&gt;&lt;li&gt;&lt;a href=|http://",AK1191,"/hebrews/10.htm","| ","title=|",AK1190,"| target=|_top|&gt;",AK1192,"&lt;/a&gt;")</f>
        <v>&lt;/li&gt;&lt;li&gt;&lt;a href=|http://yltbible.com/hebrews/10.htm| title=|Young's Literal Translation| target=|_top|&gt;YLT&lt;/a&gt;</v>
      </c>
      <c r="AL1143" t="str">
        <f>CONCATENATE("&lt;a href=|http://",AL1191,"/hebrews/10.htm","| ","title=|",AL1190,"| target=|_top|&gt;",AL1192,"&lt;/a&gt;")</f>
        <v>&lt;a href=|http://kjv.us/hebrews/10.htm| title=|American King James Version| target=|_top|&gt;AKJ&lt;/a&gt;</v>
      </c>
      <c r="AM1143" t="str">
        <f t="shared" ref="AM1143:AS1143" si="4571">CONCATENATE("&lt;/li&gt;&lt;li&gt;&lt;a href=|http://",AM1191,"/hebrews/10.htm","| ","title=|",AM1190,"| target=|_top|&gt;",AM1192,"&lt;/a&gt;")</f>
        <v>&lt;/li&gt;&lt;li&gt;&lt;a href=|http://basicenglishbible.com/hebrews/10.htm| title=|Bible in Basic English| target=|_top|&gt;BBE&lt;/a&gt;</v>
      </c>
      <c r="AN1143" t="str">
        <f t="shared" si="4571"/>
        <v>&lt;/li&gt;&lt;li&gt;&lt;a href=|http://darbybible.com/hebrews/10.htm| title=|Darby Bible Translation| target=|_top|&gt;DBY&lt;/a&gt;</v>
      </c>
      <c r="AO1143" t="str">
        <f t="shared" si="4571"/>
        <v>&lt;/li&gt;&lt;li&gt;&lt;a href=|http://isv.scripturetext.com/hebrews/10.htm| title=|International Standard Version| target=|_top|&gt;ISV&lt;/a&gt;</v>
      </c>
      <c r="AP1143" t="str">
        <f t="shared" si="4571"/>
        <v>&lt;/li&gt;&lt;li&gt;&lt;a href=|http://tnt.scripturetext.com/hebrews/10.htm| title=|Tyndale New Testament| target=|_top|&gt;TNT&lt;/a&gt;</v>
      </c>
      <c r="AQ1143" s="2" t="str">
        <f t="shared" si="4571"/>
        <v>&lt;/li&gt;&lt;li&gt;&lt;a href=|http://pnt.biblecommenter.com/hebrews/10.htm| title=|People's New Testament| target=|_top|&gt;PNT&lt;/a&gt;</v>
      </c>
      <c r="AR1143" t="str">
        <f t="shared" si="4571"/>
        <v>&lt;/li&gt;&lt;li&gt;&lt;a href=|http://websterbible.com/hebrews/10.htm| title=|Webster's Bible Translation| target=|_top|&gt;WBS&lt;/a&gt;</v>
      </c>
      <c r="AS1143" t="str">
        <f t="shared" si="4571"/>
        <v>&lt;/li&gt;&lt;li&gt;&lt;a href=|http://weymouthbible.com/hebrews/10.htm| title=|Weymouth New Testament| target=|_top|&gt;WEY&lt;/a&gt;</v>
      </c>
      <c r="AT1143" t="str">
        <f>CONCATENATE("&lt;/li&gt;&lt;li&gt;&lt;a href=|http://",AT1191,"/hebrews/10-1.htm","| ","title=|",AT1190,"| target=|_top|&gt;",AT1192,"&lt;/a&gt;")</f>
        <v>&lt;/li&gt;&lt;li&gt;&lt;a href=|http://biblebrowser.com/hebrews/10-1.htm| title=|Split View| target=|_top|&gt;Split&lt;/a&gt;</v>
      </c>
      <c r="AU1143" s="2" t="s">
        <v>1276</v>
      </c>
      <c r="AV1143" t="s">
        <v>64</v>
      </c>
    </row>
    <row r="1144" spans="1:48">
      <c r="A1144" t="s">
        <v>622</v>
      </c>
      <c r="B1144" t="s">
        <v>575</v>
      </c>
      <c r="C1144" t="s">
        <v>624</v>
      </c>
      <c r="D1144" t="s">
        <v>1268</v>
      </c>
      <c r="E1144" t="s">
        <v>1277</v>
      </c>
      <c r="F1144" t="s">
        <v>1304</v>
      </c>
      <c r="G1144" t="s">
        <v>1266</v>
      </c>
      <c r="H1144" t="s">
        <v>1305</v>
      </c>
      <c r="I1144" t="s">
        <v>1303</v>
      </c>
      <c r="J1144" t="s">
        <v>1267</v>
      </c>
      <c r="K1144" t="s">
        <v>1275</v>
      </c>
      <c r="L1144" s="2" t="s">
        <v>1274</v>
      </c>
      <c r="M1144" t="str">
        <f t="shared" ref="M1144:AB1144" si="4572">CONCATENATE("&lt;/li&gt;&lt;li&gt;&lt;a href=|http://",M1191,"/hebrews/11.htm","| ","title=|",M1190,"| target=|_top|&gt;",M1192,"&lt;/a&gt;")</f>
        <v>&lt;/li&gt;&lt;li&gt;&lt;a href=|http://niv.scripturetext.com/hebrews/11.htm| title=|New International Version| target=|_top|&gt;NIV&lt;/a&gt;</v>
      </c>
      <c r="N1144" t="str">
        <f t="shared" si="4572"/>
        <v>&lt;/li&gt;&lt;li&gt;&lt;a href=|http://nlt.scripturetext.com/hebrews/11.htm| title=|New Living Translation| target=|_top|&gt;NLT&lt;/a&gt;</v>
      </c>
      <c r="O1144" t="str">
        <f t="shared" si="4572"/>
        <v>&lt;/li&gt;&lt;li&gt;&lt;a href=|http://nasb.scripturetext.com/hebrews/11.htm| title=|New American Standard Bible| target=|_top|&gt;NAS&lt;/a&gt;</v>
      </c>
      <c r="P1144" t="str">
        <f t="shared" si="4572"/>
        <v>&lt;/li&gt;&lt;li&gt;&lt;a href=|http://gwt.scripturetext.com/hebrews/11.htm| title=|God's Word Translation| target=|_top|&gt;GWT&lt;/a&gt;</v>
      </c>
      <c r="Q1144" t="str">
        <f t="shared" si="4572"/>
        <v>&lt;/li&gt;&lt;li&gt;&lt;a href=|http://kingjbible.com/hebrews/11.htm| title=|King James Bible| target=|_top|&gt;KJV&lt;/a&gt;</v>
      </c>
      <c r="R1144" t="str">
        <f t="shared" si="4572"/>
        <v>&lt;/li&gt;&lt;li&gt;&lt;a href=|http://asvbible.com/hebrews/11.htm| title=|American Standard Version| target=|_top|&gt;ASV&lt;/a&gt;</v>
      </c>
      <c r="S1144" t="str">
        <f t="shared" si="4572"/>
        <v>&lt;/li&gt;&lt;li&gt;&lt;a href=|http://drb.scripturetext.com/hebrews/11.htm| title=|Douay-Rheims Bible| target=|_top|&gt;DRB&lt;/a&gt;</v>
      </c>
      <c r="T1144" t="str">
        <f t="shared" si="4572"/>
        <v>&lt;/li&gt;&lt;li&gt;&lt;a href=|http://erv.scripturetext.com/hebrews/11.htm| title=|English Revised Version| target=|_top|&gt;ERV&lt;/a&gt;</v>
      </c>
      <c r="U1144" t="str">
        <f>CONCATENATE("&lt;/li&gt;&lt;li&gt;&lt;a href=|http://",U1191,"/hebrews/11.htm","| ","title=|",U1190,"| target=|_top|&gt;",U1192,"&lt;/a&gt;")</f>
        <v>&lt;/li&gt;&lt;li&gt;&lt;a href=|http://study.interlinearbible.org/hebrews/11.htm| title=|Greek Study Bible| target=|_top|&gt;Grk Study&lt;/a&gt;</v>
      </c>
      <c r="W1144" t="str">
        <f t="shared" si="4572"/>
        <v>&lt;/li&gt;&lt;li&gt;&lt;a href=|http://apostolic.interlinearbible.org/hebrews/11.htm| title=|Apostolic Bible Polyglot Interlinear| target=|_top|&gt;Polyglot&lt;/a&gt;</v>
      </c>
      <c r="X1144" t="str">
        <f t="shared" si="4572"/>
        <v>&lt;/li&gt;&lt;li&gt;&lt;a href=|http://interlinearbible.org/hebrews/11.htm| title=|Interlinear Bible| target=|_top|&gt;Interlin&lt;/a&gt;</v>
      </c>
      <c r="Y1144" t="str">
        <f t="shared" ref="Y1144" si="4573">CONCATENATE("&lt;/li&gt;&lt;li&gt;&lt;a href=|http://",Y1191,"/hebrews/11.htm","| ","title=|",Y1190,"| target=|_top|&gt;",Y1192,"&lt;/a&gt;")</f>
        <v>&lt;/li&gt;&lt;li&gt;&lt;a href=|http://bibleoutline.org/hebrews/11.htm| title=|Outline with People and Places List| target=|_top|&gt;Outline&lt;/a&gt;</v>
      </c>
      <c r="Z1144" t="str">
        <f t="shared" si="4572"/>
        <v>&lt;/li&gt;&lt;li&gt;&lt;a href=|http://kjvs.scripturetext.com/hebrews/11.htm| title=|King James Bible with Strong's Numbers| target=|_top|&gt;Strong's&lt;/a&gt;</v>
      </c>
      <c r="AA1144" t="str">
        <f t="shared" si="4572"/>
        <v>&lt;/li&gt;&lt;li&gt;&lt;a href=|http://childrensbibleonline.com/hebrews/11.htm| title=|The Children's Bible| target=|_top|&gt;Children's&lt;/a&gt;</v>
      </c>
      <c r="AB1144" s="2" t="str">
        <f t="shared" si="4572"/>
        <v>&lt;/li&gt;&lt;li&gt;&lt;a href=|http://tsk.scripturetext.com/hebrews/11.htm| title=|Treasury of Scripture Knowledge| target=|_top|&gt;TSK&lt;/a&gt;</v>
      </c>
      <c r="AC1144" t="str">
        <f>CONCATENATE("&lt;a href=|http://",AC1191,"/hebrews/11.htm","| ","title=|",AC1190,"| target=|_top|&gt;",AC1192,"&lt;/a&gt;")</f>
        <v>&lt;a href=|http://parallelbible.com/hebrews/11.htm| title=|Parallel Chapters| target=|_top|&gt;PAR&lt;/a&gt;</v>
      </c>
      <c r="AD1144" s="2" t="str">
        <f t="shared" ref="AD1144:AI1144" si="4574">CONCATENATE("&lt;/li&gt;&lt;li&gt;&lt;a href=|http://",AD1191,"/hebrews/11.htm","| ","title=|",AD1190,"| target=|_top|&gt;",AD1192,"&lt;/a&gt;")</f>
        <v>&lt;/li&gt;&lt;li&gt;&lt;a href=|http://gsb.biblecommenter.com/hebrews/11.htm| title=|Geneva Study Bible| target=|_top|&gt;GSB&lt;/a&gt;</v>
      </c>
      <c r="AE1144" s="2" t="str">
        <f t="shared" si="4574"/>
        <v>&lt;/li&gt;&lt;li&gt;&lt;a href=|http://jfb.biblecommenter.com/hebrews/11.htm| title=|Jamieson-Fausset-Brown Bible Commentary| target=|_top|&gt;JFB&lt;/a&gt;</v>
      </c>
      <c r="AF1144" s="2" t="str">
        <f t="shared" si="4574"/>
        <v>&lt;/li&gt;&lt;li&gt;&lt;a href=|http://kjt.biblecommenter.com/hebrews/11.htm| title=|King James Translators' Notes| target=|_top|&gt;KJT&lt;/a&gt;</v>
      </c>
      <c r="AG1144" s="2" t="str">
        <f t="shared" si="4574"/>
        <v>&lt;/li&gt;&lt;li&gt;&lt;a href=|http://mhc.biblecommenter.com/hebrews/11.htm| title=|Matthew Henry's Concise Commentary| target=|_top|&gt;MHC&lt;/a&gt;</v>
      </c>
      <c r="AH1144" s="2" t="str">
        <f t="shared" si="4574"/>
        <v>&lt;/li&gt;&lt;li&gt;&lt;a href=|http://sco.biblecommenter.com/hebrews/11.htm| title=|Scofield Reference Notes| target=|_top|&gt;SCO&lt;/a&gt;</v>
      </c>
      <c r="AI1144" s="2" t="str">
        <f t="shared" si="4574"/>
        <v>&lt;/li&gt;&lt;li&gt;&lt;a href=|http://wes.biblecommenter.com/hebrews/11.htm| title=|Wesley's Notes on the Bible| target=|_top|&gt;WES&lt;/a&gt;</v>
      </c>
      <c r="AJ1144" t="str">
        <f>CONCATENATE("&lt;/li&gt;&lt;li&gt;&lt;a href=|http://",AJ1191,"/hebrews/11.htm","| ","title=|",AJ1190,"| target=|_top|&gt;",AJ1192,"&lt;/a&gt;")</f>
        <v>&lt;/li&gt;&lt;li&gt;&lt;a href=|http://worldebible.com/hebrews/11.htm| title=|World English Bible| target=|_top|&gt;WEB&lt;/a&gt;</v>
      </c>
      <c r="AK1144" t="str">
        <f>CONCATENATE("&lt;/li&gt;&lt;li&gt;&lt;a href=|http://",AK1191,"/hebrews/11.htm","| ","title=|",AK1190,"| target=|_top|&gt;",AK1192,"&lt;/a&gt;")</f>
        <v>&lt;/li&gt;&lt;li&gt;&lt;a href=|http://yltbible.com/hebrews/11.htm| title=|Young's Literal Translation| target=|_top|&gt;YLT&lt;/a&gt;</v>
      </c>
      <c r="AL1144" t="str">
        <f>CONCATENATE("&lt;a href=|http://",AL1191,"/hebrews/11.htm","| ","title=|",AL1190,"| target=|_top|&gt;",AL1192,"&lt;/a&gt;")</f>
        <v>&lt;a href=|http://kjv.us/hebrews/11.htm| title=|American King James Version| target=|_top|&gt;AKJ&lt;/a&gt;</v>
      </c>
      <c r="AM1144" t="str">
        <f t="shared" ref="AM1144:AS1144" si="4575">CONCATENATE("&lt;/li&gt;&lt;li&gt;&lt;a href=|http://",AM1191,"/hebrews/11.htm","| ","title=|",AM1190,"| target=|_top|&gt;",AM1192,"&lt;/a&gt;")</f>
        <v>&lt;/li&gt;&lt;li&gt;&lt;a href=|http://basicenglishbible.com/hebrews/11.htm| title=|Bible in Basic English| target=|_top|&gt;BBE&lt;/a&gt;</v>
      </c>
      <c r="AN1144" t="str">
        <f t="shared" si="4575"/>
        <v>&lt;/li&gt;&lt;li&gt;&lt;a href=|http://darbybible.com/hebrews/11.htm| title=|Darby Bible Translation| target=|_top|&gt;DBY&lt;/a&gt;</v>
      </c>
      <c r="AO1144" t="str">
        <f t="shared" si="4575"/>
        <v>&lt;/li&gt;&lt;li&gt;&lt;a href=|http://isv.scripturetext.com/hebrews/11.htm| title=|International Standard Version| target=|_top|&gt;ISV&lt;/a&gt;</v>
      </c>
      <c r="AP1144" t="str">
        <f t="shared" si="4575"/>
        <v>&lt;/li&gt;&lt;li&gt;&lt;a href=|http://tnt.scripturetext.com/hebrews/11.htm| title=|Tyndale New Testament| target=|_top|&gt;TNT&lt;/a&gt;</v>
      </c>
      <c r="AQ1144" s="2" t="str">
        <f t="shared" si="4575"/>
        <v>&lt;/li&gt;&lt;li&gt;&lt;a href=|http://pnt.biblecommenter.com/hebrews/11.htm| title=|People's New Testament| target=|_top|&gt;PNT&lt;/a&gt;</v>
      </c>
      <c r="AR1144" t="str">
        <f t="shared" si="4575"/>
        <v>&lt;/li&gt;&lt;li&gt;&lt;a href=|http://websterbible.com/hebrews/11.htm| title=|Webster's Bible Translation| target=|_top|&gt;WBS&lt;/a&gt;</v>
      </c>
      <c r="AS1144" t="str">
        <f t="shared" si="4575"/>
        <v>&lt;/li&gt;&lt;li&gt;&lt;a href=|http://weymouthbible.com/hebrews/11.htm| title=|Weymouth New Testament| target=|_top|&gt;WEY&lt;/a&gt;</v>
      </c>
      <c r="AT1144" t="str">
        <f>CONCATENATE("&lt;/li&gt;&lt;li&gt;&lt;a href=|http://",AT1191,"/hebrews/11-1.htm","| ","title=|",AT1190,"| target=|_top|&gt;",AT1192,"&lt;/a&gt;")</f>
        <v>&lt;/li&gt;&lt;li&gt;&lt;a href=|http://biblebrowser.com/hebrews/11-1.htm| title=|Split View| target=|_top|&gt;Split&lt;/a&gt;</v>
      </c>
      <c r="AU1144" s="2" t="s">
        <v>1276</v>
      </c>
      <c r="AV1144" t="s">
        <v>64</v>
      </c>
    </row>
    <row r="1145" spans="1:48">
      <c r="A1145" t="s">
        <v>622</v>
      </c>
      <c r="B1145" t="s">
        <v>576</v>
      </c>
      <c r="C1145" t="s">
        <v>624</v>
      </c>
      <c r="D1145" t="s">
        <v>1268</v>
      </c>
      <c r="E1145" t="s">
        <v>1277</v>
      </c>
      <c r="F1145" t="s">
        <v>1304</v>
      </c>
      <c r="G1145" t="s">
        <v>1266</v>
      </c>
      <c r="H1145" t="s">
        <v>1305</v>
      </c>
      <c r="I1145" t="s">
        <v>1303</v>
      </c>
      <c r="J1145" t="s">
        <v>1267</v>
      </c>
      <c r="K1145" t="s">
        <v>1275</v>
      </c>
      <c r="L1145" s="2" t="s">
        <v>1274</v>
      </c>
      <c r="M1145" t="str">
        <f t="shared" ref="M1145:AB1145" si="4576">CONCATENATE("&lt;/li&gt;&lt;li&gt;&lt;a href=|http://",M1191,"/hebrews/12.htm","| ","title=|",M1190,"| target=|_top|&gt;",M1192,"&lt;/a&gt;")</f>
        <v>&lt;/li&gt;&lt;li&gt;&lt;a href=|http://niv.scripturetext.com/hebrews/12.htm| title=|New International Version| target=|_top|&gt;NIV&lt;/a&gt;</v>
      </c>
      <c r="N1145" t="str">
        <f t="shared" si="4576"/>
        <v>&lt;/li&gt;&lt;li&gt;&lt;a href=|http://nlt.scripturetext.com/hebrews/12.htm| title=|New Living Translation| target=|_top|&gt;NLT&lt;/a&gt;</v>
      </c>
      <c r="O1145" t="str">
        <f t="shared" si="4576"/>
        <v>&lt;/li&gt;&lt;li&gt;&lt;a href=|http://nasb.scripturetext.com/hebrews/12.htm| title=|New American Standard Bible| target=|_top|&gt;NAS&lt;/a&gt;</v>
      </c>
      <c r="P1145" t="str">
        <f t="shared" si="4576"/>
        <v>&lt;/li&gt;&lt;li&gt;&lt;a href=|http://gwt.scripturetext.com/hebrews/12.htm| title=|God's Word Translation| target=|_top|&gt;GWT&lt;/a&gt;</v>
      </c>
      <c r="Q1145" t="str">
        <f t="shared" si="4576"/>
        <v>&lt;/li&gt;&lt;li&gt;&lt;a href=|http://kingjbible.com/hebrews/12.htm| title=|King James Bible| target=|_top|&gt;KJV&lt;/a&gt;</v>
      </c>
      <c r="R1145" t="str">
        <f t="shared" si="4576"/>
        <v>&lt;/li&gt;&lt;li&gt;&lt;a href=|http://asvbible.com/hebrews/12.htm| title=|American Standard Version| target=|_top|&gt;ASV&lt;/a&gt;</v>
      </c>
      <c r="S1145" t="str">
        <f t="shared" si="4576"/>
        <v>&lt;/li&gt;&lt;li&gt;&lt;a href=|http://drb.scripturetext.com/hebrews/12.htm| title=|Douay-Rheims Bible| target=|_top|&gt;DRB&lt;/a&gt;</v>
      </c>
      <c r="T1145" t="str">
        <f t="shared" si="4576"/>
        <v>&lt;/li&gt;&lt;li&gt;&lt;a href=|http://erv.scripturetext.com/hebrews/12.htm| title=|English Revised Version| target=|_top|&gt;ERV&lt;/a&gt;</v>
      </c>
      <c r="U1145" t="str">
        <f>CONCATENATE("&lt;/li&gt;&lt;li&gt;&lt;a href=|http://",U1191,"/hebrews/12.htm","| ","title=|",U1190,"| target=|_top|&gt;",U1192,"&lt;/a&gt;")</f>
        <v>&lt;/li&gt;&lt;li&gt;&lt;a href=|http://study.interlinearbible.org/hebrews/12.htm| title=|Greek Study Bible| target=|_top|&gt;Grk Study&lt;/a&gt;</v>
      </c>
      <c r="W1145" t="str">
        <f t="shared" si="4576"/>
        <v>&lt;/li&gt;&lt;li&gt;&lt;a href=|http://apostolic.interlinearbible.org/hebrews/12.htm| title=|Apostolic Bible Polyglot Interlinear| target=|_top|&gt;Polyglot&lt;/a&gt;</v>
      </c>
      <c r="X1145" t="str">
        <f t="shared" si="4576"/>
        <v>&lt;/li&gt;&lt;li&gt;&lt;a href=|http://interlinearbible.org/hebrews/12.htm| title=|Interlinear Bible| target=|_top|&gt;Interlin&lt;/a&gt;</v>
      </c>
      <c r="Y1145" t="str">
        <f t="shared" ref="Y1145" si="4577">CONCATENATE("&lt;/li&gt;&lt;li&gt;&lt;a href=|http://",Y1191,"/hebrews/12.htm","| ","title=|",Y1190,"| target=|_top|&gt;",Y1192,"&lt;/a&gt;")</f>
        <v>&lt;/li&gt;&lt;li&gt;&lt;a href=|http://bibleoutline.org/hebrews/12.htm| title=|Outline with People and Places List| target=|_top|&gt;Outline&lt;/a&gt;</v>
      </c>
      <c r="Z1145" t="str">
        <f t="shared" si="4576"/>
        <v>&lt;/li&gt;&lt;li&gt;&lt;a href=|http://kjvs.scripturetext.com/hebrews/12.htm| title=|King James Bible with Strong's Numbers| target=|_top|&gt;Strong's&lt;/a&gt;</v>
      </c>
      <c r="AA1145" t="str">
        <f t="shared" si="4576"/>
        <v>&lt;/li&gt;&lt;li&gt;&lt;a href=|http://childrensbibleonline.com/hebrews/12.htm| title=|The Children's Bible| target=|_top|&gt;Children's&lt;/a&gt;</v>
      </c>
      <c r="AB1145" s="2" t="str">
        <f t="shared" si="4576"/>
        <v>&lt;/li&gt;&lt;li&gt;&lt;a href=|http://tsk.scripturetext.com/hebrews/12.htm| title=|Treasury of Scripture Knowledge| target=|_top|&gt;TSK&lt;/a&gt;</v>
      </c>
      <c r="AC1145" t="str">
        <f>CONCATENATE("&lt;a href=|http://",AC1191,"/hebrews/12.htm","| ","title=|",AC1190,"| target=|_top|&gt;",AC1192,"&lt;/a&gt;")</f>
        <v>&lt;a href=|http://parallelbible.com/hebrews/12.htm| title=|Parallel Chapters| target=|_top|&gt;PAR&lt;/a&gt;</v>
      </c>
      <c r="AD1145" s="2" t="str">
        <f t="shared" ref="AD1145:AI1145" si="4578">CONCATENATE("&lt;/li&gt;&lt;li&gt;&lt;a href=|http://",AD1191,"/hebrews/12.htm","| ","title=|",AD1190,"| target=|_top|&gt;",AD1192,"&lt;/a&gt;")</f>
        <v>&lt;/li&gt;&lt;li&gt;&lt;a href=|http://gsb.biblecommenter.com/hebrews/12.htm| title=|Geneva Study Bible| target=|_top|&gt;GSB&lt;/a&gt;</v>
      </c>
      <c r="AE1145" s="2" t="str">
        <f t="shared" si="4578"/>
        <v>&lt;/li&gt;&lt;li&gt;&lt;a href=|http://jfb.biblecommenter.com/hebrews/12.htm| title=|Jamieson-Fausset-Brown Bible Commentary| target=|_top|&gt;JFB&lt;/a&gt;</v>
      </c>
      <c r="AF1145" s="2" t="str">
        <f t="shared" si="4578"/>
        <v>&lt;/li&gt;&lt;li&gt;&lt;a href=|http://kjt.biblecommenter.com/hebrews/12.htm| title=|King James Translators' Notes| target=|_top|&gt;KJT&lt;/a&gt;</v>
      </c>
      <c r="AG1145" s="2" t="str">
        <f t="shared" si="4578"/>
        <v>&lt;/li&gt;&lt;li&gt;&lt;a href=|http://mhc.biblecommenter.com/hebrews/12.htm| title=|Matthew Henry's Concise Commentary| target=|_top|&gt;MHC&lt;/a&gt;</v>
      </c>
      <c r="AH1145" s="2" t="str">
        <f t="shared" si="4578"/>
        <v>&lt;/li&gt;&lt;li&gt;&lt;a href=|http://sco.biblecommenter.com/hebrews/12.htm| title=|Scofield Reference Notes| target=|_top|&gt;SCO&lt;/a&gt;</v>
      </c>
      <c r="AI1145" s="2" t="str">
        <f t="shared" si="4578"/>
        <v>&lt;/li&gt;&lt;li&gt;&lt;a href=|http://wes.biblecommenter.com/hebrews/12.htm| title=|Wesley's Notes on the Bible| target=|_top|&gt;WES&lt;/a&gt;</v>
      </c>
      <c r="AJ1145" t="str">
        <f>CONCATENATE("&lt;/li&gt;&lt;li&gt;&lt;a href=|http://",AJ1191,"/hebrews/12.htm","| ","title=|",AJ1190,"| target=|_top|&gt;",AJ1192,"&lt;/a&gt;")</f>
        <v>&lt;/li&gt;&lt;li&gt;&lt;a href=|http://worldebible.com/hebrews/12.htm| title=|World English Bible| target=|_top|&gt;WEB&lt;/a&gt;</v>
      </c>
      <c r="AK1145" t="str">
        <f>CONCATENATE("&lt;/li&gt;&lt;li&gt;&lt;a href=|http://",AK1191,"/hebrews/12.htm","| ","title=|",AK1190,"| target=|_top|&gt;",AK1192,"&lt;/a&gt;")</f>
        <v>&lt;/li&gt;&lt;li&gt;&lt;a href=|http://yltbible.com/hebrews/12.htm| title=|Young's Literal Translation| target=|_top|&gt;YLT&lt;/a&gt;</v>
      </c>
      <c r="AL1145" t="str">
        <f>CONCATENATE("&lt;a href=|http://",AL1191,"/hebrews/12.htm","| ","title=|",AL1190,"| target=|_top|&gt;",AL1192,"&lt;/a&gt;")</f>
        <v>&lt;a href=|http://kjv.us/hebrews/12.htm| title=|American King James Version| target=|_top|&gt;AKJ&lt;/a&gt;</v>
      </c>
      <c r="AM1145" t="str">
        <f t="shared" ref="AM1145:AS1145" si="4579">CONCATENATE("&lt;/li&gt;&lt;li&gt;&lt;a href=|http://",AM1191,"/hebrews/12.htm","| ","title=|",AM1190,"| target=|_top|&gt;",AM1192,"&lt;/a&gt;")</f>
        <v>&lt;/li&gt;&lt;li&gt;&lt;a href=|http://basicenglishbible.com/hebrews/12.htm| title=|Bible in Basic English| target=|_top|&gt;BBE&lt;/a&gt;</v>
      </c>
      <c r="AN1145" t="str">
        <f t="shared" si="4579"/>
        <v>&lt;/li&gt;&lt;li&gt;&lt;a href=|http://darbybible.com/hebrews/12.htm| title=|Darby Bible Translation| target=|_top|&gt;DBY&lt;/a&gt;</v>
      </c>
      <c r="AO1145" t="str">
        <f t="shared" si="4579"/>
        <v>&lt;/li&gt;&lt;li&gt;&lt;a href=|http://isv.scripturetext.com/hebrews/12.htm| title=|International Standard Version| target=|_top|&gt;ISV&lt;/a&gt;</v>
      </c>
      <c r="AP1145" t="str">
        <f t="shared" si="4579"/>
        <v>&lt;/li&gt;&lt;li&gt;&lt;a href=|http://tnt.scripturetext.com/hebrews/12.htm| title=|Tyndale New Testament| target=|_top|&gt;TNT&lt;/a&gt;</v>
      </c>
      <c r="AQ1145" s="2" t="str">
        <f t="shared" si="4579"/>
        <v>&lt;/li&gt;&lt;li&gt;&lt;a href=|http://pnt.biblecommenter.com/hebrews/12.htm| title=|People's New Testament| target=|_top|&gt;PNT&lt;/a&gt;</v>
      </c>
      <c r="AR1145" t="str">
        <f t="shared" si="4579"/>
        <v>&lt;/li&gt;&lt;li&gt;&lt;a href=|http://websterbible.com/hebrews/12.htm| title=|Webster's Bible Translation| target=|_top|&gt;WBS&lt;/a&gt;</v>
      </c>
      <c r="AS1145" t="str">
        <f t="shared" si="4579"/>
        <v>&lt;/li&gt;&lt;li&gt;&lt;a href=|http://weymouthbible.com/hebrews/12.htm| title=|Weymouth New Testament| target=|_top|&gt;WEY&lt;/a&gt;</v>
      </c>
      <c r="AT1145" t="str">
        <f>CONCATENATE("&lt;/li&gt;&lt;li&gt;&lt;a href=|http://",AT1191,"/hebrews/12-1.htm","| ","title=|",AT1190,"| target=|_top|&gt;",AT1192,"&lt;/a&gt;")</f>
        <v>&lt;/li&gt;&lt;li&gt;&lt;a href=|http://biblebrowser.com/hebrews/12-1.htm| title=|Split View| target=|_top|&gt;Split&lt;/a&gt;</v>
      </c>
      <c r="AU1145" s="2" t="s">
        <v>1276</v>
      </c>
      <c r="AV1145" t="s">
        <v>64</v>
      </c>
    </row>
    <row r="1146" spans="1:48">
      <c r="A1146" t="s">
        <v>622</v>
      </c>
      <c r="B1146" t="s">
        <v>577</v>
      </c>
      <c r="C1146" t="s">
        <v>624</v>
      </c>
      <c r="D1146" t="s">
        <v>1268</v>
      </c>
      <c r="E1146" t="s">
        <v>1277</v>
      </c>
      <c r="F1146" t="s">
        <v>1304</v>
      </c>
      <c r="G1146" t="s">
        <v>1266</v>
      </c>
      <c r="H1146" t="s">
        <v>1305</v>
      </c>
      <c r="I1146" t="s">
        <v>1303</v>
      </c>
      <c r="J1146" t="s">
        <v>1267</v>
      </c>
      <c r="K1146" t="s">
        <v>1275</v>
      </c>
      <c r="L1146" s="2" t="s">
        <v>1274</v>
      </c>
      <c r="M1146" t="str">
        <f t="shared" ref="M1146:AB1146" si="4580">CONCATENATE("&lt;/li&gt;&lt;li&gt;&lt;a href=|http://",M1191,"/hebrews/13.htm","| ","title=|",M1190,"| target=|_top|&gt;",M1192,"&lt;/a&gt;")</f>
        <v>&lt;/li&gt;&lt;li&gt;&lt;a href=|http://niv.scripturetext.com/hebrews/13.htm| title=|New International Version| target=|_top|&gt;NIV&lt;/a&gt;</v>
      </c>
      <c r="N1146" t="str">
        <f t="shared" si="4580"/>
        <v>&lt;/li&gt;&lt;li&gt;&lt;a href=|http://nlt.scripturetext.com/hebrews/13.htm| title=|New Living Translation| target=|_top|&gt;NLT&lt;/a&gt;</v>
      </c>
      <c r="O1146" t="str">
        <f t="shared" si="4580"/>
        <v>&lt;/li&gt;&lt;li&gt;&lt;a href=|http://nasb.scripturetext.com/hebrews/13.htm| title=|New American Standard Bible| target=|_top|&gt;NAS&lt;/a&gt;</v>
      </c>
      <c r="P1146" t="str">
        <f t="shared" si="4580"/>
        <v>&lt;/li&gt;&lt;li&gt;&lt;a href=|http://gwt.scripturetext.com/hebrews/13.htm| title=|God's Word Translation| target=|_top|&gt;GWT&lt;/a&gt;</v>
      </c>
      <c r="Q1146" t="str">
        <f t="shared" si="4580"/>
        <v>&lt;/li&gt;&lt;li&gt;&lt;a href=|http://kingjbible.com/hebrews/13.htm| title=|King James Bible| target=|_top|&gt;KJV&lt;/a&gt;</v>
      </c>
      <c r="R1146" t="str">
        <f t="shared" si="4580"/>
        <v>&lt;/li&gt;&lt;li&gt;&lt;a href=|http://asvbible.com/hebrews/13.htm| title=|American Standard Version| target=|_top|&gt;ASV&lt;/a&gt;</v>
      </c>
      <c r="S1146" t="str">
        <f t="shared" si="4580"/>
        <v>&lt;/li&gt;&lt;li&gt;&lt;a href=|http://drb.scripturetext.com/hebrews/13.htm| title=|Douay-Rheims Bible| target=|_top|&gt;DRB&lt;/a&gt;</v>
      </c>
      <c r="T1146" t="str">
        <f t="shared" si="4580"/>
        <v>&lt;/li&gt;&lt;li&gt;&lt;a href=|http://erv.scripturetext.com/hebrews/13.htm| title=|English Revised Version| target=|_top|&gt;ERV&lt;/a&gt;</v>
      </c>
      <c r="U1146" t="str">
        <f>CONCATENATE("&lt;/li&gt;&lt;li&gt;&lt;a href=|http://",U1191,"/hebrews/13.htm","| ","title=|",U1190,"| target=|_top|&gt;",U1192,"&lt;/a&gt;")</f>
        <v>&lt;/li&gt;&lt;li&gt;&lt;a href=|http://study.interlinearbible.org/hebrews/13.htm| title=|Greek Study Bible| target=|_top|&gt;Grk Study&lt;/a&gt;</v>
      </c>
      <c r="W1146" t="str">
        <f t="shared" si="4580"/>
        <v>&lt;/li&gt;&lt;li&gt;&lt;a href=|http://apostolic.interlinearbible.org/hebrews/13.htm| title=|Apostolic Bible Polyglot Interlinear| target=|_top|&gt;Polyglot&lt;/a&gt;</v>
      </c>
      <c r="X1146" t="str">
        <f t="shared" si="4580"/>
        <v>&lt;/li&gt;&lt;li&gt;&lt;a href=|http://interlinearbible.org/hebrews/13.htm| title=|Interlinear Bible| target=|_top|&gt;Interlin&lt;/a&gt;</v>
      </c>
      <c r="Y1146" t="str">
        <f t="shared" ref="Y1146" si="4581">CONCATENATE("&lt;/li&gt;&lt;li&gt;&lt;a href=|http://",Y1191,"/hebrews/13.htm","| ","title=|",Y1190,"| target=|_top|&gt;",Y1192,"&lt;/a&gt;")</f>
        <v>&lt;/li&gt;&lt;li&gt;&lt;a href=|http://bibleoutline.org/hebrews/13.htm| title=|Outline with People and Places List| target=|_top|&gt;Outline&lt;/a&gt;</v>
      </c>
      <c r="Z1146" t="str">
        <f t="shared" si="4580"/>
        <v>&lt;/li&gt;&lt;li&gt;&lt;a href=|http://kjvs.scripturetext.com/hebrews/13.htm| title=|King James Bible with Strong's Numbers| target=|_top|&gt;Strong's&lt;/a&gt;</v>
      </c>
      <c r="AA1146" t="str">
        <f t="shared" si="4580"/>
        <v>&lt;/li&gt;&lt;li&gt;&lt;a href=|http://childrensbibleonline.com/hebrews/13.htm| title=|The Children's Bible| target=|_top|&gt;Children's&lt;/a&gt;</v>
      </c>
      <c r="AB1146" s="2" t="str">
        <f t="shared" si="4580"/>
        <v>&lt;/li&gt;&lt;li&gt;&lt;a href=|http://tsk.scripturetext.com/hebrews/13.htm| title=|Treasury of Scripture Knowledge| target=|_top|&gt;TSK&lt;/a&gt;</v>
      </c>
      <c r="AC1146" t="str">
        <f>CONCATENATE("&lt;a href=|http://",AC1191,"/hebrews/13.htm","| ","title=|",AC1190,"| target=|_top|&gt;",AC1192,"&lt;/a&gt;")</f>
        <v>&lt;a href=|http://parallelbible.com/hebrews/13.htm| title=|Parallel Chapters| target=|_top|&gt;PAR&lt;/a&gt;</v>
      </c>
      <c r="AD1146" s="2" t="str">
        <f t="shared" ref="AD1146:AI1146" si="4582">CONCATENATE("&lt;/li&gt;&lt;li&gt;&lt;a href=|http://",AD1191,"/hebrews/13.htm","| ","title=|",AD1190,"| target=|_top|&gt;",AD1192,"&lt;/a&gt;")</f>
        <v>&lt;/li&gt;&lt;li&gt;&lt;a href=|http://gsb.biblecommenter.com/hebrews/13.htm| title=|Geneva Study Bible| target=|_top|&gt;GSB&lt;/a&gt;</v>
      </c>
      <c r="AE1146" s="2" t="str">
        <f t="shared" si="4582"/>
        <v>&lt;/li&gt;&lt;li&gt;&lt;a href=|http://jfb.biblecommenter.com/hebrews/13.htm| title=|Jamieson-Fausset-Brown Bible Commentary| target=|_top|&gt;JFB&lt;/a&gt;</v>
      </c>
      <c r="AF1146" s="2" t="str">
        <f t="shared" si="4582"/>
        <v>&lt;/li&gt;&lt;li&gt;&lt;a href=|http://kjt.biblecommenter.com/hebrews/13.htm| title=|King James Translators' Notes| target=|_top|&gt;KJT&lt;/a&gt;</v>
      </c>
      <c r="AG1146" s="2" t="str">
        <f t="shared" si="4582"/>
        <v>&lt;/li&gt;&lt;li&gt;&lt;a href=|http://mhc.biblecommenter.com/hebrews/13.htm| title=|Matthew Henry's Concise Commentary| target=|_top|&gt;MHC&lt;/a&gt;</v>
      </c>
      <c r="AH1146" s="2" t="str">
        <f t="shared" si="4582"/>
        <v>&lt;/li&gt;&lt;li&gt;&lt;a href=|http://sco.biblecommenter.com/hebrews/13.htm| title=|Scofield Reference Notes| target=|_top|&gt;SCO&lt;/a&gt;</v>
      </c>
      <c r="AI1146" s="2" t="str">
        <f t="shared" si="4582"/>
        <v>&lt;/li&gt;&lt;li&gt;&lt;a href=|http://wes.biblecommenter.com/hebrews/13.htm| title=|Wesley's Notes on the Bible| target=|_top|&gt;WES&lt;/a&gt;</v>
      </c>
      <c r="AJ1146" t="str">
        <f>CONCATENATE("&lt;/li&gt;&lt;li&gt;&lt;a href=|http://",AJ1191,"/hebrews/13.htm","| ","title=|",AJ1190,"| target=|_top|&gt;",AJ1192,"&lt;/a&gt;")</f>
        <v>&lt;/li&gt;&lt;li&gt;&lt;a href=|http://worldebible.com/hebrews/13.htm| title=|World English Bible| target=|_top|&gt;WEB&lt;/a&gt;</v>
      </c>
      <c r="AK1146" t="str">
        <f>CONCATENATE("&lt;/li&gt;&lt;li&gt;&lt;a href=|http://",AK1191,"/hebrews/13.htm","| ","title=|",AK1190,"| target=|_top|&gt;",AK1192,"&lt;/a&gt;")</f>
        <v>&lt;/li&gt;&lt;li&gt;&lt;a href=|http://yltbible.com/hebrews/13.htm| title=|Young's Literal Translation| target=|_top|&gt;YLT&lt;/a&gt;</v>
      </c>
      <c r="AL1146" t="str">
        <f>CONCATENATE("&lt;a href=|http://",AL1191,"/hebrews/13.htm","| ","title=|",AL1190,"| target=|_top|&gt;",AL1192,"&lt;/a&gt;")</f>
        <v>&lt;a href=|http://kjv.us/hebrews/13.htm| title=|American King James Version| target=|_top|&gt;AKJ&lt;/a&gt;</v>
      </c>
      <c r="AM1146" t="str">
        <f t="shared" ref="AM1146:AS1146" si="4583">CONCATENATE("&lt;/li&gt;&lt;li&gt;&lt;a href=|http://",AM1191,"/hebrews/13.htm","| ","title=|",AM1190,"| target=|_top|&gt;",AM1192,"&lt;/a&gt;")</f>
        <v>&lt;/li&gt;&lt;li&gt;&lt;a href=|http://basicenglishbible.com/hebrews/13.htm| title=|Bible in Basic English| target=|_top|&gt;BBE&lt;/a&gt;</v>
      </c>
      <c r="AN1146" t="str">
        <f t="shared" si="4583"/>
        <v>&lt;/li&gt;&lt;li&gt;&lt;a href=|http://darbybible.com/hebrews/13.htm| title=|Darby Bible Translation| target=|_top|&gt;DBY&lt;/a&gt;</v>
      </c>
      <c r="AO1146" t="str">
        <f t="shared" si="4583"/>
        <v>&lt;/li&gt;&lt;li&gt;&lt;a href=|http://isv.scripturetext.com/hebrews/13.htm| title=|International Standard Version| target=|_top|&gt;ISV&lt;/a&gt;</v>
      </c>
      <c r="AP1146" t="str">
        <f t="shared" si="4583"/>
        <v>&lt;/li&gt;&lt;li&gt;&lt;a href=|http://tnt.scripturetext.com/hebrews/13.htm| title=|Tyndale New Testament| target=|_top|&gt;TNT&lt;/a&gt;</v>
      </c>
      <c r="AQ1146" s="2" t="str">
        <f t="shared" si="4583"/>
        <v>&lt;/li&gt;&lt;li&gt;&lt;a href=|http://pnt.biblecommenter.com/hebrews/13.htm| title=|People's New Testament| target=|_top|&gt;PNT&lt;/a&gt;</v>
      </c>
      <c r="AR1146" t="str">
        <f t="shared" si="4583"/>
        <v>&lt;/li&gt;&lt;li&gt;&lt;a href=|http://websterbible.com/hebrews/13.htm| title=|Webster's Bible Translation| target=|_top|&gt;WBS&lt;/a&gt;</v>
      </c>
      <c r="AS1146" t="str">
        <f t="shared" si="4583"/>
        <v>&lt;/li&gt;&lt;li&gt;&lt;a href=|http://weymouthbible.com/hebrews/13.htm| title=|Weymouth New Testament| target=|_top|&gt;WEY&lt;/a&gt;</v>
      </c>
      <c r="AT1146" t="str">
        <f>CONCATENATE("&lt;/li&gt;&lt;li&gt;&lt;a href=|http://",AT1191,"/hebrews/13-1.htm","| ","title=|",AT1190,"| target=|_top|&gt;",AT1192,"&lt;/a&gt;")</f>
        <v>&lt;/li&gt;&lt;li&gt;&lt;a href=|http://biblebrowser.com/hebrews/13-1.htm| title=|Split View| target=|_top|&gt;Split&lt;/a&gt;</v>
      </c>
      <c r="AU1146" s="2" t="s">
        <v>1276</v>
      </c>
      <c r="AV1146" t="s">
        <v>64</v>
      </c>
    </row>
    <row r="1147" spans="1:48">
      <c r="A1147" t="s">
        <v>622</v>
      </c>
      <c r="B1147" t="s">
        <v>578</v>
      </c>
      <c r="C1147" t="s">
        <v>624</v>
      </c>
      <c r="D1147" t="s">
        <v>1268</v>
      </c>
      <c r="E1147" t="s">
        <v>1277</v>
      </c>
      <c r="F1147" t="s">
        <v>1304</v>
      </c>
      <c r="G1147" t="s">
        <v>1266</v>
      </c>
      <c r="H1147" t="s">
        <v>1305</v>
      </c>
      <c r="I1147" t="s">
        <v>1303</v>
      </c>
      <c r="J1147" t="s">
        <v>1267</v>
      </c>
      <c r="K1147" t="s">
        <v>1275</v>
      </c>
      <c r="L1147" s="2" t="s">
        <v>1274</v>
      </c>
      <c r="M1147" t="str">
        <f t="shared" ref="M1147:AB1147" si="4584">CONCATENATE("&lt;/li&gt;&lt;li&gt;&lt;a href=|http://",M1191,"/james/1.htm","| ","title=|",M1190,"| target=|_top|&gt;",M1192,"&lt;/a&gt;")</f>
        <v>&lt;/li&gt;&lt;li&gt;&lt;a href=|http://niv.scripturetext.com/james/1.htm| title=|New International Version| target=|_top|&gt;NIV&lt;/a&gt;</v>
      </c>
      <c r="N1147" t="str">
        <f t="shared" si="4584"/>
        <v>&lt;/li&gt;&lt;li&gt;&lt;a href=|http://nlt.scripturetext.com/james/1.htm| title=|New Living Translation| target=|_top|&gt;NLT&lt;/a&gt;</v>
      </c>
      <c r="O1147" t="str">
        <f t="shared" si="4584"/>
        <v>&lt;/li&gt;&lt;li&gt;&lt;a href=|http://nasb.scripturetext.com/james/1.htm| title=|New American Standard Bible| target=|_top|&gt;NAS&lt;/a&gt;</v>
      </c>
      <c r="P1147" t="str">
        <f t="shared" si="4584"/>
        <v>&lt;/li&gt;&lt;li&gt;&lt;a href=|http://gwt.scripturetext.com/james/1.htm| title=|God's Word Translation| target=|_top|&gt;GWT&lt;/a&gt;</v>
      </c>
      <c r="Q1147" t="str">
        <f t="shared" si="4584"/>
        <v>&lt;/li&gt;&lt;li&gt;&lt;a href=|http://kingjbible.com/james/1.htm| title=|King James Bible| target=|_top|&gt;KJV&lt;/a&gt;</v>
      </c>
      <c r="R1147" t="str">
        <f t="shared" si="4584"/>
        <v>&lt;/li&gt;&lt;li&gt;&lt;a href=|http://asvbible.com/james/1.htm| title=|American Standard Version| target=|_top|&gt;ASV&lt;/a&gt;</v>
      </c>
      <c r="S1147" t="str">
        <f t="shared" si="4584"/>
        <v>&lt;/li&gt;&lt;li&gt;&lt;a href=|http://drb.scripturetext.com/james/1.htm| title=|Douay-Rheims Bible| target=|_top|&gt;DRB&lt;/a&gt;</v>
      </c>
      <c r="T1147" t="str">
        <f t="shared" si="4584"/>
        <v>&lt;/li&gt;&lt;li&gt;&lt;a href=|http://erv.scripturetext.com/james/1.htm| title=|English Revised Version| target=|_top|&gt;ERV&lt;/a&gt;</v>
      </c>
      <c r="U1147" t="str">
        <f>CONCATENATE("&lt;/li&gt;&lt;li&gt;&lt;a href=|http://",U1191,"/james/1.htm","| ","title=|",U1190,"| target=|_top|&gt;",U1192,"&lt;/a&gt;")</f>
        <v>&lt;/li&gt;&lt;li&gt;&lt;a href=|http://study.interlinearbible.org/james/1.htm| title=|Greek Study Bible| target=|_top|&gt;Grk Study&lt;/a&gt;</v>
      </c>
      <c r="W1147" t="str">
        <f t="shared" si="4584"/>
        <v>&lt;/li&gt;&lt;li&gt;&lt;a href=|http://apostolic.interlinearbible.org/james/1.htm| title=|Apostolic Bible Polyglot Interlinear| target=|_top|&gt;Polyglot&lt;/a&gt;</v>
      </c>
      <c r="X1147" t="str">
        <f t="shared" si="4584"/>
        <v>&lt;/li&gt;&lt;li&gt;&lt;a href=|http://interlinearbible.org/james/1.htm| title=|Interlinear Bible| target=|_top|&gt;Interlin&lt;/a&gt;</v>
      </c>
      <c r="Y1147" t="str">
        <f t="shared" ref="Y1147" si="4585">CONCATENATE("&lt;/li&gt;&lt;li&gt;&lt;a href=|http://",Y1191,"/james/1.htm","| ","title=|",Y1190,"| target=|_top|&gt;",Y1192,"&lt;/a&gt;")</f>
        <v>&lt;/li&gt;&lt;li&gt;&lt;a href=|http://bibleoutline.org/james/1.htm| title=|Outline with People and Places List| target=|_top|&gt;Outline&lt;/a&gt;</v>
      </c>
      <c r="Z1147" t="str">
        <f t="shared" si="4584"/>
        <v>&lt;/li&gt;&lt;li&gt;&lt;a href=|http://kjvs.scripturetext.com/james/1.htm| title=|King James Bible with Strong's Numbers| target=|_top|&gt;Strong's&lt;/a&gt;</v>
      </c>
      <c r="AA1147" t="str">
        <f t="shared" si="4584"/>
        <v>&lt;/li&gt;&lt;li&gt;&lt;a href=|http://childrensbibleonline.com/james/1.htm| title=|The Children's Bible| target=|_top|&gt;Children's&lt;/a&gt;</v>
      </c>
      <c r="AB1147" s="2" t="str">
        <f t="shared" si="4584"/>
        <v>&lt;/li&gt;&lt;li&gt;&lt;a href=|http://tsk.scripturetext.com/james/1.htm| title=|Treasury of Scripture Knowledge| target=|_top|&gt;TSK&lt;/a&gt;</v>
      </c>
      <c r="AC1147" t="str">
        <f>CONCATENATE("&lt;a href=|http://",AC1191,"/james/1.htm","| ","title=|",AC1190,"| target=|_top|&gt;",AC1192,"&lt;/a&gt;")</f>
        <v>&lt;a href=|http://parallelbible.com/james/1.htm| title=|Parallel Chapters| target=|_top|&gt;PAR&lt;/a&gt;</v>
      </c>
      <c r="AD1147" s="2" t="str">
        <f t="shared" ref="AD1147:AI1147" si="4586">CONCATENATE("&lt;/li&gt;&lt;li&gt;&lt;a href=|http://",AD1191,"/james/1.htm","| ","title=|",AD1190,"| target=|_top|&gt;",AD1192,"&lt;/a&gt;")</f>
        <v>&lt;/li&gt;&lt;li&gt;&lt;a href=|http://gsb.biblecommenter.com/james/1.htm| title=|Geneva Study Bible| target=|_top|&gt;GSB&lt;/a&gt;</v>
      </c>
      <c r="AE1147" s="2" t="str">
        <f t="shared" si="4586"/>
        <v>&lt;/li&gt;&lt;li&gt;&lt;a href=|http://jfb.biblecommenter.com/james/1.htm| title=|Jamieson-Fausset-Brown Bible Commentary| target=|_top|&gt;JFB&lt;/a&gt;</v>
      </c>
      <c r="AF1147" s="2" t="str">
        <f t="shared" si="4586"/>
        <v>&lt;/li&gt;&lt;li&gt;&lt;a href=|http://kjt.biblecommenter.com/james/1.htm| title=|King James Translators' Notes| target=|_top|&gt;KJT&lt;/a&gt;</v>
      </c>
      <c r="AG1147" s="2" t="str">
        <f t="shared" si="4586"/>
        <v>&lt;/li&gt;&lt;li&gt;&lt;a href=|http://mhc.biblecommenter.com/james/1.htm| title=|Matthew Henry's Concise Commentary| target=|_top|&gt;MHC&lt;/a&gt;</v>
      </c>
      <c r="AH1147" s="2" t="str">
        <f t="shared" si="4586"/>
        <v>&lt;/li&gt;&lt;li&gt;&lt;a href=|http://sco.biblecommenter.com/james/1.htm| title=|Scofield Reference Notes| target=|_top|&gt;SCO&lt;/a&gt;</v>
      </c>
      <c r="AI1147" s="2" t="str">
        <f t="shared" si="4586"/>
        <v>&lt;/li&gt;&lt;li&gt;&lt;a href=|http://wes.biblecommenter.com/james/1.htm| title=|Wesley's Notes on the Bible| target=|_top|&gt;WES&lt;/a&gt;</v>
      </c>
      <c r="AJ1147" t="str">
        <f>CONCATENATE("&lt;/li&gt;&lt;li&gt;&lt;a href=|http://",AJ1191,"/james/1.htm","| ","title=|",AJ1190,"| target=|_top|&gt;",AJ1192,"&lt;/a&gt;")</f>
        <v>&lt;/li&gt;&lt;li&gt;&lt;a href=|http://worldebible.com/james/1.htm| title=|World English Bible| target=|_top|&gt;WEB&lt;/a&gt;</v>
      </c>
      <c r="AK1147" t="str">
        <f>CONCATENATE("&lt;/li&gt;&lt;li&gt;&lt;a href=|http://",AK1191,"/james/1.htm","| ","title=|",AK1190,"| target=|_top|&gt;",AK1192,"&lt;/a&gt;")</f>
        <v>&lt;/li&gt;&lt;li&gt;&lt;a href=|http://yltbible.com/james/1.htm| title=|Young's Literal Translation| target=|_top|&gt;YLT&lt;/a&gt;</v>
      </c>
      <c r="AL1147" t="str">
        <f>CONCATENATE("&lt;a href=|http://",AL1191,"/james/1.htm","| ","title=|",AL1190,"| target=|_top|&gt;",AL1192,"&lt;/a&gt;")</f>
        <v>&lt;a href=|http://kjv.us/james/1.htm| title=|American King James Version| target=|_top|&gt;AKJ&lt;/a&gt;</v>
      </c>
      <c r="AM1147" t="str">
        <f t="shared" ref="AM1147:AS1147" si="4587">CONCATENATE("&lt;/li&gt;&lt;li&gt;&lt;a href=|http://",AM1191,"/james/1.htm","| ","title=|",AM1190,"| target=|_top|&gt;",AM1192,"&lt;/a&gt;")</f>
        <v>&lt;/li&gt;&lt;li&gt;&lt;a href=|http://basicenglishbible.com/james/1.htm| title=|Bible in Basic English| target=|_top|&gt;BBE&lt;/a&gt;</v>
      </c>
      <c r="AN1147" t="str">
        <f t="shared" si="4587"/>
        <v>&lt;/li&gt;&lt;li&gt;&lt;a href=|http://darbybible.com/james/1.htm| title=|Darby Bible Translation| target=|_top|&gt;DBY&lt;/a&gt;</v>
      </c>
      <c r="AO1147" t="str">
        <f t="shared" si="4587"/>
        <v>&lt;/li&gt;&lt;li&gt;&lt;a href=|http://isv.scripturetext.com/james/1.htm| title=|International Standard Version| target=|_top|&gt;ISV&lt;/a&gt;</v>
      </c>
      <c r="AP1147" t="str">
        <f t="shared" si="4587"/>
        <v>&lt;/li&gt;&lt;li&gt;&lt;a href=|http://tnt.scripturetext.com/james/1.htm| title=|Tyndale New Testament| target=|_top|&gt;TNT&lt;/a&gt;</v>
      </c>
      <c r="AQ1147" s="2" t="str">
        <f t="shared" si="4587"/>
        <v>&lt;/li&gt;&lt;li&gt;&lt;a href=|http://pnt.biblecommenter.com/james/1.htm| title=|People's New Testament| target=|_top|&gt;PNT&lt;/a&gt;</v>
      </c>
      <c r="AR1147" t="str">
        <f t="shared" si="4587"/>
        <v>&lt;/li&gt;&lt;li&gt;&lt;a href=|http://websterbible.com/james/1.htm| title=|Webster's Bible Translation| target=|_top|&gt;WBS&lt;/a&gt;</v>
      </c>
      <c r="AS1147" t="str">
        <f t="shared" si="4587"/>
        <v>&lt;/li&gt;&lt;li&gt;&lt;a href=|http://weymouthbible.com/james/1.htm| title=|Weymouth New Testament| target=|_top|&gt;WEY&lt;/a&gt;</v>
      </c>
      <c r="AT1147" t="str">
        <f>CONCATENATE("&lt;/li&gt;&lt;li&gt;&lt;a href=|http://",AT1191,"/james/1-1.htm","| ","title=|",AT1190,"| target=|_top|&gt;",AT1192,"&lt;/a&gt;")</f>
        <v>&lt;/li&gt;&lt;li&gt;&lt;a href=|http://biblebrowser.com/james/1-1.htm| title=|Split View| target=|_top|&gt;Split&lt;/a&gt;</v>
      </c>
      <c r="AU1147" s="2" t="s">
        <v>1276</v>
      </c>
      <c r="AV1147" t="s">
        <v>64</v>
      </c>
    </row>
    <row r="1148" spans="1:48">
      <c r="A1148" t="s">
        <v>622</v>
      </c>
      <c r="B1148" t="s">
        <v>579</v>
      </c>
      <c r="C1148" t="s">
        <v>624</v>
      </c>
      <c r="D1148" t="s">
        <v>1268</v>
      </c>
      <c r="E1148" t="s">
        <v>1277</v>
      </c>
      <c r="F1148" t="s">
        <v>1304</v>
      </c>
      <c r="G1148" t="s">
        <v>1266</v>
      </c>
      <c r="H1148" t="s">
        <v>1305</v>
      </c>
      <c r="I1148" t="s">
        <v>1303</v>
      </c>
      <c r="J1148" t="s">
        <v>1267</v>
      </c>
      <c r="K1148" t="s">
        <v>1275</v>
      </c>
      <c r="L1148" s="2" t="s">
        <v>1274</v>
      </c>
      <c r="M1148" t="str">
        <f t="shared" ref="M1148:AB1148" si="4588">CONCATENATE("&lt;/li&gt;&lt;li&gt;&lt;a href=|http://",M1191,"/james/2.htm","| ","title=|",M1190,"| target=|_top|&gt;",M1192,"&lt;/a&gt;")</f>
        <v>&lt;/li&gt;&lt;li&gt;&lt;a href=|http://niv.scripturetext.com/james/2.htm| title=|New International Version| target=|_top|&gt;NIV&lt;/a&gt;</v>
      </c>
      <c r="N1148" t="str">
        <f t="shared" si="4588"/>
        <v>&lt;/li&gt;&lt;li&gt;&lt;a href=|http://nlt.scripturetext.com/james/2.htm| title=|New Living Translation| target=|_top|&gt;NLT&lt;/a&gt;</v>
      </c>
      <c r="O1148" t="str">
        <f t="shared" si="4588"/>
        <v>&lt;/li&gt;&lt;li&gt;&lt;a href=|http://nasb.scripturetext.com/james/2.htm| title=|New American Standard Bible| target=|_top|&gt;NAS&lt;/a&gt;</v>
      </c>
      <c r="P1148" t="str">
        <f t="shared" si="4588"/>
        <v>&lt;/li&gt;&lt;li&gt;&lt;a href=|http://gwt.scripturetext.com/james/2.htm| title=|God's Word Translation| target=|_top|&gt;GWT&lt;/a&gt;</v>
      </c>
      <c r="Q1148" t="str">
        <f t="shared" si="4588"/>
        <v>&lt;/li&gt;&lt;li&gt;&lt;a href=|http://kingjbible.com/james/2.htm| title=|King James Bible| target=|_top|&gt;KJV&lt;/a&gt;</v>
      </c>
      <c r="R1148" t="str">
        <f t="shared" si="4588"/>
        <v>&lt;/li&gt;&lt;li&gt;&lt;a href=|http://asvbible.com/james/2.htm| title=|American Standard Version| target=|_top|&gt;ASV&lt;/a&gt;</v>
      </c>
      <c r="S1148" t="str">
        <f t="shared" si="4588"/>
        <v>&lt;/li&gt;&lt;li&gt;&lt;a href=|http://drb.scripturetext.com/james/2.htm| title=|Douay-Rheims Bible| target=|_top|&gt;DRB&lt;/a&gt;</v>
      </c>
      <c r="T1148" t="str">
        <f t="shared" si="4588"/>
        <v>&lt;/li&gt;&lt;li&gt;&lt;a href=|http://erv.scripturetext.com/james/2.htm| title=|English Revised Version| target=|_top|&gt;ERV&lt;/a&gt;</v>
      </c>
      <c r="U1148" t="str">
        <f>CONCATENATE("&lt;/li&gt;&lt;li&gt;&lt;a href=|http://",U1191,"/james/2.htm","| ","title=|",U1190,"| target=|_top|&gt;",U1192,"&lt;/a&gt;")</f>
        <v>&lt;/li&gt;&lt;li&gt;&lt;a href=|http://study.interlinearbible.org/james/2.htm| title=|Greek Study Bible| target=|_top|&gt;Grk Study&lt;/a&gt;</v>
      </c>
      <c r="W1148" t="str">
        <f t="shared" si="4588"/>
        <v>&lt;/li&gt;&lt;li&gt;&lt;a href=|http://apostolic.interlinearbible.org/james/2.htm| title=|Apostolic Bible Polyglot Interlinear| target=|_top|&gt;Polyglot&lt;/a&gt;</v>
      </c>
      <c r="X1148" t="str">
        <f t="shared" si="4588"/>
        <v>&lt;/li&gt;&lt;li&gt;&lt;a href=|http://interlinearbible.org/james/2.htm| title=|Interlinear Bible| target=|_top|&gt;Interlin&lt;/a&gt;</v>
      </c>
      <c r="Y1148" t="str">
        <f t="shared" ref="Y1148" si="4589">CONCATENATE("&lt;/li&gt;&lt;li&gt;&lt;a href=|http://",Y1191,"/james/2.htm","| ","title=|",Y1190,"| target=|_top|&gt;",Y1192,"&lt;/a&gt;")</f>
        <v>&lt;/li&gt;&lt;li&gt;&lt;a href=|http://bibleoutline.org/james/2.htm| title=|Outline with People and Places List| target=|_top|&gt;Outline&lt;/a&gt;</v>
      </c>
      <c r="Z1148" t="str">
        <f t="shared" si="4588"/>
        <v>&lt;/li&gt;&lt;li&gt;&lt;a href=|http://kjvs.scripturetext.com/james/2.htm| title=|King James Bible with Strong's Numbers| target=|_top|&gt;Strong's&lt;/a&gt;</v>
      </c>
      <c r="AA1148" t="str">
        <f t="shared" si="4588"/>
        <v>&lt;/li&gt;&lt;li&gt;&lt;a href=|http://childrensbibleonline.com/james/2.htm| title=|The Children's Bible| target=|_top|&gt;Children's&lt;/a&gt;</v>
      </c>
      <c r="AB1148" s="2" t="str">
        <f t="shared" si="4588"/>
        <v>&lt;/li&gt;&lt;li&gt;&lt;a href=|http://tsk.scripturetext.com/james/2.htm| title=|Treasury of Scripture Knowledge| target=|_top|&gt;TSK&lt;/a&gt;</v>
      </c>
      <c r="AC1148" t="str">
        <f>CONCATENATE("&lt;a href=|http://",AC1191,"/james/2.htm","| ","title=|",AC1190,"| target=|_top|&gt;",AC1192,"&lt;/a&gt;")</f>
        <v>&lt;a href=|http://parallelbible.com/james/2.htm| title=|Parallel Chapters| target=|_top|&gt;PAR&lt;/a&gt;</v>
      </c>
      <c r="AD1148" s="2" t="str">
        <f t="shared" ref="AD1148:AI1148" si="4590">CONCATENATE("&lt;/li&gt;&lt;li&gt;&lt;a href=|http://",AD1191,"/james/2.htm","| ","title=|",AD1190,"| target=|_top|&gt;",AD1192,"&lt;/a&gt;")</f>
        <v>&lt;/li&gt;&lt;li&gt;&lt;a href=|http://gsb.biblecommenter.com/james/2.htm| title=|Geneva Study Bible| target=|_top|&gt;GSB&lt;/a&gt;</v>
      </c>
      <c r="AE1148" s="2" t="str">
        <f t="shared" si="4590"/>
        <v>&lt;/li&gt;&lt;li&gt;&lt;a href=|http://jfb.biblecommenter.com/james/2.htm| title=|Jamieson-Fausset-Brown Bible Commentary| target=|_top|&gt;JFB&lt;/a&gt;</v>
      </c>
      <c r="AF1148" s="2" t="str">
        <f t="shared" si="4590"/>
        <v>&lt;/li&gt;&lt;li&gt;&lt;a href=|http://kjt.biblecommenter.com/james/2.htm| title=|King James Translators' Notes| target=|_top|&gt;KJT&lt;/a&gt;</v>
      </c>
      <c r="AG1148" s="2" t="str">
        <f t="shared" si="4590"/>
        <v>&lt;/li&gt;&lt;li&gt;&lt;a href=|http://mhc.biblecommenter.com/james/2.htm| title=|Matthew Henry's Concise Commentary| target=|_top|&gt;MHC&lt;/a&gt;</v>
      </c>
      <c r="AH1148" s="2" t="str">
        <f t="shared" si="4590"/>
        <v>&lt;/li&gt;&lt;li&gt;&lt;a href=|http://sco.biblecommenter.com/james/2.htm| title=|Scofield Reference Notes| target=|_top|&gt;SCO&lt;/a&gt;</v>
      </c>
      <c r="AI1148" s="2" t="str">
        <f t="shared" si="4590"/>
        <v>&lt;/li&gt;&lt;li&gt;&lt;a href=|http://wes.biblecommenter.com/james/2.htm| title=|Wesley's Notes on the Bible| target=|_top|&gt;WES&lt;/a&gt;</v>
      </c>
      <c r="AJ1148" t="str">
        <f>CONCATENATE("&lt;/li&gt;&lt;li&gt;&lt;a href=|http://",AJ1191,"/james/2.htm","| ","title=|",AJ1190,"| target=|_top|&gt;",AJ1192,"&lt;/a&gt;")</f>
        <v>&lt;/li&gt;&lt;li&gt;&lt;a href=|http://worldebible.com/james/2.htm| title=|World English Bible| target=|_top|&gt;WEB&lt;/a&gt;</v>
      </c>
      <c r="AK1148" t="str">
        <f>CONCATENATE("&lt;/li&gt;&lt;li&gt;&lt;a href=|http://",AK1191,"/james/2.htm","| ","title=|",AK1190,"| target=|_top|&gt;",AK1192,"&lt;/a&gt;")</f>
        <v>&lt;/li&gt;&lt;li&gt;&lt;a href=|http://yltbible.com/james/2.htm| title=|Young's Literal Translation| target=|_top|&gt;YLT&lt;/a&gt;</v>
      </c>
      <c r="AL1148" t="str">
        <f>CONCATENATE("&lt;a href=|http://",AL1191,"/james/2.htm","| ","title=|",AL1190,"| target=|_top|&gt;",AL1192,"&lt;/a&gt;")</f>
        <v>&lt;a href=|http://kjv.us/james/2.htm| title=|American King James Version| target=|_top|&gt;AKJ&lt;/a&gt;</v>
      </c>
      <c r="AM1148" t="str">
        <f t="shared" ref="AM1148:AS1148" si="4591">CONCATENATE("&lt;/li&gt;&lt;li&gt;&lt;a href=|http://",AM1191,"/james/2.htm","| ","title=|",AM1190,"| target=|_top|&gt;",AM1192,"&lt;/a&gt;")</f>
        <v>&lt;/li&gt;&lt;li&gt;&lt;a href=|http://basicenglishbible.com/james/2.htm| title=|Bible in Basic English| target=|_top|&gt;BBE&lt;/a&gt;</v>
      </c>
      <c r="AN1148" t="str">
        <f t="shared" si="4591"/>
        <v>&lt;/li&gt;&lt;li&gt;&lt;a href=|http://darbybible.com/james/2.htm| title=|Darby Bible Translation| target=|_top|&gt;DBY&lt;/a&gt;</v>
      </c>
      <c r="AO1148" t="str">
        <f t="shared" si="4591"/>
        <v>&lt;/li&gt;&lt;li&gt;&lt;a href=|http://isv.scripturetext.com/james/2.htm| title=|International Standard Version| target=|_top|&gt;ISV&lt;/a&gt;</v>
      </c>
      <c r="AP1148" t="str">
        <f t="shared" si="4591"/>
        <v>&lt;/li&gt;&lt;li&gt;&lt;a href=|http://tnt.scripturetext.com/james/2.htm| title=|Tyndale New Testament| target=|_top|&gt;TNT&lt;/a&gt;</v>
      </c>
      <c r="AQ1148" s="2" t="str">
        <f t="shared" si="4591"/>
        <v>&lt;/li&gt;&lt;li&gt;&lt;a href=|http://pnt.biblecommenter.com/james/2.htm| title=|People's New Testament| target=|_top|&gt;PNT&lt;/a&gt;</v>
      </c>
      <c r="AR1148" t="str">
        <f t="shared" si="4591"/>
        <v>&lt;/li&gt;&lt;li&gt;&lt;a href=|http://websterbible.com/james/2.htm| title=|Webster's Bible Translation| target=|_top|&gt;WBS&lt;/a&gt;</v>
      </c>
      <c r="AS1148" t="str">
        <f t="shared" si="4591"/>
        <v>&lt;/li&gt;&lt;li&gt;&lt;a href=|http://weymouthbible.com/james/2.htm| title=|Weymouth New Testament| target=|_top|&gt;WEY&lt;/a&gt;</v>
      </c>
      <c r="AT1148" t="str">
        <f>CONCATENATE("&lt;/li&gt;&lt;li&gt;&lt;a href=|http://",AT1191,"/james/2-1.htm","| ","title=|",AT1190,"| target=|_top|&gt;",AT1192,"&lt;/a&gt;")</f>
        <v>&lt;/li&gt;&lt;li&gt;&lt;a href=|http://biblebrowser.com/james/2-1.htm| title=|Split View| target=|_top|&gt;Split&lt;/a&gt;</v>
      </c>
      <c r="AU1148" s="2" t="s">
        <v>1276</v>
      </c>
      <c r="AV1148" t="s">
        <v>64</v>
      </c>
    </row>
    <row r="1149" spans="1:48">
      <c r="A1149" t="s">
        <v>622</v>
      </c>
      <c r="B1149" t="s">
        <v>580</v>
      </c>
      <c r="C1149" t="s">
        <v>624</v>
      </c>
      <c r="D1149" t="s">
        <v>1268</v>
      </c>
      <c r="E1149" t="s">
        <v>1277</v>
      </c>
      <c r="F1149" t="s">
        <v>1304</v>
      </c>
      <c r="G1149" t="s">
        <v>1266</v>
      </c>
      <c r="H1149" t="s">
        <v>1305</v>
      </c>
      <c r="I1149" t="s">
        <v>1303</v>
      </c>
      <c r="J1149" t="s">
        <v>1267</v>
      </c>
      <c r="K1149" t="s">
        <v>1275</v>
      </c>
      <c r="L1149" s="2" t="s">
        <v>1274</v>
      </c>
      <c r="M1149" t="str">
        <f t="shared" ref="M1149:AB1149" si="4592">CONCATENATE("&lt;/li&gt;&lt;li&gt;&lt;a href=|http://",M1191,"/james/3.htm","| ","title=|",M1190,"| target=|_top|&gt;",M1192,"&lt;/a&gt;")</f>
        <v>&lt;/li&gt;&lt;li&gt;&lt;a href=|http://niv.scripturetext.com/james/3.htm| title=|New International Version| target=|_top|&gt;NIV&lt;/a&gt;</v>
      </c>
      <c r="N1149" t="str">
        <f t="shared" si="4592"/>
        <v>&lt;/li&gt;&lt;li&gt;&lt;a href=|http://nlt.scripturetext.com/james/3.htm| title=|New Living Translation| target=|_top|&gt;NLT&lt;/a&gt;</v>
      </c>
      <c r="O1149" t="str">
        <f t="shared" si="4592"/>
        <v>&lt;/li&gt;&lt;li&gt;&lt;a href=|http://nasb.scripturetext.com/james/3.htm| title=|New American Standard Bible| target=|_top|&gt;NAS&lt;/a&gt;</v>
      </c>
      <c r="P1149" t="str">
        <f t="shared" si="4592"/>
        <v>&lt;/li&gt;&lt;li&gt;&lt;a href=|http://gwt.scripturetext.com/james/3.htm| title=|God's Word Translation| target=|_top|&gt;GWT&lt;/a&gt;</v>
      </c>
      <c r="Q1149" t="str">
        <f t="shared" si="4592"/>
        <v>&lt;/li&gt;&lt;li&gt;&lt;a href=|http://kingjbible.com/james/3.htm| title=|King James Bible| target=|_top|&gt;KJV&lt;/a&gt;</v>
      </c>
      <c r="R1149" t="str">
        <f t="shared" si="4592"/>
        <v>&lt;/li&gt;&lt;li&gt;&lt;a href=|http://asvbible.com/james/3.htm| title=|American Standard Version| target=|_top|&gt;ASV&lt;/a&gt;</v>
      </c>
      <c r="S1149" t="str">
        <f t="shared" si="4592"/>
        <v>&lt;/li&gt;&lt;li&gt;&lt;a href=|http://drb.scripturetext.com/james/3.htm| title=|Douay-Rheims Bible| target=|_top|&gt;DRB&lt;/a&gt;</v>
      </c>
      <c r="T1149" t="str">
        <f t="shared" si="4592"/>
        <v>&lt;/li&gt;&lt;li&gt;&lt;a href=|http://erv.scripturetext.com/james/3.htm| title=|English Revised Version| target=|_top|&gt;ERV&lt;/a&gt;</v>
      </c>
      <c r="U1149" t="str">
        <f>CONCATENATE("&lt;/li&gt;&lt;li&gt;&lt;a href=|http://",U1191,"/james/3.htm","| ","title=|",U1190,"| target=|_top|&gt;",U1192,"&lt;/a&gt;")</f>
        <v>&lt;/li&gt;&lt;li&gt;&lt;a href=|http://study.interlinearbible.org/james/3.htm| title=|Greek Study Bible| target=|_top|&gt;Grk Study&lt;/a&gt;</v>
      </c>
      <c r="W1149" t="str">
        <f t="shared" si="4592"/>
        <v>&lt;/li&gt;&lt;li&gt;&lt;a href=|http://apostolic.interlinearbible.org/james/3.htm| title=|Apostolic Bible Polyglot Interlinear| target=|_top|&gt;Polyglot&lt;/a&gt;</v>
      </c>
      <c r="X1149" t="str">
        <f t="shared" si="4592"/>
        <v>&lt;/li&gt;&lt;li&gt;&lt;a href=|http://interlinearbible.org/james/3.htm| title=|Interlinear Bible| target=|_top|&gt;Interlin&lt;/a&gt;</v>
      </c>
      <c r="Y1149" t="str">
        <f t="shared" ref="Y1149" si="4593">CONCATENATE("&lt;/li&gt;&lt;li&gt;&lt;a href=|http://",Y1191,"/james/3.htm","| ","title=|",Y1190,"| target=|_top|&gt;",Y1192,"&lt;/a&gt;")</f>
        <v>&lt;/li&gt;&lt;li&gt;&lt;a href=|http://bibleoutline.org/james/3.htm| title=|Outline with People and Places List| target=|_top|&gt;Outline&lt;/a&gt;</v>
      </c>
      <c r="Z1149" t="str">
        <f t="shared" si="4592"/>
        <v>&lt;/li&gt;&lt;li&gt;&lt;a href=|http://kjvs.scripturetext.com/james/3.htm| title=|King James Bible with Strong's Numbers| target=|_top|&gt;Strong's&lt;/a&gt;</v>
      </c>
      <c r="AA1149" t="str">
        <f t="shared" si="4592"/>
        <v>&lt;/li&gt;&lt;li&gt;&lt;a href=|http://childrensbibleonline.com/james/3.htm| title=|The Children's Bible| target=|_top|&gt;Children's&lt;/a&gt;</v>
      </c>
      <c r="AB1149" s="2" t="str">
        <f t="shared" si="4592"/>
        <v>&lt;/li&gt;&lt;li&gt;&lt;a href=|http://tsk.scripturetext.com/james/3.htm| title=|Treasury of Scripture Knowledge| target=|_top|&gt;TSK&lt;/a&gt;</v>
      </c>
      <c r="AC1149" t="str">
        <f>CONCATENATE("&lt;a href=|http://",AC1191,"/james/3.htm","| ","title=|",AC1190,"| target=|_top|&gt;",AC1192,"&lt;/a&gt;")</f>
        <v>&lt;a href=|http://parallelbible.com/james/3.htm| title=|Parallel Chapters| target=|_top|&gt;PAR&lt;/a&gt;</v>
      </c>
      <c r="AD1149" s="2" t="str">
        <f t="shared" ref="AD1149:AI1149" si="4594">CONCATENATE("&lt;/li&gt;&lt;li&gt;&lt;a href=|http://",AD1191,"/james/3.htm","| ","title=|",AD1190,"| target=|_top|&gt;",AD1192,"&lt;/a&gt;")</f>
        <v>&lt;/li&gt;&lt;li&gt;&lt;a href=|http://gsb.biblecommenter.com/james/3.htm| title=|Geneva Study Bible| target=|_top|&gt;GSB&lt;/a&gt;</v>
      </c>
      <c r="AE1149" s="2" t="str">
        <f t="shared" si="4594"/>
        <v>&lt;/li&gt;&lt;li&gt;&lt;a href=|http://jfb.biblecommenter.com/james/3.htm| title=|Jamieson-Fausset-Brown Bible Commentary| target=|_top|&gt;JFB&lt;/a&gt;</v>
      </c>
      <c r="AF1149" s="2" t="str">
        <f t="shared" si="4594"/>
        <v>&lt;/li&gt;&lt;li&gt;&lt;a href=|http://kjt.biblecommenter.com/james/3.htm| title=|King James Translators' Notes| target=|_top|&gt;KJT&lt;/a&gt;</v>
      </c>
      <c r="AG1149" s="2" t="str">
        <f t="shared" si="4594"/>
        <v>&lt;/li&gt;&lt;li&gt;&lt;a href=|http://mhc.biblecommenter.com/james/3.htm| title=|Matthew Henry's Concise Commentary| target=|_top|&gt;MHC&lt;/a&gt;</v>
      </c>
      <c r="AH1149" s="2" t="str">
        <f t="shared" si="4594"/>
        <v>&lt;/li&gt;&lt;li&gt;&lt;a href=|http://sco.biblecommenter.com/james/3.htm| title=|Scofield Reference Notes| target=|_top|&gt;SCO&lt;/a&gt;</v>
      </c>
      <c r="AI1149" s="2" t="str">
        <f t="shared" si="4594"/>
        <v>&lt;/li&gt;&lt;li&gt;&lt;a href=|http://wes.biblecommenter.com/james/3.htm| title=|Wesley's Notes on the Bible| target=|_top|&gt;WES&lt;/a&gt;</v>
      </c>
      <c r="AJ1149" t="str">
        <f>CONCATENATE("&lt;/li&gt;&lt;li&gt;&lt;a href=|http://",AJ1191,"/james/3.htm","| ","title=|",AJ1190,"| target=|_top|&gt;",AJ1192,"&lt;/a&gt;")</f>
        <v>&lt;/li&gt;&lt;li&gt;&lt;a href=|http://worldebible.com/james/3.htm| title=|World English Bible| target=|_top|&gt;WEB&lt;/a&gt;</v>
      </c>
      <c r="AK1149" t="str">
        <f>CONCATENATE("&lt;/li&gt;&lt;li&gt;&lt;a href=|http://",AK1191,"/james/3.htm","| ","title=|",AK1190,"| target=|_top|&gt;",AK1192,"&lt;/a&gt;")</f>
        <v>&lt;/li&gt;&lt;li&gt;&lt;a href=|http://yltbible.com/james/3.htm| title=|Young's Literal Translation| target=|_top|&gt;YLT&lt;/a&gt;</v>
      </c>
      <c r="AL1149" t="str">
        <f>CONCATENATE("&lt;a href=|http://",AL1191,"/james/3.htm","| ","title=|",AL1190,"| target=|_top|&gt;",AL1192,"&lt;/a&gt;")</f>
        <v>&lt;a href=|http://kjv.us/james/3.htm| title=|American King James Version| target=|_top|&gt;AKJ&lt;/a&gt;</v>
      </c>
      <c r="AM1149" t="str">
        <f t="shared" ref="AM1149:AS1149" si="4595">CONCATENATE("&lt;/li&gt;&lt;li&gt;&lt;a href=|http://",AM1191,"/james/3.htm","| ","title=|",AM1190,"| target=|_top|&gt;",AM1192,"&lt;/a&gt;")</f>
        <v>&lt;/li&gt;&lt;li&gt;&lt;a href=|http://basicenglishbible.com/james/3.htm| title=|Bible in Basic English| target=|_top|&gt;BBE&lt;/a&gt;</v>
      </c>
      <c r="AN1149" t="str">
        <f t="shared" si="4595"/>
        <v>&lt;/li&gt;&lt;li&gt;&lt;a href=|http://darbybible.com/james/3.htm| title=|Darby Bible Translation| target=|_top|&gt;DBY&lt;/a&gt;</v>
      </c>
      <c r="AO1149" t="str">
        <f t="shared" si="4595"/>
        <v>&lt;/li&gt;&lt;li&gt;&lt;a href=|http://isv.scripturetext.com/james/3.htm| title=|International Standard Version| target=|_top|&gt;ISV&lt;/a&gt;</v>
      </c>
      <c r="AP1149" t="str">
        <f t="shared" si="4595"/>
        <v>&lt;/li&gt;&lt;li&gt;&lt;a href=|http://tnt.scripturetext.com/james/3.htm| title=|Tyndale New Testament| target=|_top|&gt;TNT&lt;/a&gt;</v>
      </c>
      <c r="AQ1149" s="2" t="str">
        <f t="shared" si="4595"/>
        <v>&lt;/li&gt;&lt;li&gt;&lt;a href=|http://pnt.biblecommenter.com/james/3.htm| title=|People's New Testament| target=|_top|&gt;PNT&lt;/a&gt;</v>
      </c>
      <c r="AR1149" t="str">
        <f t="shared" si="4595"/>
        <v>&lt;/li&gt;&lt;li&gt;&lt;a href=|http://websterbible.com/james/3.htm| title=|Webster's Bible Translation| target=|_top|&gt;WBS&lt;/a&gt;</v>
      </c>
      <c r="AS1149" t="str">
        <f t="shared" si="4595"/>
        <v>&lt;/li&gt;&lt;li&gt;&lt;a href=|http://weymouthbible.com/james/3.htm| title=|Weymouth New Testament| target=|_top|&gt;WEY&lt;/a&gt;</v>
      </c>
      <c r="AT1149" t="str">
        <f>CONCATENATE("&lt;/li&gt;&lt;li&gt;&lt;a href=|http://",AT1191,"/james/3-1.htm","| ","title=|",AT1190,"| target=|_top|&gt;",AT1192,"&lt;/a&gt;")</f>
        <v>&lt;/li&gt;&lt;li&gt;&lt;a href=|http://biblebrowser.com/james/3-1.htm| title=|Split View| target=|_top|&gt;Split&lt;/a&gt;</v>
      </c>
      <c r="AU1149" s="2" t="s">
        <v>1276</v>
      </c>
      <c r="AV1149" t="s">
        <v>64</v>
      </c>
    </row>
    <row r="1150" spans="1:48">
      <c r="A1150" t="s">
        <v>622</v>
      </c>
      <c r="B1150" t="s">
        <v>581</v>
      </c>
      <c r="C1150" t="s">
        <v>624</v>
      </c>
      <c r="D1150" t="s">
        <v>1268</v>
      </c>
      <c r="E1150" t="s">
        <v>1277</v>
      </c>
      <c r="F1150" t="s">
        <v>1304</v>
      </c>
      <c r="G1150" t="s">
        <v>1266</v>
      </c>
      <c r="H1150" t="s">
        <v>1305</v>
      </c>
      <c r="I1150" t="s">
        <v>1303</v>
      </c>
      <c r="J1150" t="s">
        <v>1267</v>
      </c>
      <c r="K1150" t="s">
        <v>1275</v>
      </c>
      <c r="L1150" s="2" t="s">
        <v>1274</v>
      </c>
      <c r="M1150" t="str">
        <f t="shared" ref="M1150:AB1150" si="4596">CONCATENATE("&lt;/li&gt;&lt;li&gt;&lt;a href=|http://",M1191,"/james/4.htm","| ","title=|",M1190,"| target=|_top|&gt;",M1192,"&lt;/a&gt;")</f>
        <v>&lt;/li&gt;&lt;li&gt;&lt;a href=|http://niv.scripturetext.com/james/4.htm| title=|New International Version| target=|_top|&gt;NIV&lt;/a&gt;</v>
      </c>
      <c r="N1150" t="str">
        <f t="shared" si="4596"/>
        <v>&lt;/li&gt;&lt;li&gt;&lt;a href=|http://nlt.scripturetext.com/james/4.htm| title=|New Living Translation| target=|_top|&gt;NLT&lt;/a&gt;</v>
      </c>
      <c r="O1150" t="str">
        <f t="shared" si="4596"/>
        <v>&lt;/li&gt;&lt;li&gt;&lt;a href=|http://nasb.scripturetext.com/james/4.htm| title=|New American Standard Bible| target=|_top|&gt;NAS&lt;/a&gt;</v>
      </c>
      <c r="P1150" t="str">
        <f t="shared" si="4596"/>
        <v>&lt;/li&gt;&lt;li&gt;&lt;a href=|http://gwt.scripturetext.com/james/4.htm| title=|God's Word Translation| target=|_top|&gt;GWT&lt;/a&gt;</v>
      </c>
      <c r="Q1150" t="str">
        <f t="shared" si="4596"/>
        <v>&lt;/li&gt;&lt;li&gt;&lt;a href=|http://kingjbible.com/james/4.htm| title=|King James Bible| target=|_top|&gt;KJV&lt;/a&gt;</v>
      </c>
      <c r="R1150" t="str">
        <f t="shared" si="4596"/>
        <v>&lt;/li&gt;&lt;li&gt;&lt;a href=|http://asvbible.com/james/4.htm| title=|American Standard Version| target=|_top|&gt;ASV&lt;/a&gt;</v>
      </c>
      <c r="S1150" t="str">
        <f t="shared" si="4596"/>
        <v>&lt;/li&gt;&lt;li&gt;&lt;a href=|http://drb.scripturetext.com/james/4.htm| title=|Douay-Rheims Bible| target=|_top|&gt;DRB&lt;/a&gt;</v>
      </c>
      <c r="T1150" t="str">
        <f t="shared" si="4596"/>
        <v>&lt;/li&gt;&lt;li&gt;&lt;a href=|http://erv.scripturetext.com/james/4.htm| title=|English Revised Version| target=|_top|&gt;ERV&lt;/a&gt;</v>
      </c>
      <c r="U1150" t="str">
        <f>CONCATENATE("&lt;/li&gt;&lt;li&gt;&lt;a href=|http://",U1191,"/james/4.htm","| ","title=|",U1190,"| target=|_top|&gt;",U1192,"&lt;/a&gt;")</f>
        <v>&lt;/li&gt;&lt;li&gt;&lt;a href=|http://study.interlinearbible.org/james/4.htm| title=|Greek Study Bible| target=|_top|&gt;Grk Study&lt;/a&gt;</v>
      </c>
      <c r="W1150" t="str">
        <f t="shared" si="4596"/>
        <v>&lt;/li&gt;&lt;li&gt;&lt;a href=|http://apostolic.interlinearbible.org/james/4.htm| title=|Apostolic Bible Polyglot Interlinear| target=|_top|&gt;Polyglot&lt;/a&gt;</v>
      </c>
      <c r="X1150" t="str">
        <f t="shared" si="4596"/>
        <v>&lt;/li&gt;&lt;li&gt;&lt;a href=|http://interlinearbible.org/james/4.htm| title=|Interlinear Bible| target=|_top|&gt;Interlin&lt;/a&gt;</v>
      </c>
      <c r="Y1150" t="str">
        <f t="shared" ref="Y1150" si="4597">CONCATENATE("&lt;/li&gt;&lt;li&gt;&lt;a href=|http://",Y1191,"/james/4.htm","| ","title=|",Y1190,"| target=|_top|&gt;",Y1192,"&lt;/a&gt;")</f>
        <v>&lt;/li&gt;&lt;li&gt;&lt;a href=|http://bibleoutline.org/james/4.htm| title=|Outline with People and Places List| target=|_top|&gt;Outline&lt;/a&gt;</v>
      </c>
      <c r="Z1150" t="str">
        <f t="shared" si="4596"/>
        <v>&lt;/li&gt;&lt;li&gt;&lt;a href=|http://kjvs.scripturetext.com/james/4.htm| title=|King James Bible with Strong's Numbers| target=|_top|&gt;Strong's&lt;/a&gt;</v>
      </c>
      <c r="AA1150" t="str">
        <f t="shared" si="4596"/>
        <v>&lt;/li&gt;&lt;li&gt;&lt;a href=|http://childrensbibleonline.com/james/4.htm| title=|The Children's Bible| target=|_top|&gt;Children's&lt;/a&gt;</v>
      </c>
      <c r="AB1150" s="2" t="str">
        <f t="shared" si="4596"/>
        <v>&lt;/li&gt;&lt;li&gt;&lt;a href=|http://tsk.scripturetext.com/james/4.htm| title=|Treasury of Scripture Knowledge| target=|_top|&gt;TSK&lt;/a&gt;</v>
      </c>
      <c r="AC1150" t="str">
        <f>CONCATENATE("&lt;a href=|http://",AC1191,"/james/4.htm","| ","title=|",AC1190,"| target=|_top|&gt;",AC1192,"&lt;/a&gt;")</f>
        <v>&lt;a href=|http://parallelbible.com/james/4.htm| title=|Parallel Chapters| target=|_top|&gt;PAR&lt;/a&gt;</v>
      </c>
      <c r="AD1150" s="2" t="str">
        <f t="shared" ref="AD1150:AI1150" si="4598">CONCATENATE("&lt;/li&gt;&lt;li&gt;&lt;a href=|http://",AD1191,"/james/4.htm","| ","title=|",AD1190,"| target=|_top|&gt;",AD1192,"&lt;/a&gt;")</f>
        <v>&lt;/li&gt;&lt;li&gt;&lt;a href=|http://gsb.biblecommenter.com/james/4.htm| title=|Geneva Study Bible| target=|_top|&gt;GSB&lt;/a&gt;</v>
      </c>
      <c r="AE1150" s="2" t="str">
        <f t="shared" si="4598"/>
        <v>&lt;/li&gt;&lt;li&gt;&lt;a href=|http://jfb.biblecommenter.com/james/4.htm| title=|Jamieson-Fausset-Brown Bible Commentary| target=|_top|&gt;JFB&lt;/a&gt;</v>
      </c>
      <c r="AF1150" s="2" t="str">
        <f t="shared" si="4598"/>
        <v>&lt;/li&gt;&lt;li&gt;&lt;a href=|http://kjt.biblecommenter.com/james/4.htm| title=|King James Translators' Notes| target=|_top|&gt;KJT&lt;/a&gt;</v>
      </c>
      <c r="AG1150" s="2" t="str">
        <f t="shared" si="4598"/>
        <v>&lt;/li&gt;&lt;li&gt;&lt;a href=|http://mhc.biblecommenter.com/james/4.htm| title=|Matthew Henry's Concise Commentary| target=|_top|&gt;MHC&lt;/a&gt;</v>
      </c>
      <c r="AH1150" s="2" t="str">
        <f t="shared" si="4598"/>
        <v>&lt;/li&gt;&lt;li&gt;&lt;a href=|http://sco.biblecommenter.com/james/4.htm| title=|Scofield Reference Notes| target=|_top|&gt;SCO&lt;/a&gt;</v>
      </c>
      <c r="AI1150" s="2" t="str">
        <f t="shared" si="4598"/>
        <v>&lt;/li&gt;&lt;li&gt;&lt;a href=|http://wes.biblecommenter.com/james/4.htm| title=|Wesley's Notes on the Bible| target=|_top|&gt;WES&lt;/a&gt;</v>
      </c>
      <c r="AJ1150" t="str">
        <f>CONCATENATE("&lt;/li&gt;&lt;li&gt;&lt;a href=|http://",AJ1191,"/james/4.htm","| ","title=|",AJ1190,"| target=|_top|&gt;",AJ1192,"&lt;/a&gt;")</f>
        <v>&lt;/li&gt;&lt;li&gt;&lt;a href=|http://worldebible.com/james/4.htm| title=|World English Bible| target=|_top|&gt;WEB&lt;/a&gt;</v>
      </c>
      <c r="AK1150" t="str">
        <f>CONCATENATE("&lt;/li&gt;&lt;li&gt;&lt;a href=|http://",AK1191,"/james/4.htm","| ","title=|",AK1190,"| target=|_top|&gt;",AK1192,"&lt;/a&gt;")</f>
        <v>&lt;/li&gt;&lt;li&gt;&lt;a href=|http://yltbible.com/james/4.htm| title=|Young's Literal Translation| target=|_top|&gt;YLT&lt;/a&gt;</v>
      </c>
      <c r="AL1150" t="str">
        <f>CONCATENATE("&lt;a href=|http://",AL1191,"/james/4.htm","| ","title=|",AL1190,"| target=|_top|&gt;",AL1192,"&lt;/a&gt;")</f>
        <v>&lt;a href=|http://kjv.us/james/4.htm| title=|American King James Version| target=|_top|&gt;AKJ&lt;/a&gt;</v>
      </c>
      <c r="AM1150" t="str">
        <f t="shared" ref="AM1150:AS1150" si="4599">CONCATENATE("&lt;/li&gt;&lt;li&gt;&lt;a href=|http://",AM1191,"/james/4.htm","| ","title=|",AM1190,"| target=|_top|&gt;",AM1192,"&lt;/a&gt;")</f>
        <v>&lt;/li&gt;&lt;li&gt;&lt;a href=|http://basicenglishbible.com/james/4.htm| title=|Bible in Basic English| target=|_top|&gt;BBE&lt;/a&gt;</v>
      </c>
      <c r="AN1150" t="str">
        <f t="shared" si="4599"/>
        <v>&lt;/li&gt;&lt;li&gt;&lt;a href=|http://darbybible.com/james/4.htm| title=|Darby Bible Translation| target=|_top|&gt;DBY&lt;/a&gt;</v>
      </c>
      <c r="AO1150" t="str">
        <f t="shared" si="4599"/>
        <v>&lt;/li&gt;&lt;li&gt;&lt;a href=|http://isv.scripturetext.com/james/4.htm| title=|International Standard Version| target=|_top|&gt;ISV&lt;/a&gt;</v>
      </c>
      <c r="AP1150" t="str">
        <f t="shared" si="4599"/>
        <v>&lt;/li&gt;&lt;li&gt;&lt;a href=|http://tnt.scripturetext.com/james/4.htm| title=|Tyndale New Testament| target=|_top|&gt;TNT&lt;/a&gt;</v>
      </c>
      <c r="AQ1150" s="2" t="str">
        <f t="shared" si="4599"/>
        <v>&lt;/li&gt;&lt;li&gt;&lt;a href=|http://pnt.biblecommenter.com/james/4.htm| title=|People's New Testament| target=|_top|&gt;PNT&lt;/a&gt;</v>
      </c>
      <c r="AR1150" t="str">
        <f t="shared" si="4599"/>
        <v>&lt;/li&gt;&lt;li&gt;&lt;a href=|http://websterbible.com/james/4.htm| title=|Webster's Bible Translation| target=|_top|&gt;WBS&lt;/a&gt;</v>
      </c>
      <c r="AS1150" t="str">
        <f t="shared" si="4599"/>
        <v>&lt;/li&gt;&lt;li&gt;&lt;a href=|http://weymouthbible.com/james/4.htm| title=|Weymouth New Testament| target=|_top|&gt;WEY&lt;/a&gt;</v>
      </c>
      <c r="AT1150" t="str">
        <f>CONCATENATE("&lt;/li&gt;&lt;li&gt;&lt;a href=|http://",AT1191,"/james/4-1.htm","| ","title=|",AT1190,"| target=|_top|&gt;",AT1192,"&lt;/a&gt;")</f>
        <v>&lt;/li&gt;&lt;li&gt;&lt;a href=|http://biblebrowser.com/james/4-1.htm| title=|Split View| target=|_top|&gt;Split&lt;/a&gt;</v>
      </c>
      <c r="AU1150" s="2" t="s">
        <v>1276</v>
      </c>
      <c r="AV1150" t="s">
        <v>64</v>
      </c>
    </row>
    <row r="1151" spans="1:48">
      <c r="A1151" t="s">
        <v>622</v>
      </c>
      <c r="B1151" t="s">
        <v>582</v>
      </c>
      <c r="C1151" t="s">
        <v>624</v>
      </c>
      <c r="D1151" t="s">
        <v>1268</v>
      </c>
      <c r="E1151" t="s">
        <v>1277</v>
      </c>
      <c r="F1151" t="s">
        <v>1304</v>
      </c>
      <c r="G1151" t="s">
        <v>1266</v>
      </c>
      <c r="H1151" t="s">
        <v>1305</v>
      </c>
      <c r="I1151" t="s">
        <v>1303</v>
      </c>
      <c r="J1151" t="s">
        <v>1267</v>
      </c>
      <c r="K1151" t="s">
        <v>1275</v>
      </c>
      <c r="L1151" s="2" t="s">
        <v>1274</v>
      </c>
      <c r="M1151" t="str">
        <f t="shared" ref="M1151:AB1151" si="4600">CONCATENATE("&lt;/li&gt;&lt;li&gt;&lt;a href=|http://",M1191,"/james/5.htm","| ","title=|",M1190,"| target=|_top|&gt;",M1192,"&lt;/a&gt;")</f>
        <v>&lt;/li&gt;&lt;li&gt;&lt;a href=|http://niv.scripturetext.com/james/5.htm| title=|New International Version| target=|_top|&gt;NIV&lt;/a&gt;</v>
      </c>
      <c r="N1151" t="str">
        <f t="shared" si="4600"/>
        <v>&lt;/li&gt;&lt;li&gt;&lt;a href=|http://nlt.scripturetext.com/james/5.htm| title=|New Living Translation| target=|_top|&gt;NLT&lt;/a&gt;</v>
      </c>
      <c r="O1151" t="str">
        <f t="shared" si="4600"/>
        <v>&lt;/li&gt;&lt;li&gt;&lt;a href=|http://nasb.scripturetext.com/james/5.htm| title=|New American Standard Bible| target=|_top|&gt;NAS&lt;/a&gt;</v>
      </c>
      <c r="P1151" t="str">
        <f t="shared" si="4600"/>
        <v>&lt;/li&gt;&lt;li&gt;&lt;a href=|http://gwt.scripturetext.com/james/5.htm| title=|God's Word Translation| target=|_top|&gt;GWT&lt;/a&gt;</v>
      </c>
      <c r="Q1151" t="str">
        <f t="shared" si="4600"/>
        <v>&lt;/li&gt;&lt;li&gt;&lt;a href=|http://kingjbible.com/james/5.htm| title=|King James Bible| target=|_top|&gt;KJV&lt;/a&gt;</v>
      </c>
      <c r="R1151" t="str">
        <f t="shared" si="4600"/>
        <v>&lt;/li&gt;&lt;li&gt;&lt;a href=|http://asvbible.com/james/5.htm| title=|American Standard Version| target=|_top|&gt;ASV&lt;/a&gt;</v>
      </c>
      <c r="S1151" t="str">
        <f t="shared" si="4600"/>
        <v>&lt;/li&gt;&lt;li&gt;&lt;a href=|http://drb.scripturetext.com/james/5.htm| title=|Douay-Rheims Bible| target=|_top|&gt;DRB&lt;/a&gt;</v>
      </c>
      <c r="T1151" t="str">
        <f t="shared" si="4600"/>
        <v>&lt;/li&gt;&lt;li&gt;&lt;a href=|http://erv.scripturetext.com/james/5.htm| title=|English Revised Version| target=|_top|&gt;ERV&lt;/a&gt;</v>
      </c>
      <c r="U1151" t="str">
        <f>CONCATENATE("&lt;/li&gt;&lt;li&gt;&lt;a href=|http://",U1191,"/james/5.htm","| ","title=|",U1190,"| target=|_top|&gt;",U1192,"&lt;/a&gt;")</f>
        <v>&lt;/li&gt;&lt;li&gt;&lt;a href=|http://study.interlinearbible.org/james/5.htm| title=|Greek Study Bible| target=|_top|&gt;Grk Study&lt;/a&gt;</v>
      </c>
      <c r="W1151" t="str">
        <f t="shared" si="4600"/>
        <v>&lt;/li&gt;&lt;li&gt;&lt;a href=|http://apostolic.interlinearbible.org/james/5.htm| title=|Apostolic Bible Polyglot Interlinear| target=|_top|&gt;Polyglot&lt;/a&gt;</v>
      </c>
      <c r="X1151" t="str">
        <f t="shared" si="4600"/>
        <v>&lt;/li&gt;&lt;li&gt;&lt;a href=|http://interlinearbible.org/james/5.htm| title=|Interlinear Bible| target=|_top|&gt;Interlin&lt;/a&gt;</v>
      </c>
      <c r="Y1151" t="str">
        <f t="shared" ref="Y1151" si="4601">CONCATENATE("&lt;/li&gt;&lt;li&gt;&lt;a href=|http://",Y1191,"/james/5.htm","| ","title=|",Y1190,"| target=|_top|&gt;",Y1192,"&lt;/a&gt;")</f>
        <v>&lt;/li&gt;&lt;li&gt;&lt;a href=|http://bibleoutline.org/james/5.htm| title=|Outline with People and Places List| target=|_top|&gt;Outline&lt;/a&gt;</v>
      </c>
      <c r="Z1151" t="str">
        <f t="shared" si="4600"/>
        <v>&lt;/li&gt;&lt;li&gt;&lt;a href=|http://kjvs.scripturetext.com/james/5.htm| title=|King James Bible with Strong's Numbers| target=|_top|&gt;Strong's&lt;/a&gt;</v>
      </c>
      <c r="AA1151" t="str">
        <f t="shared" si="4600"/>
        <v>&lt;/li&gt;&lt;li&gt;&lt;a href=|http://childrensbibleonline.com/james/5.htm| title=|The Children's Bible| target=|_top|&gt;Children's&lt;/a&gt;</v>
      </c>
      <c r="AB1151" s="2" t="str">
        <f t="shared" si="4600"/>
        <v>&lt;/li&gt;&lt;li&gt;&lt;a href=|http://tsk.scripturetext.com/james/5.htm| title=|Treasury of Scripture Knowledge| target=|_top|&gt;TSK&lt;/a&gt;</v>
      </c>
      <c r="AC1151" t="str">
        <f>CONCATENATE("&lt;a href=|http://",AC1191,"/james/5.htm","| ","title=|",AC1190,"| target=|_top|&gt;",AC1192,"&lt;/a&gt;")</f>
        <v>&lt;a href=|http://parallelbible.com/james/5.htm| title=|Parallel Chapters| target=|_top|&gt;PAR&lt;/a&gt;</v>
      </c>
      <c r="AD1151" s="2" t="str">
        <f t="shared" ref="AD1151:AI1151" si="4602">CONCATENATE("&lt;/li&gt;&lt;li&gt;&lt;a href=|http://",AD1191,"/james/5.htm","| ","title=|",AD1190,"| target=|_top|&gt;",AD1192,"&lt;/a&gt;")</f>
        <v>&lt;/li&gt;&lt;li&gt;&lt;a href=|http://gsb.biblecommenter.com/james/5.htm| title=|Geneva Study Bible| target=|_top|&gt;GSB&lt;/a&gt;</v>
      </c>
      <c r="AE1151" s="2" t="str">
        <f t="shared" si="4602"/>
        <v>&lt;/li&gt;&lt;li&gt;&lt;a href=|http://jfb.biblecommenter.com/james/5.htm| title=|Jamieson-Fausset-Brown Bible Commentary| target=|_top|&gt;JFB&lt;/a&gt;</v>
      </c>
      <c r="AF1151" s="2" t="str">
        <f t="shared" si="4602"/>
        <v>&lt;/li&gt;&lt;li&gt;&lt;a href=|http://kjt.biblecommenter.com/james/5.htm| title=|King James Translators' Notes| target=|_top|&gt;KJT&lt;/a&gt;</v>
      </c>
      <c r="AG1151" s="2" t="str">
        <f t="shared" si="4602"/>
        <v>&lt;/li&gt;&lt;li&gt;&lt;a href=|http://mhc.biblecommenter.com/james/5.htm| title=|Matthew Henry's Concise Commentary| target=|_top|&gt;MHC&lt;/a&gt;</v>
      </c>
      <c r="AH1151" s="2" t="str">
        <f t="shared" si="4602"/>
        <v>&lt;/li&gt;&lt;li&gt;&lt;a href=|http://sco.biblecommenter.com/james/5.htm| title=|Scofield Reference Notes| target=|_top|&gt;SCO&lt;/a&gt;</v>
      </c>
      <c r="AI1151" s="2" t="str">
        <f t="shared" si="4602"/>
        <v>&lt;/li&gt;&lt;li&gt;&lt;a href=|http://wes.biblecommenter.com/james/5.htm| title=|Wesley's Notes on the Bible| target=|_top|&gt;WES&lt;/a&gt;</v>
      </c>
      <c r="AJ1151" t="str">
        <f>CONCATENATE("&lt;/li&gt;&lt;li&gt;&lt;a href=|http://",AJ1191,"/james/5.htm","| ","title=|",AJ1190,"| target=|_top|&gt;",AJ1192,"&lt;/a&gt;")</f>
        <v>&lt;/li&gt;&lt;li&gt;&lt;a href=|http://worldebible.com/james/5.htm| title=|World English Bible| target=|_top|&gt;WEB&lt;/a&gt;</v>
      </c>
      <c r="AK1151" t="str">
        <f>CONCATENATE("&lt;/li&gt;&lt;li&gt;&lt;a href=|http://",AK1191,"/james/5.htm","| ","title=|",AK1190,"| target=|_top|&gt;",AK1192,"&lt;/a&gt;")</f>
        <v>&lt;/li&gt;&lt;li&gt;&lt;a href=|http://yltbible.com/james/5.htm| title=|Young's Literal Translation| target=|_top|&gt;YLT&lt;/a&gt;</v>
      </c>
      <c r="AL1151" t="str">
        <f>CONCATENATE("&lt;a href=|http://",AL1191,"/james/5.htm","| ","title=|",AL1190,"| target=|_top|&gt;",AL1192,"&lt;/a&gt;")</f>
        <v>&lt;a href=|http://kjv.us/james/5.htm| title=|American King James Version| target=|_top|&gt;AKJ&lt;/a&gt;</v>
      </c>
      <c r="AM1151" t="str">
        <f t="shared" ref="AM1151:AS1151" si="4603">CONCATENATE("&lt;/li&gt;&lt;li&gt;&lt;a href=|http://",AM1191,"/james/5.htm","| ","title=|",AM1190,"| target=|_top|&gt;",AM1192,"&lt;/a&gt;")</f>
        <v>&lt;/li&gt;&lt;li&gt;&lt;a href=|http://basicenglishbible.com/james/5.htm| title=|Bible in Basic English| target=|_top|&gt;BBE&lt;/a&gt;</v>
      </c>
      <c r="AN1151" t="str">
        <f t="shared" si="4603"/>
        <v>&lt;/li&gt;&lt;li&gt;&lt;a href=|http://darbybible.com/james/5.htm| title=|Darby Bible Translation| target=|_top|&gt;DBY&lt;/a&gt;</v>
      </c>
      <c r="AO1151" t="str">
        <f t="shared" si="4603"/>
        <v>&lt;/li&gt;&lt;li&gt;&lt;a href=|http://isv.scripturetext.com/james/5.htm| title=|International Standard Version| target=|_top|&gt;ISV&lt;/a&gt;</v>
      </c>
      <c r="AP1151" t="str">
        <f t="shared" si="4603"/>
        <v>&lt;/li&gt;&lt;li&gt;&lt;a href=|http://tnt.scripturetext.com/james/5.htm| title=|Tyndale New Testament| target=|_top|&gt;TNT&lt;/a&gt;</v>
      </c>
      <c r="AQ1151" s="2" t="str">
        <f t="shared" si="4603"/>
        <v>&lt;/li&gt;&lt;li&gt;&lt;a href=|http://pnt.biblecommenter.com/james/5.htm| title=|People's New Testament| target=|_top|&gt;PNT&lt;/a&gt;</v>
      </c>
      <c r="AR1151" t="str">
        <f t="shared" si="4603"/>
        <v>&lt;/li&gt;&lt;li&gt;&lt;a href=|http://websterbible.com/james/5.htm| title=|Webster's Bible Translation| target=|_top|&gt;WBS&lt;/a&gt;</v>
      </c>
      <c r="AS1151" t="str">
        <f t="shared" si="4603"/>
        <v>&lt;/li&gt;&lt;li&gt;&lt;a href=|http://weymouthbible.com/james/5.htm| title=|Weymouth New Testament| target=|_top|&gt;WEY&lt;/a&gt;</v>
      </c>
      <c r="AT1151" t="str">
        <f>CONCATENATE("&lt;/li&gt;&lt;li&gt;&lt;a href=|http://",AT1191,"/james/5-1.htm","| ","title=|",AT1190,"| target=|_top|&gt;",AT1192,"&lt;/a&gt;")</f>
        <v>&lt;/li&gt;&lt;li&gt;&lt;a href=|http://biblebrowser.com/james/5-1.htm| title=|Split View| target=|_top|&gt;Split&lt;/a&gt;</v>
      </c>
      <c r="AU1151" s="2" t="s">
        <v>1276</v>
      </c>
      <c r="AV1151" t="s">
        <v>64</v>
      </c>
    </row>
    <row r="1152" spans="1:48">
      <c r="A1152" t="s">
        <v>622</v>
      </c>
      <c r="B1152" t="s">
        <v>583</v>
      </c>
      <c r="C1152" t="s">
        <v>624</v>
      </c>
      <c r="D1152" t="s">
        <v>1268</v>
      </c>
      <c r="E1152" t="s">
        <v>1277</v>
      </c>
      <c r="F1152" t="s">
        <v>1304</v>
      </c>
      <c r="G1152" t="s">
        <v>1266</v>
      </c>
      <c r="H1152" t="s">
        <v>1305</v>
      </c>
      <c r="I1152" t="s">
        <v>1303</v>
      </c>
      <c r="J1152" t="s">
        <v>1267</v>
      </c>
      <c r="K1152" t="s">
        <v>1275</v>
      </c>
      <c r="L1152" s="2" t="s">
        <v>1274</v>
      </c>
      <c r="M1152" t="str">
        <f t="shared" ref="M1152:AB1152" si="4604">CONCATENATE("&lt;/li&gt;&lt;li&gt;&lt;a href=|http://",M1191,"/1_peter/1.htm","| ","title=|",M1190,"| target=|_top|&gt;",M1192,"&lt;/a&gt;")</f>
        <v>&lt;/li&gt;&lt;li&gt;&lt;a href=|http://niv.scripturetext.com/1_peter/1.htm| title=|New International Version| target=|_top|&gt;NIV&lt;/a&gt;</v>
      </c>
      <c r="N1152" t="str">
        <f t="shared" si="4604"/>
        <v>&lt;/li&gt;&lt;li&gt;&lt;a href=|http://nlt.scripturetext.com/1_peter/1.htm| title=|New Living Translation| target=|_top|&gt;NLT&lt;/a&gt;</v>
      </c>
      <c r="O1152" t="str">
        <f t="shared" si="4604"/>
        <v>&lt;/li&gt;&lt;li&gt;&lt;a href=|http://nasb.scripturetext.com/1_peter/1.htm| title=|New American Standard Bible| target=|_top|&gt;NAS&lt;/a&gt;</v>
      </c>
      <c r="P1152" t="str">
        <f t="shared" si="4604"/>
        <v>&lt;/li&gt;&lt;li&gt;&lt;a href=|http://gwt.scripturetext.com/1_peter/1.htm| title=|God's Word Translation| target=|_top|&gt;GWT&lt;/a&gt;</v>
      </c>
      <c r="Q1152" t="str">
        <f t="shared" si="4604"/>
        <v>&lt;/li&gt;&lt;li&gt;&lt;a href=|http://kingjbible.com/1_peter/1.htm| title=|King James Bible| target=|_top|&gt;KJV&lt;/a&gt;</v>
      </c>
      <c r="R1152" t="str">
        <f t="shared" si="4604"/>
        <v>&lt;/li&gt;&lt;li&gt;&lt;a href=|http://asvbible.com/1_peter/1.htm| title=|American Standard Version| target=|_top|&gt;ASV&lt;/a&gt;</v>
      </c>
      <c r="S1152" t="str">
        <f t="shared" si="4604"/>
        <v>&lt;/li&gt;&lt;li&gt;&lt;a href=|http://drb.scripturetext.com/1_peter/1.htm| title=|Douay-Rheims Bible| target=|_top|&gt;DRB&lt;/a&gt;</v>
      </c>
      <c r="T1152" t="str">
        <f t="shared" si="4604"/>
        <v>&lt;/li&gt;&lt;li&gt;&lt;a href=|http://erv.scripturetext.com/1_peter/1.htm| title=|English Revised Version| target=|_top|&gt;ERV&lt;/a&gt;</v>
      </c>
      <c r="U1152" t="str">
        <f>CONCATENATE("&lt;/li&gt;&lt;li&gt;&lt;a href=|http://",U1191,"/1_peter/1.htm","| ","title=|",U1190,"| target=|_top|&gt;",U1192,"&lt;/a&gt;")</f>
        <v>&lt;/li&gt;&lt;li&gt;&lt;a href=|http://study.interlinearbible.org/1_peter/1.htm| title=|Greek Study Bible| target=|_top|&gt;Grk Study&lt;/a&gt;</v>
      </c>
      <c r="W1152" t="str">
        <f t="shared" si="4604"/>
        <v>&lt;/li&gt;&lt;li&gt;&lt;a href=|http://apostolic.interlinearbible.org/1_peter/1.htm| title=|Apostolic Bible Polyglot Interlinear| target=|_top|&gt;Polyglot&lt;/a&gt;</v>
      </c>
      <c r="X1152" t="str">
        <f t="shared" si="4604"/>
        <v>&lt;/li&gt;&lt;li&gt;&lt;a href=|http://interlinearbible.org/1_peter/1.htm| title=|Interlinear Bible| target=|_top|&gt;Interlin&lt;/a&gt;</v>
      </c>
      <c r="Y1152" t="str">
        <f t="shared" ref="Y1152" si="4605">CONCATENATE("&lt;/li&gt;&lt;li&gt;&lt;a href=|http://",Y1191,"/1_peter/1.htm","| ","title=|",Y1190,"| target=|_top|&gt;",Y1192,"&lt;/a&gt;")</f>
        <v>&lt;/li&gt;&lt;li&gt;&lt;a href=|http://bibleoutline.org/1_peter/1.htm| title=|Outline with People and Places List| target=|_top|&gt;Outline&lt;/a&gt;</v>
      </c>
      <c r="Z1152" t="str">
        <f t="shared" si="4604"/>
        <v>&lt;/li&gt;&lt;li&gt;&lt;a href=|http://kjvs.scripturetext.com/1_peter/1.htm| title=|King James Bible with Strong's Numbers| target=|_top|&gt;Strong's&lt;/a&gt;</v>
      </c>
      <c r="AA1152" t="str">
        <f t="shared" si="4604"/>
        <v>&lt;/li&gt;&lt;li&gt;&lt;a href=|http://childrensbibleonline.com/1_peter/1.htm| title=|The Children's Bible| target=|_top|&gt;Children's&lt;/a&gt;</v>
      </c>
      <c r="AB1152" s="2" t="str">
        <f t="shared" si="4604"/>
        <v>&lt;/li&gt;&lt;li&gt;&lt;a href=|http://tsk.scripturetext.com/1_peter/1.htm| title=|Treasury of Scripture Knowledge| target=|_top|&gt;TSK&lt;/a&gt;</v>
      </c>
      <c r="AC1152" t="str">
        <f>CONCATENATE("&lt;a href=|http://",AC1191,"/1_peter/1.htm","| ","title=|",AC1190,"| target=|_top|&gt;",AC1192,"&lt;/a&gt;")</f>
        <v>&lt;a href=|http://parallelbible.com/1_peter/1.htm| title=|Parallel Chapters| target=|_top|&gt;PAR&lt;/a&gt;</v>
      </c>
      <c r="AD1152" s="2" t="str">
        <f t="shared" ref="AD1152:AI1152" si="4606">CONCATENATE("&lt;/li&gt;&lt;li&gt;&lt;a href=|http://",AD1191,"/1_peter/1.htm","| ","title=|",AD1190,"| target=|_top|&gt;",AD1192,"&lt;/a&gt;")</f>
        <v>&lt;/li&gt;&lt;li&gt;&lt;a href=|http://gsb.biblecommenter.com/1_peter/1.htm| title=|Geneva Study Bible| target=|_top|&gt;GSB&lt;/a&gt;</v>
      </c>
      <c r="AE1152" s="2" t="str">
        <f t="shared" si="4606"/>
        <v>&lt;/li&gt;&lt;li&gt;&lt;a href=|http://jfb.biblecommenter.com/1_peter/1.htm| title=|Jamieson-Fausset-Brown Bible Commentary| target=|_top|&gt;JFB&lt;/a&gt;</v>
      </c>
      <c r="AF1152" s="2" t="str">
        <f t="shared" si="4606"/>
        <v>&lt;/li&gt;&lt;li&gt;&lt;a href=|http://kjt.biblecommenter.com/1_peter/1.htm| title=|King James Translators' Notes| target=|_top|&gt;KJT&lt;/a&gt;</v>
      </c>
      <c r="AG1152" s="2" t="str">
        <f t="shared" si="4606"/>
        <v>&lt;/li&gt;&lt;li&gt;&lt;a href=|http://mhc.biblecommenter.com/1_peter/1.htm| title=|Matthew Henry's Concise Commentary| target=|_top|&gt;MHC&lt;/a&gt;</v>
      </c>
      <c r="AH1152" s="2" t="str">
        <f t="shared" si="4606"/>
        <v>&lt;/li&gt;&lt;li&gt;&lt;a href=|http://sco.biblecommenter.com/1_peter/1.htm| title=|Scofield Reference Notes| target=|_top|&gt;SCO&lt;/a&gt;</v>
      </c>
      <c r="AI1152" s="2" t="str">
        <f t="shared" si="4606"/>
        <v>&lt;/li&gt;&lt;li&gt;&lt;a href=|http://wes.biblecommenter.com/1_peter/1.htm| title=|Wesley's Notes on the Bible| target=|_top|&gt;WES&lt;/a&gt;</v>
      </c>
      <c r="AJ1152" t="str">
        <f>CONCATENATE("&lt;/li&gt;&lt;li&gt;&lt;a href=|http://",AJ1191,"/1_peter/1.htm","| ","title=|",AJ1190,"| target=|_top|&gt;",AJ1192,"&lt;/a&gt;")</f>
        <v>&lt;/li&gt;&lt;li&gt;&lt;a href=|http://worldebible.com/1_peter/1.htm| title=|World English Bible| target=|_top|&gt;WEB&lt;/a&gt;</v>
      </c>
      <c r="AK1152" t="str">
        <f>CONCATENATE("&lt;/li&gt;&lt;li&gt;&lt;a href=|http://",AK1191,"/1_peter/1.htm","| ","title=|",AK1190,"| target=|_top|&gt;",AK1192,"&lt;/a&gt;")</f>
        <v>&lt;/li&gt;&lt;li&gt;&lt;a href=|http://yltbible.com/1_peter/1.htm| title=|Young's Literal Translation| target=|_top|&gt;YLT&lt;/a&gt;</v>
      </c>
      <c r="AL1152" t="str">
        <f>CONCATENATE("&lt;a href=|http://",AL1191,"/1_peter/1.htm","| ","title=|",AL1190,"| target=|_top|&gt;",AL1192,"&lt;/a&gt;")</f>
        <v>&lt;a href=|http://kjv.us/1_peter/1.htm| title=|American King James Version| target=|_top|&gt;AKJ&lt;/a&gt;</v>
      </c>
      <c r="AM1152" t="str">
        <f t="shared" ref="AM1152:AS1152" si="4607">CONCATENATE("&lt;/li&gt;&lt;li&gt;&lt;a href=|http://",AM1191,"/1_peter/1.htm","| ","title=|",AM1190,"| target=|_top|&gt;",AM1192,"&lt;/a&gt;")</f>
        <v>&lt;/li&gt;&lt;li&gt;&lt;a href=|http://basicenglishbible.com/1_peter/1.htm| title=|Bible in Basic English| target=|_top|&gt;BBE&lt;/a&gt;</v>
      </c>
      <c r="AN1152" t="str">
        <f t="shared" si="4607"/>
        <v>&lt;/li&gt;&lt;li&gt;&lt;a href=|http://darbybible.com/1_peter/1.htm| title=|Darby Bible Translation| target=|_top|&gt;DBY&lt;/a&gt;</v>
      </c>
      <c r="AO1152" t="str">
        <f t="shared" si="4607"/>
        <v>&lt;/li&gt;&lt;li&gt;&lt;a href=|http://isv.scripturetext.com/1_peter/1.htm| title=|International Standard Version| target=|_top|&gt;ISV&lt;/a&gt;</v>
      </c>
      <c r="AP1152" t="str">
        <f t="shared" si="4607"/>
        <v>&lt;/li&gt;&lt;li&gt;&lt;a href=|http://tnt.scripturetext.com/1_peter/1.htm| title=|Tyndale New Testament| target=|_top|&gt;TNT&lt;/a&gt;</v>
      </c>
      <c r="AQ1152" s="2" t="str">
        <f t="shared" si="4607"/>
        <v>&lt;/li&gt;&lt;li&gt;&lt;a href=|http://pnt.biblecommenter.com/1_peter/1.htm| title=|People's New Testament| target=|_top|&gt;PNT&lt;/a&gt;</v>
      </c>
      <c r="AR1152" t="str">
        <f t="shared" si="4607"/>
        <v>&lt;/li&gt;&lt;li&gt;&lt;a href=|http://websterbible.com/1_peter/1.htm| title=|Webster's Bible Translation| target=|_top|&gt;WBS&lt;/a&gt;</v>
      </c>
      <c r="AS1152" t="str">
        <f t="shared" si="4607"/>
        <v>&lt;/li&gt;&lt;li&gt;&lt;a href=|http://weymouthbible.com/1_peter/1.htm| title=|Weymouth New Testament| target=|_top|&gt;WEY&lt;/a&gt;</v>
      </c>
      <c r="AT1152" t="str">
        <f>CONCATENATE("&lt;/li&gt;&lt;li&gt;&lt;a href=|http://",AT1191,"/1_peter/1-1.htm","| ","title=|",AT1190,"| target=|_top|&gt;",AT1192,"&lt;/a&gt;")</f>
        <v>&lt;/li&gt;&lt;li&gt;&lt;a href=|http://biblebrowser.com/1_peter/1-1.htm| title=|Split View| target=|_top|&gt;Split&lt;/a&gt;</v>
      </c>
      <c r="AU1152" s="2" t="s">
        <v>1276</v>
      </c>
      <c r="AV1152" t="s">
        <v>64</v>
      </c>
    </row>
    <row r="1153" spans="1:48">
      <c r="A1153" t="s">
        <v>622</v>
      </c>
      <c r="B1153" t="s">
        <v>584</v>
      </c>
      <c r="C1153" t="s">
        <v>624</v>
      </c>
      <c r="D1153" t="s">
        <v>1268</v>
      </c>
      <c r="E1153" t="s">
        <v>1277</v>
      </c>
      <c r="F1153" t="s">
        <v>1304</v>
      </c>
      <c r="G1153" t="s">
        <v>1266</v>
      </c>
      <c r="H1153" t="s">
        <v>1305</v>
      </c>
      <c r="I1153" t="s">
        <v>1303</v>
      </c>
      <c r="J1153" t="s">
        <v>1267</v>
      </c>
      <c r="K1153" t="s">
        <v>1275</v>
      </c>
      <c r="L1153" s="2" t="s">
        <v>1274</v>
      </c>
      <c r="M1153" t="str">
        <f t="shared" ref="M1153:AB1153" si="4608">CONCATENATE("&lt;/li&gt;&lt;li&gt;&lt;a href=|http://",M1191,"/1_peter/2.htm","| ","title=|",M1190,"| target=|_top|&gt;",M1192,"&lt;/a&gt;")</f>
        <v>&lt;/li&gt;&lt;li&gt;&lt;a href=|http://niv.scripturetext.com/1_peter/2.htm| title=|New International Version| target=|_top|&gt;NIV&lt;/a&gt;</v>
      </c>
      <c r="N1153" t="str">
        <f t="shared" si="4608"/>
        <v>&lt;/li&gt;&lt;li&gt;&lt;a href=|http://nlt.scripturetext.com/1_peter/2.htm| title=|New Living Translation| target=|_top|&gt;NLT&lt;/a&gt;</v>
      </c>
      <c r="O1153" t="str">
        <f t="shared" si="4608"/>
        <v>&lt;/li&gt;&lt;li&gt;&lt;a href=|http://nasb.scripturetext.com/1_peter/2.htm| title=|New American Standard Bible| target=|_top|&gt;NAS&lt;/a&gt;</v>
      </c>
      <c r="P1153" t="str">
        <f t="shared" si="4608"/>
        <v>&lt;/li&gt;&lt;li&gt;&lt;a href=|http://gwt.scripturetext.com/1_peter/2.htm| title=|God's Word Translation| target=|_top|&gt;GWT&lt;/a&gt;</v>
      </c>
      <c r="Q1153" t="str">
        <f t="shared" si="4608"/>
        <v>&lt;/li&gt;&lt;li&gt;&lt;a href=|http://kingjbible.com/1_peter/2.htm| title=|King James Bible| target=|_top|&gt;KJV&lt;/a&gt;</v>
      </c>
      <c r="R1153" t="str">
        <f t="shared" si="4608"/>
        <v>&lt;/li&gt;&lt;li&gt;&lt;a href=|http://asvbible.com/1_peter/2.htm| title=|American Standard Version| target=|_top|&gt;ASV&lt;/a&gt;</v>
      </c>
      <c r="S1153" t="str">
        <f t="shared" si="4608"/>
        <v>&lt;/li&gt;&lt;li&gt;&lt;a href=|http://drb.scripturetext.com/1_peter/2.htm| title=|Douay-Rheims Bible| target=|_top|&gt;DRB&lt;/a&gt;</v>
      </c>
      <c r="T1153" t="str">
        <f t="shared" si="4608"/>
        <v>&lt;/li&gt;&lt;li&gt;&lt;a href=|http://erv.scripturetext.com/1_peter/2.htm| title=|English Revised Version| target=|_top|&gt;ERV&lt;/a&gt;</v>
      </c>
      <c r="U1153" t="str">
        <f>CONCATENATE("&lt;/li&gt;&lt;li&gt;&lt;a href=|http://",U1191,"/1_peter/2.htm","| ","title=|",U1190,"| target=|_top|&gt;",U1192,"&lt;/a&gt;")</f>
        <v>&lt;/li&gt;&lt;li&gt;&lt;a href=|http://study.interlinearbible.org/1_peter/2.htm| title=|Greek Study Bible| target=|_top|&gt;Grk Study&lt;/a&gt;</v>
      </c>
      <c r="W1153" t="str">
        <f t="shared" si="4608"/>
        <v>&lt;/li&gt;&lt;li&gt;&lt;a href=|http://apostolic.interlinearbible.org/1_peter/2.htm| title=|Apostolic Bible Polyglot Interlinear| target=|_top|&gt;Polyglot&lt;/a&gt;</v>
      </c>
      <c r="X1153" t="str">
        <f t="shared" si="4608"/>
        <v>&lt;/li&gt;&lt;li&gt;&lt;a href=|http://interlinearbible.org/1_peter/2.htm| title=|Interlinear Bible| target=|_top|&gt;Interlin&lt;/a&gt;</v>
      </c>
      <c r="Y1153" t="str">
        <f t="shared" ref="Y1153" si="4609">CONCATENATE("&lt;/li&gt;&lt;li&gt;&lt;a href=|http://",Y1191,"/1_peter/2.htm","| ","title=|",Y1190,"| target=|_top|&gt;",Y1192,"&lt;/a&gt;")</f>
        <v>&lt;/li&gt;&lt;li&gt;&lt;a href=|http://bibleoutline.org/1_peter/2.htm| title=|Outline with People and Places List| target=|_top|&gt;Outline&lt;/a&gt;</v>
      </c>
      <c r="Z1153" t="str">
        <f t="shared" si="4608"/>
        <v>&lt;/li&gt;&lt;li&gt;&lt;a href=|http://kjvs.scripturetext.com/1_peter/2.htm| title=|King James Bible with Strong's Numbers| target=|_top|&gt;Strong's&lt;/a&gt;</v>
      </c>
      <c r="AA1153" t="str">
        <f t="shared" si="4608"/>
        <v>&lt;/li&gt;&lt;li&gt;&lt;a href=|http://childrensbibleonline.com/1_peter/2.htm| title=|The Children's Bible| target=|_top|&gt;Children's&lt;/a&gt;</v>
      </c>
      <c r="AB1153" s="2" t="str">
        <f t="shared" si="4608"/>
        <v>&lt;/li&gt;&lt;li&gt;&lt;a href=|http://tsk.scripturetext.com/1_peter/2.htm| title=|Treasury of Scripture Knowledge| target=|_top|&gt;TSK&lt;/a&gt;</v>
      </c>
      <c r="AC1153" t="str">
        <f>CONCATENATE("&lt;a href=|http://",AC1191,"/1_peter/2.htm","| ","title=|",AC1190,"| target=|_top|&gt;",AC1192,"&lt;/a&gt;")</f>
        <v>&lt;a href=|http://parallelbible.com/1_peter/2.htm| title=|Parallel Chapters| target=|_top|&gt;PAR&lt;/a&gt;</v>
      </c>
      <c r="AD1153" s="2" t="str">
        <f t="shared" ref="AD1153:AI1153" si="4610">CONCATENATE("&lt;/li&gt;&lt;li&gt;&lt;a href=|http://",AD1191,"/1_peter/2.htm","| ","title=|",AD1190,"| target=|_top|&gt;",AD1192,"&lt;/a&gt;")</f>
        <v>&lt;/li&gt;&lt;li&gt;&lt;a href=|http://gsb.biblecommenter.com/1_peter/2.htm| title=|Geneva Study Bible| target=|_top|&gt;GSB&lt;/a&gt;</v>
      </c>
      <c r="AE1153" s="2" t="str">
        <f t="shared" si="4610"/>
        <v>&lt;/li&gt;&lt;li&gt;&lt;a href=|http://jfb.biblecommenter.com/1_peter/2.htm| title=|Jamieson-Fausset-Brown Bible Commentary| target=|_top|&gt;JFB&lt;/a&gt;</v>
      </c>
      <c r="AF1153" s="2" t="str">
        <f t="shared" si="4610"/>
        <v>&lt;/li&gt;&lt;li&gt;&lt;a href=|http://kjt.biblecommenter.com/1_peter/2.htm| title=|King James Translators' Notes| target=|_top|&gt;KJT&lt;/a&gt;</v>
      </c>
      <c r="AG1153" s="2" t="str">
        <f t="shared" si="4610"/>
        <v>&lt;/li&gt;&lt;li&gt;&lt;a href=|http://mhc.biblecommenter.com/1_peter/2.htm| title=|Matthew Henry's Concise Commentary| target=|_top|&gt;MHC&lt;/a&gt;</v>
      </c>
      <c r="AH1153" s="2" t="str">
        <f t="shared" si="4610"/>
        <v>&lt;/li&gt;&lt;li&gt;&lt;a href=|http://sco.biblecommenter.com/1_peter/2.htm| title=|Scofield Reference Notes| target=|_top|&gt;SCO&lt;/a&gt;</v>
      </c>
      <c r="AI1153" s="2" t="str">
        <f t="shared" si="4610"/>
        <v>&lt;/li&gt;&lt;li&gt;&lt;a href=|http://wes.biblecommenter.com/1_peter/2.htm| title=|Wesley's Notes on the Bible| target=|_top|&gt;WES&lt;/a&gt;</v>
      </c>
      <c r="AJ1153" t="str">
        <f>CONCATENATE("&lt;/li&gt;&lt;li&gt;&lt;a href=|http://",AJ1191,"/1_peter/2.htm","| ","title=|",AJ1190,"| target=|_top|&gt;",AJ1192,"&lt;/a&gt;")</f>
        <v>&lt;/li&gt;&lt;li&gt;&lt;a href=|http://worldebible.com/1_peter/2.htm| title=|World English Bible| target=|_top|&gt;WEB&lt;/a&gt;</v>
      </c>
      <c r="AK1153" t="str">
        <f>CONCATENATE("&lt;/li&gt;&lt;li&gt;&lt;a href=|http://",AK1191,"/1_peter/2.htm","| ","title=|",AK1190,"| target=|_top|&gt;",AK1192,"&lt;/a&gt;")</f>
        <v>&lt;/li&gt;&lt;li&gt;&lt;a href=|http://yltbible.com/1_peter/2.htm| title=|Young's Literal Translation| target=|_top|&gt;YLT&lt;/a&gt;</v>
      </c>
      <c r="AL1153" t="str">
        <f>CONCATENATE("&lt;a href=|http://",AL1191,"/1_peter/2.htm","| ","title=|",AL1190,"| target=|_top|&gt;",AL1192,"&lt;/a&gt;")</f>
        <v>&lt;a href=|http://kjv.us/1_peter/2.htm| title=|American King James Version| target=|_top|&gt;AKJ&lt;/a&gt;</v>
      </c>
      <c r="AM1153" t="str">
        <f t="shared" ref="AM1153:AS1153" si="4611">CONCATENATE("&lt;/li&gt;&lt;li&gt;&lt;a href=|http://",AM1191,"/1_peter/2.htm","| ","title=|",AM1190,"| target=|_top|&gt;",AM1192,"&lt;/a&gt;")</f>
        <v>&lt;/li&gt;&lt;li&gt;&lt;a href=|http://basicenglishbible.com/1_peter/2.htm| title=|Bible in Basic English| target=|_top|&gt;BBE&lt;/a&gt;</v>
      </c>
      <c r="AN1153" t="str">
        <f t="shared" si="4611"/>
        <v>&lt;/li&gt;&lt;li&gt;&lt;a href=|http://darbybible.com/1_peter/2.htm| title=|Darby Bible Translation| target=|_top|&gt;DBY&lt;/a&gt;</v>
      </c>
      <c r="AO1153" t="str">
        <f t="shared" si="4611"/>
        <v>&lt;/li&gt;&lt;li&gt;&lt;a href=|http://isv.scripturetext.com/1_peter/2.htm| title=|International Standard Version| target=|_top|&gt;ISV&lt;/a&gt;</v>
      </c>
      <c r="AP1153" t="str">
        <f t="shared" si="4611"/>
        <v>&lt;/li&gt;&lt;li&gt;&lt;a href=|http://tnt.scripturetext.com/1_peter/2.htm| title=|Tyndale New Testament| target=|_top|&gt;TNT&lt;/a&gt;</v>
      </c>
      <c r="AQ1153" s="2" t="str">
        <f t="shared" si="4611"/>
        <v>&lt;/li&gt;&lt;li&gt;&lt;a href=|http://pnt.biblecommenter.com/1_peter/2.htm| title=|People's New Testament| target=|_top|&gt;PNT&lt;/a&gt;</v>
      </c>
      <c r="AR1153" t="str">
        <f t="shared" si="4611"/>
        <v>&lt;/li&gt;&lt;li&gt;&lt;a href=|http://websterbible.com/1_peter/2.htm| title=|Webster's Bible Translation| target=|_top|&gt;WBS&lt;/a&gt;</v>
      </c>
      <c r="AS1153" t="str">
        <f t="shared" si="4611"/>
        <v>&lt;/li&gt;&lt;li&gt;&lt;a href=|http://weymouthbible.com/1_peter/2.htm| title=|Weymouth New Testament| target=|_top|&gt;WEY&lt;/a&gt;</v>
      </c>
      <c r="AT1153" t="str">
        <f>CONCATENATE("&lt;/li&gt;&lt;li&gt;&lt;a href=|http://",AT1191,"/1_peter/2-1.htm","| ","title=|",AT1190,"| target=|_top|&gt;",AT1192,"&lt;/a&gt;")</f>
        <v>&lt;/li&gt;&lt;li&gt;&lt;a href=|http://biblebrowser.com/1_peter/2-1.htm| title=|Split View| target=|_top|&gt;Split&lt;/a&gt;</v>
      </c>
      <c r="AU1153" s="2" t="s">
        <v>1276</v>
      </c>
      <c r="AV1153" t="s">
        <v>64</v>
      </c>
    </row>
    <row r="1154" spans="1:48">
      <c r="A1154" t="s">
        <v>622</v>
      </c>
      <c r="B1154" t="s">
        <v>585</v>
      </c>
      <c r="C1154" t="s">
        <v>624</v>
      </c>
      <c r="D1154" t="s">
        <v>1268</v>
      </c>
      <c r="E1154" t="s">
        <v>1277</v>
      </c>
      <c r="F1154" t="s">
        <v>1304</v>
      </c>
      <c r="G1154" t="s">
        <v>1266</v>
      </c>
      <c r="H1154" t="s">
        <v>1305</v>
      </c>
      <c r="I1154" t="s">
        <v>1303</v>
      </c>
      <c r="J1154" t="s">
        <v>1267</v>
      </c>
      <c r="K1154" t="s">
        <v>1275</v>
      </c>
      <c r="L1154" s="2" t="s">
        <v>1274</v>
      </c>
      <c r="M1154" t="str">
        <f t="shared" ref="M1154:AB1154" si="4612">CONCATENATE("&lt;/li&gt;&lt;li&gt;&lt;a href=|http://",M1191,"/1_peter/3.htm","| ","title=|",M1190,"| target=|_top|&gt;",M1192,"&lt;/a&gt;")</f>
        <v>&lt;/li&gt;&lt;li&gt;&lt;a href=|http://niv.scripturetext.com/1_peter/3.htm| title=|New International Version| target=|_top|&gt;NIV&lt;/a&gt;</v>
      </c>
      <c r="N1154" t="str">
        <f t="shared" si="4612"/>
        <v>&lt;/li&gt;&lt;li&gt;&lt;a href=|http://nlt.scripturetext.com/1_peter/3.htm| title=|New Living Translation| target=|_top|&gt;NLT&lt;/a&gt;</v>
      </c>
      <c r="O1154" t="str">
        <f t="shared" si="4612"/>
        <v>&lt;/li&gt;&lt;li&gt;&lt;a href=|http://nasb.scripturetext.com/1_peter/3.htm| title=|New American Standard Bible| target=|_top|&gt;NAS&lt;/a&gt;</v>
      </c>
      <c r="P1154" t="str">
        <f t="shared" si="4612"/>
        <v>&lt;/li&gt;&lt;li&gt;&lt;a href=|http://gwt.scripturetext.com/1_peter/3.htm| title=|God's Word Translation| target=|_top|&gt;GWT&lt;/a&gt;</v>
      </c>
      <c r="Q1154" t="str">
        <f t="shared" si="4612"/>
        <v>&lt;/li&gt;&lt;li&gt;&lt;a href=|http://kingjbible.com/1_peter/3.htm| title=|King James Bible| target=|_top|&gt;KJV&lt;/a&gt;</v>
      </c>
      <c r="R1154" t="str">
        <f t="shared" si="4612"/>
        <v>&lt;/li&gt;&lt;li&gt;&lt;a href=|http://asvbible.com/1_peter/3.htm| title=|American Standard Version| target=|_top|&gt;ASV&lt;/a&gt;</v>
      </c>
      <c r="S1154" t="str">
        <f t="shared" si="4612"/>
        <v>&lt;/li&gt;&lt;li&gt;&lt;a href=|http://drb.scripturetext.com/1_peter/3.htm| title=|Douay-Rheims Bible| target=|_top|&gt;DRB&lt;/a&gt;</v>
      </c>
      <c r="T1154" t="str">
        <f t="shared" si="4612"/>
        <v>&lt;/li&gt;&lt;li&gt;&lt;a href=|http://erv.scripturetext.com/1_peter/3.htm| title=|English Revised Version| target=|_top|&gt;ERV&lt;/a&gt;</v>
      </c>
      <c r="U1154" t="str">
        <f>CONCATENATE("&lt;/li&gt;&lt;li&gt;&lt;a href=|http://",U1191,"/1_peter/3.htm","| ","title=|",U1190,"| target=|_top|&gt;",U1192,"&lt;/a&gt;")</f>
        <v>&lt;/li&gt;&lt;li&gt;&lt;a href=|http://study.interlinearbible.org/1_peter/3.htm| title=|Greek Study Bible| target=|_top|&gt;Grk Study&lt;/a&gt;</v>
      </c>
      <c r="W1154" t="str">
        <f t="shared" si="4612"/>
        <v>&lt;/li&gt;&lt;li&gt;&lt;a href=|http://apostolic.interlinearbible.org/1_peter/3.htm| title=|Apostolic Bible Polyglot Interlinear| target=|_top|&gt;Polyglot&lt;/a&gt;</v>
      </c>
      <c r="X1154" t="str">
        <f t="shared" si="4612"/>
        <v>&lt;/li&gt;&lt;li&gt;&lt;a href=|http://interlinearbible.org/1_peter/3.htm| title=|Interlinear Bible| target=|_top|&gt;Interlin&lt;/a&gt;</v>
      </c>
      <c r="Y1154" t="str">
        <f t="shared" ref="Y1154" si="4613">CONCATENATE("&lt;/li&gt;&lt;li&gt;&lt;a href=|http://",Y1191,"/1_peter/3.htm","| ","title=|",Y1190,"| target=|_top|&gt;",Y1192,"&lt;/a&gt;")</f>
        <v>&lt;/li&gt;&lt;li&gt;&lt;a href=|http://bibleoutline.org/1_peter/3.htm| title=|Outline with People and Places List| target=|_top|&gt;Outline&lt;/a&gt;</v>
      </c>
      <c r="Z1154" t="str">
        <f t="shared" si="4612"/>
        <v>&lt;/li&gt;&lt;li&gt;&lt;a href=|http://kjvs.scripturetext.com/1_peter/3.htm| title=|King James Bible with Strong's Numbers| target=|_top|&gt;Strong's&lt;/a&gt;</v>
      </c>
      <c r="AA1154" t="str">
        <f t="shared" si="4612"/>
        <v>&lt;/li&gt;&lt;li&gt;&lt;a href=|http://childrensbibleonline.com/1_peter/3.htm| title=|The Children's Bible| target=|_top|&gt;Children's&lt;/a&gt;</v>
      </c>
      <c r="AB1154" s="2" t="str">
        <f t="shared" si="4612"/>
        <v>&lt;/li&gt;&lt;li&gt;&lt;a href=|http://tsk.scripturetext.com/1_peter/3.htm| title=|Treasury of Scripture Knowledge| target=|_top|&gt;TSK&lt;/a&gt;</v>
      </c>
      <c r="AC1154" t="str">
        <f>CONCATENATE("&lt;a href=|http://",AC1191,"/1_peter/3.htm","| ","title=|",AC1190,"| target=|_top|&gt;",AC1192,"&lt;/a&gt;")</f>
        <v>&lt;a href=|http://parallelbible.com/1_peter/3.htm| title=|Parallel Chapters| target=|_top|&gt;PAR&lt;/a&gt;</v>
      </c>
      <c r="AD1154" s="2" t="str">
        <f t="shared" ref="AD1154:AI1154" si="4614">CONCATENATE("&lt;/li&gt;&lt;li&gt;&lt;a href=|http://",AD1191,"/1_peter/3.htm","| ","title=|",AD1190,"| target=|_top|&gt;",AD1192,"&lt;/a&gt;")</f>
        <v>&lt;/li&gt;&lt;li&gt;&lt;a href=|http://gsb.biblecommenter.com/1_peter/3.htm| title=|Geneva Study Bible| target=|_top|&gt;GSB&lt;/a&gt;</v>
      </c>
      <c r="AE1154" s="2" t="str">
        <f t="shared" si="4614"/>
        <v>&lt;/li&gt;&lt;li&gt;&lt;a href=|http://jfb.biblecommenter.com/1_peter/3.htm| title=|Jamieson-Fausset-Brown Bible Commentary| target=|_top|&gt;JFB&lt;/a&gt;</v>
      </c>
      <c r="AF1154" s="2" t="str">
        <f t="shared" si="4614"/>
        <v>&lt;/li&gt;&lt;li&gt;&lt;a href=|http://kjt.biblecommenter.com/1_peter/3.htm| title=|King James Translators' Notes| target=|_top|&gt;KJT&lt;/a&gt;</v>
      </c>
      <c r="AG1154" s="2" t="str">
        <f t="shared" si="4614"/>
        <v>&lt;/li&gt;&lt;li&gt;&lt;a href=|http://mhc.biblecommenter.com/1_peter/3.htm| title=|Matthew Henry's Concise Commentary| target=|_top|&gt;MHC&lt;/a&gt;</v>
      </c>
      <c r="AH1154" s="2" t="str">
        <f t="shared" si="4614"/>
        <v>&lt;/li&gt;&lt;li&gt;&lt;a href=|http://sco.biblecommenter.com/1_peter/3.htm| title=|Scofield Reference Notes| target=|_top|&gt;SCO&lt;/a&gt;</v>
      </c>
      <c r="AI1154" s="2" t="str">
        <f t="shared" si="4614"/>
        <v>&lt;/li&gt;&lt;li&gt;&lt;a href=|http://wes.biblecommenter.com/1_peter/3.htm| title=|Wesley's Notes on the Bible| target=|_top|&gt;WES&lt;/a&gt;</v>
      </c>
      <c r="AJ1154" t="str">
        <f>CONCATENATE("&lt;/li&gt;&lt;li&gt;&lt;a href=|http://",AJ1191,"/1_peter/3.htm","| ","title=|",AJ1190,"| target=|_top|&gt;",AJ1192,"&lt;/a&gt;")</f>
        <v>&lt;/li&gt;&lt;li&gt;&lt;a href=|http://worldebible.com/1_peter/3.htm| title=|World English Bible| target=|_top|&gt;WEB&lt;/a&gt;</v>
      </c>
      <c r="AK1154" t="str">
        <f>CONCATENATE("&lt;/li&gt;&lt;li&gt;&lt;a href=|http://",AK1191,"/1_peter/3.htm","| ","title=|",AK1190,"| target=|_top|&gt;",AK1192,"&lt;/a&gt;")</f>
        <v>&lt;/li&gt;&lt;li&gt;&lt;a href=|http://yltbible.com/1_peter/3.htm| title=|Young's Literal Translation| target=|_top|&gt;YLT&lt;/a&gt;</v>
      </c>
      <c r="AL1154" t="str">
        <f>CONCATENATE("&lt;a href=|http://",AL1191,"/1_peter/3.htm","| ","title=|",AL1190,"| target=|_top|&gt;",AL1192,"&lt;/a&gt;")</f>
        <v>&lt;a href=|http://kjv.us/1_peter/3.htm| title=|American King James Version| target=|_top|&gt;AKJ&lt;/a&gt;</v>
      </c>
      <c r="AM1154" t="str">
        <f t="shared" ref="AM1154:AS1154" si="4615">CONCATENATE("&lt;/li&gt;&lt;li&gt;&lt;a href=|http://",AM1191,"/1_peter/3.htm","| ","title=|",AM1190,"| target=|_top|&gt;",AM1192,"&lt;/a&gt;")</f>
        <v>&lt;/li&gt;&lt;li&gt;&lt;a href=|http://basicenglishbible.com/1_peter/3.htm| title=|Bible in Basic English| target=|_top|&gt;BBE&lt;/a&gt;</v>
      </c>
      <c r="AN1154" t="str">
        <f t="shared" si="4615"/>
        <v>&lt;/li&gt;&lt;li&gt;&lt;a href=|http://darbybible.com/1_peter/3.htm| title=|Darby Bible Translation| target=|_top|&gt;DBY&lt;/a&gt;</v>
      </c>
      <c r="AO1154" t="str">
        <f t="shared" si="4615"/>
        <v>&lt;/li&gt;&lt;li&gt;&lt;a href=|http://isv.scripturetext.com/1_peter/3.htm| title=|International Standard Version| target=|_top|&gt;ISV&lt;/a&gt;</v>
      </c>
      <c r="AP1154" t="str">
        <f t="shared" si="4615"/>
        <v>&lt;/li&gt;&lt;li&gt;&lt;a href=|http://tnt.scripturetext.com/1_peter/3.htm| title=|Tyndale New Testament| target=|_top|&gt;TNT&lt;/a&gt;</v>
      </c>
      <c r="AQ1154" s="2" t="str">
        <f t="shared" si="4615"/>
        <v>&lt;/li&gt;&lt;li&gt;&lt;a href=|http://pnt.biblecommenter.com/1_peter/3.htm| title=|People's New Testament| target=|_top|&gt;PNT&lt;/a&gt;</v>
      </c>
      <c r="AR1154" t="str">
        <f t="shared" si="4615"/>
        <v>&lt;/li&gt;&lt;li&gt;&lt;a href=|http://websterbible.com/1_peter/3.htm| title=|Webster's Bible Translation| target=|_top|&gt;WBS&lt;/a&gt;</v>
      </c>
      <c r="AS1154" t="str">
        <f t="shared" si="4615"/>
        <v>&lt;/li&gt;&lt;li&gt;&lt;a href=|http://weymouthbible.com/1_peter/3.htm| title=|Weymouth New Testament| target=|_top|&gt;WEY&lt;/a&gt;</v>
      </c>
      <c r="AT1154" t="str">
        <f>CONCATENATE("&lt;/li&gt;&lt;li&gt;&lt;a href=|http://",AT1191,"/1_peter/3-1.htm","| ","title=|",AT1190,"| target=|_top|&gt;",AT1192,"&lt;/a&gt;")</f>
        <v>&lt;/li&gt;&lt;li&gt;&lt;a href=|http://biblebrowser.com/1_peter/3-1.htm| title=|Split View| target=|_top|&gt;Split&lt;/a&gt;</v>
      </c>
      <c r="AU1154" s="2" t="s">
        <v>1276</v>
      </c>
      <c r="AV1154" t="s">
        <v>64</v>
      </c>
    </row>
    <row r="1155" spans="1:48">
      <c r="A1155" t="s">
        <v>622</v>
      </c>
      <c r="B1155" t="s">
        <v>586</v>
      </c>
      <c r="C1155" t="s">
        <v>624</v>
      </c>
      <c r="D1155" t="s">
        <v>1268</v>
      </c>
      <c r="E1155" t="s">
        <v>1277</v>
      </c>
      <c r="F1155" t="s">
        <v>1304</v>
      </c>
      <c r="G1155" t="s">
        <v>1266</v>
      </c>
      <c r="H1155" t="s">
        <v>1305</v>
      </c>
      <c r="I1155" t="s">
        <v>1303</v>
      </c>
      <c r="J1155" t="s">
        <v>1267</v>
      </c>
      <c r="K1155" t="s">
        <v>1275</v>
      </c>
      <c r="L1155" s="2" t="s">
        <v>1274</v>
      </c>
      <c r="M1155" t="str">
        <f t="shared" ref="M1155:AB1155" si="4616">CONCATENATE("&lt;/li&gt;&lt;li&gt;&lt;a href=|http://",M1191,"/1_peter/4.htm","| ","title=|",M1190,"| target=|_top|&gt;",M1192,"&lt;/a&gt;")</f>
        <v>&lt;/li&gt;&lt;li&gt;&lt;a href=|http://niv.scripturetext.com/1_peter/4.htm| title=|New International Version| target=|_top|&gt;NIV&lt;/a&gt;</v>
      </c>
      <c r="N1155" t="str">
        <f t="shared" si="4616"/>
        <v>&lt;/li&gt;&lt;li&gt;&lt;a href=|http://nlt.scripturetext.com/1_peter/4.htm| title=|New Living Translation| target=|_top|&gt;NLT&lt;/a&gt;</v>
      </c>
      <c r="O1155" t="str">
        <f t="shared" si="4616"/>
        <v>&lt;/li&gt;&lt;li&gt;&lt;a href=|http://nasb.scripturetext.com/1_peter/4.htm| title=|New American Standard Bible| target=|_top|&gt;NAS&lt;/a&gt;</v>
      </c>
      <c r="P1155" t="str">
        <f t="shared" si="4616"/>
        <v>&lt;/li&gt;&lt;li&gt;&lt;a href=|http://gwt.scripturetext.com/1_peter/4.htm| title=|God's Word Translation| target=|_top|&gt;GWT&lt;/a&gt;</v>
      </c>
      <c r="Q1155" t="str">
        <f t="shared" si="4616"/>
        <v>&lt;/li&gt;&lt;li&gt;&lt;a href=|http://kingjbible.com/1_peter/4.htm| title=|King James Bible| target=|_top|&gt;KJV&lt;/a&gt;</v>
      </c>
      <c r="R1155" t="str">
        <f t="shared" si="4616"/>
        <v>&lt;/li&gt;&lt;li&gt;&lt;a href=|http://asvbible.com/1_peter/4.htm| title=|American Standard Version| target=|_top|&gt;ASV&lt;/a&gt;</v>
      </c>
      <c r="S1155" t="str">
        <f t="shared" si="4616"/>
        <v>&lt;/li&gt;&lt;li&gt;&lt;a href=|http://drb.scripturetext.com/1_peter/4.htm| title=|Douay-Rheims Bible| target=|_top|&gt;DRB&lt;/a&gt;</v>
      </c>
      <c r="T1155" t="str">
        <f t="shared" si="4616"/>
        <v>&lt;/li&gt;&lt;li&gt;&lt;a href=|http://erv.scripturetext.com/1_peter/4.htm| title=|English Revised Version| target=|_top|&gt;ERV&lt;/a&gt;</v>
      </c>
      <c r="U1155" t="str">
        <f>CONCATENATE("&lt;/li&gt;&lt;li&gt;&lt;a href=|http://",U1191,"/1_peter/4.htm","| ","title=|",U1190,"| target=|_top|&gt;",U1192,"&lt;/a&gt;")</f>
        <v>&lt;/li&gt;&lt;li&gt;&lt;a href=|http://study.interlinearbible.org/1_peter/4.htm| title=|Greek Study Bible| target=|_top|&gt;Grk Study&lt;/a&gt;</v>
      </c>
      <c r="W1155" t="str">
        <f t="shared" si="4616"/>
        <v>&lt;/li&gt;&lt;li&gt;&lt;a href=|http://apostolic.interlinearbible.org/1_peter/4.htm| title=|Apostolic Bible Polyglot Interlinear| target=|_top|&gt;Polyglot&lt;/a&gt;</v>
      </c>
      <c r="X1155" t="str">
        <f t="shared" si="4616"/>
        <v>&lt;/li&gt;&lt;li&gt;&lt;a href=|http://interlinearbible.org/1_peter/4.htm| title=|Interlinear Bible| target=|_top|&gt;Interlin&lt;/a&gt;</v>
      </c>
      <c r="Y1155" t="str">
        <f t="shared" ref="Y1155" si="4617">CONCATENATE("&lt;/li&gt;&lt;li&gt;&lt;a href=|http://",Y1191,"/1_peter/4.htm","| ","title=|",Y1190,"| target=|_top|&gt;",Y1192,"&lt;/a&gt;")</f>
        <v>&lt;/li&gt;&lt;li&gt;&lt;a href=|http://bibleoutline.org/1_peter/4.htm| title=|Outline with People and Places List| target=|_top|&gt;Outline&lt;/a&gt;</v>
      </c>
      <c r="Z1155" t="str">
        <f t="shared" si="4616"/>
        <v>&lt;/li&gt;&lt;li&gt;&lt;a href=|http://kjvs.scripturetext.com/1_peter/4.htm| title=|King James Bible with Strong's Numbers| target=|_top|&gt;Strong's&lt;/a&gt;</v>
      </c>
      <c r="AA1155" t="str">
        <f t="shared" si="4616"/>
        <v>&lt;/li&gt;&lt;li&gt;&lt;a href=|http://childrensbibleonline.com/1_peter/4.htm| title=|The Children's Bible| target=|_top|&gt;Children's&lt;/a&gt;</v>
      </c>
      <c r="AB1155" s="2" t="str">
        <f t="shared" si="4616"/>
        <v>&lt;/li&gt;&lt;li&gt;&lt;a href=|http://tsk.scripturetext.com/1_peter/4.htm| title=|Treasury of Scripture Knowledge| target=|_top|&gt;TSK&lt;/a&gt;</v>
      </c>
      <c r="AC1155" t="str">
        <f>CONCATENATE("&lt;a href=|http://",AC1191,"/1_peter/4.htm","| ","title=|",AC1190,"| target=|_top|&gt;",AC1192,"&lt;/a&gt;")</f>
        <v>&lt;a href=|http://parallelbible.com/1_peter/4.htm| title=|Parallel Chapters| target=|_top|&gt;PAR&lt;/a&gt;</v>
      </c>
      <c r="AD1155" s="2" t="str">
        <f t="shared" ref="AD1155:AI1155" si="4618">CONCATENATE("&lt;/li&gt;&lt;li&gt;&lt;a href=|http://",AD1191,"/1_peter/4.htm","| ","title=|",AD1190,"| target=|_top|&gt;",AD1192,"&lt;/a&gt;")</f>
        <v>&lt;/li&gt;&lt;li&gt;&lt;a href=|http://gsb.biblecommenter.com/1_peter/4.htm| title=|Geneva Study Bible| target=|_top|&gt;GSB&lt;/a&gt;</v>
      </c>
      <c r="AE1155" s="2" t="str">
        <f t="shared" si="4618"/>
        <v>&lt;/li&gt;&lt;li&gt;&lt;a href=|http://jfb.biblecommenter.com/1_peter/4.htm| title=|Jamieson-Fausset-Brown Bible Commentary| target=|_top|&gt;JFB&lt;/a&gt;</v>
      </c>
      <c r="AF1155" s="2" t="str">
        <f t="shared" si="4618"/>
        <v>&lt;/li&gt;&lt;li&gt;&lt;a href=|http://kjt.biblecommenter.com/1_peter/4.htm| title=|King James Translators' Notes| target=|_top|&gt;KJT&lt;/a&gt;</v>
      </c>
      <c r="AG1155" s="2" t="str">
        <f t="shared" si="4618"/>
        <v>&lt;/li&gt;&lt;li&gt;&lt;a href=|http://mhc.biblecommenter.com/1_peter/4.htm| title=|Matthew Henry's Concise Commentary| target=|_top|&gt;MHC&lt;/a&gt;</v>
      </c>
      <c r="AH1155" s="2" t="str">
        <f t="shared" si="4618"/>
        <v>&lt;/li&gt;&lt;li&gt;&lt;a href=|http://sco.biblecommenter.com/1_peter/4.htm| title=|Scofield Reference Notes| target=|_top|&gt;SCO&lt;/a&gt;</v>
      </c>
      <c r="AI1155" s="2" t="str">
        <f t="shared" si="4618"/>
        <v>&lt;/li&gt;&lt;li&gt;&lt;a href=|http://wes.biblecommenter.com/1_peter/4.htm| title=|Wesley's Notes on the Bible| target=|_top|&gt;WES&lt;/a&gt;</v>
      </c>
      <c r="AJ1155" t="str">
        <f>CONCATENATE("&lt;/li&gt;&lt;li&gt;&lt;a href=|http://",AJ1191,"/1_peter/4.htm","| ","title=|",AJ1190,"| target=|_top|&gt;",AJ1192,"&lt;/a&gt;")</f>
        <v>&lt;/li&gt;&lt;li&gt;&lt;a href=|http://worldebible.com/1_peter/4.htm| title=|World English Bible| target=|_top|&gt;WEB&lt;/a&gt;</v>
      </c>
      <c r="AK1155" t="str">
        <f>CONCATENATE("&lt;/li&gt;&lt;li&gt;&lt;a href=|http://",AK1191,"/1_peter/4.htm","| ","title=|",AK1190,"| target=|_top|&gt;",AK1192,"&lt;/a&gt;")</f>
        <v>&lt;/li&gt;&lt;li&gt;&lt;a href=|http://yltbible.com/1_peter/4.htm| title=|Young's Literal Translation| target=|_top|&gt;YLT&lt;/a&gt;</v>
      </c>
      <c r="AL1155" t="str">
        <f>CONCATENATE("&lt;a href=|http://",AL1191,"/1_peter/4.htm","| ","title=|",AL1190,"| target=|_top|&gt;",AL1192,"&lt;/a&gt;")</f>
        <v>&lt;a href=|http://kjv.us/1_peter/4.htm| title=|American King James Version| target=|_top|&gt;AKJ&lt;/a&gt;</v>
      </c>
      <c r="AM1155" t="str">
        <f t="shared" ref="AM1155:AS1155" si="4619">CONCATENATE("&lt;/li&gt;&lt;li&gt;&lt;a href=|http://",AM1191,"/1_peter/4.htm","| ","title=|",AM1190,"| target=|_top|&gt;",AM1192,"&lt;/a&gt;")</f>
        <v>&lt;/li&gt;&lt;li&gt;&lt;a href=|http://basicenglishbible.com/1_peter/4.htm| title=|Bible in Basic English| target=|_top|&gt;BBE&lt;/a&gt;</v>
      </c>
      <c r="AN1155" t="str">
        <f t="shared" si="4619"/>
        <v>&lt;/li&gt;&lt;li&gt;&lt;a href=|http://darbybible.com/1_peter/4.htm| title=|Darby Bible Translation| target=|_top|&gt;DBY&lt;/a&gt;</v>
      </c>
      <c r="AO1155" t="str">
        <f t="shared" si="4619"/>
        <v>&lt;/li&gt;&lt;li&gt;&lt;a href=|http://isv.scripturetext.com/1_peter/4.htm| title=|International Standard Version| target=|_top|&gt;ISV&lt;/a&gt;</v>
      </c>
      <c r="AP1155" t="str">
        <f t="shared" si="4619"/>
        <v>&lt;/li&gt;&lt;li&gt;&lt;a href=|http://tnt.scripturetext.com/1_peter/4.htm| title=|Tyndale New Testament| target=|_top|&gt;TNT&lt;/a&gt;</v>
      </c>
      <c r="AQ1155" s="2" t="str">
        <f t="shared" si="4619"/>
        <v>&lt;/li&gt;&lt;li&gt;&lt;a href=|http://pnt.biblecommenter.com/1_peter/4.htm| title=|People's New Testament| target=|_top|&gt;PNT&lt;/a&gt;</v>
      </c>
      <c r="AR1155" t="str">
        <f t="shared" si="4619"/>
        <v>&lt;/li&gt;&lt;li&gt;&lt;a href=|http://websterbible.com/1_peter/4.htm| title=|Webster's Bible Translation| target=|_top|&gt;WBS&lt;/a&gt;</v>
      </c>
      <c r="AS1155" t="str">
        <f t="shared" si="4619"/>
        <v>&lt;/li&gt;&lt;li&gt;&lt;a href=|http://weymouthbible.com/1_peter/4.htm| title=|Weymouth New Testament| target=|_top|&gt;WEY&lt;/a&gt;</v>
      </c>
      <c r="AT1155" t="str">
        <f>CONCATENATE("&lt;/li&gt;&lt;li&gt;&lt;a href=|http://",AT1191,"/1_peter/4-1.htm","| ","title=|",AT1190,"| target=|_top|&gt;",AT1192,"&lt;/a&gt;")</f>
        <v>&lt;/li&gt;&lt;li&gt;&lt;a href=|http://biblebrowser.com/1_peter/4-1.htm| title=|Split View| target=|_top|&gt;Split&lt;/a&gt;</v>
      </c>
      <c r="AU1155" s="2" t="s">
        <v>1276</v>
      </c>
      <c r="AV1155" t="s">
        <v>64</v>
      </c>
    </row>
    <row r="1156" spans="1:48">
      <c r="A1156" t="s">
        <v>622</v>
      </c>
      <c r="B1156" t="s">
        <v>587</v>
      </c>
      <c r="C1156" t="s">
        <v>624</v>
      </c>
      <c r="D1156" t="s">
        <v>1268</v>
      </c>
      <c r="E1156" t="s">
        <v>1277</v>
      </c>
      <c r="F1156" t="s">
        <v>1304</v>
      </c>
      <c r="G1156" t="s">
        <v>1266</v>
      </c>
      <c r="H1156" t="s">
        <v>1305</v>
      </c>
      <c r="I1156" t="s">
        <v>1303</v>
      </c>
      <c r="J1156" t="s">
        <v>1267</v>
      </c>
      <c r="K1156" t="s">
        <v>1275</v>
      </c>
      <c r="L1156" s="2" t="s">
        <v>1274</v>
      </c>
      <c r="M1156" t="str">
        <f t="shared" ref="M1156:AB1156" si="4620">CONCATENATE("&lt;/li&gt;&lt;li&gt;&lt;a href=|http://",M1191,"/1_peter/5.htm","| ","title=|",M1190,"| target=|_top|&gt;",M1192,"&lt;/a&gt;")</f>
        <v>&lt;/li&gt;&lt;li&gt;&lt;a href=|http://niv.scripturetext.com/1_peter/5.htm| title=|New International Version| target=|_top|&gt;NIV&lt;/a&gt;</v>
      </c>
      <c r="N1156" t="str">
        <f t="shared" si="4620"/>
        <v>&lt;/li&gt;&lt;li&gt;&lt;a href=|http://nlt.scripturetext.com/1_peter/5.htm| title=|New Living Translation| target=|_top|&gt;NLT&lt;/a&gt;</v>
      </c>
      <c r="O1156" t="str">
        <f t="shared" si="4620"/>
        <v>&lt;/li&gt;&lt;li&gt;&lt;a href=|http://nasb.scripturetext.com/1_peter/5.htm| title=|New American Standard Bible| target=|_top|&gt;NAS&lt;/a&gt;</v>
      </c>
      <c r="P1156" t="str">
        <f t="shared" si="4620"/>
        <v>&lt;/li&gt;&lt;li&gt;&lt;a href=|http://gwt.scripturetext.com/1_peter/5.htm| title=|God's Word Translation| target=|_top|&gt;GWT&lt;/a&gt;</v>
      </c>
      <c r="Q1156" t="str">
        <f t="shared" si="4620"/>
        <v>&lt;/li&gt;&lt;li&gt;&lt;a href=|http://kingjbible.com/1_peter/5.htm| title=|King James Bible| target=|_top|&gt;KJV&lt;/a&gt;</v>
      </c>
      <c r="R1156" t="str">
        <f t="shared" si="4620"/>
        <v>&lt;/li&gt;&lt;li&gt;&lt;a href=|http://asvbible.com/1_peter/5.htm| title=|American Standard Version| target=|_top|&gt;ASV&lt;/a&gt;</v>
      </c>
      <c r="S1156" t="str">
        <f t="shared" si="4620"/>
        <v>&lt;/li&gt;&lt;li&gt;&lt;a href=|http://drb.scripturetext.com/1_peter/5.htm| title=|Douay-Rheims Bible| target=|_top|&gt;DRB&lt;/a&gt;</v>
      </c>
      <c r="T1156" t="str">
        <f t="shared" si="4620"/>
        <v>&lt;/li&gt;&lt;li&gt;&lt;a href=|http://erv.scripturetext.com/1_peter/5.htm| title=|English Revised Version| target=|_top|&gt;ERV&lt;/a&gt;</v>
      </c>
      <c r="U1156" t="str">
        <f>CONCATENATE("&lt;/li&gt;&lt;li&gt;&lt;a href=|http://",U1191,"/1_peter/5.htm","| ","title=|",U1190,"| target=|_top|&gt;",U1192,"&lt;/a&gt;")</f>
        <v>&lt;/li&gt;&lt;li&gt;&lt;a href=|http://study.interlinearbible.org/1_peter/5.htm| title=|Greek Study Bible| target=|_top|&gt;Grk Study&lt;/a&gt;</v>
      </c>
      <c r="W1156" t="str">
        <f t="shared" si="4620"/>
        <v>&lt;/li&gt;&lt;li&gt;&lt;a href=|http://apostolic.interlinearbible.org/1_peter/5.htm| title=|Apostolic Bible Polyglot Interlinear| target=|_top|&gt;Polyglot&lt;/a&gt;</v>
      </c>
      <c r="X1156" t="str">
        <f t="shared" si="4620"/>
        <v>&lt;/li&gt;&lt;li&gt;&lt;a href=|http://interlinearbible.org/1_peter/5.htm| title=|Interlinear Bible| target=|_top|&gt;Interlin&lt;/a&gt;</v>
      </c>
      <c r="Y1156" t="str">
        <f t="shared" ref="Y1156" si="4621">CONCATENATE("&lt;/li&gt;&lt;li&gt;&lt;a href=|http://",Y1191,"/1_peter/5.htm","| ","title=|",Y1190,"| target=|_top|&gt;",Y1192,"&lt;/a&gt;")</f>
        <v>&lt;/li&gt;&lt;li&gt;&lt;a href=|http://bibleoutline.org/1_peter/5.htm| title=|Outline with People and Places List| target=|_top|&gt;Outline&lt;/a&gt;</v>
      </c>
      <c r="Z1156" t="str">
        <f t="shared" si="4620"/>
        <v>&lt;/li&gt;&lt;li&gt;&lt;a href=|http://kjvs.scripturetext.com/1_peter/5.htm| title=|King James Bible with Strong's Numbers| target=|_top|&gt;Strong's&lt;/a&gt;</v>
      </c>
      <c r="AA1156" t="str">
        <f t="shared" si="4620"/>
        <v>&lt;/li&gt;&lt;li&gt;&lt;a href=|http://childrensbibleonline.com/1_peter/5.htm| title=|The Children's Bible| target=|_top|&gt;Children's&lt;/a&gt;</v>
      </c>
      <c r="AB1156" s="2" t="str">
        <f t="shared" si="4620"/>
        <v>&lt;/li&gt;&lt;li&gt;&lt;a href=|http://tsk.scripturetext.com/1_peter/5.htm| title=|Treasury of Scripture Knowledge| target=|_top|&gt;TSK&lt;/a&gt;</v>
      </c>
      <c r="AC1156" t="str">
        <f>CONCATENATE("&lt;a href=|http://",AC1191,"/1_peter/5.htm","| ","title=|",AC1190,"| target=|_top|&gt;",AC1192,"&lt;/a&gt;")</f>
        <v>&lt;a href=|http://parallelbible.com/1_peter/5.htm| title=|Parallel Chapters| target=|_top|&gt;PAR&lt;/a&gt;</v>
      </c>
      <c r="AD1156" s="2" t="str">
        <f t="shared" ref="AD1156:AI1156" si="4622">CONCATENATE("&lt;/li&gt;&lt;li&gt;&lt;a href=|http://",AD1191,"/1_peter/5.htm","| ","title=|",AD1190,"| target=|_top|&gt;",AD1192,"&lt;/a&gt;")</f>
        <v>&lt;/li&gt;&lt;li&gt;&lt;a href=|http://gsb.biblecommenter.com/1_peter/5.htm| title=|Geneva Study Bible| target=|_top|&gt;GSB&lt;/a&gt;</v>
      </c>
      <c r="AE1156" s="2" t="str">
        <f t="shared" si="4622"/>
        <v>&lt;/li&gt;&lt;li&gt;&lt;a href=|http://jfb.biblecommenter.com/1_peter/5.htm| title=|Jamieson-Fausset-Brown Bible Commentary| target=|_top|&gt;JFB&lt;/a&gt;</v>
      </c>
      <c r="AF1156" s="2" t="str">
        <f t="shared" si="4622"/>
        <v>&lt;/li&gt;&lt;li&gt;&lt;a href=|http://kjt.biblecommenter.com/1_peter/5.htm| title=|King James Translators' Notes| target=|_top|&gt;KJT&lt;/a&gt;</v>
      </c>
      <c r="AG1156" s="2" t="str">
        <f t="shared" si="4622"/>
        <v>&lt;/li&gt;&lt;li&gt;&lt;a href=|http://mhc.biblecommenter.com/1_peter/5.htm| title=|Matthew Henry's Concise Commentary| target=|_top|&gt;MHC&lt;/a&gt;</v>
      </c>
      <c r="AH1156" s="2" t="str">
        <f t="shared" si="4622"/>
        <v>&lt;/li&gt;&lt;li&gt;&lt;a href=|http://sco.biblecommenter.com/1_peter/5.htm| title=|Scofield Reference Notes| target=|_top|&gt;SCO&lt;/a&gt;</v>
      </c>
      <c r="AI1156" s="2" t="str">
        <f t="shared" si="4622"/>
        <v>&lt;/li&gt;&lt;li&gt;&lt;a href=|http://wes.biblecommenter.com/1_peter/5.htm| title=|Wesley's Notes on the Bible| target=|_top|&gt;WES&lt;/a&gt;</v>
      </c>
      <c r="AJ1156" t="str">
        <f>CONCATENATE("&lt;/li&gt;&lt;li&gt;&lt;a href=|http://",AJ1191,"/1_peter/5.htm","| ","title=|",AJ1190,"| target=|_top|&gt;",AJ1192,"&lt;/a&gt;")</f>
        <v>&lt;/li&gt;&lt;li&gt;&lt;a href=|http://worldebible.com/1_peter/5.htm| title=|World English Bible| target=|_top|&gt;WEB&lt;/a&gt;</v>
      </c>
      <c r="AK1156" t="str">
        <f>CONCATENATE("&lt;/li&gt;&lt;li&gt;&lt;a href=|http://",AK1191,"/1_peter/5.htm","| ","title=|",AK1190,"| target=|_top|&gt;",AK1192,"&lt;/a&gt;")</f>
        <v>&lt;/li&gt;&lt;li&gt;&lt;a href=|http://yltbible.com/1_peter/5.htm| title=|Young's Literal Translation| target=|_top|&gt;YLT&lt;/a&gt;</v>
      </c>
      <c r="AL1156" t="str">
        <f>CONCATENATE("&lt;a href=|http://",AL1191,"/1_peter/5.htm","| ","title=|",AL1190,"| target=|_top|&gt;",AL1192,"&lt;/a&gt;")</f>
        <v>&lt;a href=|http://kjv.us/1_peter/5.htm| title=|American King James Version| target=|_top|&gt;AKJ&lt;/a&gt;</v>
      </c>
      <c r="AM1156" t="str">
        <f t="shared" ref="AM1156:AS1156" si="4623">CONCATENATE("&lt;/li&gt;&lt;li&gt;&lt;a href=|http://",AM1191,"/1_peter/5.htm","| ","title=|",AM1190,"| target=|_top|&gt;",AM1192,"&lt;/a&gt;")</f>
        <v>&lt;/li&gt;&lt;li&gt;&lt;a href=|http://basicenglishbible.com/1_peter/5.htm| title=|Bible in Basic English| target=|_top|&gt;BBE&lt;/a&gt;</v>
      </c>
      <c r="AN1156" t="str">
        <f t="shared" si="4623"/>
        <v>&lt;/li&gt;&lt;li&gt;&lt;a href=|http://darbybible.com/1_peter/5.htm| title=|Darby Bible Translation| target=|_top|&gt;DBY&lt;/a&gt;</v>
      </c>
      <c r="AO1156" t="str">
        <f t="shared" si="4623"/>
        <v>&lt;/li&gt;&lt;li&gt;&lt;a href=|http://isv.scripturetext.com/1_peter/5.htm| title=|International Standard Version| target=|_top|&gt;ISV&lt;/a&gt;</v>
      </c>
      <c r="AP1156" t="str">
        <f t="shared" si="4623"/>
        <v>&lt;/li&gt;&lt;li&gt;&lt;a href=|http://tnt.scripturetext.com/1_peter/5.htm| title=|Tyndale New Testament| target=|_top|&gt;TNT&lt;/a&gt;</v>
      </c>
      <c r="AQ1156" s="2" t="str">
        <f t="shared" si="4623"/>
        <v>&lt;/li&gt;&lt;li&gt;&lt;a href=|http://pnt.biblecommenter.com/1_peter/5.htm| title=|People's New Testament| target=|_top|&gt;PNT&lt;/a&gt;</v>
      </c>
      <c r="AR1156" t="str">
        <f t="shared" si="4623"/>
        <v>&lt;/li&gt;&lt;li&gt;&lt;a href=|http://websterbible.com/1_peter/5.htm| title=|Webster's Bible Translation| target=|_top|&gt;WBS&lt;/a&gt;</v>
      </c>
      <c r="AS1156" t="str">
        <f t="shared" si="4623"/>
        <v>&lt;/li&gt;&lt;li&gt;&lt;a href=|http://weymouthbible.com/1_peter/5.htm| title=|Weymouth New Testament| target=|_top|&gt;WEY&lt;/a&gt;</v>
      </c>
      <c r="AT1156" t="str">
        <f>CONCATENATE("&lt;/li&gt;&lt;li&gt;&lt;a href=|http://",AT1191,"/1_peter/5-1.htm","| ","title=|",AT1190,"| target=|_top|&gt;",AT1192,"&lt;/a&gt;")</f>
        <v>&lt;/li&gt;&lt;li&gt;&lt;a href=|http://biblebrowser.com/1_peter/5-1.htm| title=|Split View| target=|_top|&gt;Split&lt;/a&gt;</v>
      </c>
      <c r="AU1156" s="2" t="s">
        <v>1276</v>
      </c>
      <c r="AV1156" t="s">
        <v>64</v>
      </c>
    </row>
    <row r="1157" spans="1:48">
      <c r="A1157" t="s">
        <v>622</v>
      </c>
      <c r="B1157" t="s">
        <v>588</v>
      </c>
      <c r="C1157" t="s">
        <v>624</v>
      </c>
      <c r="D1157" t="s">
        <v>1268</v>
      </c>
      <c r="E1157" t="s">
        <v>1277</v>
      </c>
      <c r="F1157" t="s">
        <v>1304</v>
      </c>
      <c r="G1157" t="s">
        <v>1266</v>
      </c>
      <c r="H1157" t="s">
        <v>1305</v>
      </c>
      <c r="I1157" t="s">
        <v>1303</v>
      </c>
      <c r="J1157" t="s">
        <v>1267</v>
      </c>
      <c r="K1157" t="s">
        <v>1275</v>
      </c>
      <c r="L1157" s="2" t="s">
        <v>1274</v>
      </c>
      <c r="M1157" t="str">
        <f t="shared" ref="M1157:AB1157" si="4624">CONCATENATE("&lt;/li&gt;&lt;li&gt;&lt;a href=|http://",M1191,"/2_peter/1.htm","| ","title=|",M1190,"| target=|_top|&gt;",M1192,"&lt;/a&gt;")</f>
        <v>&lt;/li&gt;&lt;li&gt;&lt;a href=|http://niv.scripturetext.com/2_peter/1.htm| title=|New International Version| target=|_top|&gt;NIV&lt;/a&gt;</v>
      </c>
      <c r="N1157" t="str">
        <f t="shared" si="4624"/>
        <v>&lt;/li&gt;&lt;li&gt;&lt;a href=|http://nlt.scripturetext.com/2_peter/1.htm| title=|New Living Translation| target=|_top|&gt;NLT&lt;/a&gt;</v>
      </c>
      <c r="O1157" t="str">
        <f t="shared" si="4624"/>
        <v>&lt;/li&gt;&lt;li&gt;&lt;a href=|http://nasb.scripturetext.com/2_peter/1.htm| title=|New American Standard Bible| target=|_top|&gt;NAS&lt;/a&gt;</v>
      </c>
      <c r="P1157" t="str">
        <f t="shared" si="4624"/>
        <v>&lt;/li&gt;&lt;li&gt;&lt;a href=|http://gwt.scripturetext.com/2_peter/1.htm| title=|God's Word Translation| target=|_top|&gt;GWT&lt;/a&gt;</v>
      </c>
      <c r="Q1157" t="str">
        <f t="shared" si="4624"/>
        <v>&lt;/li&gt;&lt;li&gt;&lt;a href=|http://kingjbible.com/2_peter/1.htm| title=|King James Bible| target=|_top|&gt;KJV&lt;/a&gt;</v>
      </c>
      <c r="R1157" t="str">
        <f t="shared" si="4624"/>
        <v>&lt;/li&gt;&lt;li&gt;&lt;a href=|http://asvbible.com/2_peter/1.htm| title=|American Standard Version| target=|_top|&gt;ASV&lt;/a&gt;</v>
      </c>
      <c r="S1157" t="str">
        <f t="shared" si="4624"/>
        <v>&lt;/li&gt;&lt;li&gt;&lt;a href=|http://drb.scripturetext.com/2_peter/1.htm| title=|Douay-Rheims Bible| target=|_top|&gt;DRB&lt;/a&gt;</v>
      </c>
      <c r="T1157" t="str">
        <f t="shared" si="4624"/>
        <v>&lt;/li&gt;&lt;li&gt;&lt;a href=|http://erv.scripturetext.com/2_peter/1.htm| title=|English Revised Version| target=|_top|&gt;ERV&lt;/a&gt;</v>
      </c>
      <c r="U1157" t="str">
        <f>CONCATENATE("&lt;/li&gt;&lt;li&gt;&lt;a href=|http://",U1191,"/2_peter/1.htm","| ","title=|",U1190,"| target=|_top|&gt;",U1192,"&lt;/a&gt;")</f>
        <v>&lt;/li&gt;&lt;li&gt;&lt;a href=|http://study.interlinearbible.org/2_peter/1.htm| title=|Greek Study Bible| target=|_top|&gt;Grk Study&lt;/a&gt;</v>
      </c>
      <c r="W1157" t="str">
        <f t="shared" si="4624"/>
        <v>&lt;/li&gt;&lt;li&gt;&lt;a href=|http://apostolic.interlinearbible.org/2_peter/1.htm| title=|Apostolic Bible Polyglot Interlinear| target=|_top|&gt;Polyglot&lt;/a&gt;</v>
      </c>
      <c r="X1157" t="str">
        <f t="shared" si="4624"/>
        <v>&lt;/li&gt;&lt;li&gt;&lt;a href=|http://interlinearbible.org/2_peter/1.htm| title=|Interlinear Bible| target=|_top|&gt;Interlin&lt;/a&gt;</v>
      </c>
      <c r="Y1157" t="str">
        <f t="shared" ref="Y1157" si="4625">CONCATENATE("&lt;/li&gt;&lt;li&gt;&lt;a href=|http://",Y1191,"/2_peter/1.htm","| ","title=|",Y1190,"| target=|_top|&gt;",Y1192,"&lt;/a&gt;")</f>
        <v>&lt;/li&gt;&lt;li&gt;&lt;a href=|http://bibleoutline.org/2_peter/1.htm| title=|Outline with People and Places List| target=|_top|&gt;Outline&lt;/a&gt;</v>
      </c>
      <c r="Z1157" t="str">
        <f t="shared" si="4624"/>
        <v>&lt;/li&gt;&lt;li&gt;&lt;a href=|http://kjvs.scripturetext.com/2_peter/1.htm| title=|King James Bible with Strong's Numbers| target=|_top|&gt;Strong's&lt;/a&gt;</v>
      </c>
      <c r="AA1157" t="str">
        <f t="shared" si="4624"/>
        <v>&lt;/li&gt;&lt;li&gt;&lt;a href=|http://childrensbibleonline.com/2_peter/1.htm| title=|The Children's Bible| target=|_top|&gt;Children's&lt;/a&gt;</v>
      </c>
      <c r="AB1157" s="2" t="str">
        <f t="shared" si="4624"/>
        <v>&lt;/li&gt;&lt;li&gt;&lt;a href=|http://tsk.scripturetext.com/2_peter/1.htm| title=|Treasury of Scripture Knowledge| target=|_top|&gt;TSK&lt;/a&gt;</v>
      </c>
      <c r="AC1157" t="str">
        <f>CONCATENATE("&lt;a href=|http://",AC1191,"/2_peter/1.htm","| ","title=|",AC1190,"| target=|_top|&gt;",AC1192,"&lt;/a&gt;")</f>
        <v>&lt;a href=|http://parallelbible.com/2_peter/1.htm| title=|Parallel Chapters| target=|_top|&gt;PAR&lt;/a&gt;</v>
      </c>
      <c r="AD1157" s="2" t="str">
        <f t="shared" ref="AD1157:AI1157" si="4626">CONCATENATE("&lt;/li&gt;&lt;li&gt;&lt;a href=|http://",AD1191,"/2_peter/1.htm","| ","title=|",AD1190,"| target=|_top|&gt;",AD1192,"&lt;/a&gt;")</f>
        <v>&lt;/li&gt;&lt;li&gt;&lt;a href=|http://gsb.biblecommenter.com/2_peter/1.htm| title=|Geneva Study Bible| target=|_top|&gt;GSB&lt;/a&gt;</v>
      </c>
      <c r="AE1157" s="2" t="str">
        <f t="shared" si="4626"/>
        <v>&lt;/li&gt;&lt;li&gt;&lt;a href=|http://jfb.biblecommenter.com/2_peter/1.htm| title=|Jamieson-Fausset-Brown Bible Commentary| target=|_top|&gt;JFB&lt;/a&gt;</v>
      </c>
      <c r="AF1157" s="2" t="str">
        <f t="shared" si="4626"/>
        <v>&lt;/li&gt;&lt;li&gt;&lt;a href=|http://kjt.biblecommenter.com/2_peter/1.htm| title=|King James Translators' Notes| target=|_top|&gt;KJT&lt;/a&gt;</v>
      </c>
      <c r="AG1157" s="2" t="str">
        <f t="shared" si="4626"/>
        <v>&lt;/li&gt;&lt;li&gt;&lt;a href=|http://mhc.biblecommenter.com/2_peter/1.htm| title=|Matthew Henry's Concise Commentary| target=|_top|&gt;MHC&lt;/a&gt;</v>
      </c>
      <c r="AH1157" s="2" t="str">
        <f t="shared" si="4626"/>
        <v>&lt;/li&gt;&lt;li&gt;&lt;a href=|http://sco.biblecommenter.com/2_peter/1.htm| title=|Scofield Reference Notes| target=|_top|&gt;SCO&lt;/a&gt;</v>
      </c>
      <c r="AI1157" s="2" t="str">
        <f t="shared" si="4626"/>
        <v>&lt;/li&gt;&lt;li&gt;&lt;a href=|http://wes.biblecommenter.com/2_peter/1.htm| title=|Wesley's Notes on the Bible| target=|_top|&gt;WES&lt;/a&gt;</v>
      </c>
      <c r="AJ1157" t="str">
        <f>CONCATENATE("&lt;/li&gt;&lt;li&gt;&lt;a href=|http://",AJ1191,"/2_peter/1.htm","| ","title=|",AJ1190,"| target=|_top|&gt;",AJ1192,"&lt;/a&gt;")</f>
        <v>&lt;/li&gt;&lt;li&gt;&lt;a href=|http://worldebible.com/2_peter/1.htm| title=|World English Bible| target=|_top|&gt;WEB&lt;/a&gt;</v>
      </c>
      <c r="AK1157" t="str">
        <f>CONCATENATE("&lt;/li&gt;&lt;li&gt;&lt;a href=|http://",AK1191,"/2_peter/1.htm","| ","title=|",AK1190,"| target=|_top|&gt;",AK1192,"&lt;/a&gt;")</f>
        <v>&lt;/li&gt;&lt;li&gt;&lt;a href=|http://yltbible.com/2_peter/1.htm| title=|Young's Literal Translation| target=|_top|&gt;YLT&lt;/a&gt;</v>
      </c>
      <c r="AL1157" t="str">
        <f>CONCATENATE("&lt;a href=|http://",AL1191,"/2_peter/1.htm","| ","title=|",AL1190,"| target=|_top|&gt;",AL1192,"&lt;/a&gt;")</f>
        <v>&lt;a href=|http://kjv.us/2_peter/1.htm| title=|American King James Version| target=|_top|&gt;AKJ&lt;/a&gt;</v>
      </c>
      <c r="AM1157" t="str">
        <f t="shared" ref="AM1157:AS1157" si="4627">CONCATENATE("&lt;/li&gt;&lt;li&gt;&lt;a href=|http://",AM1191,"/2_peter/1.htm","| ","title=|",AM1190,"| target=|_top|&gt;",AM1192,"&lt;/a&gt;")</f>
        <v>&lt;/li&gt;&lt;li&gt;&lt;a href=|http://basicenglishbible.com/2_peter/1.htm| title=|Bible in Basic English| target=|_top|&gt;BBE&lt;/a&gt;</v>
      </c>
      <c r="AN1157" t="str">
        <f t="shared" si="4627"/>
        <v>&lt;/li&gt;&lt;li&gt;&lt;a href=|http://darbybible.com/2_peter/1.htm| title=|Darby Bible Translation| target=|_top|&gt;DBY&lt;/a&gt;</v>
      </c>
      <c r="AO1157" t="str">
        <f t="shared" si="4627"/>
        <v>&lt;/li&gt;&lt;li&gt;&lt;a href=|http://isv.scripturetext.com/2_peter/1.htm| title=|International Standard Version| target=|_top|&gt;ISV&lt;/a&gt;</v>
      </c>
      <c r="AP1157" t="str">
        <f t="shared" si="4627"/>
        <v>&lt;/li&gt;&lt;li&gt;&lt;a href=|http://tnt.scripturetext.com/2_peter/1.htm| title=|Tyndale New Testament| target=|_top|&gt;TNT&lt;/a&gt;</v>
      </c>
      <c r="AQ1157" s="2" t="str">
        <f t="shared" si="4627"/>
        <v>&lt;/li&gt;&lt;li&gt;&lt;a href=|http://pnt.biblecommenter.com/2_peter/1.htm| title=|People's New Testament| target=|_top|&gt;PNT&lt;/a&gt;</v>
      </c>
      <c r="AR1157" t="str">
        <f t="shared" si="4627"/>
        <v>&lt;/li&gt;&lt;li&gt;&lt;a href=|http://websterbible.com/2_peter/1.htm| title=|Webster's Bible Translation| target=|_top|&gt;WBS&lt;/a&gt;</v>
      </c>
      <c r="AS1157" t="str">
        <f t="shared" si="4627"/>
        <v>&lt;/li&gt;&lt;li&gt;&lt;a href=|http://weymouthbible.com/2_peter/1.htm| title=|Weymouth New Testament| target=|_top|&gt;WEY&lt;/a&gt;</v>
      </c>
      <c r="AT1157" t="str">
        <f>CONCATENATE("&lt;/li&gt;&lt;li&gt;&lt;a href=|http://",AT1191,"/2_peter/1-1.htm","| ","title=|",AT1190,"| target=|_top|&gt;",AT1192,"&lt;/a&gt;")</f>
        <v>&lt;/li&gt;&lt;li&gt;&lt;a href=|http://biblebrowser.com/2_peter/1-1.htm| title=|Split View| target=|_top|&gt;Split&lt;/a&gt;</v>
      </c>
      <c r="AU1157" s="2" t="s">
        <v>1276</v>
      </c>
      <c r="AV1157" t="s">
        <v>64</v>
      </c>
    </row>
    <row r="1158" spans="1:48">
      <c r="A1158" t="s">
        <v>622</v>
      </c>
      <c r="B1158" t="s">
        <v>589</v>
      </c>
      <c r="C1158" t="s">
        <v>624</v>
      </c>
      <c r="D1158" t="s">
        <v>1268</v>
      </c>
      <c r="E1158" t="s">
        <v>1277</v>
      </c>
      <c r="F1158" t="s">
        <v>1304</v>
      </c>
      <c r="G1158" t="s">
        <v>1266</v>
      </c>
      <c r="H1158" t="s">
        <v>1305</v>
      </c>
      <c r="I1158" t="s">
        <v>1303</v>
      </c>
      <c r="J1158" t="s">
        <v>1267</v>
      </c>
      <c r="K1158" t="s">
        <v>1275</v>
      </c>
      <c r="L1158" s="2" t="s">
        <v>1274</v>
      </c>
      <c r="M1158" t="str">
        <f t="shared" ref="M1158:AB1158" si="4628">CONCATENATE("&lt;/li&gt;&lt;li&gt;&lt;a href=|http://",M1191,"/2_peter/2.htm","| ","title=|",M1190,"| target=|_top|&gt;",M1192,"&lt;/a&gt;")</f>
        <v>&lt;/li&gt;&lt;li&gt;&lt;a href=|http://niv.scripturetext.com/2_peter/2.htm| title=|New International Version| target=|_top|&gt;NIV&lt;/a&gt;</v>
      </c>
      <c r="N1158" t="str">
        <f t="shared" si="4628"/>
        <v>&lt;/li&gt;&lt;li&gt;&lt;a href=|http://nlt.scripturetext.com/2_peter/2.htm| title=|New Living Translation| target=|_top|&gt;NLT&lt;/a&gt;</v>
      </c>
      <c r="O1158" t="str">
        <f t="shared" si="4628"/>
        <v>&lt;/li&gt;&lt;li&gt;&lt;a href=|http://nasb.scripturetext.com/2_peter/2.htm| title=|New American Standard Bible| target=|_top|&gt;NAS&lt;/a&gt;</v>
      </c>
      <c r="P1158" t="str">
        <f t="shared" si="4628"/>
        <v>&lt;/li&gt;&lt;li&gt;&lt;a href=|http://gwt.scripturetext.com/2_peter/2.htm| title=|God's Word Translation| target=|_top|&gt;GWT&lt;/a&gt;</v>
      </c>
      <c r="Q1158" t="str">
        <f t="shared" si="4628"/>
        <v>&lt;/li&gt;&lt;li&gt;&lt;a href=|http://kingjbible.com/2_peter/2.htm| title=|King James Bible| target=|_top|&gt;KJV&lt;/a&gt;</v>
      </c>
      <c r="R1158" t="str">
        <f t="shared" si="4628"/>
        <v>&lt;/li&gt;&lt;li&gt;&lt;a href=|http://asvbible.com/2_peter/2.htm| title=|American Standard Version| target=|_top|&gt;ASV&lt;/a&gt;</v>
      </c>
      <c r="S1158" t="str">
        <f t="shared" si="4628"/>
        <v>&lt;/li&gt;&lt;li&gt;&lt;a href=|http://drb.scripturetext.com/2_peter/2.htm| title=|Douay-Rheims Bible| target=|_top|&gt;DRB&lt;/a&gt;</v>
      </c>
      <c r="T1158" t="str">
        <f t="shared" si="4628"/>
        <v>&lt;/li&gt;&lt;li&gt;&lt;a href=|http://erv.scripturetext.com/2_peter/2.htm| title=|English Revised Version| target=|_top|&gt;ERV&lt;/a&gt;</v>
      </c>
      <c r="U1158" t="str">
        <f>CONCATENATE("&lt;/li&gt;&lt;li&gt;&lt;a href=|http://",U1191,"/2_peter/2.htm","| ","title=|",U1190,"| target=|_top|&gt;",U1192,"&lt;/a&gt;")</f>
        <v>&lt;/li&gt;&lt;li&gt;&lt;a href=|http://study.interlinearbible.org/2_peter/2.htm| title=|Greek Study Bible| target=|_top|&gt;Grk Study&lt;/a&gt;</v>
      </c>
      <c r="W1158" t="str">
        <f t="shared" si="4628"/>
        <v>&lt;/li&gt;&lt;li&gt;&lt;a href=|http://apostolic.interlinearbible.org/2_peter/2.htm| title=|Apostolic Bible Polyglot Interlinear| target=|_top|&gt;Polyglot&lt;/a&gt;</v>
      </c>
      <c r="X1158" t="str">
        <f t="shared" si="4628"/>
        <v>&lt;/li&gt;&lt;li&gt;&lt;a href=|http://interlinearbible.org/2_peter/2.htm| title=|Interlinear Bible| target=|_top|&gt;Interlin&lt;/a&gt;</v>
      </c>
      <c r="Y1158" t="str">
        <f t="shared" ref="Y1158" si="4629">CONCATENATE("&lt;/li&gt;&lt;li&gt;&lt;a href=|http://",Y1191,"/2_peter/2.htm","| ","title=|",Y1190,"| target=|_top|&gt;",Y1192,"&lt;/a&gt;")</f>
        <v>&lt;/li&gt;&lt;li&gt;&lt;a href=|http://bibleoutline.org/2_peter/2.htm| title=|Outline with People and Places List| target=|_top|&gt;Outline&lt;/a&gt;</v>
      </c>
      <c r="Z1158" t="str">
        <f t="shared" si="4628"/>
        <v>&lt;/li&gt;&lt;li&gt;&lt;a href=|http://kjvs.scripturetext.com/2_peter/2.htm| title=|King James Bible with Strong's Numbers| target=|_top|&gt;Strong's&lt;/a&gt;</v>
      </c>
      <c r="AA1158" t="str">
        <f t="shared" si="4628"/>
        <v>&lt;/li&gt;&lt;li&gt;&lt;a href=|http://childrensbibleonline.com/2_peter/2.htm| title=|The Children's Bible| target=|_top|&gt;Children's&lt;/a&gt;</v>
      </c>
      <c r="AB1158" s="2" t="str">
        <f t="shared" si="4628"/>
        <v>&lt;/li&gt;&lt;li&gt;&lt;a href=|http://tsk.scripturetext.com/2_peter/2.htm| title=|Treasury of Scripture Knowledge| target=|_top|&gt;TSK&lt;/a&gt;</v>
      </c>
      <c r="AC1158" t="str">
        <f>CONCATENATE("&lt;a href=|http://",AC1191,"/2_peter/2.htm","| ","title=|",AC1190,"| target=|_top|&gt;",AC1192,"&lt;/a&gt;")</f>
        <v>&lt;a href=|http://parallelbible.com/2_peter/2.htm| title=|Parallel Chapters| target=|_top|&gt;PAR&lt;/a&gt;</v>
      </c>
      <c r="AD1158" s="2" t="str">
        <f t="shared" ref="AD1158:AI1158" si="4630">CONCATENATE("&lt;/li&gt;&lt;li&gt;&lt;a href=|http://",AD1191,"/2_peter/2.htm","| ","title=|",AD1190,"| target=|_top|&gt;",AD1192,"&lt;/a&gt;")</f>
        <v>&lt;/li&gt;&lt;li&gt;&lt;a href=|http://gsb.biblecommenter.com/2_peter/2.htm| title=|Geneva Study Bible| target=|_top|&gt;GSB&lt;/a&gt;</v>
      </c>
      <c r="AE1158" s="2" t="str">
        <f t="shared" si="4630"/>
        <v>&lt;/li&gt;&lt;li&gt;&lt;a href=|http://jfb.biblecommenter.com/2_peter/2.htm| title=|Jamieson-Fausset-Brown Bible Commentary| target=|_top|&gt;JFB&lt;/a&gt;</v>
      </c>
      <c r="AF1158" s="2" t="str">
        <f t="shared" si="4630"/>
        <v>&lt;/li&gt;&lt;li&gt;&lt;a href=|http://kjt.biblecommenter.com/2_peter/2.htm| title=|King James Translators' Notes| target=|_top|&gt;KJT&lt;/a&gt;</v>
      </c>
      <c r="AG1158" s="2" t="str">
        <f t="shared" si="4630"/>
        <v>&lt;/li&gt;&lt;li&gt;&lt;a href=|http://mhc.biblecommenter.com/2_peter/2.htm| title=|Matthew Henry's Concise Commentary| target=|_top|&gt;MHC&lt;/a&gt;</v>
      </c>
      <c r="AH1158" s="2" t="str">
        <f t="shared" si="4630"/>
        <v>&lt;/li&gt;&lt;li&gt;&lt;a href=|http://sco.biblecommenter.com/2_peter/2.htm| title=|Scofield Reference Notes| target=|_top|&gt;SCO&lt;/a&gt;</v>
      </c>
      <c r="AI1158" s="2" t="str">
        <f t="shared" si="4630"/>
        <v>&lt;/li&gt;&lt;li&gt;&lt;a href=|http://wes.biblecommenter.com/2_peter/2.htm| title=|Wesley's Notes on the Bible| target=|_top|&gt;WES&lt;/a&gt;</v>
      </c>
      <c r="AJ1158" t="str">
        <f>CONCATENATE("&lt;/li&gt;&lt;li&gt;&lt;a href=|http://",AJ1191,"/2_peter/2.htm","| ","title=|",AJ1190,"| target=|_top|&gt;",AJ1192,"&lt;/a&gt;")</f>
        <v>&lt;/li&gt;&lt;li&gt;&lt;a href=|http://worldebible.com/2_peter/2.htm| title=|World English Bible| target=|_top|&gt;WEB&lt;/a&gt;</v>
      </c>
      <c r="AK1158" t="str">
        <f>CONCATENATE("&lt;/li&gt;&lt;li&gt;&lt;a href=|http://",AK1191,"/2_peter/2.htm","| ","title=|",AK1190,"| target=|_top|&gt;",AK1192,"&lt;/a&gt;")</f>
        <v>&lt;/li&gt;&lt;li&gt;&lt;a href=|http://yltbible.com/2_peter/2.htm| title=|Young's Literal Translation| target=|_top|&gt;YLT&lt;/a&gt;</v>
      </c>
      <c r="AL1158" t="str">
        <f>CONCATENATE("&lt;a href=|http://",AL1191,"/2_peter/2.htm","| ","title=|",AL1190,"| target=|_top|&gt;",AL1192,"&lt;/a&gt;")</f>
        <v>&lt;a href=|http://kjv.us/2_peter/2.htm| title=|American King James Version| target=|_top|&gt;AKJ&lt;/a&gt;</v>
      </c>
      <c r="AM1158" t="str">
        <f t="shared" ref="AM1158:AS1158" si="4631">CONCATENATE("&lt;/li&gt;&lt;li&gt;&lt;a href=|http://",AM1191,"/2_peter/2.htm","| ","title=|",AM1190,"| target=|_top|&gt;",AM1192,"&lt;/a&gt;")</f>
        <v>&lt;/li&gt;&lt;li&gt;&lt;a href=|http://basicenglishbible.com/2_peter/2.htm| title=|Bible in Basic English| target=|_top|&gt;BBE&lt;/a&gt;</v>
      </c>
      <c r="AN1158" t="str">
        <f t="shared" si="4631"/>
        <v>&lt;/li&gt;&lt;li&gt;&lt;a href=|http://darbybible.com/2_peter/2.htm| title=|Darby Bible Translation| target=|_top|&gt;DBY&lt;/a&gt;</v>
      </c>
      <c r="AO1158" t="str">
        <f t="shared" si="4631"/>
        <v>&lt;/li&gt;&lt;li&gt;&lt;a href=|http://isv.scripturetext.com/2_peter/2.htm| title=|International Standard Version| target=|_top|&gt;ISV&lt;/a&gt;</v>
      </c>
      <c r="AP1158" t="str">
        <f t="shared" si="4631"/>
        <v>&lt;/li&gt;&lt;li&gt;&lt;a href=|http://tnt.scripturetext.com/2_peter/2.htm| title=|Tyndale New Testament| target=|_top|&gt;TNT&lt;/a&gt;</v>
      </c>
      <c r="AQ1158" s="2" t="str">
        <f t="shared" si="4631"/>
        <v>&lt;/li&gt;&lt;li&gt;&lt;a href=|http://pnt.biblecommenter.com/2_peter/2.htm| title=|People's New Testament| target=|_top|&gt;PNT&lt;/a&gt;</v>
      </c>
      <c r="AR1158" t="str">
        <f t="shared" si="4631"/>
        <v>&lt;/li&gt;&lt;li&gt;&lt;a href=|http://websterbible.com/2_peter/2.htm| title=|Webster's Bible Translation| target=|_top|&gt;WBS&lt;/a&gt;</v>
      </c>
      <c r="AS1158" t="str">
        <f t="shared" si="4631"/>
        <v>&lt;/li&gt;&lt;li&gt;&lt;a href=|http://weymouthbible.com/2_peter/2.htm| title=|Weymouth New Testament| target=|_top|&gt;WEY&lt;/a&gt;</v>
      </c>
      <c r="AT1158" t="str">
        <f>CONCATENATE("&lt;/li&gt;&lt;li&gt;&lt;a href=|http://",AT1191,"/2_peter/2-1.htm","| ","title=|",AT1190,"| target=|_top|&gt;",AT1192,"&lt;/a&gt;")</f>
        <v>&lt;/li&gt;&lt;li&gt;&lt;a href=|http://biblebrowser.com/2_peter/2-1.htm| title=|Split View| target=|_top|&gt;Split&lt;/a&gt;</v>
      </c>
      <c r="AU1158" s="2" t="s">
        <v>1276</v>
      </c>
      <c r="AV1158" t="s">
        <v>64</v>
      </c>
    </row>
    <row r="1159" spans="1:48">
      <c r="A1159" t="s">
        <v>622</v>
      </c>
      <c r="B1159" t="s">
        <v>590</v>
      </c>
      <c r="C1159" t="s">
        <v>624</v>
      </c>
      <c r="D1159" t="s">
        <v>1268</v>
      </c>
      <c r="E1159" t="s">
        <v>1277</v>
      </c>
      <c r="F1159" t="s">
        <v>1304</v>
      </c>
      <c r="G1159" t="s">
        <v>1266</v>
      </c>
      <c r="H1159" t="s">
        <v>1305</v>
      </c>
      <c r="I1159" t="s">
        <v>1303</v>
      </c>
      <c r="J1159" t="s">
        <v>1267</v>
      </c>
      <c r="K1159" t="s">
        <v>1275</v>
      </c>
      <c r="L1159" s="2" t="s">
        <v>1274</v>
      </c>
      <c r="M1159" t="str">
        <f t="shared" ref="M1159:AB1159" si="4632">CONCATENATE("&lt;/li&gt;&lt;li&gt;&lt;a href=|http://",M1191,"/2_peter/3.htm","| ","title=|",M1190,"| target=|_top|&gt;",M1192,"&lt;/a&gt;")</f>
        <v>&lt;/li&gt;&lt;li&gt;&lt;a href=|http://niv.scripturetext.com/2_peter/3.htm| title=|New International Version| target=|_top|&gt;NIV&lt;/a&gt;</v>
      </c>
      <c r="N1159" t="str">
        <f t="shared" si="4632"/>
        <v>&lt;/li&gt;&lt;li&gt;&lt;a href=|http://nlt.scripturetext.com/2_peter/3.htm| title=|New Living Translation| target=|_top|&gt;NLT&lt;/a&gt;</v>
      </c>
      <c r="O1159" t="str">
        <f t="shared" si="4632"/>
        <v>&lt;/li&gt;&lt;li&gt;&lt;a href=|http://nasb.scripturetext.com/2_peter/3.htm| title=|New American Standard Bible| target=|_top|&gt;NAS&lt;/a&gt;</v>
      </c>
      <c r="P1159" t="str">
        <f t="shared" si="4632"/>
        <v>&lt;/li&gt;&lt;li&gt;&lt;a href=|http://gwt.scripturetext.com/2_peter/3.htm| title=|God's Word Translation| target=|_top|&gt;GWT&lt;/a&gt;</v>
      </c>
      <c r="Q1159" t="str">
        <f t="shared" si="4632"/>
        <v>&lt;/li&gt;&lt;li&gt;&lt;a href=|http://kingjbible.com/2_peter/3.htm| title=|King James Bible| target=|_top|&gt;KJV&lt;/a&gt;</v>
      </c>
      <c r="R1159" t="str">
        <f t="shared" si="4632"/>
        <v>&lt;/li&gt;&lt;li&gt;&lt;a href=|http://asvbible.com/2_peter/3.htm| title=|American Standard Version| target=|_top|&gt;ASV&lt;/a&gt;</v>
      </c>
      <c r="S1159" t="str">
        <f t="shared" si="4632"/>
        <v>&lt;/li&gt;&lt;li&gt;&lt;a href=|http://drb.scripturetext.com/2_peter/3.htm| title=|Douay-Rheims Bible| target=|_top|&gt;DRB&lt;/a&gt;</v>
      </c>
      <c r="T1159" t="str">
        <f t="shared" si="4632"/>
        <v>&lt;/li&gt;&lt;li&gt;&lt;a href=|http://erv.scripturetext.com/2_peter/3.htm| title=|English Revised Version| target=|_top|&gt;ERV&lt;/a&gt;</v>
      </c>
      <c r="U1159" t="str">
        <f>CONCATENATE("&lt;/li&gt;&lt;li&gt;&lt;a href=|http://",U1191,"/2_peter/3.htm","| ","title=|",U1190,"| target=|_top|&gt;",U1192,"&lt;/a&gt;")</f>
        <v>&lt;/li&gt;&lt;li&gt;&lt;a href=|http://study.interlinearbible.org/2_peter/3.htm| title=|Greek Study Bible| target=|_top|&gt;Grk Study&lt;/a&gt;</v>
      </c>
      <c r="W1159" t="str">
        <f t="shared" si="4632"/>
        <v>&lt;/li&gt;&lt;li&gt;&lt;a href=|http://apostolic.interlinearbible.org/2_peter/3.htm| title=|Apostolic Bible Polyglot Interlinear| target=|_top|&gt;Polyglot&lt;/a&gt;</v>
      </c>
      <c r="X1159" t="str">
        <f t="shared" si="4632"/>
        <v>&lt;/li&gt;&lt;li&gt;&lt;a href=|http://interlinearbible.org/2_peter/3.htm| title=|Interlinear Bible| target=|_top|&gt;Interlin&lt;/a&gt;</v>
      </c>
      <c r="Y1159" t="str">
        <f t="shared" ref="Y1159" si="4633">CONCATENATE("&lt;/li&gt;&lt;li&gt;&lt;a href=|http://",Y1191,"/2_peter/3.htm","| ","title=|",Y1190,"| target=|_top|&gt;",Y1192,"&lt;/a&gt;")</f>
        <v>&lt;/li&gt;&lt;li&gt;&lt;a href=|http://bibleoutline.org/2_peter/3.htm| title=|Outline with People and Places List| target=|_top|&gt;Outline&lt;/a&gt;</v>
      </c>
      <c r="Z1159" t="str">
        <f t="shared" si="4632"/>
        <v>&lt;/li&gt;&lt;li&gt;&lt;a href=|http://kjvs.scripturetext.com/2_peter/3.htm| title=|King James Bible with Strong's Numbers| target=|_top|&gt;Strong's&lt;/a&gt;</v>
      </c>
      <c r="AA1159" t="str">
        <f t="shared" si="4632"/>
        <v>&lt;/li&gt;&lt;li&gt;&lt;a href=|http://childrensbibleonline.com/2_peter/3.htm| title=|The Children's Bible| target=|_top|&gt;Children's&lt;/a&gt;</v>
      </c>
      <c r="AB1159" s="2" t="str">
        <f t="shared" si="4632"/>
        <v>&lt;/li&gt;&lt;li&gt;&lt;a href=|http://tsk.scripturetext.com/2_peter/3.htm| title=|Treasury of Scripture Knowledge| target=|_top|&gt;TSK&lt;/a&gt;</v>
      </c>
      <c r="AC1159" t="str">
        <f>CONCATENATE("&lt;a href=|http://",AC1191,"/2_peter/3.htm","| ","title=|",AC1190,"| target=|_top|&gt;",AC1192,"&lt;/a&gt;")</f>
        <v>&lt;a href=|http://parallelbible.com/2_peter/3.htm| title=|Parallel Chapters| target=|_top|&gt;PAR&lt;/a&gt;</v>
      </c>
      <c r="AD1159" s="2" t="str">
        <f t="shared" ref="AD1159:AI1159" si="4634">CONCATENATE("&lt;/li&gt;&lt;li&gt;&lt;a href=|http://",AD1191,"/2_peter/3.htm","| ","title=|",AD1190,"| target=|_top|&gt;",AD1192,"&lt;/a&gt;")</f>
        <v>&lt;/li&gt;&lt;li&gt;&lt;a href=|http://gsb.biblecommenter.com/2_peter/3.htm| title=|Geneva Study Bible| target=|_top|&gt;GSB&lt;/a&gt;</v>
      </c>
      <c r="AE1159" s="2" t="str">
        <f t="shared" si="4634"/>
        <v>&lt;/li&gt;&lt;li&gt;&lt;a href=|http://jfb.biblecommenter.com/2_peter/3.htm| title=|Jamieson-Fausset-Brown Bible Commentary| target=|_top|&gt;JFB&lt;/a&gt;</v>
      </c>
      <c r="AF1159" s="2" t="str">
        <f t="shared" si="4634"/>
        <v>&lt;/li&gt;&lt;li&gt;&lt;a href=|http://kjt.biblecommenter.com/2_peter/3.htm| title=|King James Translators' Notes| target=|_top|&gt;KJT&lt;/a&gt;</v>
      </c>
      <c r="AG1159" s="2" t="str">
        <f t="shared" si="4634"/>
        <v>&lt;/li&gt;&lt;li&gt;&lt;a href=|http://mhc.biblecommenter.com/2_peter/3.htm| title=|Matthew Henry's Concise Commentary| target=|_top|&gt;MHC&lt;/a&gt;</v>
      </c>
      <c r="AH1159" s="2" t="str">
        <f t="shared" si="4634"/>
        <v>&lt;/li&gt;&lt;li&gt;&lt;a href=|http://sco.biblecommenter.com/2_peter/3.htm| title=|Scofield Reference Notes| target=|_top|&gt;SCO&lt;/a&gt;</v>
      </c>
      <c r="AI1159" s="2" t="str">
        <f t="shared" si="4634"/>
        <v>&lt;/li&gt;&lt;li&gt;&lt;a href=|http://wes.biblecommenter.com/2_peter/3.htm| title=|Wesley's Notes on the Bible| target=|_top|&gt;WES&lt;/a&gt;</v>
      </c>
      <c r="AJ1159" t="str">
        <f>CONCATENATE("&lt;/li&gt;&lt;li&gt;&lt;a href=|http://",AJ1191,"/2_peter/3.htm","| ","title=|",AJ1190,"| target=|_top|&gt;",AJ1192,"&lt;/a&gt;")</f>
        <v>&lt;/li&gt;&lt;li&gt;&lt;a href=|http://worldebible.com/2_peter/3.htm| title=|World English Bible| target=|_top|&gt;WEB&lt;/a&gt;</v>
      </c>
      <c r="AK1159" t="str">
        <f>CONCATENATE("&lt;/li&gt;&lt;li&gt;&lt;a href=|http://",AK1191,"/2_peter/3.htm","| ","title=|",AK1190,"| target=|_top|&gt;",AK1192,"&lt;/a&gt;")</f>
        <v>&lt;/li&gt;&lt;li&gt;&lt;a href=|http://yltbible.com/2_peter/3.htm| title=|Young's Literal Translation| target=|_top|&gt;YLT&lt;/a&gt;</v>
      </c>
      <c r="AL1159" t="str">
        <f>CONCATENATE("&lt;a href=|http://",AL1191,"/2_peter/3.htm","| ","title=|",AL1190,"| target=|_top|&gt;",AL1192,"&lt;/a&gt;")</f>
        <v>&lt;a href=|http://kjv.us/2_peter/3.htm| title=|American King James Version| target=|_top|&gt;AKJ&lt;/a&gt;</v>
      </c>
      <c r="AM1159" t="str">
        <f t="shared" ref="AM1159:AS1159" si="4635">CONCATENATE("&lt;/li&gt;&lt;li&gt;&lt;a href=|http://",AM1191,"/2_peter/3.htm","| ","title=|",AM1190,"| target=|_top|&gt;",AM1192,"&lt;/a&gt;")</f>
        <v>&lt;/li&gt;&lt;li&gt;&lt;a href=|http://basicenglishbible.com/2_peter/3.htm| title=|Bible in Basic English| target=|_top|&gt;BBE&lt;/a&gt;</v>
      </c>
      <c r="AN1159" t="str">
        <f t="shared" si="4635"/>
        <v>&lt;/li&gt;&lt;li&gt;&lt;a href=|http://darbybible.com/2_peter/3.htm| title=|Darby Bible Translation| target=|_top|&gt;DBY&lt;/a&gt;</v>
      </c>
      <c r="AO1159" t="str">
        <f t="shared" si="4635"/>
        <v>&lt;/li&gt;&lt;li&gt;&lt;a href=|http://isv.scripturetext.com/2_peter/3.htm| title=|International Standard Version| target=|_top|&gt;ISV&lt;/a&gt;</v>
      </c>
      <c r="AP1159" t="str">
        <f t="shared" si="4635"/>
        <v>&lt;/li&gt;&lt;li&gt;&lt;a href=|http://tnt.scripturetext.com/2_peter/3.htm| title=|Tyndale New Testament| target=|_top|&gt;TNT&lt;/a&gt;</v>
      </c>
      <c r="AQ1159" s="2" t="str">
        <f t="shared" si="4635"/>
        <v>&lt;/li&gt;&lt;li&gt;&lt;a href=|http://pnt.biblecommenter.com/2_peter/3.htm| title=|People's New Testament| target=|_top|&gt;PNT&lt;/a&gt;</v>
      </c>
      <c r="AR1159" t="str">
        <f t="shared" si="4635"/>
        <v>&lt;/li&gt;&lt;li&gt;&lt;a href=|http://websterbible.com/2_peter/3.htm| title=|Webster's Bible Translation| target=|_top|&gt;WBS&lt;/a&gt;</v>
      </c>
      <c r="AS1159" t="str">
        <f t="shared" si="4635"/>
        <v>&lt;/li&gt;&lt;li&gt;&lt;a href=|http://weymouthbible.com/2_peter/3.htm| title=|Weymouth New Testament| target=|_top|&gt;WEY&lt;/a&gt;</v>
      </c>
      <c r="AT1159" t="str">
        <f>CONCATENATE("&lt;/li&gt;&lt;li&gt;&lt;a href=|http://",AT1191,"/2_peter/3-1.htm","| ","title=|",AT1190,"| target=|_top|&gt;",AT1192,"&lt;/a&gt;")</f>
        <v>&lt;/li&gt;&lt;li&gt;&lt;a href=|http://biblebrowser.com/2_peter/3-1.htm| title=|Split View| target=|_top|&gt;Split&lt;/a&gt;</v>
      </c>
      <c r="AU1159" s="2" t="s">
        <v>1276</v>
      </c>
      <c r="AV1159" t="s">
        <v>64</v>
      </c>
    </row>
    <row r="1160" spans="1:48">
      <c r="A1160" t="s">
        <v>622</v>
      </c>
      <c r="B1160" t="s">
        <v>591</v>
      </c>
      <c r="C1160" t="s">
        <v>624</v>
      </c>
      <c r="D1160" t="s">
        <v>1268</v>
      </c>
      <c r="E1160" t="s">
        <v>1277</v>
      </c>
      <c r="F1160" t="s">
        <v>1304</v>
      </c>
      <c r="G1160" t="s">
        <v>1266</v>
      </c>
      <c r="H1160" t="s">
        <v>1305</v>
      </c>
      <c r="I1160" t="s">
        <v>1303</v>
      </c>
      <c r="J1160" t="s">
        <v>1267</v>
      </c>
      <c r="K1160" t="s">
        <v>1275</v>
      </c>
      <c r="L1160" s="2" t="s">
        <v>1274</v>
      </c>
      <c r="M1160" t="str">
        <f t="shared" ref="M1160:AB1160" si="4636">CONCATENATE("&lt;/li&gt;&lt;li&gt;&lt;a href=|http://",M1191,"/1_john/1.htm","| ","title=|",M1190,"| target=|_top|&gt;",M1192,"&lt;/a&gt;")</f>
        <v>&lt;/li&gt;&lt;li&gt;&lt;a href=|http://niv.scripturetext.com/1_john/1.htm| title=|New International Version| target=|_top|&gt;NIV&lt;/a&gt;</v>
      </c>
      <c r="N1160" t="str">
        <f t="shared" si="4636"/>
        <v>&lt;/li&gt;&lt;li&gt;&lt;a href=|http://nlt.scripturetext.com/1_john/1.htm| title=|New Living Translation| target=|_top|&gt;NLT&lt;/a&gt;</v>
      </c>
      <c r="O1160" t="str">
        <f t="shared" si="4636"/>
        <v>&lt;/li&gt;&lt;li&gt;&lt;a href=|http://nasb.scripturetext.com/1_john/1.htm| title=|New American Standard Bible| target=|_top|&gt;NAS&lt;/a&gt;</v>
      </c>
      <c r="P1160" t="str">
        <f t="shared" si="4636"/>
        <v>&lt;/li&gt;&lt;li&gt;&lt;a href=|http://gwt.scripturetext.com/1_john/1.htm| title=|God's Word Translation| target=|_top|&gt;GWT&lt;/a&gt;</v>
      </c>
      <c r="Q1160" t="str">
        <f t="shared" si="4636"/>
        <v>&lt;/li&gt;&lt;li&gt;&lt;a href=|http://kingjbible.com/1_john/1.htm| title=|King James Bible| target=|_top|&gt;KJV&lt;/a&gt;</v>
      </c>
      <c r="R1160" t="str">
        <f t="shared" si="4636"/>
        <v>&lt;/li&gt;&lt;li&gt;&lt;a href=|http://asvbible.com/1_john/1.htm| title=|American Standard Version| target=|_top|&gt;ASV&lt;/a&gt;</v>
      </c>
      <c r="S1160" t="str">
        <f t="shared" si="4636"/>
        <v>&lt;/li&gt;&lt;li&gt;&lt;a href=|http://drb.scripturetext.com/1_john/1.htm| title=|Douay-Rheims Bible| target=|_top|&gt;DRB&lt;/a&gt;</v>
      </c>
      <c r="T1160" t="str">
        <f t="shared" si="4636"/>
        <v>&lt;/li&gt;&lt;li&gt;&lt;a href=|http://erv.scripturetext.com/1_john/1.htm| title=|English Revised Version| target=|_top|&gt;ERV&lt;/a&gt;</v>
      </c>
      <c r="U1160" t="str">
        <f>CONCATENATE("&lt;/li&gt;&lt;li&gt;&lt;a href=|http://",U1191,"/1_john/1.htm","| ","title=|",U1190,"| target=|_top|&gt;",U1192,"&lt;/a&gt;")</f>
        <v>&lt;/li&gt;&lt;li&gt;&lt;a href=|http://study.interlinearbible.org/1_john/1.htm| title=|Greek Study Bible| target=|_top|&gt;Grk Study&lt;/a&gt;</v>
      </c>
      <c r="W1160" t="str">
        <f t="shared" si="4636"/>
        <v>&lt;/li&gt;&lt;li&gt;&lt;a href=|http://apostolic.interlinearbible.org/1_john/1.htm| title=|Apostolic Bible Polyglot Interlinear| target=|_top|&gt;Polyglot&lt;/a&gt;</v>
      </c>
      <c r="X1160" t="str">
        <f t="shared" si="4636"/>
        <v>&lt;/li&gt;&lt;li&gt;&lt;a href=|http://interlinearbible.org/1_john/1.htm| title=|Interlinear Bible| target=|_top|&gt;Interlin&lt;/a&gt;</v>
      </c>
      <c r="Y1160" t="str">
        <f t="shared" ref="Y1160" si="4637">CONCATENATE("&lt;/li&gt;&lt;li&gt;&lt;a href=|http://",Y1191,"/1_john/1.htm","| ","title=|",Y1190,"| target=|_top|&gt;",Y1192,"&lt;/a&gt;")</f>
        <v>&lt;/li&gt;&lt;li&gt;&lt;a href=|http://bibleoutline.org/1_john/1.htm| title=|Outline with People and Places List| target=|_top|&gt;Outline&lt;/a&gt;</v>
      </c>
      <c r="Z1160" t="str">
        <f t="shared" si="4636"/>
        <v>&lt;/li&gt;&lt;li&gt;&lt;a href=|http://kjvs.scripturetext.com/1_john/1.htm| title=|King James Bible with Strong's Numbers| target=|_top|&gt;Strong's&lt;/a&gt;</v>
      </c>
      <c r="AA1160" t="str">
        <f t="shared" si="4636"/>
        <v>&lt;/li&gt;&lt;li&gt;&lt;a href=|http://childrensbibleonline.com/1_john/1.htm| title=|The Children's Bible| target=|_top|&gt;Children's&lt;/a&gt;</v>
      </c>
      <c r="AB1160" s="2" t="str">
        <f t="shared" si="4636"/>
        <v>&lt;/li&gt;&lt;li&gt;&lt;a href=|http://tsk.scripturetext.com/1_john/1.htm| title=|Treasury of Scripture Knowledge| target=|_top|&gt;TSK&lt;/a&gt;</v>
      </c>
      <c r="AC1160" t="str">
        <f>CONCATENATE("&lt;a href=|http://",AC1191,"/1_john/1.htm","| ","title=|",AC1190,"| target=|_top|&gt;",AC1192,"&lt;/a&gt;")</f>
        <v>&lt;a href=|http://parallelbible.com/1_john/1.htm| title=|Parallel Chapters| target=|_top|&gt;PAR&lt;/a&gt;</v>
      </c>
      <c r="AD1160" s="2" t="str">
        <f t="shared" ref="AD1160:AI1160" si="4638">CONCATENATE("&lt;/li&gt;&lt;li&gt;&lt;a href=|http://",AD1191,"/1_john/1.htm","| ","title=|",AD1190,"| target=|_top|&gt;",AD1192,"&lt;/a&gt;")</f>
        <v>&lt;/li&gt;&lt;li&gt;&lt;a href=|http://gsb.biblecommenter.com/1_john/1.htm| title=|Geneva Study Bible| target=|_top|&gt;GSB&lt;/a&gt;</v>
      </c>
      <c r="AE1160" s="2" t="str">
        <f t="shared" si="4638"/>
        <v>&lt;/li&gt;&lt;li&gt;&lt;a href=|http://jfb.biblecommenter.com/1_john/1.htm| title=|Jamieson-Fausset-Brown Bible Commentary| target=|_top|&gt;JFB&lt;/a&gt;</v>
      </c>
      <c r="AF1160" s="2" t="str">
        <f t="shared" si="4638"/>
        <v>&lt;/li&gt;&lt;li&gt;&lt;a href=|http://kjt.biblecommenter.com/1_john/1.htm| title=|King James Translators' Notes| target=|_top|&gt;KJT&lt;/a&gt;</v>
      </c>
      <c r="AG1160" s="2" t="str">
        <f t="shared" si="4638"/>
        <v>&lt;/li&gt;&lt;li&gt;&lt;a href=|http://mhc.biblecommenter.com/1_john/1.htm| title=|Matthew Henry's Concise Commentary| target=|_top|&gt;MHC&lt;/a&gt;</v>
      </c>
      <c r="AH1160" s="2" t="str">
        <f t="shared" si="4638"/>
        <v>&lt;/li&gt;&lt;li&gt;&lt;a href=|http://sco.biblecommenter.com/1_john/1.htm| title=|Scofield Reference Notes| target=|_top|&gt;SCO&lt;/a&gt;</v>
      </c>
      <c r="AI1160" s="2" t="str">
        <f t="shared" si="4638"/>
        <v>&lt;/li&gt;&lt;li&gt;&lt;a href=|http://wes.biblecommenter.com/1_john/1.htm| title=|Wesley's Notes on the Bible| target=|_top|&gt;WES&lt;/a&gt;</v>
      </c>
      <c r="AJ1160" t="str">
        <f>CONCATENATE("&lt;/li&gt;&lt;li&gt;&lt;a href=|http://",AJ1191,"/1_john/1.htm","| ","title=|",AJ1190,"| target=|_top|&gt;",AJ1192,"&lt;/a&gt;")</f>
        <v>&lt;/li&gt;&lt;li&gt;&lt;a href=|http://worldebible.com/1_john/1.htm| title=|World English Bible| target=|_top|&gt;WEB&lt;/a&gt;</v>
      </c>
      <c r="AK1160" t="str">
        <f>CONCATENATE("&lt;/li&gt;&lt;li&gt;&lt;a href=|http://",AK1191,"/1_john/1.htm","| ","title=|",AK1190,"| target=|_top|&gt;",AK1192,"&lt;/a&gt;")</f>
        <v>&lt;/li&gt;&lt;li&gt;&lt;a href=|http://yltbible.com/1_john/1.htm| title=|Young's Literal Translation| target=|_top|&gt;YLT&lt;/a&gt;</v>
      </c>
      <c r="AL1160" t="str">
        <f>CONCATENATE("&lt;a href=|http://",AL1191,"/1_john/1.htm","| ","title=|",AL1190,"| target=|_top|&gt;",AL1192,"&lt;/a&gt;")</f>
        <v>&lt;a href=|http://kjv.us/1_john/1.htm| title=|American King James Version| target=|_top|&gt;AKJ&lt;/a&gt;</v>
      </c>
      <c r="AM1160" t="str">
        <f t="shared" ref="AM1160:AS1160" si="4639">CONCATENATE("&lt;/li&gt;&lt;li&gt;&lt;a href=|http://",AM1191,"/1_john/1.htm","| ","title=|",AM1190,"| target=|_top|&gt;",AM1192,"&lt;/a&gt;")</f>
        <v>&lt;/li&gt;&lt;li&gt;&lt;a href=|http://basicenglishbible.com/1_john/1.htm| title=|Bible in Basic English| target=|_top|&gt;BBE&lt;/a&gt;</v>
      </c>
      <c r="AN1160" t="str">
        <f t="shared" si="4639"/>
        <v>&lt;/li&gt;&lt;li&gt;&lt;a href=|http://darbybible.com/1_john/1.htm| title=|Darby Bible Translation| target=|_top|&gt;DBY&lt;/a&gt;</v>
      </c>
      <c r="AO1160" t="str">
        <f t="shared" si="4639"/>
        <v>&lt;/li&gt;&lt;li&gt;&lt;a href=|http://isv.scripturetext.com/1_john/1.htm| title=|International Standard Version| target=|_top|&gt;ISV&lt;/a&gt;</v>
      </c>
      <c r="AP1160" t="str">
        <f t="shared" si="4639"/>
        <v>&lt;/li&gt;&lt;li&gt;&lt;a href=|http://tnt.scripturetext.com/1_john/1.htm| title=|Tyndale New Testament| target=|_top|&gt;TNT&lt;/a&gt;</v>
      </c>
      <c r="AQ1160" s="2" t="str">
        <f t="shared" si="4639"/>
        <v>&lt;/li&gt;&lt;li&gt;&lt;a href=|http://pnt.biblecommenter.com/1_john/1.htm| title=|People's New Testament| target=|_top|&gt;PNT&lt;/a&gt;</v>
      </c>
      <c r="AR1160" t="str">
        <f t="shared" si="4639"/>
        <v>&lt;/li&gt;&lt;li&gt;&lt;a href=|http://websterbible.com/1_john/1.htm| title=|Webster's Bible Translation| target=|_top|&gt;WBS&lt;/a&gt;</v>
      </c>
      <c r="AS1160" t="str">
        <f t="shared" si="4639"/>
        <v>&lt;/li&gt;&lt;li&gt;&lt;a href=|http://weymouthbible.com/1_john/1.htm| title=|Weymouth New Testament| target=|_top|&gt;WEY&lt;/a&gt;</v>
      </c>
      <c r="AT1160" t="str">
        <f>CONCATENATE("&lt;/li&gt;&lt;li&gt;&lt;a href=|http://",AT1191,"/1_john/1-1.htm","| ","title=|",AT1190,"| target=|_top|&gt;",AT1192,"&lt;/a&gt;")</f>
        <v>&lt;/li&gt;&lt;li&gt;&lt;a href=|http://biblebrowser.com/1_john/1-1.htm| title=|Split View| target=|_top|&gt;Split&lt;/a&gt;</v>
      </c>
      <c r="AU1160" s="2" t="s">
        <v>1276</v>
      </c>
      <c r="AV1160" t="s">
        <v>64</v>
      </c>
    </row>
    <row r="1161" spans="1:48">
      <c r="A1161" t="s">
        <v>622</v>
      </c>
      <c r="B1161" t="s">
        <v>592</v>
      </c>
      <c r="C1161" t="s">
        <v>624</v>
      </c>
      <c r="D1161" t="s">
        <v>1268</v>
      </c>
      <c r="E1161" t="s">
        <v>1277</v>
      </c>
      <c r="F1161" t="s">
        <v>1304</v>
      </c>
      <c r="G1161" t="s">
        <v>1266</v>
      </c>
      <c r="H1161" t="s">
        <v>1305</v>
      </c>
      <c r="I1161" t="s">
        <v>1303</v>
      </c>
      <c r="J1161" t="s">
        <v>1267</v>
      </c>
      <c r="K1161" t="s">
        <v>1275</v>
      </c>
      <c r="L1161" s="2" t="s">
        <v>1274</v>
      </c>
      <c r="M1161" t="str">
        <f t="shared" ref="M1161:AB1161" si="4640">CONCATENATE("&lt;/li&gt;&lt;li&gt;&lt;a href=|http://",M1191,"/1_john/2.htm","| ","title=|",M1190,"| target=|_top|&gt;",M1192,"&lt;/a&gt;")</f>
        <v>&lt;/li&gt;&lt;li&gt;&lt;a href=|http://niv.scripturetext.com/1_john/2.htm| title=|New International Version| target=|_top|&gt;NIV&lt;/a&gt;</v>
      </c>
      <c r="N1161" t="str">
        <f t="shared" si="4640"/>
        <v>&lt;/li&gt;&lt;li&gt;&lt;a href=|http://nlt.scripturetext.com/1_john/2.htm| title=|New Living Translation| target=|_top|&gt;NLT&lt;/a&gt;</v>
      </c>
      <c r="O1161" t="str">
        <f t="shared" si="4640"/>
        <v>&lt;/li&gt;&lt;li&gt;&lt;a href=|http://nasb.scripturetext.com/1_john/2.htm| title=|New American Standard Bible| target=|_top|&gt;NAS&lt;/a&gt;</v>
      </c>
      <c r="P1161" t="str">
        <f t="shared" si="4640"/>
        <v>&lt;/li&gt;&lt;li&gt;&lt;a href=|http://gwt.scripturetext.com/1_john/2.htm| title=|God's Word Translation| target=|_top|&gt;GWT&lt;/a&gt;</v>
      </c>
      <c r="Q1161" t="str">
        <f t="shared" si="4640"/>
        <v>&lt;/li&gt;&lt;li&gt;&lt;a href=|http://kingjbible.com/1_john/2.htm| title=|King James Bible| target=|_top|&gt;KJV&lt;/a&gt;</v>
      </c>
      <c r="R1161" t="str">
        <f t="shared" si="4640"/>
        <v>&lt;/li&gt;&lt;li&gt;&lt;a href=|http://asvbible.com/1_john/2.htm| title=|American Standard Version| target=|_top|&gt;ASV&lt;/a&gt;</v>
      </c>
      <c r="S1161" t="str">
        <f t="shared" si="4640"/>
        <v>&lt;/li&gt;&lt;li&gt;&lt;a href=|http://drb.scripturetext.com/1_john/2.htm| title=|Douay-Rheims Bible| target=|_top|&gt;DRB&lt;/a&gt;</v>
      </c>
      <c r="T1161" t="str">
        <f t="shared" si="4640"/>
        <v>&lt;/li&gt;&lt;li&gt;&lt;a href=|http://erv.scripturetext.com/1_john/2.htm| title=|English Revised Version| target=|_top|&gt;ERV&lt;/a&gt;</v>
      </c>
      <c r="U1161" t="str">
        <f>CONCATENATE("&lt;/li&gt;&lt;li&gt;&lt;a href=|http://",U1191,"/1_john/2.htm","| ","title=|",U1190,"| target=|_top|&gt;",U1192,"&lt;/a&gt;")</f>
        <v>&lt;/li&gt;&lt;li&gt;&lt;a href=|http://study.interlinearbible.org/1_john/2.htm| title=|Greek Study Bible| target=|_top|&gt;Grk Study&lt;/a&gt;</v>
      </c>
      <c r="W1161" t="str">
        <f t="shared" si="4640"/>
        <v>&lt;/li&gt;&lt;li&gt;&lt;a href=|http://apostolic.interlinearbible.org/1_john/2.htm| title=|Apostolic Bible Polyglot Interlinear| target=|_top|&gt;Polyglot&lt;/a&gt;</v>
      </c>
      <c r="X1161" t="str">
        <f t="shared" si="4640"/>
        <v>&lt;/li&gt;&lt;li&gt;&lt;a href=|http://interlinearbible.org/1_john/2.htm| title=|Interlinear Bible| target=|_top|&gt;Interlin&lt;/a&gt;</v>
      </c>
      <c r="Y1161" t="str">
        <f t="shared" ref="Y1161" si="4641">CONCATENATE("&lt;/li&gt;&lt;li&gt;&lt;a href=|http://",Y1191,"/1_john/2.htm","| ","title=|",Y1190,"| target=|_top|&gt;",Y1192,"&lt;/a&gt;")</f>
        <v>&lt;/li&gt;&lt;li&gt;&lt;a href=|http://bibleoutline.org/1_john/2.htm| title=|Outline with People and Places List| target=|_top|&gt;Outline&lt;/a&gt;</v>
      </c>
      <c r="Z1161" t="str">
        <f t="shared" si="4640"/>
        <v>&lt;/li&gt;&lt;li&gt;&lt;a href=|http://kjvs.scripturetext.com/1_john/2.htm| title=|King James Bible with Strong's Numbers| target=|_top|&gt;Strong's&lt;/a&gt;</v>
      </c>
      <c r="AA1161" t="str">
        <f t="shared" si="4640"/>
        <v>&lt;/li&gt;&lt;li&gt;&lt;a href=|http://childrensbibleonline.com/1_john/2.htm| title=|The Children's Bible| target=|_top|&gt;Children's&lt;/a&gt;</v>
      </c>
      <c r="AB1161" s="2" t="str">
        <f t="shared" si="4640"/>
        <v>&lt;/li&gt;&lt;li&gt;&lt;a href=|http://tsk.scripturetext.com/1_john/2.htm| title=|Treasury of Scripture Knowledge| target=|_top|&gt;TSK&lt;/a&gt;</v>
      </c>
      <c r="AC1161" t="str">
        <f>CONCATENATE("&lt;a href=|http://",AC1191,"/1_john/2.htm","| ","title=|",AC1190,"| target=|_top|&gt;",AC1192,"&lt;/a&gt;")</f>
        <v>&lt;a href=|http://parallelbible.com/1_john/2.htm| title=|Parallel Chapters| target=|_top|&gt;PAR&lt;/a&gt;</v>
      </c>
      <c r="AD1161" s="2" t="str">
        <f t="shared" ref="AD1161:AI1161" si="4642">CONCATENATE("&lt;/li&gt;&lt;li&gt;&lt;a href=|http://",AD1191,"/1_john/2.htm","| ","title=|",AD1190,"| target=|_top|&gt;",AD1192,"&lt;/a&gt;")</f>
        <v>&lt;/li&gt;&lt;li&gt;&lt;a href=|http://gsb.biblecommenter.com/1_john/2.htm| title=|Geneva Study Bible| target=|_top|&gt;GSB&lt;/a&gt;</v>
      </c>
      <c r="AE1161" s="2" t="str">
        <f t="shared" si="4642"/>
        <v>&lt;/li&gt;&lt;li&gt;&lt;a href=|http://jfb.biblecommenter.com/1_john/2.htm| title=|Jamieson-Fausset-Brown Bible Commentary| target=|_top|&gt;JFB&lt;/a&gt;</v>
      </c>
      <c r="AF1161" s="2" t="str">
        <f t="shared" si="4642"/>
        <v>&lt;/li&gt;&lt;li&gt;&lt;a href=|http://kjt.biblecommenter.com/1_john/2.htm| title=|King James Translators' Notes| target=|_top|&gt;KJT&lt;/a&gt;</v>
      </c>
      <c r="AG1161" s="2" t="str">
        <f t="shared" si="4642"/>
        <v>&lt;/li&gt;&lt;li&gt;&lt;a href=|http://mhc.biblecommenter.com/1_john/2.htm| title=|Matthew Henry's Concise Commentary| target=|_top|&gt;MHC&lt;/a&gt;</v>
      </c>
      <c r="AH1161" s="2" t="str">
        <f t="shared" si="4642"/>
        <v>&lt;/li&gt;&lt;li&gt;&lt;a href=|http://sco.biblecommenter.com/1_john/2.htm| title=|Scofield Reference Notes| target=|_top|&gt;SCO&lt;/a&gt;</v>
      </c>
      <c r="AI1161" s="2" t="str">
        <f t="shared" si="4642"/>
        <v>&lt;/li&gt;&lt;li&gt;&lt;a href=|http://wes.biblecommenter.com/1_john/2.htm| title=|Wesley's Notes on the Bible| target=|_top|&gt;WES&lt;/a&gt;</v>
      </c>
      <c r="AJ1161" t="str">
        <f>CONCATENATE("&lt;/li&gt;&lt;li&gt;&lt;a href=|http://",AJ1191,"/1_john/2.htm","| ","title=|",AJ1190,"| target=|_top|&gt;",AJ1192,"&lt;/a&gt;")</f>
        <v>&lt;/li&gt;&lt;li&gt;&lt;a href=|http://worldebible.com/1_john/2.htm| title=|World English Bible| target=|_top|&gt;WEB&lt;/a&gt;</v>
      </c>
      <c r="AK1161" t="str">
        <f>CONCATENATE("&lt;/li&gt;&lt;li&gt;&lt;a href=|http://",AK1191,"/1_john/2.htm","| ","title=|",AK1190,"| target=|_top|&gt;",AK1192,"&lt;/a&gt;")</f>
        <v>&lt;/li&gt;&lt;li&gt;&lt;a href=|http://yltbible.com/1_john/2.htm| title=|Young's Literal Translation| target=|_top|&gt;YLT&lt;/a&gt;</v>
      </c>
      <c r="AL1161" t="str">
        <f>CONCATENATE("&lt;a href=|http://",AL1191,"/1_john/2.htm","| ","title=|",AL1190,"| target=|_top|&gt;",AL1192,"&lt;/a&gt;")</f>
        <v>&lt;a href=|http://kjv.us/1_john/2.htm| title=|American King James Version| target=|_top|&gt;AKJ&lt;/a&gt;</v>
      </c>
      <c r="AM1161" t="str">
        <f t="shared" ref="AM1161:AS1161" si="4643">CONCATENATE("&lt;/li&gt;&lt;li&gt;&lt;a href=|http://",AM1191,"/1_john/2.htm","| ","title=|",AM1190,"| target=|_top|&gt;",AM1192,"&lt;/a&gt;")</f>
        <v>&lt;/li&gt;&lt;li&gt;&lt;a href=|http://basicenglishbible.com/1_john/2.htm| title=|Bible in Basic English| target=|_top|&gt;BBE&lt;/a&gt;</v>
      </c>
      <c r="AN1161" t="str">
        <f t="shared" si="4643"/>
        <v>&lt;/li&gt;&lt;li&gt;&lt;a href=|http://darbybible.com/1_john/2.htm| title=|Darby Bible Translation| target=|_top|&gt;DBY&lt;/a&gt;</v>
      </c>
      <c r="AO1161" t="str">
        <f t="shared" si="4643"/>
        <v>&lt;/li&gt;&lt;li&gt;&lt;a href=|http://isv.scripturetext.com/1_john/2.htm| title=|International Standard Version| target=|_top|&gt;ISV&lt;/a&gt;</v>
      </c>
      <c r="AP1161" t="str">
        <f t="shared" si="4643"/>
        <v>&lt;/li&gt;&lt;li&gt;&lt;a href=|http://tnt.scripturetext.com/1_john/2.htm| title=|Tyndale New Testament| target=|_top|&gt;TNT&lt;/a&gt;</v>
      </c>
      <c r="AQ1161" s="2" t="str">
        <f t="shared" si="4643"/>
        <v>&lt;/li&gt;&lt;li&gt;&lt;a href=|http://pnt.biblecommenter.com/1_john/2.htm| title=|People's New Testament| target=|_top|&gt;PNT&lt;/a&gt;</v>
      </c>
      <c r="AR1161" t="str">
        <f t="shared" si="4643"/>
        <v>&lt;/li&gt;&lt;li&gt;&lt;a href=|http://websterbible.com/1_john/2.htm| title=|Webster's Bible Translation| target=|_top|&gt;WBS&lt;/a&gt;</v>
      </c>
      <c r="AS1161" t="str">
        <f t="shared" si="4643"/>
        <v>&lt;/li&gt;&lt;li&gt;&lt;a href=|http://weymouthbible.com/1_john/2.htm| title=|Weymouth New Testament| target=|_top|&gt;WEY&lt;/a&gt;</v>
      </c>
      <c r="AT1161" t="str">
        <f>CONCATENATE("&lt;/li&gt;&lt;li&gt;&lt;a href=|http://",AT1191,"/1_john/2-1.htm","| ","title=|",AT1190,"| target=|_top|&gt;",AT1192,"&lt;/a&gt;")</f>
        <v>&lt;/li&gt;&lt;li&gt;&lt;a href=|http://biblebrowser.com/1_john/2-1.htm| title=|Split View| target=|_top|&gt;Split&lt;/a&gt;</v>
      </c>
      <c r="AU1161" s="2" t="s">
        <v>1276</v>
      </c>
      <c r="AV1161" t="s">
        <v>64</v>
      </c>
    </row>
    <row r="1162" spans="1:48">
      <c r="A1162" t="s">
        <v>622</v>
      </c>
      <c r="B1162" t="s">
        <v>593</v>
      </c>
      <c r="C1162" t="s">
        <v>624</v>
      </c>
      <c r="D1162" t="s">
        <v>1268</v>
      </c>
      <c r="E1162" t="s">
        <v>1277</v>
      </c>
      <c r="F1162" t="s">
        <v>1304</v>
      </c>
      <c r="G1162" t="s">
        <v>1266</v>
      </c>
      <c r="H1162" t="s">
        <v>1305</v>
      </c>
      <c r="I1162" t="s">
        <v>1303</v>
      </c>
      <c r="J1162" t="s">
        <v>1267</v>
      </c>
      <c r="K1162" t="s">
        <v>1275</v>
      </c>
      <c r="L1162" s="2" t="s">
        <v>1274</v>
      </c>
      <c r="M1162" t="str">
        <f t="shared" ref="M1162:AB1162" si="4644">CONCATENATE("&lt;/li&gt;&lt;li&gt;&lt;a href=|http://",M1191,"/1_john/3.htm","| ","title=|",M1190,"| target=|_top|&gt;",M1192,"&lt;/a&gt;")</f>
        <v>&lt;/li&gt;&lt;li&gt;&lt;a href=|http://niv.scripturetext.com/1_john/3.htm| title=|New International Version| target=|_top|&gt;NIV&lt;/a&gt;</v>
      </c>
      <c r="N1162" t="str">
        <f t="shared" si="4644"/>
        <v>&lt;/li&gt;&lt;li&gt;&lt;a href=|http://nlt.scripturetext.com/1_john/3.htm| title=|New Living Translation| target=|_top|&gt;NLT&lt;/a&gt;</v>
      </c>
      <c r="O1162" t="str">
        <f t="shared" si="4644"/>
        <v>&lt;/li&gt;&lt;li&gt;&lt;a href=|http://nasb.scripturetext.com/1_john/3.htm| title=|New American Standard Bible| target=|_top|&gt;NAS&lt;/a&gt;</v>
      </c>
      <c r="P1162" t="str">
        <f t="shared" si="4644"/>
        <v>&lt;/li&gt;&lt;li&gt;&lt;a href=|http://gwt.scripturetext.com/1_john/3.htm| title=|God's Word Translation| target=|_top|&gt;GWT&lt;/a&gt;</v>
      </c>
      <c r="Q1162" t="str">
        <f t="shared" si="4644"/>
        <v>&lt;/li&gt;&lt;li&gt;&lt;a href=|http://kingjbible.com/1_john/3.htm| title=|King James Bible| target=|_top|&gt;KJV&lt;/a&gt;</v>
      </c>
      <c r="R1162" t="str">
        <f t="shared" si="4644"/>
        <v>&lt;/li&gt;&lt;li&gt;&lt;a href=|http://asvbible.com/1_john/3.htm| title=|American Standard Version| target=|_top|&gt;ASV&lt;/a&gt;</v>
      </c>
      <c r="S1162" t="str">
        <f t="shared" si="4644"/>
        <v>&lt;/li&gt;&lt;li&gt;&lt;a href=|http://drb.scripturetext.com/1_john/3.htm| title=|Douay-Rheims Bible| target=|_top|&gt;DRB&lt;/a&gt;</v>
      </c>
      <c r="T1162" t="str">
        <f t="shared" si="4644"/>
        <v>&lt;/li&gt;&lt;li&gt;&lt;a href=|http://erv.scripturetext.com/1_john/3.htm| title=|English Revised Version| target=|_top|&gt;ERV&lt;/a&gt;</v>
      </c>
      <c r="U1162" t="str">
        <f>CONCATENATE("&lt;/li&gt;&lt;li&gt;&lt;a href=|http://",U1191,"/1_john/3.htm","| ","title=|",U1190,"| target=|_top|&gt;",U1192,"&lt;/a&gt;")</f>
        <v>&lt;/li&gt;&lt;li&gt;&lt;a href=|http://study.interlinearbible.org/1_john/3.htm| title=|Greek Study Bible| target=|_top|&gt;Grk Study&lt;/a&gt;</v>
      </c>
      <c r="W1162" t="str">
        <f t="shared" si="4644"/>
        <v>&lt;/li&gt;&lt;li&gt;&lt;a href=|http://apostolic.interlinearbible.org/1_john/3.htm| title=|Apostolic Bible Polyglot Interlinear| target=|_top|&gt;Polyglot&lt;/a&gt;</v>
      </c>
      <c r="X1162" t="str">
        <f t="shared" si="4644"/>
        <v>&lt;/li&gt;&lt;li&gt;&lt;a href=|http://interlinearbible.org/1_john/3.htm| title=|Interlinear Bible| target=|_top|&gt;Interlin&lt;/a&gt;</v>
      </c>
      <c r="Y1162" t="str">
        <f t="shared" ref="Y1162" si="4645">CONCATENATE("&lt;/li&gt;&lt;li&gt;&lt;a href=|http://",Y1191,"/1_john/3.htm","| ","title=|",Y1190,"| target=|_top|&gt;",Y1192,"&lt;/a&gt;")</f>
        <v>&lt;/li&gt;&lt;li&gt;&lt;a href=|http://bibleoutline.org/1_john/3.htm| title=|Outline with People and Places List| target=|_top|&gt;Outline&lt;/a&gt;</v>
      </c>
      <c r="Z1162" t="str">
        <f t="shared" si="4644"/>
        <v>&lt;/li&gt;&lt;li&gt;&lt;a href=|http://kjvs.scripturetext.com/1_john/3.htm| title=|King James Bible with Strong's Numbers| target=|_top|&gt;Strong's&lt;/a&gt;</v>
      </c>
      <c r="AA1162" t="str">
        <f t="shared" si="4644"/>
        <v>&lt;/li&gt;&lt;li&gt;&lt;a href=|http://childrensbibleonline.com/1_john/3.htm| title=|The Children's Bible| target=|_top|&gt;Children's&lt;/a&gt;</v>
      </c>
      <c r="AB1162" s="2" t="str">
        <f t="shared" si="4644"/>
        <v>&lt;/li&gt;&lt;li&gt;&lt;a href=|http://tsk.scripturetext.com/1_john/3.htm| title=|Treasury of Scripture Knowledge| target=|_top|&gt;TSK&lt;/a&gt;</v>
      </c>
      <c r="AC1162" t="str">
        <f>CONCATENATE("&lt;a href=|http://",AC1191,"/1_john/3.htm","| ","title=|",AC1190,"| target=|_top|&gt;",AC1192,"&lt;/a&gt;")</f>
        <v>&lt;a href=|http://parallelbible.com/1_john/3.htm| title=|Parallel Chapters| target=|_top|&gt;PAR&lt;/a&gt;</v>
      </c>
      <c r="AD1162" s="2" t="str">
        <f t="shared" ref="AD1162:AI1162" si="4646">CONCATENATE("&lt;/li&gt;&lt;li&gt;&lt;a href=|http://",AD1191,"/1_john/3.htm","| ","title=|",AD1190,"| target=|_top|&gt;",AD1192,"&lt;/a&gt;")</f>
        <v>&lt;/li&gt;&lt;li&gt;&lt;a href=|http://gsb.biblecommenter.com/1_john/3.htm| title=|Geneva Study Bible| target=|_top|&gt;GSB&lt;/a&gt;</v>
      </c>
      <c r="AE1162" s="2" t="str">
        <f t="shared" si="4646"/>
        <v>&lt;/li&gt;&lt;li&gt;&lt;a href=|http://jfb.biblecommenter.com/1_john/3.htm| title=|Jamieson-Fausset-Brown Bible Commentary| target=|_top|&gt;JFB&lt;/a&gt;</v>
      </c>
      <c r="AF1162" s="2" t="str">
        <f t="shared" si="4646"/>
        <v>&lt;/li&gt;&lt;li&gt;&lt;a href=|http://kjt.biblecommenter.com/1_john/3.htm| title=|King James Translators' Notes| target=|_top|&gt;KJT&lt;/a&gt;</v>
      </c>
      <c r="AG1162" s="2" t="str">
        <f t="shared" si="4646"/>
        <v>&lt;/li&gt;&lt;li&gt;&lt;a href=|http://mhc.biblecommenter.com/1_john/3.htm| title=|Matthew Henry's Concise Commentary| target=|_top|&gt;MHC&lt;/a&gt;</v>
      </c>
      <c r="AH1162" s="2" t="str">
        <f t="shared" si="4646"/>
        <v>&lt;/li&gt;&lt;li&gt;&lt;a href=|http://sco.biblecommenter.com/1_john/3.htm| title=|Scofield Reference Notes| target=|_top|&gt;SCO&lt;/a&gt;</v>
      </c>
      <c r="AI1162" s="2" t="str">
        <f t="shared" si="4646"/>
        <v>&lt;/li&gt;&lt;li&gt;&lt;a href=|http://wes.biblecommenter.com/1_john/3.htm| title=|Wesley's Notes on the Bible| target=|_top|&gt;WES&lt;/a&gt;</v>
      </c>
      <c r="AJ1162" t="str">
        <f>CONCATENATE("&lt;/li&gt;&lt;li&gt;&lt;a href=|http://",AJ1191,"/1_john/3.htm","| ","title=|",AJ1190,"| target=|_top|&gt;",AJ1192,"&lt;/a&gt;")</f>
        <v>&lt;/li&gt;&lt;li&gt;&lt;a href=|http://worldebible.com/1_john/3.htm| title=|World English Bible| target=|_top|&gt;WEB&lt;/a&gt;</v>
      </c>
      <c r="AK1162" t="str">
        <f>CONCATENATE("&lt;/li&gt;&lt;li&gt;&lt;a href=|http://",AK1191,"/1_john/3.htm","| ","title=|",AK1190,"| target=|_top|&gt;",AK1192,"&lt;/a&gt;")</f>
        <v>&lt;/li&gt;&lt;li&gt;&lt;a href=|http://yltbible.com/1_john/3.htm| title=|Young's Literal Translation| target=|_top|&gt;YLT&lt;/a&gt;</v>
      </c>
      <c r="AL1162" t="str">
        <f>CONCATENATE("&lt;a href=|http://",AL1191,"/1_john/3.htm","| ","title=|",AL1190,"| target=|_top|&gt;",AL1192,"&lt;/a&gt;")</f>
        <v>&lt;a href=|http://kjv.us/1_john/3.htm| title=|American King James Version| target=|_top|&gt;AKJ&lt;/a&gt;</v>
      </c>
      <c r="AM1162" t="str">
        <f t="shared" ref="AM1162:AS1162" si="4647">CONCATENATE("&lt;/li&gt;&lt;li&gt;&lt;a href=|http://",AM1191,"/1_john/3.htm","| ","title=|",AM1190,"| target=|_top|&gt;",AM1192,"&lt;/a&gt;")</f>
        <v>&lt;/li&gt;&lt;li&gt;&lt;a href=|http://basicenglishbible.com/1_john/3.htm| title=|Bible in Basic English| target=|_top|&gt;BBE&lt;/a&gt;</v>
      </c>
      <c r="AN1162" t="str">
        <f t="shared" si="4647"/>
        <v>&lt;/li&gt;&lt;li&gt;&lt;a href=|http://darbybible.com/1_john/3.htm| title=|Darby Bible Translation| target=|_top|&gt;DBY&lt;/a&gt;</v>
      </c>
      <c r="AO1162" t="str">
        <f t="shared" si="4647"/>
        <v>&lt;/li&gt;&lt;li&gt;&lt;a href=|http://isv.scripturetext.com/1_john/3.htm| title=|International Standard Version| target=|_top|&gt;ISV&lt;/a&gt;</v>
      </c>
      <c r="AP1162" t="str">
        <f t="shared" si="4647"/>
        <v>&lt;/li&gt;&lt;li&gt;&lt;a href=|http://tnt.scripturetext.com/1_john/3.htm| title=|Tyndale New Testament| target=|_top|&gt;TNT&lt;/a&gt;</v>
      </c>
      <c r="AQ1162" s="2" t="str">
        <f t="shared" si="4647"/>
        <v>&lt;/li&gt;&lt;li&gt;&lt;a href=|http://pnt.biblecommenter.com/1_john/3.htm| title=|People's New Testament| target=|_top|&gt;PNT&lt;/a&gt;</v>
      </c>
      <c r="AR1162" t="str">
        <f t="shared" si="4647"/>
        <v>&lt;/li&gt;&lt;li&gt;&lt;a href=|http://websterbible.com/1_john/3.htm| title=|Webster's Bible Translation| target=|_top|&gt;WBS&lt;/a&gt;</v>
      </c>
      <c r="AS1162" t="str">
        <f t="shared" si="4647"/>
        <v>&lt;/li&gt;&lt;li&gt;&lt;a href=|http://weymouthbible.com/1_john/3.htm| title=|Weymouth New Testament| target=|_top|&gt;WEY&lt;/a&gt;</v>
      </c>
      <c r="AT1162" t="str">
        <f>CONCATENATE("&lt;/li&gt;&lt;li&gt;&lt;a href=|http://",AT1191,"/1_john/3-1.htm","| ","title=|",AT1190,"| target=|_top|&gt;",AT1192,"&lt;/a&gt;")</f>
        <v>&lt;/li&gt;&lt;li&gt;&lt;a href=|http://biblebrowser.com/1_john/3-1.htm| title=|Split View| target=|_top|&gt;Split&lt;/a&gt;</v>
      </c>
      <c r="AU1162" s="2" t="s">
        <v>1276</v>
      </c>
      <c r="AV1162" t="s">
        <v>64</v>
      </c>
    </row>
    <row r="1163" spans="1:48">
      <c r="A1163" t="s">
        <v>622</v>
      </c>
      <c r="B1163" t="s">
        <v>594</v>
      </c>
      <c r="C1163" t="s">
        <v>624</v>
      </c>
      <c r="D1163" t="s">
        <v>1268</v>
      </c>
      <c r="E1163" t="s">
        <v>1277</v>
      </c>
      <c r="F1163" t="s">
        <v>1304</v>
      </c>
      <c r="G1163" t="s">
        <v>1266</v>
      </c>
      <c r="H1163" t="s">
        <v>1305</v>
      </c>
      <c r="I1163" t="s">
        <v>1303</v>
      </c>
      <c r="J1163" t="s">
        <v>1267</v>
      </c>
      <c r="K1163" t="s">
        <v>1275</v>
      </c>
      <c r="L1163" s="2" t="s">
        <v>1274</v>
      </c>
      <c r="M1163" t="str">
        <f t="shared" ref="M1163:AB1163" si="4648">CONCATENATE("&lt;/li&gt;&lt;li&gt;&lt;a href=|http://",M1191,"/1_john/4.htm","| ","title=|",M1190,"| target=|_top|&gt;",M1192,"&lt;/a&gt;")</f>
        <v>&lt;/li&gt;&lt;li&gt;&lt;a href=|http://niv.scripturetext.com/1_john/4.htm| title=|New International Version| target=|_top|&gt;NIV&lt;/a&gt;</v>
      </c>
      <c r="N1163" t="str">
        <f t="shared" si="4648"/>
        <v>&lt;/li&gt;&lt;li&gt;&lt;a href=|http://nlt.scripturetext.com/1_john/4.htm| title=|New Living Translation| target=|_top|&gt;NLT&lt;/a&gt;</v>
      </c>
      <c r="O1163" t="str">
        <f t="shared" si="4648"/>
        <v>&lt;/li&gt;&lt;li&gt;&lt;a href=|http://nasb.scripturetext.com/1_john/4.htm| title=|New American Standard Bible| target=|_top|&gt;NAS&lt;/a&gt;</v>
      </c>
      <c r="P1163" t="str">
        <f t="shared" si="4648"/>
        <v>&lt;/li&gt;&lt;li&gt;&lt;a href=|http://gwt.scripturetext.com/1_john/4.htm| title=|God's Word Translation| target=|_top|&gt;GWT&lt;/a&gt;</v>
      </c>
      <c r="Q1163" t="str">
        <f t="shared" si="4648"/>
        <v>&lt;/li&gt;&lt;li&gt;&lt;a href=|http://kingjbible.com/1_john/4.htm| title=|King James Bible| target=|_top|&gt;KJV&lt;/a&gt;</v>
      </c>
      <c r="R1163" t="str">
        <f t="shared" si="4648"/>
        <v>&lt;/li&gt;&lt;li&gt;&lt;a href=|http://asvbible.com/1_john/4.htm| title=|American Standard Version| target=|_top|&gt;ASV&lt;/a&gt;</v>
      </c>
      <c r="S1163" t="str">
        <f t="shared" si="4648"/>
        <v>&lt;/li&gt;&lt;li&gt;&lt;a href=|http://drb.scripturetext.com/1_john/4.htm| title=|Douay-Rheims Bible| target=|_top|&gt;DRB&lt;/a&gt;</v>
      </c>
      <c r="T1163" t="str">
        <f t="shared" si="4648"/>
        <v>&lt;/li&gt;&lt;li&gt;&lt;a href=|http://erv.scripturetext.com/1_john/4.htm| title=|English Revised Version| target=|_top|&gt;ERV&lt;/a&gt;</v>
      </c>
      <c r="U1163" t="str">
        <f>CONCATENATE("&lt;/li&gt;&lt;li&gt;&lt;a href=|http://",U1191,"/1_john/4.htm","| ","title=|",U1190,"| target=|_top|&gt;",U1192,"&lt;/a&gt;")</f>
        <v>&lt;/li&gt;&lt;li&gt;&lt;a href=|http://study.interlinearbible.org/1_john/4.htm| title=|Greek Study Bible| target=|_top|&gt;Grk Study&lt;/a&gt;</v>
      </c>
      <c r="W1163" t="str">
        <f t="shared" si="4648"/>
        <v>&lt;/li&gt;&lt;li&gt;&lt;a href=|http://apostolic.interlinearbible.org/1_john/4.htm| title=|Apostolic Bible Polyglot Interlinear| target=|_top|&gt;Polyglot&lt;/a&gt;</v>
      </c>
      <c r="X1163" t="str">
        <f t="shared" si="4648"/>
        <v>&lt;/li&gt;&lt;li&gt;&lt;a href=|http://interlinearbible.org/1_john/4.htm| title=|Interlinear Bible| target=|_top|&gt;Interlin&lt;/a&gt;</v>
      </c>
      <c r="Y1163" t="str">
        <f t="shared" ref="Y1163" si="4649">CONCATENATE("&lt;/li&gt;&lt;li&gt;&lt;a href=|http://",Y1191,"/1_john/4.htm","| ","title=|",Y1190,"| target=|_top|&gt;",Y1192,"&lt;/a&gt;")</f>
        <v>&lt;/li&gt;&lt;li&gt;&lt;a href=|http://bibleoutline.org/1_john/4.htm| title=|Outline with People and Places List| target=|_top|&gt;Outline&lt;/a&gt;</v>
      </c>
      <c r="Z1163" t="str">
        <f t="shared" si="4648"/>
        <v>&lt;/li&gt;&lt;li&gt;&lt;a href=|http://kjvs.scripturetext.com/1_john/4.htm| title=|King James Bible with Strong's Numbers| target=|_top|&gt;Strong's&lt;/a&gt;</v>
      </c>
      <c r="AA1163" t="str">
        <f t="shared" si="4648"/>
        <v>&lt;/li&gt;&lt;li&gt;&lt;a href=|http://childrensbibleonline.com/1_john/4.htm| title=|The Children's Bible| target=|_top|&gt;Children's&lt;/a&gt;</v>
      </c>
      <c r="AB1163" s="2" t="str">
        <f t="shared" si="4648"/>
        <v>&lt;/li&gt;&lt;li&gt;&lt;a href=|http://tsk.scripturetext.com/1_john/4.htm| title=|Treasury of Scripture Knowledge| target=|_top|&gt;TSK&lt;/a&gt;</v>
      </c>
      <c r="AC1163" t="str">
        <f>CONCATENATE("&lt;a href=|http://",AC1191,"/1_john/4.htm","| ","title=|",AC1190,"| target=|_top|&gt;",AC1192,"&lt;/a&gt;")</f>
        <v>&lt;a href=|http://parallelbible.com/1_john/4.htm| title=|Parallel Chapters| target=|_top|&gt;PAR&lt;/a&gt;</v>
      </c>
      <c r="AD1163" s="2" t="str">
        <f t="shared" ref="AD1163:AI1163" si="4650">CONCATENATE("&lt;/li&gt;&lt;li&gt;&lt;a href=|http://",AD1191,"/1_john/4.htm","| ","title=|",AD1190,"| target=|_top|&gt;",AD1192,"&lt;/a&gt;")</f>
        <v>&lt;/li&gt;&lt;li&gt;&lt;a href=|http://gsb.biblecommenter.com/1_john/4.htm| title=|Geneva Study Bible| target=|_top|&gt;GSB&lt;/a&gt;</v>
      </c>
      <c r="AE1163" s="2" t="str">
        <f t="shared" si="4650"/>
        <v>&lt;/li&gt;&lt;li&gt;&lt;a href=|http://jfb.biblecommenter.com/1_john/4.htm| title=|Jamieson-Fausset-Brown Bible Commentary| target=|_top|&gt;JFB&lt;/a&gt;</v>
      </c>
      <c r="AF1163" s="2" t="str">
        <f t="shared" si="4650"/>
        <v>&lt;/li&gt;&lt;li&gt;&lt;a href=|http://kjt.biblecommenter.com/1_john/4.htm| title=|King James Translators' Notes| target=|_top|&gt;KJT&lt;/a&gt;</v>
      </c>
      <c r="AG1163" s="2" t="str">
        <f t="shared" si="4650"/>
        <v>&lt;/li&gt;&lt;li&gt;&lt;a href=|http://mhc.biblecommenter.com/1_john/4.htm| title=|Matthew Henry's Concise Commentary| target=|_top|&gt;MHC&lt;/a&gt;</v>
      </c>
      <c r="AH1163" s="2" t="str">
        <f t="shared" si="4650"/>
        <v>&lt;/li&gt;&lt;li&gt;&lt;a href=|http://sco.biblecommenter.com/1_john/4.htm| title=|Scofield Reference Notes| target=|_top|&gt;SCO&lt;/a&gt;</v>
      </c>
      <c r="AI1163" s="2" t="str">
        <f t="shared" si="4650"/>
        <v>&lt;/li&gt;&lt;li&gt;&lt;a href=|http://wes.biblecommenter.com/1_john/4.htm| title=|Wesley's Notes on the Bible| target=|_top|&gt;WES&lt;/a&gt;</v>
      </c>
      <c r="AJ1163" t="str">
        <f>CONCATENATE("&lt;/li&gt;&lt;li&gt;&lt;a href=|http://",AJ1191,"/1_john/4.htm","| ","title=|",AJ1190,"| target=|_top|&gt;",AJ1192,"&lt;/a&gt;")</f>
        <v>&lt;/li&gt;&lt;li&gt;&lt;a href=|http://worldebible.com/1_john/4.htm| title=|World English Bible| target=|_top|&gt;WEB&lt;/a&gt;</v>
      </c>
      <c r="AK1163" t="str">
        <f>CONCATENATE("&lt;/li&gt;&lt;li&gt;&lt;a href=|http://",AK1191,"/1_john/4.htm","| ","title=|",AK1190,"| target=|_top|&gt;",AK1192,"&lt;/a&gt;")</f>
        <v>&lt;/li&gt;&lt;li&gt;&lt;a href=|http://yltbible.com/1_john/4.htm| title=|Young's Literal Translation| target=|_top|&gt;YLT&lt;/a&gt;</v>
      </c>
      <c r="AL1163" t="str">
        <f>CONCATENATE("&lt;a href=|http://",AL1191,"/1_john/4.htm","| ","title=|",AL1190,"| target=|_top|&gt;",AL1192,"&lt;/a&gt;")</f>
        <v>&lt;a href=|http://kjv.us/1_john/4.htm| title=|American King James Version| target=|_top|&gt;AKJ&lt;/a&gt;</v>
      </c>
      <c r="AM1163" t="str">
        <f t="shared" ref="AM1163:AS1163" si="4651">CONCATENATE("&lt;/li&gt;&lt;li&gt;&lt;a href=|http://",AM1191,"/1_john/4.htm","| ","title=|",AM1190,"| target=|_top|&gt;",AM1192,"&lt;/a&gt;")</f>
        <v>&lt;/li&gt;&lt;li&gt;&lt;a href=|http://basicenglishbible.com/1_john/4.htm| title=|Bible in Basic English| target=|_top|&gt;BBE&lt;/a&gt;</v>
      </c>
      <c r="AN1163" t="str">
        <f t="shared" si="4651"/>
        <v>&lt;/li&gt;&lt;li&gt;&lt;a href=|http://darbybible.com/1_john/4.htm| title=|Darby Bible Translation| target=|_top|&gt;DBY&lt;/a&gt;</v>
      </c>
      <c r="AO1163" t="str">
        <f t="shared" si="4651"/>
        <v>&lt;/li&gt;&lt;li&gt;&lt;a href=|http://isv.scripturetext.com/1_john/4.htm| title=|International Standard Version| target=|_top|&gt;ISV&lt;/a&gt;</v>
      </c>
      <c r="AP1163" t="str">
        <f t="shared" si="4651"/>
        <v>&lt;/li&gt;&lt;li&gt;&lt;a href=|http://tnt.scripturetext.com/1_john/4.htm| title=|Tyndale New Testament| target=|_top|&gt;TNT&lt;/a&gt;</v>
      </c>
      <c r="AQ1163" s="2" t="str">
        <f t="shared" si="4651"/>
        <v>&lt;/li&gt;&lt;li&gt;&lt;a href=|http://pnt.biblecommenter.com/1_john/4.htm| title=|People's New Testament| target=|_top|&gt;PNT&lt;/a&gt;</v>
      </c>
      <c r="AR1163" t="str">
        <f t="shared" si="4651"/>
        <v>&lt;/li&gt;&lt;li&gt;&lt;a href=|http://websterbible.com/1_john/4.htm| title=|Webster's Bible Translation| target=|_top|&gt;WBS&lt;/a&gt;</v>
      </c>
      <c r="AS1163" t="str">
        <f t="shared" si="4651"/>
        <v>&lt;/li&gt;&lt;li&gt;&lt;a href=|http://weymouthbible.com/1_john/4.htm| title=|Weymouth New Testament| target=|_top|&gt;WEY&lt;/a&gt;</v>
      </c>
      <c r="AT1163" t="str">
        <f>CONCATENATE("&lt;/li&gt;&lt;li&gt;&lt;a href=|http://",AT1191,"/1_john/4-1.htm","| ","title=|",AT1190,"| target=|_top|&gt;",AT1192,"&lt;/a&gt;")</f>
        <v>&lt;/li&gt;&lt;li&gt;&lt;a href=|http://biblebrowser.com/1_john/4-1.htm| title=|Split View| target=|_top|&gt;Split&lt;/a&gt;</v>
      </c>
      <c r="AU1163" s="2" t="s">
        <v>1276</v>
      </c>
      <c r="AV1163" t="s">
        <v>64</v>
      </c>
    </row>
    <row r="1164" spans="1:48">
      <c r="A1164" t="s">
        <v>622</v>
      </c>
      <c r="B1164" t="s">
        <v>595</v>
      </c>
      <c r="C1164" t="s">
        <v>624</v>
      </c>
      <c r="D1164" t="s">
        <v>1268</v>
      </c>
      <c r="E1164" t="s">
        <v>1277</v>
      </c>
      <c r="F1164" t="s">
        <v>1304</v>
      </c>
      <c r="G1164" t="s">
        <v>1266</v>
      </c>
      <c r="H1164" t="s">
        <v>1305</v>
      </c>
      <c r="I1164" t="s">
        <v>1303</v>
      </c>
      <c r="J1164" t="s">
        <v>1267</v>
      </c>
      <c r="K1164" t="s">
        <v>1275</v>
      </c>
      <c r="L1164" s="2" t="s">
        <v>1274</v>
      </c>
      <c r="M1164" t="str">
        <f t="shared" ref="M1164:AB1164" si="4652">CONCATENATE("&lt;/li&gt;&lt;li&gt;&lt;a href=|http://",M1191,"/1_john/5.htm","| ","title=|",M1190,"| target=|_top|&gt;",M1192,"&lt;/a&gt;")</f>
        <v>&lt;/li&gt;&lt;li&gt;&lt;a href=|http://niv.scripturetext.com/1_john/5.htm| title=|New International Version| target=|_top|&gt;NIV&lt;/a&gt;</v>
      </c>
      <c r="N1164" t="str">
        <f t="shared" si="4652"/>
        <v>&lt;/li&gt;&lt;li&gt;&lt;a href=|http://nlt.scripturetext.com/1_john/5.htm| title=|New Living Translation| target=|_top|&gt;NLT&lt;/a&gt;</v>
      </c>
      <c r="O1164" t="str">
        <f t="shared" si="4652"/>
        <v>&lt;/li&gt;&lt;li&gt;&lt;a href=|http://nasb.scripturetext.com/1_john/5.htm| title=|New American Standard Bible| target=|_top|&gt;NAS&lt;/a&gt;</v>
      </c>
      <c r="P1164" t="str">
        <f t="shared" si="4652"/>
        <v>&lt;/li&gt;&lt;li&gt;&lt;a href=|http://gwt.scripturetext.com/1_john/5.htm| title=|God's Word Translation| target=|_top|&gt;GWT&lt;/a&gt;</v>
      </c>
      <c r="Q1164" t="str">
        <f t="shared" si="4652"/>
        <v>&lt;/li&gt;&lt;li&gt;&lt;a href=|http://kingjbible.com/1_john/5.htm| title=|King James Bible| target=|_top|&gt;KJV&lt;/a&gt;</v>
      </c>
      <c r="R1164" t="str">
        <f t="shared" si="4652"/>
        <v>&lt;/li&gt;&lt;li&gt;&lt;a href=|http://asvbible.com/1_john/5.htm| title=|American Standard Version| target=|_top|&gt;ASV&lt;/a&gt;</v>
      </c>
      <c r="S1164" t="str">
        <f t="shared" si="4652"/>
        <v>&lt;/li&gt;&lt;li&gt;&lt;a href=|http://drb.scripturetext.com/1_john/5.htm| title=|Douay-Rheims Bible| target=|_top|&gt;DRB&lt;/a&gt;</v>
      </c>
      <c r="T1164" t="str">
        <f t="shared" si="4652"/>
        <v>&lt;/li&gt;&lt;li&gt;&lt;a href=|http://erv.scripturetext.com/1_john/5.htm| title=|English Revised Version| target=|_top|&gt;ERV&lt;/a&gt;</v>
      </c>
      <c r="U1164" t="str">
        <f>CONCATENATE("&lt;/li&gt;&lt;li&gt;&lt;a href=|http://",U1191,"/1_john/5.htm","| ","title=|",U1190,"| target=|_top|&gt;",U1192,"&lt;/a&gt;")</f>
        <v>&lt;/li&gt;&lt;li&gt;&lt;a href=|http://study.interlinearbible.org/1_john/5.htm| title=|Greek Study Bible| target=|_top|&gt;Grk Study&lt;/a&gt;</v>
      </c>
      <c r="W1164" t="str">
        <f t="shared" si="4652"/>
        <v>&lt;/li&gt;&lt;li&gt;&lt;a href=|http://apostolic.interlinearbible.org/1_john/5.htm| title=|Apostolic Bible Polyglot Interlinear| target=|_top|&gt;Polyglot&lt;/a&gt;</v>
      </c>
      <c r="X1164" t="str">
        <f t="shared" si="4652"/>
        <v>&lt;/li&gt;&lt;li&gt;&lt;a href=|http://interlinearbible.org/1_john/5.htm| title=|Interlinear Bible| target=|_top|&gt;Interlin&lt;/a&gt;</v>
      </c>
      <c r="Y1164" t="str">
        <f t="shared" ref="Y1164" si="4653">CONCATENATE("&lt;/li&gt;&lt;li&gt;&lt;a href=|http://",Y1191,"/1_john/5.htm","| ","title=|",Y1190,"| target=|_top|&gt;",Y1192,"&lt;/a&gt;")</f>
        <v>&lt;/li&gt;&lt;li&gt;&lt;a href=|http://bibleoutline.org/1_john/5.htm| title=|Outline with People and Places List| target=|_top|&gt;Outline&lt;/a&gt;</v>
      </c>
      <c r="Z1164" t="str">
        <f t="shared" si="4652"/>
        <v>&lt;/li&gt;&lt;li&gt;&lt;a href=|http://kjvs.scripturetext.com/1_john/5.htm| title=|King James Bible with Strong's Numbers| target=|_top|&gt;Strong's&lt;/a&gt;</v>
      </c>
      <c r="AA1164" t="str">
        <f t="shared" si="4652"/>
        <v>&lt;/li&gt;&lt;li&gt;&lt;a href=|http://childrensbibleonline.com/1_john/5.htm| title=|The Children's Bible| target=|_top|&gt;Children's&lt;/a&gt;</v>
      </c>
      <c r="AB1164" s="2" t="str">
        <f t="shared" si="4652"/>
        <v>&lt;/li&gt;&lt;li&gt;&lt;a href=|http://tsk.scripturetext.com/1_john/5.htm| title=|Treasury of Scripture Knowledge| target=|_top|&gt;TSK&lt;/a&gt;</v>
      </c>
      <c r="AC1164" t="str">
        <f>CONCATENATE("&lt;a href=|http://",AC1191,"/1_john/5.htm","| ","title=|",AC1190,"| target=|_top|&gt;",AC1192,"&lt;/a&gt;")</f>
        <v>&lt;a href=|http://parallelbible.com/1_john/5.htm| title=|Parallel Chapters| target=|_top|&gt;PAR&lt;/a&gt;</v>
      </c>
      <c r="AD1164" s="2" t="str">
        <f t="shared" ref="AD1164:AI1164" si="4654">CONCATENATE("&lt;/li&gt;&lt;li&gt;&lt;a href=|http://",AD1191,"/1_john/5.htm","| ","title=|",AD1190,"| target=|_top|&gt;",AD1192,"&lt;/a&gt;")</f>
        <v>&lt;/li&gt;&lt;li&gt;&lt;a href=|http://gsb.biblecommenter.com/1_john/5.htm| title=|Geneva Study Bible| target=|_top|&gt;GSB&lt;/a&gt;</v>
      </c>
      <c r="AE1164" s="2" t="str">
        <f t="shared" si="4654"/>
        <v>&lt;/li&gt;&lt;li&gt;&lt;a href=|http://jfb.biblecommenter.com/1_john/5.htm| title=|Jamieson-Fausset-Brown Bible Commentary| target=|_top|&gt;JFB&lt;/a&gt;</v>
      </c>
      <c r="AF1164" s="2" t="str">
        <f t="shared" si="4654"/>
        <v>&lt;/li&gt;&lt;li&gt;&lt;a href=|http://kjt.biblecommenter.com/1_john/5.htm| title=|King James Translators' Notes| target=|_top|&gt;KJT&lt;/a&gt;</v>
      </c>
      <c r="AG1164" s="2" t="str">
        <f t="shared" si="4654"/>
        <v>&lt;/li&gt;&lt;li&gt;&lt;a href=|http://mhc.biblecommenter.com/1_john/5.htm| title=|Matthew Henry's Concise Commentary| target=|_top|&gt;MHC&lt;/a&gt;</v>
      </c>
      <c r="AH1164" s="2" t="str">
        <f t="shared" si="4654"/>
        <v>&lt;/li&gt;&lt;li&gt;&lt;a href=|http://sco.biblecommenter.com/1_john/5.htm| title=|Scofield Reference Notes| target=|_top|&gt;SCO&lt;/a&gt;</v>
      </c>
      <c r="AI1164" s="2" t="str">
        <f t="shared" si="4654"/>
        <v>&lt;/li&gt;&lt;li&gt;&lt;a href=|http://wes.biblecommenter.com/1_john/5.htm| title=|Wesley's Notes on the Bible| target=|_top|&gt;WES&lt;/a&gt;</v>
      </c>
      <c r="AJ1164" t="str">
        <f>CONCATENATE("&lt;/li&gt;&lt;li&gt;&lt;a href=|http://",AJ1191,"/1_john/5.htm","| ","title=|",AJ1190,"| target=|_top|&gt;",AJ1192,"&lt;/a&gt;")</f>
        <v>&lt;/li&gt;&lt;li&gt;&lt;a href=|http://worldebible.com/1_john/5.htm| title=|World English Bible| target=|_top|&gt;WEB&lt;/a&gt;</v>
      </c>
      <c r="AK1164" t="str">
        <f>CONCATENATE("&lt;/li&gt;&lt;li&gt;&lt;a href=|http://",AK1191,"/1_john/5.htm","| ","title=|",AK1190,"| target=|_top|&gt;",AK1192,"&lt;/a&gt;")</f>
        <v>&lt;/li&gt;&lt;li&gt;&lt;a href=|http://yltbible.com/1_john/5.htm| title=|Young's Literal Translation| target=|_top|&gt;YLT&lt;/a&gt;</v>
      </c>
      <c r="AL1164" t="str">
        <f>CONCATENATE("&lt;a href=|http://",AL1191,"/1_john/5.htm","| ","title=|",AL1190,"| target=|_top|&gt;",AL1192,"&lt;/a&gt;")</f>
        <v>&lt;a href=|http://kjv.us/1_john/5.htm| title=|American King James Version| target=|_top|&gt;AKJ&lt;/a&gt;</v>
      </c>
      <c r="AM1164" t="str">
        <f t="shared" ref="AM1164:AS1164" si="4655">CONCATENATE("&lt;/li&gt;&lt;li&gt;&lt;a href=|http://",AM1191,"/1_john/5.htm","| ","title=|",AM1190,"| target=|_top|&gt;",AM1192,"&lt;/a&gt;")</f>
        <v>&lt;/li&gt;&lt;li&gt;&lt;a href=|http://basicenglishbible.com/1_john/5.htm| title=|Bible in Basic English| target=|_top|&gt;BBE&lt;/a&gt;</v>
      </c>
      <c r="AN1164" t="str">
        <f t="shared" si="4655"/>
        <v>&lt;/li&gt;&lt;li&gt;&lt;a href=|http://darbybible.com/1_john/5.htm| title=|Darby Bible Translation| target=|_top|&gt;DBY&lt;/a&gt;</v>
      </c>
      <c r="AO1164" t="str">
        <f t="shared" si="4655"/>
        <v>&lt;/li&gt;&lt;li&gt;&lt;a href=|http://isv.scripturetext.com/1_john/5.htm| title=|International Standard Version| target=|_top|&gt;ISV&lt;/a&gt;</v>
      </c>
      <c r="AP1164" t="str">
        <f t="shared" si="4655"/>
        <v>&lt;/li&gt;&lt;li&gt;&lt;a href=|http://tnt.scripturetext.com/1_john/5.htm| title=|Tyndale New Testament| target=|_top|&gt;TNT&lt;/a&gt;</v>
      </c>
      <c r="AQ1164" s="2" t="str">
        <f t="shared" si="4655"/>
        <v>&lt;/li&gt;&lt;li&gt;&lt;a href=|http://pnt.biblecommenter.com/1_john/5.htm| title=|People's New Testament| target=|_top|&gt;PNT&lt;/a&gt;</v>
      </c>
      <c r="AR1164" t="str">
        <f t="shared" si="4655"/>
        <v>&lt;/li&gt;&lt;li&gt;&lt;a href=|http://websterbible.com/1_john/5.htm| title=|Webster's Bible Translation| target=|_top|&gt;WBS&lt;/a&gt;</v>
      </c>
      <c r="AS1164" t="str">
        <f t="shared" si="4655"/>
        <v>&lt;/li&gt;&lt;li&gt;&lt;a href=|http://weymouthbible.com/1_john/5.htm| title=|Weymouth New Testament| target=|_top|&gt;WEY&lt;/a&gt;</v>
      </c>
      <c r="AT1164" t="str">
        <f>CONCATENATE("&lt;/li&gt;&lt;li&gt;&lt;a href=|http://",AT1191,"/1_john/5-1.htm","| ","title=|",AT1190,"| target=|_top|&gt;",AT1192,"&lt;/a&gt;")</f>
        <v>&lt;/li&gt;&lt;li&gt;&lt;a href=|http://biblebrowser.com/1_john/5-1.htm| title=|Split View| target=|_top|&gt;Split&lt;/a&gt;</v>
      </c>
      <c r="AU1164" s="2" t="s">
        <v>1276</v>
      </c>
      <c r="AV1164" t="s">
        <v>64</v>
      </c>
    </row>
    <row r="1165" spans="1:48">
      <c r="A1165" t="s">
        <v>622</v>
      </c>
      <c r="B1165" t="s">
        <v>596</v>
      </c>
      <c r="C1165" t="s">
        <v>624</v>
      </c>
      <c r="D1165" t="s">
        <v>1268</v>
      </c>
      <c r="E1165" t="s">
        <v>1277</v>
      </c>
      <c r="F1165" t="s">
        <v>1304</v>
      </c>
      <c r="G1165" t="s">
        <v>1266</v>
      </c>
      <c r="H1165" t="s">
        <v>1305</v>
      </c>
      <c r="I1165" t="s">
        <v>1303</v>
      </c>
      <c r="J1165" t="s">
        <v>1267</v>
      </c>
      <c r="K1165" t="s">
        <v>1275</v>
      </c>
      <c r="L1165" s="2" t="s">
        <v>1274</v>
      </c>
      <c r="M1165" t="str">
        <f t="shared" ref="M1165:AB1165" si="4656">CONCATENATE("&lt;/li&gt;&lt;li&gt;&lt;a href=|http://",M1191,"/2_john/1.htm","| ","title=|",M1190,"| target=|_top|&gt;",M1192,"&lt;/a&gt;")</f>
        <v>&lt;/li&gt;&lt;li&gt;&lt;a href=|http://niv.scripturetext.com/2_john/1.htm| title=|New International Version| target=|_top|&gt;NIV&lt;/a&gt;</v>
      </c>
      <c r="N1165" t="str">
        <f t="shared" si="4656"/>
        <v>&lt;/li&gt;&lt;li&gt;&lt;a href=|http://nlt.scripturetext.com/2_john/1.htm| title=|New Living Translation| target=|_top|&gt;NLT&lt;/a&gt;</v>
      </c>
      <c r="O1165" t="str">
        <f t="shared" si="4656"/>
        <v>&lt;/li&gt;&lt;li&gt;&lt;a href=|http://nasb.scripturetext.com/2_john/1.htm| title=|New American Standard Bible| target=|_top|&gt;NAS&lt;/a&gt;</v>
      </c>
      <c r="P1165" t="str">
        <f t="shared" si="4656"/>
        <v>&lt;/li&gt;&lt;li&gt;&lt;a href=|http://gwt.scripturetext.com/2_john/1.htm| title=|God's Word Translation| target=|_top|&gt;GWT&lt;/a&gt;</v>
      </c>
      <c r="Q1165" t="str">
        <f t="shared" si="4656"/>
        <v>&lt;/li&gt;&lt;li&gt;&lt;a href=|http://kingjbible.com/2_john/1.htm| title=|King James Bible| target=|_top|&gt;KJV&lt;/a&gt;</v>
      </c>
      <c r="R1165" t="str">
        <f t="shared" si="4656"/>
        <v>&lt;/li&gt;&lt;li&gt;&lt;a href=|http://asvbible.com/2_john/1.htm| title=|American Standard Version| target=|_top|&gt;ASV&lt;/a&gt;</v>
      </c>
      <c r="S1165" t="str">
        <f t="shared" si="4656"/>
        <v>&lt;/li&gt;&lt;li&gt;&lt;a href=|http://drb.scripturetext.com/2_john/1.htm| title=|Douay-Rheims Bible| target=|_top|&gt;DRB&lt;/a&gt;</v>
      </c>
      <c r="T1165" t="str">
        <f t="shared" si="4656"/>
        <v>&lt;/li&gt;&lt;li&gt;&lt;a href=|http://erv.scripturetext.com/2_john/1.htm| title=|English Revised Version| target=|_top|&gt;ERV&lt;/a&gt;</v>
      </c>
      <c r="U1165" t="str">
        <f>CONCATENATE("&lt;/li&gt;&lt;li&gt;&lt;a href=|http://",U1191,"/2_john/1.htm","| ","title=|",U1190,"| target=|_top|&gt;",U1192,"&lt;/a&gt;")</f>
        <v>&lt;/li&gt;&lt;li&gt;&lt;a href=|http://study.interlinearbible.org/2_john/1.htm| title=|Greek Study Bible| target=|_top|&gt;Grk Study&lt;/a&gt;</v>
      </c>
      <c r="W1165" t="str">
        <f t="shared" si="4656"/>
        <v>&lt;/li&gt;&lt;li&gt;&lt;a href=|http://apostolic.interlinearbible.org/2_john/1.htm| title=|Apostolic Bible Polyglot Interlinear| target=|_top|&gt;Polyglot&lt;/a&gt;</v>
      </c>
      <c r="X1165" t="str">
        <f t="shared" si="4656"/>
        <v>&lt;/li&gt;&lt;li&gt;&lt;a href=|http://interlinearbible.org/2_john/1.htm| title=|Interlinear Bible| target=|_top|&gt;Interlin&lt;/a&gt;</v>
      </c>
      <c r="Y1165" t="str">
        <f t="shared" ref="Y1165" si="4657">CONCATENATE("&lt;/li&gt;&lt;li&gt;&lt;a href=|http://",Y1191,"/2_john/1.htm","| ","title=|",Y1190,"| target=|_top|&gt;",Y1192,"&lt;/a&gt;")</f>
        <v>&lt;/li&gt;&lt;li&gt;&lt;a href=|http://bibleoutline.org/2_john/1.htm| title=|Outline with People and Places List| target=|_top|&gt;Outline&lt;/a&gt;</v>
      </c>
      <c r="Z1165" t="str">
        <f t="shared" si="4656"/>
        <v>&lt;/li&gt;&lt;li&gt;&lt;a href=|http://kjvs.scripturetext.com/2_john/1.htm| title=|King James Bible with Strong's Numbers| target=|_top|&gt;Strong's&lt;/a&gt;</v>
      </c>
      <c r="AA1165" t="str">
        <f t="shared" si="4656"/>
        <v>&lt;/li&gt;&lt;li&gt;&lt;a href=|http://childrensbibleonline.com/2_john/1.htm| title=|The Children's Bible| target=|_top|&gt;Children's&lt;/a&gt;</v>
      </c>
      <c r="AB1165" s="2" t="str">
        <f t="shared" si="4656"/>
        <v>&lt;/li&gt;&lt;li&gt;&lt;a href=|http://tsk.scripturetext.com/2_john/1.htm| title=|Treasury of Scripture Knowledge| target=|_top|&gt;TSK&lt;/a&gt;</v>
      </c>
      <c r="AC1165" t="str">
        <f>CONCATENATE("&lt;a href=|http://",AC1191,"/2_john/1.htm","| ","title=|",AC1190,"| target=|_top|&gt;",AC1192,"&lt;/a&gt;")</f>
        <v>&lt;a href=|http://parallelbible.com/2_john/1.htm| title=|Parallel Chapters| target=|_top|&gt;PAR&lt;/a&gt;</v>
      </c>
      <c r="AD1165" s="2" t="str">
        <f t="shared" ref="AD1165:AI1165" si="4658">CONCATENATE("&lt;/li&gt;&lt;li&gt;&lt;a href=|http://",AD1191,"/2_john/1.htm","| ","title=|",AD1190,"| target=|_top|&gt;",AD1192,"&lt;/a&gt;")</f>
        <v>&lt;/li&gt;&lt;li&gt;&lt;a href=|http://gsb.biblecommenter.com/2_john/1.htm| title=|Geneva Study Bible| target=|_top|&gt;GSB&lt;/a&gt;</v>
      </c>
      <c r="AE1165" s="2" t="str">
        <f t="shared" si="4658"/>
        <v>&lt;/li&gt;&lt;li&gt;&lt;a href=|http://jfb.biblecommenter.com/2_john/1.htm| title=|Jamieson-Fausset-Brown Bible Commentary| target=|_top|&gt;JFB&lt;/a&gt;</v>
      </c>
      <c r="AF1165" s="2" t="str">
        <f t="shared" si="4658"/>
        <v>&lt;/li&gt;&lt;li&gt;&lt;a href=|http://kjt.biblecommenter.com/2_john/1.htm| title=|King James Translators' Notes| target=|_top|&gt;KJT&lt;/a&gt;</v>
      </c>
      <c r="AG1165" s="2" t="str">
        <f t="shared" si="4658"/>
        <v>&lt;/li&gt;&lt;li&gt;&lt;a href=|http://mhc.biblecommenter.com/2_john/1.htm| title=|Matthew Henry's Concise Commentary| target=|_top|&gt;MHC&lt;/a&gt;</v>
      </c>
      <c r="AH1165" s="2" t="str">
        <f t="shared" si="4658"/>
        <v>&lt;/li&gt;&lt;li&gt;&lt;a href=|http://sco.biblecommenter.com/2_john/1.htm| title=|Scofield Reference Notes| target=|_top|&gt;SCO&lt;/a&gt;</v>
      </c>
      <c r="AI1165" s="2" t="str">
        <f t="shared" si="4658"/>
        <v>&lt;/li&gt;&lt;li&gt;&lt;a href=|http://wes.biblecommenter.com/2_john/1.htm| title=|Wesley's Notes on the Bible| target=|_top|&gt;WES&lt;/a&gt;</v>
      </c>
      <c r="AJ1165" t="str">
        <f>CONCATENATE("&lt;/li&gt;&lt;li&gt;&lt;a href=|http://",AJ1191,"/2_john/1.htm","| ","title=|",AJ1190,"| target=|_top|&gt;",AJ1192,"&lt;/a&gt;")</f>
        <v>&lt;/li&gt;&lt;li&gt;&lt;a href=|http://worldebible.com/2_john/1.htm| title=|World English Bible| target=|_top|&gt;WEB&lt;/a&gt;</v>
      </c>
      <c r="AK1165" t="str">
        <f>CONCATENATE("&lt;/li&gt;&lt;li&gt;&lt;a href=|http://",AK1191,"/2_john/1.htm","| ","title=|",AK1190,"| target=|_top|&gt;",AK1192,"&lt;/a&gt;")</f>
        <v>&lt;/li&gt;&lt;li&gt;&lt;a href=|http://yltbible.com/2_john/1.htm| title=|Young's Literal Translation| target=|_top|&gt;YLT&lt;/a&gt;</v>
      </c>
      <c r="AL1165" t="str">
        <f>CONCATENATE("&lt;a href=|http://",AL1191,"/2_john/1.htm","| ","title=|",AL1190,"| target=|_top|&gt;",AL1192,"&lt;/a&gt;")</f>
        <v>&lt;a href=|http://kjv.us/2_john/1.htm| title=|American King James Version| target=|_top|&gt;AKJ&lt;/a&gt;</v>
      </c>
      <c r="AM1165" t="str">
        <f t="shared" ref="AM1165:AS1165" si="4659">CONCATENATE("&lt;/li&gt;&lt;li&gt;&lt;a href=|http://",AM1191,"/2_john/1.htm","| ","title=|",AM1190,"| target=|_top|&gt;",AM1192,"&lt;/a&gt;")</f>
        <v>&lt;/li&gt;&lt;li&gt;&lt;a href=|http://basicenglishbible.com/2_john/1.htm| title=|Bible in Basic English| target=|_top|&gt;BBE&lt;/a&gt;</v>
      </c>
      <c r="AN1165" t="str">
        <f t="shared" si="4659"/>
        <v>&lt;/li&gt;&lt;li&gt;&lt;a href=|http://darbybible.com/2_john/1.htm| title=|Darby Bible Translation| target=|_top|&gt;DBY&lt;/a&gt;</v>
      </c>
      <c r="AO1165" t="str">
        <f t="shared" si="4659"/>
        <v>&lt;/li&gt;&lt;li&gt;&lt;a href=|http://isv.scripturetext.com/2_john/1.htm| title=|International Standard Version| target=|_top|&gt;ISV&lt;/a&gt;</v>
      </c>
      <c r="AP1165" t="str">
        <f t="shared" si="4659"/>
        <v>&lt;/li&gt;&lt;li&gt;&lt;a href=|http://tnt.scripturetext.com/2_john/1.htm| title=|Tyndale New Testament| target=|_top|&gt;TNT&lt;/a&gt;</v>
      </c>
      <c r="AQ1165" s="2" t="str">
        <f t="shared" si="4659"/>
        <v>&lt;/li&gt;&lt;li&gt;&lt;a href=|http://pnt.biblecommenter.com/2_john/1.htm| title=|People's New Testament| target=|_top|&gt;PNT&lt;/a&gt;</v>
      </c>
      <c r="AR1165" t="str">
        <f t="shared" si="4659"/>
        <v>&lt;/li&gt;&lt;li&gt;&lt;a href=|http://websterbible.com/2_john/1.htm| title=|Webster's Bible Translation| target=|_top|&gt;WBS&lt;/a&gt;</v>
      </c>
      <c r="AS1165" t="str">
        <f t="shared" si="4659"/>
        <v>&lt;/li&gt;&lt;li&gt;&lt;a href=|http://weymouthbible.com/2_john/1.htm| title=|Weymouth New Testament| target=|_top|&gt;WEY&lt;/a&gt;</v>
      </c>
      <c r="AT1165" t="str">
        <f>CONCATENATE("&lt;/li&gt;&lt;li&gt;&lt;a href=|http://",AT1191,"/2_john/1-1.htm","| ","title=|",AT1190,"| target=|_top|&gt;",AT1192,"&lt;/a&gt;")</f>
        <v>&lt;/li&gt;&lt;li&gt;&lt;a href=|http://biblebrowser.com/2_john/1-1.htm| title=|Split View| target=|_top|&gt;Split&lt;/a&gt;</v>
      </c>
      <c r="AU1165" s="2" t="s">
        <v>1276</v>
      </c>
      <c r="AV1165" t="s">
        <v>64</v>
      </c>
    </row>
    <row r="1166" spans="1:48">
      <c r="A1166" t="s">
        <v>622</v>
      </c>
      <c r="B1166" t="s">
        <v>597</v>
      </c>
      <c r="C1166" t="s">
        <v>624</v>
      </c>
      <c r="D1166" t="s">
        <v>1268</v>
      </c>
      <c r="E1166" t="s">
        <v>1277</v>
      </c>
      <c r="F1166" t="s">
        <v>1304</v>
      </c>
      <c r="G1166" t="s">
        <v>1266</v>
      </c>
      <c r="H1166" t="s">
        <v>1305</v>
      </c>
      <c r="I1166" t="s">
        <v>1303</v>
      </c>
      <c r="J1166" t="s">
        <v>1267</v>
      </c>
      <c r="K1166" t="s">
        <v>1275</v>
      </c>
      <c r="L1166" s="2" t="s">
        <v>1274</v>
      </c>
      <c r="M1166" t="str">
        <f t="shared" ref="M1166:AB1166" si="4660">CONCATENATE("&lt;/li&gt;&lt;li&gt;&lt;a href=|http://",M1191,"/3_john/1.htm","| ","title=|",M1190,"| target=|_top|&gt;",M1192,"&lt;/a&gt;")</f>
        <v>&lt;/li&gt;&lt;li&gt;&lt;a href=|http://niv.scripturetext.com/3_john/1.htm| title=|New International Version| target=|_top|&gt;NIV&lt;/a&gt;</v>
      </c>
      <c r="N1166" t="str">
        <f t="shared" si="4660"/>
        <v>&lt;/li&gt;&lt;li&gt;&lt;a href=|http://nlt.scripturetext.com/3_john/1.htm| title=|New Living Translation| target=|_top|&gt;NLT&lt;/a&gt;</v>
      </c>
      <c r="O1166" t="str">
        <f t="shared" si="4660"/>
        <v>&lt;/li&gt;&lt;li&gt;&lt;a href=|http://nasb.scripturetext.com/3_john/1.htm| title=|New American Standard Bible| target=|_top|&gt;NAS&lt;/a&gt;</v>
      </c>
      <c r="P1166" t="str">
        <f t="shared" si="4660"/>
        <v>&lt;/li&gt;&lt;li&gt;&lt;a href=|http://gwt.scripturetext.com/3_john/1.htm| title=|God's Word Translation| target=|_top|&gt;GWT&lt;/a&gt;</v>
      </c>
      <c r="Q1166" t="str">
        <f t="shared" si="4660"/>
        <v>&lt;/li&gt;&lt;li&gt;&lt;a href=|http://kingjbible.com/3_john/1.htm| title=|King James Bible| target=|_top|&gt;KJV&lt;/a&gt;</v>
      </c>
      <c r="R1166" t="str">
        <f t="shared" si="4660"/>
        <v>&lt;/li&gt;&lt;li&gt;&lt;a href=|http://asvbible.com/3_john/1.htm| title=|American Standard Version| target=|_top|&gt;ASV&lt;/a&gt;</v>
      </c>
      <c r="S1166" t="str">
        <f t="shared" si="4660"/>
        <v>&lt;/li&gt;&lt;li&gt;&lt;a href=|http://drb.scripturetext.com/3_john/1.htm| title=|Douay-Rheims Bible| target=|_top|&gt;DRB&lt;/a&gt;</v>
      </c>
      <c r="T1166" t="str">
        <f t="shared" si="4660"/>
        <v>&lt;/li&gt;&lt;li&gt;&lt;a href=|http://erv.scripturetext.com/3_john/1.htm| title=|English Revised Version| target=|_top|&gt;ERV&lt;/a&gt;</v>
      </c>
      <c r="U1166" t="str">
        <f>CONCATENATE("&lt;/li&gt;&lt;li&gt;&lt;a href=|http://",U1191,"/3_john/1.htm","| ","title=|",U1190,"| target=|_top|&gt;",U1192,"&lt;/a&gt;")</f>
        <v>&lt;/li&gt;&lt;li&gt;&lt;a href=|http://study.interlinearbible.org/3_john/1.htm| title=|Greek Study Bible| target=|_top|&gt;Grk Study&lt;/a&gt;</v>
      </c>
      <c r="W1166" t="str">
        <f t="shared" si="4660"/>
        <v>&lt;/li&gt;&lt;li&gt;&lt;a href=|http://apostolic.interlinearbible.org/3_john/1.htm| title=|Apostolic Bible Polyglot Interlinear| target=|_top|&gt;Polyglot&lt;/a&gt;</v>
      </c>
      <c r="X1166" t="str">
        <f t="shared" si="4660"/>
        <v>&lt;/li&gt;&lt;li&gt;&lt;a href=|http://interlinearbible.org/3_john/1.htm| title=|Interlinear Bible| target=|_top|&gt;Interlin&lt;/a&gt;</v>
      </c>
      <c r="Y1166" t="str">
        <f t="shared" ref="Y1166" si="4661">CONCATENATE("&lt;/li&gt;&lt;li&gt;&lt;a href=|http://",Y1191,"/3_john/1.htm","| ","title=|",Y1190,"| target=|_top|&gt;",Y1192,"&lt;/a&gt;")</f>
        <v>&lt;/li&gt;&lt;li&gt;&lt;a href=|http://bibleoutline.org/3_john/1.htm| title=|Outline with People and Places List| target=|_top|&gt;Outline&lt;/a&gt;</v>
      </c>
      <c r="Z1166" t="str">
        <f t="shared" si="4660"/>
        <v>&lt;/li&gt;&lt;li&gt;&lt;a href=|http://kjvs.scripturetext.com/3_john/1.htm| title=|King James Bible with Strong's Numbers| target=|_top|&gt;Strong's&lt;/a&gt;</v>
      </c>
      <c r="AA1166" t="str">
        <f t="shared" si="4660"/>
        <v>&lt;/li&gt;&lt;li&gt;&lt;a href=|http://childrensbibleonline.com/3_john/1.htm| title=|The Children's Bible| target=|_top|&gt;Children's&lt;/a&gt;</v>
      </c>
      <c r="AB1166" s="2" t="str">
        <f t="shared" si="4660"/>
        <v>&lt;/li&gt;&lt;li&gt;&lt;a href=|http://tsk.scripturetext.com/3_john/1.htm| title=|Treasury of Scripture Knowledge| target=|_top|&gt;TSK&lt;/a&gt;</v>
      </c>
      <c r="AC1166" t="str">
        <f>CONCATENATE("&lt;a href=|http://",AC1191,"/3_john/1.htm","| ","title=|",AC1190,"| target=|_top|&gt;",AC1192,"&lt;/a&gt;")</f>
        <v>&lt;a href=|http://parallelbible.com/3_john/1.htm| title=|Parallel Chapters| target=|_top|&gt;PAR&lt;/a&gt;</v>
      </c>
      <c r="AD1166" s="2" t="str">
        <f t="shared" ref="AD1166:AI1166" si="4662">CONCATENATE("&lt;/li&gt;&lt;li&gt;&lt;a href=|http://",AD1191,"/3_john/1.htm","| ","title=|",AD1190,"| target=|_top|&gt;",AD1192,"&lt;/a&gt;")</f>
        <v>&lt;/li&gt;&lt;li&gt;&lt;a href=|http://gsb.biblecommenter.com/3_john/1.htm| title=|Geneva Study Bible| target=|_top|&gt;GSB&lt;/a&gt;</v>
      </c>
      <c r="AE1166" s="2" t="str">
        <f t="shared" si="4662"/>
        <v>&lt;/li&gt;&lt;li&gt;&lt;a href=|http://jfb.biblecommenter.com/3_john/1.htm| title=|Jamieson-Fausset-Brown Bible Commentary| target=|_top|&gt;JFB&lt;/a&gt;</v>
      </c>
      <c r="AF1166" s="2" t="str">
        <f t="shared" si="4662"/>
        <v>&lt;/li&gt;&lt;li&gt;&lt;a href=|http://kjt.biblecommenter.com/3_john/1.htm| title=|King James Translators' Notes| target=|_top|&gt;KJT&lt;/a&gt;</v>
      </c>
      <c r="AG1166" s="2" t="str">
        <f t="shared" si="4662"/>
        <v>&lt;/li&gt;&lt;li&gt;&lt;a href=|http://mhc.biblecommenter.com/3_john/1.htm| title=|Matthew Henry's Concise Commentary| target=|_top|&gt;MHC&lt;/a&gt;</v>
      </c>
      <c r="AH1166" s="2" t="str">
        <f t="shared" si="4662"/>
        <v>&lt;/li&gt;&lt;li&gt;&lt;a href=|http://sco.biblecommenter.com/3_john/1.htm| title=|Scofield Reference Notes| target=|_top|&gt;SCO&lt;/a&gt;</v>
      </c>
      <c r="AI1166" s="2" t="str">
        <f t="shared" si="4662"/>
        <v>&lt;/li&gt;&lt;li&gt;&lt;a href=|http://wes.biblecommenter.com/3_john/1.htm| title=|Wesley's Notes on the Bible| target=|_top|&gt;WES&lt;/a&gt;</v>
      </c>
      <c r="AJ1166" t="str">
        <f>CONCATENATE("&lt;/li&gt;&lt;li&gt;&lt;a href=|http://",AJ1191,"/3_john/1.htm","| ","title=|",AJ1190,"| target=|_top|&gt;",AJ1192,"&lt;/a&gt;")</f>
        <v>&lt;/li&gt;&lt;li&gt;&lt;a href=|http://worldebible.com/3_john/1.htm| title=|World English Bible| target=|_top|&gt;WEB&lt;/a&gt;</v>
      </c>
      <c r="AK1166" t="str">
        <f>CONCATENATE("&lt;/li&gt;&lt;li&gt;&lt;a href=|http://",AK1191,"/3_john/1.htm","| ","title=|",AK1190,"| target=|_top|&gt;",AK1192,"&lt;/a&gt;")</f>
        <v>&lt;/li&gt;&lt;li&gt;&lt;a href=|http://yltbible.com/3_john/1.htm| title=|Young's Literal Translation| target=|_top|&gt;YLT&lt;/a&gt;</v>
      </c>
      <c r="AL1166" t="str">
        <f>CONCATENATE("&lt;a href=|http://",AL1191,"/3_john/1.htm","| ","title=|",AL1190,"| target=|_top|&gt;",AL1192,"&lt;/a&gt;")</f>
        <v>&lt;a href=|http://kjv.us/3_john/1.htm| title=|American King James Version| target=|_top|&gt;AKJ&lt;/a&gt;</v>
      </c>
      <c r="AM1166" t="str">
        <f t="shared" ref="AM1166:AS1166" si="4663">CONCATENATE("&lt;/li&gt;&lt;li&gt;&lt;a href=|http://",AM1191,"/3_john/1.htm","| ","title=|",AM1190,"| target=|_top|&gt;",AM1192,"&lt;/a&gt;")</f>
        <v>&lt;/li&gt;&lt;li&gt;&lt;a href=|http://basicenglishbible.com/3_john/1.htm| title=|Bible in Basic English| target=|_top|&gt;BBE&lt;/a&gt;</v>
      </c>
      <c r="AN1166" t="str">
        <f t="shared" si="4663"/>
        <v>&lt;/li&gt;&lt;li&gt;&lt;a href=|http://darbybible.com/3_john/1.htm| title=|Darby Bible Translation| target=|_top|&gt;DBY&lt;/a&gt;</v>
      </c>
      <c r="AO1166" t="str">
        <f t="shared" si="4663"/>
        <v>&lt;/li&gt;&lt;li&gt;&lt;a href=|http://isv.scripturetext.com/3_john/1.htm| title=|International Standard Version| target=|_top|&gt;ISV&lt;/a&gt;</v>
      </c>
      <c r="AP1166" t="str">
        <f t="shared" si="4663"/>
        <v>&lt;/li&gt;&lt;li&gt;&lt;a href=|http://tnt.scripturetext.com/3_john/1.htm| title=|Tyndale New Testament| target=|_top|&gt;TNT&lt;/a&gt;</v>
      </c>
      <c r="AQ1166" s="2" t="str">
        <f t="shared" si="4663"/>
        <v>&lt;/li&gt;&lt;li&gt;&lt;a href=|http://pnt.biblecommenter.com/3_john/1.htm| title=|People's New Testament| target=|_top|&gt;PNT&lt;/a&gt;</v>
      </c>
      <c r="AR1166" t="str">
        <f t="shared" si="4663"/>
        <v>&lt;/li&gt;&lt;li&gt;&lt;a href=|http://websterbible.com/3_john/1.htm| title=|Webster's Bible Translation| target=|_top|&gt;WBS&lt;/a&gt;</v>
      </c>
      <c r="AS1166" t="str">
        <f t="shared" si="4663"/>
        <v>&lt;/li&gt;&lt;li&gt;&lt;a href=|http://weymouthbible.com/3_john/1.htm| title=|Weymouth New Testament| target=|_top|&gt;WEY&lt;/a&gt;</v>
      </c>
      <c r="AT1166" t="str">
        <f>CONCATENATE("&lt;/li&gt;&lt;li&gt;&lt;a href=|http://",AT1191,"/3_john/1-1.htm","| ","title=|",AT1190,"| target=|_top|&gt;",AT1192,"&lt;/a&gt;")</f>
        <v>&lt;/li&gt;&lt;li&gt;&lt;a href=|http://biblebrowser.com/3_john/1-1.htm| title=|Split View| target=|_top|&gt;Split&lt;/a&gt;</v>
      </c>
      <c r="AU1166" s="2" t="s">
        <v>1276</v>
      </c>
      <c r="AV1166" t="s">
        <v>64</v>
      </c>
    </row>
    <row r="1167" spans="1:48">
      <c r="A1167" t="s">
        <v>622</v>
      </c>
      <c r="B1167" t="s">
        <v>598</v>
      </c>
      <c r="C1167" t="s">
        <v>624</v>
      </c>
      <c r="D1167" t="s">
        <v>1268</v>
      </c>
      <c r="E1167" t="s">
        <v>1277</v>
      </c>
      <c r="F1167" t="s">
        <v>1304</v>
      </c>
      <c r="G1167" t="s">
        <v>1266</v>
      </c>
      <c r="H1167" t="s">
        <v>1305</v>
      </c>
      <c r="I1167" t="s">
        <v>1303</v>
      </c>
      <c r="J1167" t="s">
        <v>1267</v>
      </c>
      <c r="K1167" t="s">
        <v>1275</v>
      </c>
      <c r="L1167" s="2" t="s">
        <v>1274</v>
      </c>
      <c r="M1167" t="str">
        <f t="shared" ref="M1167:AB1167" si="4664">CONCATENATE("&lt;/li&gt;&lt;li&gt;&lt;a href=|http://",M1191,"/jude/1.htm","| ","title=|",M1190,"| target=|_top|&gt;",M1192,"&lt;/a&gt;")</f>
        <v>&lt;/li&gt;&lt;li&gt;&lt;a href=|http://niv.scripturetext.com/jude/1.htm| title=|New International Version| target=|_top|&gt;NIV&lt;/a&gt;</v>
      </c>
      <c r="N1167" t="str">
        <f t="shared" si="4664"/>
        <v>&lt;/li&gt;&lt;li&gt;&lt;a href=|http://nlt.scripturetext.com/jude/1.htm| title=|New Living Translation| target=|_top|&gt;NLT&lt;/a&gt;</v>
      </c>
      <c r="O1167" t="str">
        <f t="shared" si="4664"/>
        <v>&lt;/li&gt;&lt;li&gt;&lt;a href=|http://nasb.scripturetext.com/jude/1.htm| title=|New American Standard Bible| target=|_top|&gt;NAS&lt;/a&gt;</v>
      </c>
      <c r="P1167" t="str">
        <f t="shared" si="4664"/>
        <v>&lt;/li&gt;&lt;li&gt;&lt;a href=|http://gwt.scripturetext.com/jude/1.htm| title=|God's Word Translation| target=|_top|&gt;GWT&lt;/a&gt;</v>
      </c>
      <c r="Q1167" t="str">
        <f t="shared" si="4664"/>
        <v>&lt;/li&gt;&lt;li&gt;&lt;a href=|http://kingjbible.com/jude/1.htm| title=|King James Bible| target=|_top|&gt;KJV&lt;/a&gt;</v>
      </c>
      <c r="R1167" t="str">
        <f t="shared" si="4664"/>
        <v>&lt;/li&gt;&lt;li&gt;&lt;a href=|http://asvbible.com/jude/1.htm| title=|American Standard Version| target=|_top|&gt;ASV&lt;/a&gt;</v>
      </c>
      <c r="S1167" t="str">
        <f t="shared" si="4664"/>
        <v>&lt;/li&gt;&lt;li&gt;&lt;a href=|http://drb.scripturetext.com/jude/1.htm| title=|Douay-Rheims Bible| target=|_top|&gt;DRB&lt;/a&gt;</v>
      </c>
      <c r="T1167" t="str">
        <f t="shared" si="4664"/>
        <v>&lt;/li&gt;&lt;li&gt;&lt;a href=|http://erv.scripturetext.com/jude/1.htm| title=|English Revised Version| target=|_top|&gt;ERV&lt;/a&gt;</v>
      </c>
      <c r="U1167" t="str">
        <f>CONCATENATE("&lt;/li&gt;&lt;li&gt;&lt;a href=|http://",U1191,"/jude/1.htm","| ","title=|",U1190,"| target=|_top|&gt;",U1192,"&lt;/a&gt;")</f>
        <v>&lt;/li&gt;&lt;li&gt;&lt;a href=|http://study.interlinearbible.org/jude/1.htm| title=|Greek Study Bible| target=|_top|&gt;Grk Study&lt;/a&gt;</v>
      </c>
      <c r="W1167" t="str">
        <f t="shared" si="4664"/>
        <v>&lt;/li&gt;&lt;li&gt;&lt;a href=|http://apostolic.interlinearbible.org/jude/1.htm| title=|Apostolic Bible Polyglot Interlinear| target=|_top|&gt;Polyglot&lt;/a&gt;</v>
      </c>
      <c r="X1167" t="str">
        <f t="shared" si="4664"/>
        <v>&lt;/li&gt;&lt;li&gt;&lt;a href=|http://interlinearbible.org/jude/1.htm| title=|Interlinear Bible| target=|_top|&gt;Interlin&lt;/a&gt;</v>
      </c>
      <c r="Y1167" t="str">
        <f t="shared" ref="Y1167" si="4665">CONCATENATE("&lt;/li&gt;&lt;li&gt;&lt;a href=|http://",Y1191,"/jude/1.htm","| ","title=|",Y1190,"| target=|_top|&gt;",Y1192,"&lt;/a&gt;")</f>
        <v>&lt;/li&gt;&lt;li&gt;&lt;a href=|http://bibleoutline.org/jude/1.htm| title=|Outline with People and Places List| target=|_top|&gt;Outline&lt;/a&gt;</v>
      </c>
      <c r="Z1167" t="str">
        <f t="shared" si="4664"/>
        <v>&lt;/li&gt;&lt;li&gt;&lt;a href=|http://kjvs.scripturetext.com/jude/1.htm| title=|King James Bible with Strong's Numbers| target=|_top|&gt;Strong's&lt;/a&gt;</v>
      </c>
      <c r="AA1167" t="str">
        <f t="shared" si="4664"/>
        <v>&lt;/li&gt;&lt;li&gt;&lt;a href=|http://childrensbibleonline.com/jude/1.htm| title=|The Children's Bible| target=|_top|&gt;Children's&lt;/a&gt;</v>
      </c>
      <c r="AB1167" s="2" t="str">
        <f t="shared" si="4664"/>
        <v>&lt;/li&gt;&lt;li&gt;&lt;a href=|http://tsk.scripturetext.com/jude/1.htm| title=|Treasury of Scripture Knowledge| target=|_top|&gt;TSK&lt;/a&gt;</v>
      </c>
      <c r="AC1167" t="str">
        <f>CONCATENATE("&lt;a href=|http://",AC1191,"/jude/1.htm","| ","title=|",AC1190,"| target=|_top|&gt;",AC1192,"&lt;/a&gt;")</f>
        <v>&lt;a href=|http://parallelbible.com/jude/1.htm| title=|Parallel Chapters| target=|_top|&gt;PAR&lt;/a&gt;</v>
      </c>
      <c r="AD1167" s="2" t="str">
        <f t="shared" ref="AD1167:AI1167" si="4666">CONCATENATE("&lt;/li&gt;&lt;li&gt;&lt;a href=|http://",AD1191,"/jude/1.htm","| ","title=|",AD1190,"| target=|_top|&gt;",AD1192,"&lt;/a&gt;")</f>
        <v>&lt;/li&gt;&lt;li&gt;&lt;a href=|http://gsb.biblecommenter.com/jude/1.htm| title=|Geneva Study Bible| target=|_top|&gt;GSB&lt;/a&gt;</v>
      </c>
      <c r="AE1167" s="2" t="str">
        <f t="shared" si="4666"/>
        <v>&lt;/li&gt;&lt;li&gt;&lt;a href=|http://jfb.biblecommenter.com/jude/1.htm| title=|Jamieson-Fausset-Brown Bible Commentary| target=|_top|&gt;JFB&lt;/a&gt;</v>
      </c>
      <c r="AF1167" s="2" t="str">
        <f t="shared" si="4666"/>
        <v>&lt;/li&gt;&lt;li&gt;&lt;a href=|http://kjt.biblecommenter.com/jude/1.htm| title=|King James Translators' Notes| target=|_top|&gt;KJT&lt;/a&gt;</v>
      </c>
      <c r="AG1167" s="2" t="str">
        <f t="shared" si="4666"/>
        <v>&lt;/li&gt;&lt;li&gt;&lt;a href=|http://mhc.biblecommenter.com/jude/1.htm| title=|Matthew Henry's Concise Commentary| target=|_top|&gt;MHC&lt;/a&gt;</v>
      </c>
      <c r="AH1167" s="2" t="str">
        <f t="shared" si="4666"/>
        <v>&lt;/li&gt;&lt;li&gt;&lt;a href=|http://sco.biblecommenter.com/jude/1.htm| title=|Scofield Reference Notes| target=|_top|&gt;SCO&lt;/a&gt;</v>
      </c>
      <c r="AI1167" s="2" t="str">
        <f t="shared" si="4666"/>
        <v>&lt;/li&gt;&lt;li&gt;&lt;a href=|http://wes.biblecommenter.com/jude/1.htm| title=|Wesley's Notes on the Bible| target=|_top|&gt;WES&lt;/a&gt;</v>
      </c>
      <c r="AJ1167" t="str">
        <f>CONCATENATE("&lt;/li&gt;&lt;li&gt;&lt;a href=|http://",AJ1191,"/jude/1.htm","| ","title=|",AJ1190,"| target=|_top|&gt;",AJ1192,"&lt;/a&gt;")</f>
        <v>&lt;/li&gt;&lt;li&gt;&lt;a href=|http://worldebible.com/jude/1.htm| title=|World English Bible| target=|_top|&gt;WEB&lt;/a&gt;</v>
      </c>
      <c r="AK1167" t="str">
        <f>CONCATENATE("&lt;/li&gt;&lt;li&gt;&lt;a href=|http://",AK1191,"/jude/1.htm","| ","title=|",AK1190,"| target=|_top|&gt;",AK1192,"&lt;/a&gt;")</f>
        <v>&lt;/li&gt;&lt;li&gt;&lt;a href=|http://yltbible.com/jude/1.htm| title=|Young's Literal Translation| target=|_top|&gt;YLT&lt;/a&gt;</v>
      </c>
      <c r="AL1167" t="str">
        <f>CONCATENATE("&lt;a href=|http://",AL1191,"/jude/1.htm","| ","title=|",AL1190,"| target=|_top|&gt;",AL1192,"&lt;/a&gt;")</f>
        <v>&lt;a href=|http://kjv.us/jude/1.htm| title=|American King James Version| target=|_top|&gt;AKJ&lt;/a&gt;</v>
      </c>
      <c r="AM1167" t="str">
        <f t="shared" ref="AM1167:AS1167" si="4667">CONCATENATE("&lt;/li&gt;&lt;li&gt;&lt;a href=|http://",AM1191,"/jude/1.htm","| ","title=|",AM1190,"| target=|_top|&gt;",AM1192,"&lt;/a&gt;")</f>
        <v>&lt;/li&gt;&lt;li&gt;&lt;a href=|http://basicenglishbible.com/jude/1.htm| title=|Bible in Basic English| target=|_top|&gt;BBE&lt;/a&gt;</v>
      </c>
      <c r="AN1167" t="str">
        <f t="shared" si="4667"/>
        <v>&lt;/li&gt;&lt;li&gt;&lt;a href=|http://darbybible.com/jude/1.htm| title=|Darby Bible Translation| target=|_top|&gt;DBY&lt;/a&gt;</v>
      </c>
      <c r="AO1167" t="str">
        <f t="shared" si="4667"/>
        <v>&lt;/li&gt;&lt;li&gt;&lt;a href=|http://isv.scripturetext.com/jude/1.htm| title=|International Standard Version| target=|_top|&gt;ISV&lt;/a&gt;</v>
      </c>
      <c r="AP1167" t="str">
        <f t="shared" si="4667"/>
        <v>&lt;/li&gt;&lt;li&gt;&lt;a href=|http://tnt.scripturetext.com/jude/1.htm| title=|Tyndale New Testament| target=|_top|&gt;TNT&lt;/a&gt;</v>
      </c>
      <c r="AQ1167" s="2" t="str">
        <f t="shared" si="4667"/>
        <v>&lt;/li&gt;&lt;li&gt;&lt;a href=|http://pnt.biblecommenter.com/jude/1.htm| title=|People's New Testament| target=|_top|&gt;PNT&lt;/a&gt;</v>
      </c>
      <c r="AR1167" t="str">
        <f t="shared" si="4667"/>
        <v>&lt;/li&gt;&lt;li&gt;&lt;a href=|http://websterbible.com/jude/1.htm| title=|Webster's Bible Translation| target=|_top|&gt;WBS&lt;/a&gt;</v>
      </c>
      <c r="AS1167" t="str">
        <f t="shared" si="4667"/>
        <v>&lt;/li&gt;&lt;li&gt;&lt;a href=|http://weymouthbible.com/jude/1.htm| title=|Weymouth New Testament| target=|_top|&gt;WEY&lt;/a&gt;</v>
      </c>
      <c r="AT1167" t="str">
        <f>CONCATENATE("&lt;/li&gt;&lt;li&gt;&lt;a href=|http://",AT1191,"/jude/1-1.htm","| ","title=|",AT1190,"| target=|_top|&gt;",AT1192,"&lt;/a&gt;")</f>
        <v>&lt;/li&gt;&lt;li&gt;&lt;a href=|http://biblebrowser.com/jude/1-1.htm| title=|Split View| target=|_top|&gt;Split&lt;/a&gt;</v>
      </c>
      <c r="AU1167" s="2" t="s">
        <v>1276</v>
      </c>
      <c r="AV1167" t="s">
        <v>64</v>
      </c>
    </row>
    <row r="1168" spans="1:48">
      <c r="A1168" t="s">
        <v>622</v>
      </c>
      <c r="B1168" t="s">
        <v>599</v>
      </c>
      <c r="C1168" t="s">
        <v>624</v>
      </c>
      <c r="D1168" t="s">
        <v>1268</v>
      </c>
      <c r="E1168" t="s">
        <v>1277</v>
      </c>
      <c r="F1168" t="s">
        <v>1304</v>
      </c>
      <c r="G1168" t="s">
        <v>1266</v>
      </c>
      <c r="H1168" t="s">
        <v>1305</v>
      </c>
      <c r="I1168" t="s">
        <v>1303</v>
      </c>
      <c r="J1168" t="s">
        <v>1267</v>
      </c>
      <c r="K1168" t="s">
        <v>1275</v>
      </c>
      <c r="L1168" s="2" t="s">
        <v>1274</v>
      </c>
      <c r="M1168" t="str">
        <f t="shared" ref="M1168:AB1168" si="4668">CONCATENATE("&lt;/li&gt;&lt;li&gt;&lt;a href=|http://",M1191,"/revelation/1.htm","| ","title=|",M1190,"| target=|_top|&gt;",M1192,"&lt;/a&gt;")</f>
        <v>&lt;/li&gt;&lt;li&gt;&lt;a href=|http://niv.scripturetext.com/revelation/1.htm| title=|New International Version| target=|_top|&gt;NIV&lt;/a&gt;</v>
      </c>
      <c r="N1168" t="str">
        <f t="shared" si="4668"/>
        <v>&lt;/li&gt;&lt;li&gt;&lt;a href=|http://nlt.scripturetext.com/revelation/1.htm| title=|New Living Translation| target=|_top|&gt;NLT&lt;/a&gt;</v>
      </c>
      <c r="O1168" t="str">
        <f t="shared" si="4668"/>
        <v>&lt;/li&gt;&lt;li&gt;&lt;a href=|http://nasb.scripturetext.com/revelation/1.htm| title=|New American Standard Bible| target=|_top|&gt;NAS&lt;/a&gt;</v>
      </c>
      <c r="P1168" t="str">
        <f t="shared" si="4668"/>
        <v>&lt;/li&gt;&lt;li&gt;&lt;a href=|http://gwt.scripturetext.com/revelation/1.htm| title=|God's Word Translation| target=|_top|&gt;GWT&lt;/a&gt;</v>
      </c>
      <c r="Q1168" t="str">
        <f t="shared" si="4668"/>
        <v>&lt;/li&gt;&lt;li&gt;&lt;a href=|http://kingjbible.com/revelation/1.htm| title=|King James Bible| target=|_top|&gt;KJV&lt;/a&gt;</v>
      </c>
      <c r="R1168" t="str">
        <f t="shared" si="4668"/>
        <v>&lt;/li&gt;&lt;li&gt;&lt;a href=|http://asvbible.com/revelation/1.htm| title=|American Standard Version| target=|_top|&gt;ASV&lt;/a&gt;</v>
      </c>
      <c r="S1168" t="str">
        <f t="shared" si="4668"/>
        <v>&lt;/li&gt;&lt;li&gt;&lt;a href=|http://drb.scripturetext.com/revelation/1.htm| title=|Douay-Rheims Bible| target=|_top|&gt;DRB&lt;/a&gt;</v>
      </c>
      <c r="T1168" t="str">
        <f t="shared" si="4668"/>
        <v>&lt;/li&gt;&lt;li&gt;&lt;a href=|http://erv.scripturetext.com/revelation/1.htm| title=|English Revised Version| target=|_top|&gt;ERV&lt;/a&gt;</v>
      </c>
      <c r="U1168" t="str">
        <f>CONCATENATE("&lt;/li&gt;&lt;li&gt;&lt;a href=|http://",U1191,"/revelation/1.htm","| ","title=|",U1190,"| target=|_top|&gt;",U1192,"&lt;/a&gt;")</f>
        <v>&lt;/li&gt;&lt;li&gt;&lt;a href=|http://study.interlinearbible.org/revelation/1.htm| title=|Greek Study Bible| target=|_top|&gt;Grk Study&lt;/a&gt;</v>
      </c>
      <c r="W1168" t="str">
        <f t="shared" si="4668"/>
        <v>&lt;/li&gt;&lt;li&gt;&lt;a href=|http://apostolic.interlinearbible.org/revelation/1.htm| title=|Apostolic Bible Polyglot Interlinear| target=|_top|&gt;Polyglot&lt;/a&gt;</v>
      </c>
      <c r="X1168" t="str">
        <f t="shared" si="4668"/>
        <v>&lt;/li&gt;&lt;li&gt;&lt;a href=|http://interlinearbible.org/revelation/1.htm| title=|Interlinear Bible| target=|_top|&gt;Interlin&lt;/a&gt;</v>
      </c>
      <c r="Y1168" t="str">
        <f t="shared" ref="Y1168" si="4669">CONCATENATE("&lt;/li&gt;&lt;li&gt;&lt;a href=|http://",Y1191,"/revelation/1.htm","| ","title=|",Y1190,"| target=|_top|&gt;",Y1192,"&lt;/a&gt;")</f>
        <v>&lt;/li&gt;&lt;li&gt;&lt;a href=|http://bibleoutline.org/revelation/1.htm| title=|Outline with People and Places List| target=|_top|&gt;Outline&lt;/a&gt;</v>
      </c>
      <c r="Z1168" t="str">
        <f t="shared" si="4668"/>
        <v>&lt;/li&gt;&lt;li&gt;&lt;a href=|http://kjvs.scripturetext.com/revelation/1.htm| title=|King James Bible with Strong's Numbers| target=|_top|&gt;Strong's&lt;/a&gt;</v>
      </c>
      <c r="AA1168" t="str">
        <f t="shared" si="4668"/>
        <v>&lt;/li&gt;&lt;li&gt;&lt;a href=|http://childrensbibleonline.com/revelation/1.htm| title=|The Children's Bible| target=|_top|&gt;Children's&lt;/a&gt;</v>
      </c>
      <c r="AB1168" s="2" t="str">
        <f t="shared" si="4668"/>
        <v>&lt;/li&gt;&lt;li&gt;&lt;a href=|http://tsk.scripturetext.com/revelation/1.htm| title=|Treasury of Scripture Knowledge| target=|_top|&gt;TSK&lt;/a&gt;</v>
      </c>
      <c r="AC1168" t="str">
        <f>CONCATENATE("&lt;a href=|http://",AC1191,"/revelation/1.htm","| ","title=|",AC1190,"| target=|_top|&gt;",AC1192,"&lt;/a&gt;")</f>
        <v>&lt;a href=|http://parallelbible.com/revelation/1.htm| title=|Parallel Chapters| target=|_top|&gt;PAR&lt;/a&gt;</v>
      </c>
      <c r="AD1168" s="2" t="str">
        <f t="shared" ref="AD1168:AI1168" si="4670">CONCATENATE("&lt;/li&gt;&lt;li&gt;&lt;a href=|http://",AD1191,"/revelation/1.htm","| ","title=|",AD1190,"| target=|_top|&gt;",AD1192,"&lt;/a&gt;")</f>
        <v>&lt;/li&gt;&lt;li&gt;&lt;a href=|http://gsb.biblecommenter.com/revelation/1.htm| title=|Geneva Study Bible| target=|_top|&gt;GSB&lt;/a&gt;</v>
      </c>
      <c r="AE1168" s="2" t="str">
        <f t="shared" si="4670"/>
        <v>&lt;/li&gt;&lt;li&gt;&lt;a href=|http://jfb.biblecommenter.com/revelation/1.htm| title=|Jamieson-Fausset-Brown Bible Commentary| target=|_top|&gt;JFB&lt;/a&gt;</v>
      </c>
      <c r="AF1168" s="2" t="str">
        <f t="shared" si="4670"/>
        <v>&lt;/li&gt;&lt;li&gt;&lt;a href=|http://kjt.biblecommenter.com/revelation/1.htm| title=|King James Translators' Notes| target=|_top|&gt;KJT&lt;/a&gt;</v>
      </c>
      <c r="AG1168" s="2" t="str">
        <f t="shared" si="4670"/>
        <v>&lt;/li&gt;&lt;li&gt;&lt;a href=|http://mhc.biblecommenter.com/revelation/1.htm| title=|Matthew Henry's Concise Commentary| target=|_top|&gt;MHC&lt;/a&gt;</v>
      </c>
      <c r="AH1168" s="2" t="str">
        <f t="shared" si="4670"/>
        <v>&lt;/li&gt;&lt;li&gt;&lt;a href=|http://sco.biblecommenter.com/revelation/1.htm| title=|Scofield Reference Notes| target=|_top|&gt;SCO&lt;/a&gt;</v>
      </c>
      <c r="AI1168" s="2" t="str">
        <f t="shared" si="4670"/>
        <v>&lt;/li&gt;&lt;li&gt;&lt;a href=|http://wes.biblecommenter.com/revelation/1.htm| title=|Wesley's Notes on the Bible| target=|_top|&gt;WES&lt;/a&gt;</v>
      </c>
      <c r="AJ1168" t="str">
        <f>CONCATENATE("&lt;/li&gt;&lt;li&gt;&lt;a href=|http://",AJ1191,"/revelation/1.htm","| ","title=|",AJ1190,"| target=|_top|&gt;",AJ1192,"&lt;/a&gt;")</f>
        <v>&lt;/li&gt;&lt;li&gt;&lt;a href=|http://worldebible.com/revelation/1.htm| title=|World English Bible| target=|_top|&gt;WEB&lt;/a&gt;</v>
      </c>
      <c r="AK1168" t="str">
        <f>CONCATENATE("&lt;/li&gt;&lt;li&gt;&lt;a href=|http://",AK1191,"/revelation/1.htm","| ","title=|",AK1190,"| target=|_top|&gt;",AK1192,"&lt;/a&gt;")</f>
        <v>&lt;/li&gt;&lt;li&gt;&lt;a href=|http://yltbible.com/revelation/1.htm| title=|Young's Literal Translation| target=|_top|&gt;YLT&lt;/a&gt;</v>
      </c>
      <c r="AL1168" t="str">
        <f>CONCATENATE("&lt;a href=|http://",AL1191,"/revelation/1.htm","| ","title=|",AL1190,"| target=|_top|&gt;",AL1192,"&lt;/a&gt;")</f>
        <v>&lt;a href=|http://kjv.us/revelation/1.htm| title=|American King James Version| target=|_top|&gt;AKJ&lt;/a&gt;</v>
      </c>
      <c r="AM1168" t="str">
        <f t="shared" ref="AM1168:AS1168" si="4671">CONCATENATE("&lt;/li&gt;&lt;li&gt;&lt;a href=|http://",AM1191,"/revelation/1.htm","| ","title=|",AM1190,"| target=|_top|&gt;",AM1192,"&lt;/a&gt;")</f>
        <v>&lt;/li&gt;&lt;li&gt;&lt;a href=|http://basicenglishbible.com/revelation/1.htm| title=|Bible in Basic English| target=|_top|&gt;BBE&lt;/a&gt;</v>
      </c>
      <c r="AN1168" t="str">
        <f t="shared" si="4671"/>
        <v>&lt;/li&gt;&lt;li&gt;&lt;a href=|http://darbybible.com/revelation/1.htm| title=|Darby Bible Translation| target=|_top|&gt;DBY&lt;/a&gt;</v>
      </c>
      <c r="AO1168" t="str">
        <f t="shared" si="4671"/>
        <v>&lt;/li&gt;&lt;li&gt;&lt;a href=|http://isv.scripturetext.com/revelation/1.htm| title=|International Standard Version| target=|_top|&gt;ISV&lt;/a&gt;</v>
      </c>
      <c r="AP1168" t="str">
        <f t="shared" si="4671"/>
        <v>&lt;/li&gt;&lt;li&gt;&lt;a href=|http://tnt.scripturetext.com/revelation/1.htm| title=|Tyndale New Testament| target=|_top|&gt;TNT&lt;/a&gt;</v>
      </c>
      <c r="AQ1168" s="2" t="str">
        <f t="shared" si="4671"/>
        <v>&lt;/li&gt;&lt;li&gt;&lt;a href=|http://pnt.biblecommenter.com/revelation/1.htm| title=|People's New Testament| target=|_top|&gt;PNT&lt;/a&gt;</v>
      </c>
      <c r="AR1168" t="str">
        <f t="shared" si="4671"/>
        <v>&lt;/li&gt;&lt;li&gt;&lt;a href=|http://websterbible.com/revelation/1.htm| title=|Webster's Bible Translation| target=|_top|&gt;WBS&lt;/a&gt;</v>
      </c>
      <c r="AS1168" t="str">
        <f t="shared" si="4671"/>
        <v>&lt;/li&gt;&lt;li&gt;&lt;a href=|http://weymouthbible.com/revelation/1.htm| title=|Weymouth New Testament| target=|_top|&gt;WEY&lt;/a&gt;</v>
      </c>
      <c r="AT1168" t="str">
        <f>CONCATENATE("&lt;/li&gt;&lt;li&gt;&lt;a href=|http://",AT1191,"/revelation/1-1.htm","| ","title=|",AT1190,"| target=|_top|&gt;",AT1192,"&lt;/a&gt;")</f>
        <v>&lt;/li&gt;&lt;li&gt;&lt;a href=|http://biblebrowser.com/revelation/1-1.htm| title=|Split View| target=|_top|&gt;Split&lt;/a&gt;</v>
      </c>
      <c r="AU1168" s="2" t="s">
        <v>1276</v>
      </c>
      <c r="AV1168" t="s">
        <v>64</v>
      </c>
    </row>
    <row r="1169" spans="1:48">
      <c r="A1169" t="s">
        <v>622</v>
      </c>
      <c r="B1169" t="s">
        <v>600</v>
      </c>
      <c r="C1169" t="s">
        <v>624</v>
      </c>
      <c r="D1169" t="s">
        <v>1268</v>
      </c>
      <c r="E1169" t="s">
        <v>1277</v>
      </c>
      <c r="F1169" t="s">
        <v>1304</v>
      </c>
      <c r="G1169" t="s">
        <v>1266</v>
      </c>
      <c r="H1169" t="s">
        <v>1305</v>
      </c>
      <c r="I1169" t="s">
        <v>1303</v>
      </c>
      <c r="J1169" t="s">
        <v>1267</v>
      </c>
      <c r="K1169" t="s">
        <v>1275</v>
      </c>
      <c r="L1169" s="2" t="s">
        <v>1274</v>
      </c>
      <c r="M1169" t="str">
        <f t="shared" ref="M1169:AB1169" si="4672">CONCATENATE("&lt;/li&gt;&lt;li&gt;&lt;a href=|http://",M1191,"/revelation/2.htm","| ","title=|",M1190,"| target=|_top|&gt;",M1192,"&lt;/a&gt;")</f>
        <v>&lt;/li&gt;&lt;li&gt;&lt;a href=|http://niv.scripturetext.com/revelation/2.htm| title=|New International Version| target=|_top|&gt;NIV&lt;/a&gt;</v>
      </c>
      <c r="N1169" t="str">
        <f t="shared" si="4672"/>
        <v>&lt;/li&gt;&lt;li&gt;&lt;a href=|http://nlt.scripturetext.com/revelation/2.htm| title=|New Living Translation| target=|_top|&gt;NLT&lt;/a&gt;</v>
      </c>
      <c r="O1169" t="str">
        <f t="shared" si="4672"/>
        <v>&lt;/li&gt;&lt;li&gt;&lt;a href=|http://nasb.scripturetext.com/revelation/2.htm| title=|New American Standard Bible| target=|_top|&gt;NAS&lt;/a&gt;</v>
      </c>
      <c r="P1169" t="str">
        <f t="shared" si="4672"/>
        <v>&lt;/li&gt;&lt;li&gt;&lt;a href=|http://gwt.scripturetext.com/revelation/2.htm| title=|God's Word Translation| target=|_top|&gt;GWT&lt;/a&gt;</v>
      </c>
      <c r="Q1169" t="str">
        <f t="shared" si="4672"/>
        <v>&lt;/li&gt;&lt;li&gt;&lt;a href=|http://kingjbible.com/revelation/2.htm| title=|King James Bible| target=|_top|&gt;KJV&lt;/a&gt;</v>
      </c>
      <c r="R1169" t="str">
        <f t="shared" si="4672"/>
        <v>&lt;/li&gt;&lt;li&gt;&lt;a href=|http://asvbible.com/revelation/2.htm| title=|American Standard Version| target=|_top|&gt;ASV&lt;/a&gt;</v>
      </c>
      <c r="S1169" t="str">
        <f t="shared" si="4672"/>
        <v>&lt;/li&gt;&lt;li&gt;&lt;a href=|http://drb.scripturetext.com/revelation/2.htm| title=|Douay-Rheims Bible| target=|_top|&gt;DRB&lt;/a&gt;</v>
      </c>
      <c r="T1169" t="str">
        <f t="shared" si="4672"/>
        <v>&lt;/li&gt;&lt;li&gt;&lt;a href=|http://erv.scripturetext.com/revelation/2.htm| title=|English Revised Version| target=|_top|&gt;ERV&lt;/a&gt;</v>
      </c>
      <c r="U1169" t="str">
        <f>CONCATENATE("&lt;/li&gt;&lt;li&gt;&lt;a href=|http://",U1191,"/revelation/2.htm","| ","title=|",U1190,"| target=|_top|&gt;",U1192,"&lt;/a&gt;")</f>
        <v>&lt;/li&gt;&lt;li&gt;&lt;a href=|http://study.interlinearbible.org/revelation/2.htm| title=|Greek Study Bible| target=|_top|&gt;Grk Study&lt;/a&gt;</v>
      </c>
      <c r="W1169" t="str">
        <f t="shared" si="4672"/>
        <v>&lt;/li&gt;&lt;li&gt;&lt;a href=|http://apostolic.interlinearbible.org/revelation/2.htm| title=|Apostolic Bible Polyglot Interlinear| target=|_top|&gt;Polyglot&lt;/a&gt;</v>
      </c>
      <c r="X1169" t="str">
        <f t="shared" si="4672"/>
        <v>&lt;/li&gt;&lt;li&gt;&lt;a href=|http://interlinearbible.org/revelation/2.htm| title=|Interlinear Bible| target=|_top|&gt;Interlin&lt;/a&gt;</v>
      </c>
      <c r="Y1169" t="str">
        <f t="shared" ref="Y1169" si="4673">CONCATENATE("&lt;/li&gt;&lt;li&gt;&lt;a href=|http://",Y1191,"/revelation/2.htm","| ","title=|",Y1190,"| target=|_top|&gt;",Y1192,"&lt;/a&gt;")</f>
        <v>&lt;/li&gt;&lt;li&gt;&lt;a href=|http://bibleoutline.org/revelation/2.htm| title=|Outline with People and Places List| target=|_top|&gt;Outline&lt;/a&gt;</v>
      </c>
      <c r="Z1169" t="str">
        <f t="shared" si="4672"/>
        <v>&lt;/li&gt;&lt;li&gt;&lt;a href=|http://kjvs.scripturetext.com/revelation/2.htm| title=|King James Bible with Strong's Numbers| target=|_top|&gt;Strong's&lt;/a&gt;</v>
      </c>
      <c r="AA1169" t="str">
        <f t="shared" si="4672"/>
        <v>&lt;/li&gt;&lt;li&gt;&lt;a href=|http://childrensbibleonline.com/revelation/2.htm| title=|The Children's Bible| target=|_top|&gt;Children's&lt;/a&gt;</v>
      </c>
      <c r="AB1169" s="2" t="str">
        <f t="shared" si="4672"/>
        <v>&lt;/li&gt;&lt;li&gt;&lt;a href=|http://tsk.scripturetext.com/revelation/2.htm| title=|Treasury of Scripture Knowledge| target=|_top|&gt;TSK&lt;/a&gt;</v>
      </c>
      <c r="AC1169" t="str">
        <f>CONCATENATE("&lt;a href=|http://",AC1191,"/revelation/2.htm","| ","title=|",AC1190,"| target=|_top|&gt;",AC1192,"&lt;/a&gt;")</f>
        <v>&lt;a href=|http://parallelbible.com/revelation/2.htm| title=|Parallel Chapters| target=|_top|&gt;PAR&lt;/a&gt;</v>
      </c>
      <c r="AD1169" s="2" t="str">
        <f t="shared" ref="AD1169:AI1169" si="4674">CONCATENATE("&lt;/li&gt;&lt;li&gt;&lt;a href=|http://",AD1191,"/revelation/2.htm","| ","title=|",AD1190,"| target=|_top|&gt;",AD1192,"&lt;/a&gt;")</f>
        <v>&lt;/li&gt;&lt;li&gt;&lt;a href=|http://gsb.biblecommenter.com/revelation/2.htm| title=|Geneva Study Bible| target=|_top|&gt;GSB&lt;/a&gt;</v>
      </c>
      <c r="AE1169" s="2" t="str">
        <f t="shared" si="4674"/>
        <v>&lt;/li&gt;&lt;li&gt;&lt;a href=|http://jfb.biblecommenter.com/revelation/2.htm| title=|Jamieson-Fausset-Brown Bible Commentary| target=|_top|&gt;JFB&lt;/a&gt;</v>
      </c>
      <c r="AF1169" s="2" t="str">
        <f t="shared" si="4674"/>
        <v>&lt;/li&gt;&lt;li&gt;&lt;a href=|http://kjt.biblecommenter.com/revelation/2.htm| title=|King James Translators' Notes| target=|_top|&gt;KJT&lt;/a&gt;</v>
      </c>
      <c r="AG1169" s="2" t="str">
        <f t="shared" si="4674"/>
        <v>&lt;/li&gt;&lt;li&gt;&lt;a href=|http://mhc.biblecommenter.com/revelation/2.htm| title=|Matthew Henry's Concise Commentary| target=|_top|&gt;MHC&lt;/a&gt;</v>
      </c>
      <c r="AH1169" s="2" t="str">
        <f t="shared" si="4674"/>
        <v>&lt;/li&gt;&lt;li&gt;&lt;a href=|http://sco.biblecommenter.com/revelation/2.htm| title=|Scofield Reference Notes| target=|_top|&gt;SCO&lt;/a&gt;</v>
      </c>
      <c r="AI1169" s="2" t="str">
        <f t="shared" si="4674"/>
        <v>&lt;/li&gt;&lt;li&gt;&lt;a href=|http://wes.biblecommenter.com/revelation/2.htm| title=|Wesley's Notes on the Bible| target=|_top|&gt;WES&lt;/a&gt;</v>
      </c>
      <c r="AJ1169" t="str">
        <f>CONCATENATE("&lt;/li&gt;&lt;li&gt;&lt;a href=|http://",AJ1191,"/revelation/2.htm","| ","title=|",AJ1190,"| target=|_top|&gt;",AJ1192,"&lt;/a&gt;")</f>
        <v>&lt;/li&gt;&lt;li&gt;&lt;a href=|http://worldebible.com/revelation/2.htm| title=|World English Bible| target=|_top|&gt;WEB&lt;/a&gt;</v>
      </c>
      <c r="AK1169" t="str">
        <f>CONCATENATE("&lt;/li&gt;&lt;li&gt;&lt;a href=|http://",AK1191,"/revelation/2.htm","| ","title=|",AK1190,"| target=|_top|&gt;",AK1192,"&lt;/a&gt;")</f>
        <v>&lt;/li&gt;&lt;li&gt;&lt;a href=|http://yltbible.com/revelation/2.htm| title=|Young's Literal Translation| target=|_top|&gt;YLT&lt;/a&gt;</v>
      </c>
      <c r="AL1169" t="str">
        <f>CONCATENATE("&lt;a href=|http://",AL1191,"/revelation/2.htm","| ","title=|",AL1190,"| target=|_top|&gt;",AL1192,"&lt;/a&gt;")</f>
        <v>&lt;a href=|http://kjv.us/revelation/2.htm| title=|American King James Version| target=|_top|&gt;AKJ&lt;/a&gt;</v>
      </c>
      <c r="AM1169" t="str">
        <f t="shared" ref="AM1169:AS1169" si="4675">CONCATENATE("&lt;/li&gt;&lt;li&gt;&lt;a href=|http://",AM1191,"/revelation/2.htm","| ","title=|",AM1190,"| target=|_top|&gt;",AM1192,"&lt;/a&gt;")</f>
        <v>&lt;/li&gt;&lt;li&gt;&lt;a href=|http://basicenglishbible.com/revelation/2.htm| title=|Bible in Basic English| target=|_top|&gt;BBE&lt;/a&gt;</v>
      </c>
      <c r="AN1169" t="str">
        <f t="shared" si="4675"/>
        <v>&lt;/li&gt;&lt;li&gt;&lt;a href=|http://darbybible.com/revelation/2.htm| title=|Darby Bible Translation| target=|_top|&gt;DBY&lt;/a&gt;</v>
      </c>
      <c r="AO1169" t="str">
        <f t="shared" si="4675"/>
        <v>&lt;/li&gt;&lt;li&gt;&lt;a href=|http://isv.scripturetext.com/revelation/2.htm| title=|International Standard Version| target=|_top|&gt;ISV&lt;/a&gt;</v>
      </c>
      <c r="AP1169" t="str">
        <f t="shared" si="4675"/>
        <v>&lt;/li&gt;&lt;li&gt;&lt;a href=|http://tnt.scripturetext.com/revelation/2.htm| title=|Tyndale New Testament| target=|_top|&gt;TNT&lt;/a&gt;</v>
      </c>
      <c r="AQ1169" s="2" t="str">
        <f t="shared" si="4675"/>
        <v>&lt;/li&gt;&lt;li&gt;&lt;a href=|http://pnt.biblecommenter.com/revelation/2.htm| title=|People's New Testament| target=|_top|&gt;PNT&lt;/a&gt;</v>
      </c>
      <c r="AR1169" t="str">
        <f t="shared" si="4675"/>
        <v>&lt;/li&gt;&lt;li&gt;&lt;a href=|http://websterbible.com/revelation/2.htm| title=|Webster's Bible Translation| target=|_top|&gt;WBS&lt;/a&gt;</v>
      </c>
      <c r="AS1169" t="str">
        <f t="shared" si="4675"/>
        <v>&lt;/li&gt;&lt;li&gt;&lt;a href=|http://weymouthbible.com/revelation/2.htm| title=|Weymouth New Testament| target=|_top|&gt;WEY&lt;/a&gt;</v>
      </c>
      <c r="AT1169" t="str">
        <f>CONCATENATE("&lt;/li&gt;&lt;li&gt;&lt;a href=|http://",AT1191,"/revelation/2-1.htm","| ","title=|",AT1190,"| target=|_top|&gt;",AT1192,"&lt;/a&gt;")</f>
        <v>&lt;/li&gt;&lt;li&gt;&lt;a href=|http://biblebrowser.com/revelation/2-1.htm| title=|Split View| target=|_top|&gt;Split&lt;/a&gt;</v>
      </c>
      <c r="AU1169" s="2" t="s">
        <v>1276</v>
      </c>
      <c r="AV1169" t="s">
        <v>64</v>
      </c>
    </row>
    <row r="1170" spans="1:48">
      <c r="A1170" t="s">
        <v>622</v>
      </c>
      <c r="B1170" t="s">
        <v>601</v>
      </c>
      <c r="C1170" t="s">
        <v>624</v>
      </c>
      <c r="D1170" t="s">
        <v>1268</v>
      </c>
      <c r="E1170" t="s">
        <v>1277</v>
      </c>
      <c r="F1170" t="s">
        <v>1304</v>
      </c>
      <c r="G1170" t="s">
        <v>1266</v>
      </c>
      <c r="H1170" t="s">
        <v>1305</v>
      </c>
      <c r="I1170" t="s">
        <v>1303</v>
      </c>
      <c r="J1170" t="s">
        <v>1267</v>
      </c>
      <c r="K1170" t="s">
        <v>1275</v>
      </c>
      <c r="L1170" s="2" t="s">
        <v>1274</v>
      </c>
      <c r="M1170" t="str">
        <f t="shared" ref="M1170:AB1170" si="4676">CONCATENATE("&lt;/li&gt;&lt;li&gt;&lt;a href=|http://",M1191,"/revelation/3.htm","| ","title=|",M1190,"| target=|_top|&gt;",M1192,"&lt;/a&gt;")</f>
        <v>&lt;/li&gt;&lt;li&gt;&lt;a href=|http://niv.scripturetext.com/revelation/3.htm| title=|New International Version| target=|_top|&gt;NIV&lt;/a&gt;</v>
      </c>
      <c r="N1170" t="str">
        <f t="shared" si="4676"/>
        <v>&lt;/li&gt;&lt;li&gt;&lt;a href=|http://nlt.scripturetext.com/revelation/3.htm| title=|New Living Translation| target=|_top|&gt;NLT&lt;/a&gt;</v>
      </c>
      <c r="O1170" t="str">
        <f t="shared" si="4676"/>
        <v>&lt;/li&gt;&lt;li&gt;&lt;a href=|http://nasb.scripturetext.com/revelation/3.htm| title=|New American Standard Bible| target=|_top|&gt;NAS&lt;/a&gt;</v>
      </c>
      <c r="P1170" t="str">
        <f t="shared" si="4676"/>
        <v>&lt;/li&gt;&lt;li&gt;&lt;a href=|http://gwt.scripturetext.com/revelation/3.htm| title=|God's Word Translation| target=|_top|&gt;GWT&lt;/a&gt;</v>
      </c>
      <c r="Q1170" t="str">
        <f t="shared" si="4676"/>
        <v>&lt;/li&gt;&lt;li&gt;&lt;a href=|http://kingjbible.com/revelation/3.htm| title=|King James Bible| target=|_top|&gt;KJV&lt;/a&gt;</v>
      </c>
      <c r="R1170" t="str">
        <f t="shared" si="4676"/>
        <v>&lt;/li&gt;&lt;li&gt;&lt;a href=|http://asvbible.com/revelation/3.htm| title=|American Standard Version| target=|_top|&gt;ASV&lt;/a&gt;</v>
      </c>
      <c r="S1170" t="str">
        <f t="shared" si="4676"/>
        <v>&lt;/li&gt;&lt;li&gt;&lt;a href=|http://drb.scripturetext.com/revelation/3.htm| title=|Douay-Rheims Bible| target=|_top|&gt;DRB&lt;/a&gt;</v>
      </c>
      <c r="T1170" t="str">
        <f t="shared" si="4676"/>
        <v>&lt;/li&gt;&lt;li&gt;&lt;a href=|http://erv.scripturetext.com/revelation/3.htm| title=|English Revised Version| target=|_top|&gt;ERV&lt;/a&gt;</v>
      </c>
      <c r="U1170" t="str">
        <f>CONCATENATE("&lt;/li&gt;&lt;li&gt;&lt;a href=|http://",U1191,"/revelation/3.htm","| ","title=|",U1190,"| target=|_top|&gt;",U1192,"&lt;/a&gt;")</f>
        <v>&lt;/li&gt;&lt;li&gt;&lt;a href=|http://study.interlinearbible.org/revelation/3.htm| title=|Greek Study Bible| target=|_top|&gt;Grk Study&lt;/a&gt;</v>
      </c>
      <c r="W1170" t="str">
        <f t="shared" si="4676"/>
        <v>&lt;/li&gt;&lt;li&gt;&lt;a href=|http://apostolic.interlinearbible.org/revelation/3.htm| title=|Apostolic Bible Polyglot Interlinear| target=|_top|&gt;Polyglot&lt;/a&gt;</v>
      </c>
      <c r="X1170" t="str">
        <f t="shared" si="4676"/>
        <v>&lt;/li&gt;&lt;li&gt;&lt;a href=|http://interlinearbible.org/revelation/3.htm| title=|Interlinear Bible| target=|_top|&gt;Interlin&lt;/a&gt;</v>
      </c>
      <c r="Y1170" t="str">
        <f t="shared" ref="Y1170" si="4677">CONCATENATE("&lt;/li&gt;&lt;li&gt;&lt;a href=|http://",Y1191,"/revelation/3.htm","| ","title=|",Y1190,"| target=|_top|&gt;",Y1192,"&lt;/a&gt;")</f>
        <v>&lt;/li&gt;&lt;li&gt;&lt;a href=|http://bibleoutline.org/revelation/3.htm| title=|Outline with People and Places List| target=|_top|&gt;Outline&lt;/a&gt;</v>
      </c>
      <c r="Z1170" t="str">
        <f t="shared" si="4676"/>
        <v>&lt;/li&gt;&lt;li&gt;&lt;a href=|http://kjvs.scripturetext.com/revelation/3.htm| title=|King James Bible with Strong's Numbers| target=|_top|&gt;Strong's&lt;/a&gt;</v>
      </c>
      <c r="AA1170" t="str">
        <f t="shared" si="4676"/>
        <v>&lt;/li&gt;&lt;li&gt;&lt;a href=|http://childrensbibleonline.com/revelation/3.htm| title=|The Children's Bible| target=|_top|&gt;Children's&lt;/a&gt;</v>
      </c>
      <c r="AB1170" s="2" t="str">
        <f t="shared" si="4676"/>
        <v>&lt;/li&gt;&lt;li&gt;&lt;a href=|http://tsk.scripturetext.com/revelation/3.htm| title=|Treasury of Scripture Knowledge| target=|_top|&gt;TSK&lt;/a&gt;</v>
      </c>
      <c r="AC1170" t="str">
        <f>CONCATENATE("&lt;a href=|http://",AC1191,"/revelation/3.htm","| ","title=|",AC1190,"| target=|_top|&gt;",AC1192,"&lt;/a&gt;")</f>
        <v>&lt;a href=|http://parallelbible.com/revelation/3.htm| title=|Parallel Chapters| target=|_top|&gt;PAR&lt;/a&gt;</v>
      </c>
      <c r="AD1170" s="2" t="str">
        <f t="shared" ref="AD1170:AI1170" si="4678">CONCATENATE("&lt;/li&gt;&lt;li&gt;&lt;a href=|http://",AD1191,"/revelation/3.htm","| ","title=|",AD1190,"| target=|_top|&gt;",AD1192,"&lt;/a&gt;")</f>
        <v>&lt;/li&gt;&lt;li&gt;&lt;a href=|http://gsb.biblecommenter.com/revelation/3.htm| title=|Geneva Study Bible| target=|_top|&gt;GSB&lt;/a&gt;</v>
      </c>
      <c r="AE1170" s="2" t="str">
        <f t="shared" si="4678"/>
        <v>&lt;/li&gt;&lt;li&gt;&lt;a href=|http://jfb.biblecommenter.com/revelation/3.htm| title=|Jamieson-Fausset-Brown Bible Commentary| target=|_top|&gt;JFB&lt;/a&gt;</v>
      </c>
      <c r="AF1170" s="2" t="str">
        <f t="shared" si="4678"/>
        <v>&lt;/li&gt;&lt;li&gt;&lt;a href=|http://kjt.biblecommenter.com/revelation/3.htm| title=|King James Translators' Notes| target=|_top|&gt;KJT&lt;/a&gt;</v>
      </c>
      <c r="AG1170" s="2" t="str">
        <f t="shared" si="4678"/>
        <v>&lt;/li&gt;&lt;li&gt;&lt;a href=|http://mhc.biblecommenter.com/revelation/3.htm| title=|Matthew Henry's Concise Commentary| target=|_top|&gt;MHC&lt;/a&gt;</v>
      </c>
      <c r="AH1170" s="2" t="str">
        <f t="shared" si="4678"/>
        <v>&lt;/li&gt;&lt;li&gt;&lt;a href=|http://sco.biblecommenter.com/revelation/3.htm| title=|Scofield Reference Notes| target=|_top|&gt;SCO&lt;/a&gt;</v>
      </c>
      <c r="AI1170" s="2" t="str">
        <f t="shared" si="4678"/>
        <v>&lt;/li&gt;&lt;li&gt;&lt;a href=|http://wes.biblecommenter.com/revelation/3.htm| title=|Wesley's Notes on the Bible| target=|_top|&gt;WES&lt;/a&gt;</v>
      </c>
      <c r="AJ1170" t="str">
        <f>CONCATENATE("&lt;/li&gt;&lt;li&gt;&lt;a href=|http://",AJ1191,"/revelation/3.htm","| ","title=|",AJ1190,"| target=|_top|&gt;",AJ1192,"&lt;/a&gt;")</f>
        <v>&lt;/li&gt;&lt;li&gt;&lt;a href=|http://worldebible.com/revelation/3.htm| title=|World English Bible| target=|_top|&gt;WEB&lt;/a&gt;</v>
      </c>
      <c r="AK1170" t="str">
        <f>CONCATENATE("&lt;/li&gt;&lt;li&gt;&lt;a href=|http://",AK1191,"/revelation/3.htm","| ","title=|",AK1190,"| target=|_top|&gt;",AK1192,"&lt;/a&gt;")</f>
        <v>&lt;/li&gt;&lt;li&gt;&lt;a href=|http://yltbible.com/revelation/3.htm| title=|Young's Literal Translation| target=|_top|&gt;YLT&lt;/a&gt;</v>
      </c>
      <c r="AL1170" t="str">
        <f>CONCATENATE("&lt;a href=|http://",AL1191,"/revelation/3.htm","| ","title=|",AL1190,"| target=|_top|&gt;",AL1192,"&lt;/a&gt;")</f>
        <v>&lt;a href=|http://kjv.us/revelation/3.htm| title=|American King James Version| target=|_top|&gt;AKJ&lt;/a&gt;</v>
      </c>
      <c r="AM1170" t="str">
        <f t="shared" ref="AM1170:AS1170" si="4679">CONCATENATE("&lt;/li&gt;&lt;li&gt;&lt;a href=|http://",AM1191,"/revelation/3.htm","| ","title=|",AM1190,"| target=|_top|&gt;",AM1192,"&lt;/a&gt;")</f>
        <v>&lt;/li&gt;&lt;li&gt;&lt;a href=|http://basicenglishbible.com/revelation/3.htm| title=|Bible in Basic English| target=|_top|&gt;BBE&lt;/a&gt;</v>
      </c>
      <c r="AN1170" t="str">
        <f t="shared" si="4679"/>
        <v>&lt;/li&gt;&lt;li&gt;&lt;a href=|http://darbybible.com/revelation/3.htm| title=|Darby Bible Translation| target=|_top|&gt;DBY&lt;/a&gt;</v>
      </c>
      <c r="AO1170" t="str">
        <f t="shared" si="4679"/>
        <v>&lt;/li&gt;&lt;li&gt;&lt;a href=|http://isv.scripturetext.com/revelation/3.htm| title=|International Standard Version| target=|_top|&gt;ISV&lt;/a&gt;</v>
      </c>
      <c r="AP1170" t="str">
        <f t="shared" si="4679"/>
        <v>&lt;/li&gt;&lt;li&gt;&lt;a href=|http://tnt.scripturetext.com/revelation/3.htm| title=|Tyndale New Testament| target=|_top|&gt;TNT&lt;/a&gt;</v>
      </c>
      <c r="AQ1170" s="2" t="str">
        <f t="shared" si="4679"/>
        <v>&lt;/li&gt;&lt;li&gt;&lt;a href=|http://pnt.biblecommenter.com/revelation/3.htm| title=|People's New Testament| target=|_top|&gt;PNT&lt;/a&gt;</v>
      </c>
      <c r="AR1170" t="str">
        <f t="shared" si="4679"/>
        <v>&lt;/li&gt;&lt;li&gt;&lt;a href=|http://websterbible.com/revelation/3.htm| title=|Webster's Bible Translation| target=|_top|&gt;WBS&lt;/a&gt;</v>
      </c>
      <c r="AS1170" t="str">
        <f t="shared" si="4679"/>
        <v>&lt;/li&gt;&lt;li&gt;&lt;a href=|http://weymouthbible.com/revelation/3.htm| title=|Weymouth New Testament| target=|_top|&gt;WEY&lt;/a&gt;</v>
      </c>
      <c r="AT1170" t="str">
        <f>CONCATENATE("&lt;/li&gt;&lt;li&gt;&lt;a href=|http://",AT1191,"/revelation/3-1.htm","| ","title=|",AT1190,"| target=|_top|&gt;",AT1192,"&lt;/a&gt;")</f>
        <v>&lt;/li&gt;&lt;li&gt;&lt;a href=|http://biblebrowser.com/revelation/3-1.htm| title=|Split View| target=|_top|&gt;Split&lt;/a&gt;</v>
      </c>
      <c r="AU1170" s="2" t="s">
        <v>1276</v>
      </c>
      <c r="AV1170" t="s">
        <v>64</v>
      </c>
    </row>
    <row r="1171" spans="1:48">
      <c r="A1171" t="s">
        <v>622</v>
      </c>
      <c r="B1171" t="s">
        <v>602</v>
      </c>
      <c r="C1171" t="s">
        <v>624</v>
      </c>
      <c r="D1171" t="s">
        <v>1268</v>
      </c>
      <c r="E1171" t="s">
        <v>1277</v>
      </c>
      <c r="F1171" t="s">
        <v>1304</v>
      </c>
      <c r="G1171" t="s">
        <v>1266</v>
      </c>
      <c r="H1171" t="s">
        <v>1305</v>
      </c>
      <c r="I1171" t="s">
        <v>1303</v>
      </c>
      <c r="J1171" t="s">
        <v>1267</v>
      </c>
      <c r="K1171" t="s">
        <v>1275</v>
      </c>
      <c r="L1171" s="2" t="s">
        <v>1274</v>
      </c>
      <c r="M1171" t="str">
        <f t="shared" ref="M1171:AB1171" si="4680">CONCATENATE("&lt;/li&gt;&lt;li&gt;&lt;a href=|http://",M1191,"/revelation/4.htm","| ","title=|",M1190,"| target=|_top|&gt;",M1192,"&lt;/a&gt;")</f>
        <v>&lt;/li&gt;&lt;li&gt;&lt;a href=|http://niv.scripturetext.com/revelation/4.htm| title=|New International Version| target=|_top|&gt;NIV&lt;/a&gt;</v>
      </c>
      <c r="N1171" t="str">
        <f t="shared" si="4680"/>
        <v>&lt;/li&gt;&lt;li&gt;&lt;a href=|http://nlt.scripturetext.com/revelation/4.htm| title=|New Living Translation| target=|_top|&gt;NLT&lt;/a&gt;</v>
      </c>
      <c r="O1171" t="str">
        <f t="shared" si="4680"/>
        <v>&lt;/li&gt;&lt;li&gt;&lt;a href=|http://nasb.scripturetext.com/revelation/4.htm| title=|New American Standard Bible| target=|_top|&gt;NAS&lt;/a&gt;</v>
      </c>
      <c r="P1171" t="str">
        <f t="shared" si="4680"/>
        <v>&lt;/li&gt;&lt;li&gt;&lt;a href=|http://gwt.scripturetext.com/revelation/4.htm| title=|God's Word Translation| target=|_top|&gt;GWT&lt;/a&gt;</v>
      </c>
      <c r="Q1171" t="str">
        <f t="shared" si="4680"/>
        <v>&lt;/li&gt;&lt;li&gt;&lt;a href=|http://kingjbible.com/revelation/4.htm| title=|King James Bible| target=|_top|&gt;KJV&lt;/a&gt;</v>
      </c>
      <c r="R1171" t="str">
        <f t="shared" si="4680"/>
        <v>&lt;/li&gt;&lt;li&gt;&lt;a href=|http://asvbible.com/revelation/4.htm| title=|American Standard Version| target=|_top|&gt;ASV&lt;/a&gt;</v>
      </c>
      <c r="S1171" t="str">
        <f t="shared" si="4680"/>
        <v>&lt;/li&gt;&lt;li&gt;&lt;a href=|http://drb.scripturetext.com/revelation/4.htm| title=|Douay-Rheims Bible| target=|_top|&gt;DRB&lt;/a&gt;</v>
      </c>
      <c r="T1171" t="str">
        <f t="shared" si="4680"/>
        <v>&lt;/li&gt;&lt;li&gt;&lt;a href=|http://erv.scripturetext.com/revelation/4.htm| title=|English Revised Version| target=|_top|&gt;ERV&lt;/a&gt;</v>
      </c>
      <c r="U1171" t="str">
        <f>CONCATENATE("&lt;/li&gt;&lt;li&gt;&lt;a href=|http://",U1191,"/revelation/4.htm","| ","title=|",U1190,"| target=|_top|&gt;",U1192,"&lt;/a&gt;")</f>
        <v>&lt;/li&gt;&lt;li&gt;&lt;a href=|http://study.interlinearbible.org/revelation/4.htm| title=|Greek Study Bible| target=|_top|&gt;Grk Study&lt;/a&gt;</v>
      </c>
      <c r="W1171" t="str">
        <f t="shared" si="4680"/>
        <v>&lt;/li&gt;&lt;li&gt;&lt;a href=|http://apostolic.interlinearbible.org/revelation/4.htm| title=|Apostolic Bible Polyglot Interlinear| target=|_top|&gt;Polyglot&lt;/a&gt;</v>
      </c>
      <c r="X1171" t="str">
        <f t="shared" si="4680"/>
        <v>&lt;/li&gt;&lt;li&gt;&lt;a href=|http://interlinearbible.org/revelation/4.htm| title=|Interlinear Bible| target=|_top|&gt;Interlin&lt;/a&gt;</v>
      </c>
      <c r="Y1171" t="str">
        <f t="shared" ref="Y1171" si="4681">CONCATENATE("&lt;/li&gt;&lt;li&gt;&lt;a href=|http://",Y1191,"/revelation/4.htm","| ","title=|",Y1190,"| target=|_top|&gt;",Y1192,"&lt;/a&gt;")</f>
        <v>&lt;/li&gt;&lt;li&gt;&lt;a href=|http://bibleoutline.org/revelation/4.htm| title=|Outline with People and Places List| target=|_top|&gt;Outline&lt;/a&gt;</v>
      </c>
      <c r="Z1171" t="str">
        <f t="shared" si="4680"/>
        <v>&lt;/li&gt;&lt;li&gt;&lt;a href=|http://kjvs.scripturetext.com/revelation/4.htm| title=|King James Bible with Strong's Numbers| target=|_top|&gt;Strong's&lt;/a&gt;</v>
      </c>
      <c r="AA1171" t="str">
        <f t="shared" si="4680"/>
        <v>&lt;/li&gt;&lt;li&gt;&lt;a href=|http://childrensbibleonline.com/revelation/4.htm| title=|The Children's Bible| target=|_top|&gt;Children's&lt;/a&gt;</v>
      </c>
      <c r="AB1171" s="2" t="str">
        <f t="shared" si="4680"/>
        <v>&lt;/li&gt;&lt;li&gt;&lt;a href=|http://tsk.scripturetext.com/revelation/4.htm| title=|Treasury of Scripture Knowledge| target=|_top|&gt;TSK&lt;/a&gt;</v>
      </c>
      <c r="AC1171" t="str">
        <f>CONCATENATE("&lt;a href=|http://",AC1191,"/revelation/4.htm","| ","title=|",AC1190,"| target=|_top|&gt;",AC1192,"&lt;/a&gt;")</f>
        <v>&lt;a href=|http://parallelbible.com/revelation/4.htm| title=|Parallel Chapters| target=|_top|&gt;PAR&lt;/a&gt;</v>
      </c>
      <c r="AD1171" s="2" t="str">
        <f t="shared" ref="AD1171:AI1171" si="4682">CONCATENATE("&lt;/li&gt;&lt;li&gt;&lt;a href=|http://",AD1191,"/revelation/4.htm","| ","title=|",AD1190,"| target=|_top|&gt;",AD1192,"&lt;/a&gt;")</f>
        <v>&lt;/li&gt;&lt;li&gt;&lt;a href=|http://gsb.biblecommenter.com/revelation/4.htm| title=|Geneva Study Bible| target=|_top|&gt;GSB&lt;/a&gt;</v>
      </c>
      <c r="AE1171" s="2" t="str">
        <f t="shared" si="4682"/>
        <v>&lt;/li&gt;&lt;li&gt;&lt;a href=|http://jfb.biblecommenter.com/revelation/4.htm| title=|Jamieson-Fausset-Brown Bible Commentary| target=|_top|&gt;JFB&lt;/a&gt;</v>
      </c>
      <c r="AF1171" s="2" t="str">
        <f t="shared" si="4682"/>
        <v>&lt;/li&gt;&lt;li&gt;&lt;a href=|http://kjt.biblecommenter.com/revelation/4.htm| title=|King James Translators' Notes| target=|_top|&gt;KJT&lt;/a&gt;</v>
      </c>
      <c r="AG1171" s="2" t="str">
        <f t="shared" si="4682"/>
        <v>&lt;/li&gt;&lt;li&gt;&lt;a href=|http://mhc.biblecommenter.com/revelation/4.htm| title=|Matthew Henry's Concise Commentary| target=|_top|&gt;MHC&lt;/a&gt;</v>
      </c>
      <c r="AH1171" s="2" t="str">
        <f t="shared" si="4682"/>
        <v>&lt;/li&gt;&lt;li&gt;&lt;a href=|http://sco.biblecommenter.com/revelation/4.htm| title=|Scofield Reference Notes| target=|_top|&gt;SCO&lt;/a&gt;</v>
      </c>
      <c r="AI1171" s="2" t="str">
        <f t="shared" si="4682"/>
        <v>&lt;/li&gt;&lt;li&gt;&lt;a href=|http://wes.biblecommenter.com/revelation/4.htm| title=|Wesley's Notes on the Bible| target=|_top|&gt;WES&lt;/a&gt;</v>
      </c>
      <c r="AJ1171" t="str">
        <f>CONCATENATE("&lt;/li&gt;&lt;li&gt;&lt;a href=|http://",AJ1191,"/revelation/4.htm","| ","title=|",AJ1190,"| target=|_top|&gt;",AJ1192,"&lt;/a&gt;")</f>
        <v>&lt;/li&gt;&lt;li&gt;&lt;a href=|http://worldebible.com/revelation/4.htm| title=|World English Bible| target=|_top|&gt;WEB&lt;/a&gt;</v>
      </c>
      <c r="AK1171" t="str">
        <f>CONCATENATE("&lt;/li&gt;&lt;li&gt;&lt;a href=|http://",AK1191,"/revelation/4.htm","| ","title=|",AK1190,"| target=|_top|&gt;",AK1192,"&lt;/a&gt;")</f>
        <v>&lt;/li&gt;&lt;li&gt;&lt;a href=|http://yltbible.com/revelation/4.htm| title=|Young's Literal Translation| target=|_top|&gt;YLT&lt;/a&gt;</v>
      </c>
      <c r="AL1171" t="str">
        <f>CONCATENATE("&lt;a href=|http://",AL1191,"/revelation/4.htm","| ","title=|",AL1190,"| target=|_top|&gt;",AL1192,"&lt;/a&gt;")</f>
        <v>&lt;a href=|http://kjv.us/revelation/4.htm| title=|American King James Version| target=|_top|&gt;AKJ&lt;/a&gt;</v>
      </c>
      <c r="AM1171" t="str">
        <f t="shared" ref="AM1171:AS1171" si="4683">CONCATENATE("&lt;/li&gt;&lt;li&gt;&lt;a href=|http://",AM1191,"/revelation/4.htm","| ","title=|",AM1190,"| target=|_top|&gt;",AM1192,"&lt;/a&gt;")</f>
        <v>&lt;/li&gt;&lt;li&gt;&lt;a href=|http://basicenglishbible.com/revelation/4.htm| title=|Bible in Basic English| target=|_top|&gt;BBE&lt;/a&gt;</v>
      </c>
      <c r="AN1171" t="str">
        <f t="shared" si="4683"/>
        <v>&lt;/li&gt;&lt;li&gt;&lt;a href=|http://darbybible.com/revelation/4.htm| title=|Darby Bible Translation| target=|_top|&gt;DBY&lt;/a&gt;</v>
      </c>
      <c r="AO1171" t="str">
        <f t="shared" si="4683"/>
        <v>&lt;/li&gt;&lt;li&gt;&lt;a href=|http://isv.scripturetext.com/revelation/4.htm| title=|International Standard Version| target=|_top|&gt;ISV&lt;/a&gt;</v>
      </c>
      <c r="AP1171" t="str">
        <f t="shared" si="4683"/>
        <v>&lt;/li&gt;&lt;li&gt;&lt;a href=|http://tnt.scripturetext.com/revelation/4.htm| title=|Tyndale New Testament| target=|_top|&gt;TNT&lt;/a&gt;</v>
      </c>
      <c r="AQ1171" s="2" t="str">
        <f t="shared" si="4683"/>
        <v>&lt;/li&gt;&lt;li&gt;&lt;a href=|http://pnt.biblecommenter.com/revelation/4.htm| title=|People's New Testament| target=|_top|&gt;PNT&lt;/a&gt;</v>
      </c>
      <c r="AR1171" t="str">
        <f t="shared" si="4683"/>
        <v>&lt;/li&gt;&lt;li&gt;&lt;a href=|http://websterbible.com/revelation/4.htm| title=|Webster's Bible Translation| target=|_top|&gt;WBS&lt;/a&gt;</v>
      </c>
      <c r="AS1171" t="str">
        <f t="shared" si="4683"/>
        <v>&lt;/li&gt;&lt;li&gt;&lt;a href=|http://weymouthbible.com/revelation/4.htm| title=|Weymouth New Testament| target=|_top|&gt;WEY&lt;/a&gt;</v>
      </c>
      <c r="AT1171" t="str">
        <f>CONCATENATE("&lt;/li&gt;&lt;li&gt;&lt;a href=|http://",AT1191,"/revelation/4-1.htm","| ","title=|",AT1190,"| target=|_top|&gt;",AT1192,"&lt;/a&gt;")</f>
        <v>&lt;/li&gt;&lt;li&gt;&lt;a href=|http://biblebrowser.com/revelation/4-1.htm| title=|Split View| target=|_top|&gt;Split&lt;/a&gt;</v>
      </c>
      <c r="AU1171" s="2" t="s">
        <v>1276</v>
      </c>
      <c r="AV1171" t="s">
        <v>64</v>
      </c>
    </row>
    <row r="1172" spans="1:48">
      <c r="A1172" t="s">
        <v>622</v>
      </c>
      <c r="B1172" t="s">
        <v>603</v>
      </c>
      <c r="C1172" t="s">
        <v>624</v>
      </c>
      <c r="D1172" t="s">
        <v>1268</v>
      </c>
      <c r="E1172" t="s">
        <v>1277</v>
      </c>
      <c r="F1172" t="s">
        <v>1304</v>
      </c>
      <c r="G1172" t="s">
        <v>1266</v>
      </c>
      <c r="H1172" t="s">
        <v>1305</v>
      </c>
      <c r="I1172" t="s">
        <v>1303</v>
      </c>
      <c r="J1172" t="s">
        <v>1267</v>
      </c>
      <c r="K1172" t="s">
        <v>1275</v>
      </c>
      <c r="L1172" s="2" t="s">
        <v>1274</v>
      </c>
      <c r="M1172" t="str">
        <f t="shared" ref="M1172:AB1172" si="4684">CONCATENATE("&lt;/li&gt;&lt;li&gt;&lt;a href=|http://",M1191,"/revelation/5.htm","| ","title=|",M1190,"| target=|_top|&gt;",M1192,"&lt;/a&gt;")</f>
        <v>&lt;/li&gt;&lt;li&gt;&lt;a href=|http://niv.scripturetext.com/revelation/5.htm| title=|New International Version| target=|_top|&gt;NIV&lt;/a&gt;</v>
      </c>
      <c r="N1172" t="str">
        <f t="shared" si="4684"/>
        <v>&lt;/li&gt;&lt;li&gt;&lt;a href=|http://nlt.scripturetext.com/revelation/5.htm| title=|New Living Translation| target=|_top|&gt;NLT&lt;/a&gt;</v>
      </c>
      <c r="O1172" t="str">
        <f t="shared" si="4684"/>
        <v>&lt;/li&gt;&lt;li&gt;&lt;a href=|http://nasb.scripturetext.com/revelation/5.htm| title=|New American Standard Bible| target=|_top|&gt;NAS&lt;/a&gt;</v>
      </c>
      <c r="P1172" t="str">
        <f t="shared" si="4684"/>
        <v>&lt;/li&gt;&lt;li&gt;&lt;a href=|http://gwt.scripturetext.com/revelation/5.htm| title=|God's Word Translation| target=|_top|&gt;GWT&lt;/a&gt;</v>
      </c>
      <c r="Q1172" t="str">
        <f t="shared" si="4684"/>
        <v>&lt;/li&gt;&lt;li&gt;&lt;a href=|http://kingjbible.com/revelation/5.htm| title=|King James Bible| target=|_top|&gt;KJV&lt;/a&gt;</v>
      </c>
      <c r="R1172" t="str">
        <f t="shared" si="4684"/>
        <v>&lt;/li&gt;&lt;li&gt;&lt;a href=|http://asvbible.com/revelation/5.htm| title=|American Standard Version| target=|_top|&gt;ASV&lt;/a&gt;</v>
      </c>
      <c r="S1172" t="str">
        <f t="shared" si="4684"/>
        <v>&lt;/li&gt;&lt;li&gt;&lt;a href=|http://drb.scripturetext.com/revelation/5.htm| title=|Douay-Rheims Bible| target=|_top|&gt;DRB&lt;/a&gt;</v>
      </c>
      <c r="T1172" t="str">
        <f t="shared" si="4684"/>
        <v>&lt;/li&gt;&lt;li&gt;&lt;a href=|http://erv.scripturetext.com/revelation/5.htm| title=|English Revised Version| target=|_top|&gt;ERV&lt;/a&gt;</v>
      </c>
      <c r="U1172" t="str">
        <f>CONCATENATE("&lt;/li&gt;&lt;li&gt;&lt;a href=|http://",U1191,"/revelation/5.htm","| ","title=|",U1190,"| target=|_top|&gt;",U1192,"&lt;/a&gt;")</f>
        <v>&lt;/li&gt;&lt;li&gt;&lt;a href=|http://study.interlinearbible.org/revelation/5.htm| title=|Greek Study Bible| target=|_top|&gt;Grk Study&lt;/a&gt;</v>
      </c>
      <c r="W1172" t="str">
        <f t="shared" si="4684"/>
        <v>&lt;/li&gt;&lt;li&gt;&lt;a href=|http://apostolic.interlinearbible.org/revelation/5.htm| title=|Apostolic Bible Polyglot Interlinear| target=|_top|&gt;Polyglot&lt;/a&gt;</v>
      </c>
      <c r="X1172" t="str">
        <f t="shared" si="4684"/>
        <v>&lt;/li&gt;&lt;li&gt;&lt;a href=|http://interlinearbible.org/revelation/5.htm| title=|Interlinear Bible| target=|_top|&gt;Interlin&lt;/a&gt;</v>
      </c>
      <c r="Y1172" t="str">
        <f t="shared" ref="Y1172" si="4685">CONCATENATE("&lt;/li&gt;&lt;li&gt;&lt;a href=|http://",Y1191,"/revelation/5.htm","| ","title=|",Y1190,"| target=|_top|&gt;",Y1192,"&lt;/a&gt;")</f>
        <v>&lt;/li&gt;&lt;li&gt;&lt;a href=|http://bibleoutline.org/revelation/5.htm| title=|Outline with People and Places List| target=|_top|&gt;Outline&lt;/a&gt;</v>
      </c>
      <c r="Z1172" t="str">
        <f t="shared" si="4684"/>
        <v>&lt;/li&gt;&lt;li&gt;&lt;a href=|http://kjvs.scripturetext.com/revelation/5.htm| title=|King James Bible with Strong's Numbers| target=|_top|&gt;Strong's&lt;/a&gt;</v>
      </c>
      <c r="AA1172" t="str">
        <f t="shared" si="4684"/>
        <v>&lt;/li&gt;&lt;li&gt;&lt;a href=|http://childrensbibleonline.com/revelation/5.htm| title=|The Children's Bible| target=|_top|&gt;Children's&lt;/a&gt;</v>
      </c>
      <c r="AB1172" s="2" t="str">
        <f t="shared" si="4684"/>
        <v>&lt;/li&gt;&lt;li&gt;&lt;a href=|http://tsk.scripturetext.com/revelation/5.htm| title=|Treasury of Scripture Knowledge| target=|_top|&gt;TSK&lt;/a&gt;</v>
      </c>
      <c r="AC1172" t="str">
        <f>CONCATENATE("&lt;a href=|http://",AC1191,"/revelation/5.htm","| ","title=|",AC1190,"| target=|_top|&gt;",AC1192,"&lt;/a&gt;")</f>
        <v>&lt;a href=|http://parallelbible.com/revelation/5.htm| title=|Parallel Chapters| target=|_top|&gt;PAR&lt;/a&gt;</v>
      </c>
      <c r="AD1172" s="2" t="str">
        <f t="shared" ref="AD1172:AI1172" si="4686">CONCATENATE("&lt;/li&gt;&lt;li&gt;&lt;a href=|http://",AD1191,"/revelation/5.htm","| ","title=|",AD1190,"| target=|_top|&gt;",AD1192,"&lt;/a&gt;")</f>
        <v>&lt;/li&gt;&lt;li&gt;&lt;a href=|http://gsb.biblecommenter.com/revelation/5.htm| title=|Geneva Study Bible| target=|_top|&gt;GSB&lt;/a&gt;</v>
      </c>
      <c r="AE1172" s="2" t="str">
        <f t="shared" si="4686"/>
        <v>&lt;/li&gt;&lt;li&gt;&lt;a href=|http://jfb.biblecommenter.com/revelation/5.htm| title=|Jamieson-Fausset-Brown Bible Commentary| target=|_top|&gt;JFB&lt;/a&gt;</v>
      </c>
      <c r="AF1172" s="2" t="str">
        <f t="shared" si="4686"/>
        <v>&lt;/li&gt;&lt;li&gt;&lt;a href=|http://kjt.biblecommenter.com/revelation/5.htm| title=|King James Translators' Notes| target=|_top|&gt;KJT&lt;/a&gt;</v>
      </c>
      <c r="AG1172" s="2" t="str">
        <f t="shared" si="4686"/>
        <v>&lt;/li&gt;&lt;li&gt;&lt;a href=|http://mhc.biblecommenter.com/revelation/5.htm| title=|Matthew Henry's Concise Commentary| target=|_top|&gt;MHC&lt;/a&gt;</v>
      </c>
      <c r="AH1172" s="2" t="str">
        <f t="shared" si="4686"/>
        <v>&lt;/li&gt;&lt;li&gt;&lt;a href=|http://sco.biblecommenter.com/revelation/5.htm| title=|Scofield Reference Notes| target=|_top|&gt;SCO&lt;/a&gt;</v>
      </c>
      <c r="AI1172" s="2" t="str">
        <f t="shared" si="4686"/>
        <v>&lt;/li&gt;&lt;li&gt;&lt;a href=|http://wes.biblecommenter.com/revelation/5.htm| title=|Wesley's Notes on the Bible| target=|_top|&gt;WES&lt;/a&gt;</v>
      </c>
      <c r="AJ1172" t="str">
        <f>CONCATENATE("&lt;/li&gt;&lt;li&gt;&lt;a href=|http://",AJ1191,"/revelation/5.htm","| ","title=|",AJ1190,"| target=|_top|&gt;",AJ1192,"&lt;/a&gt;")</f>
        <v>&lt;/li&gt;&lt;li&gt;&lt;a href=|http://worldebible.com/revelation/5.htm| title=|World English Bible| target=|_top|&gt;WEB&lt;/a&gt;</v>
      </c>
      <c r="AK1172" t="str">
        <f>CONCATENATE("&lt;/li&gt;&lt;li&gt;&lt;a href=|http://",AK1191,"/revelation/5.htm","| ","title=|",AK1190,"| target=|_top|&gt;",AK1192,"&lt;/a&gt;")</f>
        <v>&lt;/li&gt;&lt;li&gt;&lt;a href=|http://yltbible.com/revelation/5.htm| title=|Young's Literal Translation| target=|_top|&gt;YLT&lt;/a&gt;</v>
      </c>
      <c r="AL1172" t="str">
        <f>CONCATENATE("&lt;a href=|http://",AL1191,"/revelation/5.htm","| ","title=|",AL1190,"| target=|_top|&gt;",AL1192,"&lt;/a&gt;")</f>
        <v>&lt;a href=|http://kjv.us/revelation/5.htm| title=|American King James Version| target=|_top|&gt;AKJ&lt;/a&gt;</v>
      </c>
      <c r="AM1172" t="str">
        <f t="shared" ref="AM1172:AS1172" si="4687">CONCATENATE("&lt;/li&gt;&lt;li&gt;&lt;a href=|http://",AM1191,"/revelation/5.htm","| ","title=|",AM1190,"| target=|_top|&gt;",AM1192,"&lt;/a&gt;")</f>
        <v>&lt;/li&gt;&lt;li&gt;&lt;a href=|http://basicenglishbible.com/revelation/5.htm| title=|Bible in Basic English| target=|_top|&gt;BBE&lt;/a&gt;</v>
      </c>
      <c r="AN1172" t="str">
        <f t="shared" si="4687"/>
        <v>&lt;/li&gt;&lt;li&gt;&lt;a href=|http://darbybible.com/revelation/5.htm| title=|Darby Bible Translation| target=|_top|&gt;DBY&lt;/a&gt;</v>
      </c>
      <c r="AO1172" t="str">
        <f t="shared" si="4687"/>
        <v>&lt;/li&gt;&lt;li&gt;&lt;a href=|http://isv.scripturetext.com/revelation/5.htm| title=|International Standard Version| target=|_top|&gt;ISV&lt;/a&gt;</v>
      </c>
      <c r="AP1172" t="str">
        <f t="shared" si="4687"/>
        <v>&lt;/li&gt;&lt;li&gt;&lt;a href=|http://tnt.scripturetext.com/revelation/5.htm| title=|Tyndale New Testament| target=|_top|&gt;TNT&lt;/a&gt;</v>
      </c>
      <c r="AQ1172" s="2" t="str">
        <f t="shared" si="4687"/>
        <v>&lt;/li&gt;&lt;li&gt;&lt;a href=|http://pnt.biblecommenter.com/revelation/5.htm| title=|People's New Testament| target=|_top|&gt;PNT&lt;/a&gt;</v>
      </c>
      <c r="AR1172" t="str">
        <f t="shared" si="4687"/>
        <v>&lt;/li&gt;&lt;li&gt;&lt;a href=|http://websterbible.com/revelation/5.htm| title=|Webster's Bible Translation| target=|_top|&gt;WBS&lt;/a&gt;</v>
      </c>
      <c r="AS1172" t="str">
        <f t="shared" si="4687"/>
        <v>&lt;/li&gt;&lt;li&gt;&lt;a href=|http://weymouthbible.com/revelation/5.htm| title=|Weymouth New Testament| target=|_top|&gt;WEY&lt;/a&gt;</v>
      </c>
      <c r="AT1172" t="str">
        <f>CONCATENATE("&lt;/li&gt;&lt;li&gt;&lt;a href=|http://",AT1191,"/revelation/5-1.htm","| ","title=|",AT1190,"| target=|_top|&gt;",AT1192,"&lt;/a&gt;")</f>
        <v>&lt;/li&gt;&lt;li&gt;&lt;a href=|http://biblebrowser.com/revelation/5-1.htm| title=|Split View| target=|_top|&gt;Split&lt;/a&gt;</v>
      </c>
      <c r="AU1172" s="2" t="s">
        <v>1276</v>
      </c>
      <c r="AV1172" t="s">
        <v>64</v>
      </c>
    </row>
    <row r="1173" spans="1:48">
      <c r="A1173" t="s">
        <v>622</v>
      </c>
      <c r="B1173" t="s">
        <v>604</v>
      </c>
      <c r="C1173" t="s">
        <v>624</v>
      </c>
      <c r="D1173" t="s">
        <v>1268</v>
      </c>
      <c r="E1173" t="s">
        <v>1277</v>
      </c>
      <c r="F1173" t="s">
        <v>1304</v>
      </c>
      <c r="G1173" t="s">
        <v>1266</v>
      </c>
      <c r="H1173" t="s">
        <v>1305</v>
      </c>
      <c r="I1173" t="s">
        <v>1303</v>
      </c>
      <c r="J1173" t="s">
        <v>1267</v>
      </c>
      <c r="K1173" t="s">
        <v>1275</v>
      </c>
      <c r="L1173" s="2" t="s">
        <v>1274</v>
      </c>
      <c r="M1173" t="str">
        <f t="shared" ref="M1173:AB1173" si="4688">CONCATENATE("&lt;/li&gt;&lt;li&gt;&lt;a href=|http://",M1191,"/revelation/6.htm","| ","title=|",M1190,"| target=|_top|&gt;",M1192,"&lt;/a&gt;")</f>
        <v>&lt;/li&gt;&lt;li&gt;&lt;a href=|http://niv.scripturetext.com/revelation/6.htm| title=|New International Version| target=|_top|&gt;NIV&lt;/a&gt;</v>
      </c>
      <c r="N1173" t="str">
        <f t="shared" si="4688"/>
        <v>&lt;/li&gt;&lt;li&gt;&lt;a href=|http://nlt.scripturetext.com/revelation/6.htm| title=|New Living Translation| target=|_top|&gt;NLT&lt;/a&gt;</v>
      </c>
      <c r="O1173" t="str">
        <f t="shared" si="4688"/>
        <v>&lt;/li&gt;&lt;li&gt;&lt;a href=|http://nasb.scripturetext.com/revelation/6.htm| title=|New American Standard Bible| target=|_top|&gt;NAS&lt;/a&gt;</v>
      </c>
      <c r="P1173" t="str">
        <f t="shared" si="4688"/>
        <v>&lt;/li&gt;&lt;li&gt;&lt;a href=|http://gwt.scripturetext.com/revelation/6.htm| title=|God's Word Translation| target=|_top|&gt;GWT&lt;/a&gt;</v>
      </c>
      <c r="Q1173" t="str">
        <f t="shared" si="4688"/>
        <v>&lt;/li&gt;&lt;li&gt;&lt;a href=|http://kingjbible.com/revelation/6.htm| title=|King James Bible| target=|_top|&gt;KJV&lt;/a&gt;</v>
      </c>
      <c r="R1173" t="str">
        <f t="shared" si="4688"/>
        <v>&lt;/li&gt;&lt;li&gt;&lt;a href=|http://asvbible.com/revelation/6.htm| title=|American Standard Version| target=|_top|&gt;ASV&lt;/a&gt;</v>
      </c>
      <c r="S1173" t="str">
        <f t="shared" si="4688"/>
        <v>&lt;/li&gt;&lt;li&gt;&lt;a href=|http://drb.scripturetext.com/revelation/6.htm| title=|Douay-Rheims Bible| target=|_top|&gt;DRB&lt;/a&gt;</v>
      </c>
      <c r="T1173" t="str">
        <f t="shared" si="4688"/>
        <v>&lt;/li&gt;&lt;li&gt;&lt;a href=|http://erv.scripturetext.com/revelation/6.htm| title=|English Revised Version| target=|_top|&gt;ERV&lt;/a&gt;</v>
      </c>
      <c r="U1173" t="str">
        <f>CONCATENATE("&lt;/li&gt;&lt;li&gt;&lt;a href=|http://",U1191,"/revelation/6.htm","| ","title=|",U1190,"| target=|_top|&gt;",U1192,"&lt;/a&gt;")</f>
        <v>&lt;/li&gt;&lt;li&gt;&lt;a href=|http://study.interlinearbible.org/revelation/6.htm| title=|Greek Study Bible| target=|_top|&gt;Grk Study&lt;/a&gt;</v>
      </c>
      <c r="W1173" t="str">
        <f t="shared" si="4688"/>
        <v>&lt;/li&gt;&lt;li&gt;&lt;a href=|http://apostolic.interlinearbible.org/revelation/6.htm| title=|Apostolic Bible Polyglot Interlinear| target=|_top|&gt;Polyglot&lt;/a&gt;</v>
      </c>
      <c r="X1173" t="str">
        <f t="shared" si="4688"/>
        <v>&lt;/li&gt;&lt;li&gt;&lt;a href=|http://interlinearbible.org/revelation/6.htm| title=|Interlinear Bible| target=|_top|&gt;Interlin&lt;/a&gt;</v>
      </c>
      <c r="Y1173" t="str">
        <f t="shared" ref="Y1173" si="4689">CONCATENATE("&lt;/li&gt;&lt;li&gt;&lt;a href=|http://",Y1191,"/revelation/6.htm","| ","title=|",Y1190,"| target=|_top|&gt;",Y1192,"&lt;/a&gt;")</f>
        <v>&lt;/li&gt;&lt;li&gt;&lt;a href=|http://bibleoutline.org/revelation/6.htm| title=|Outline with People and Places List| target=|_top|&gt;Outline&lt;/a&gt;</v>
      </c>
      <c r="Z1173" t="str">
        <f t="shared" si="4688"/>
        <v>&lt;/li&gt;&lt;li&gt;&lt;a href=|http://kjvs.scripturetext.com/revelation/6.htm| title=|King James Bible with Strong's Numbers| target=|_top|&gt;Strong's&lt;/a&gt;</v>
      </c>
      <c r="AA1173" t="str">
        <f t="shared" si="4688"/>
        <v>&lt;/li&gt;&lt;li&gt;&lt;a href=|http://childrensbibleonline.com/revelation/6.htm| title=|The Children's Bible| target=|_top|&gt;Children's&lt;/a&gt;</v>
      </c>
      <c r="AB1173" s="2" t="str">
        <f t="shared" si="4688"/>
        <v>&lt;/li&gt;&lt;li&gt;&lt;a href=|http://tsk.scripturetext.com/revelation/6.htm| title=|Treasury of Scripture Knowledge| target=|_top|&gt;TSK&lt;/a&gt;</v>
      </c>
      <c r="AC1173" t="str">
        <f>CONCATENATE("&lt;a href=|http://",AC1191,"/revelation/6.htm","| ","title=|",AC1190,"| target=|_top|&gt;",AC1192,"&lt;/a&gt;")</f>
        <v>&lt;a href=|http://parallelbible.com/revelation/6.htm| title=|Parallel Chapters| target=|_top|&gt;PAR&lt;/a&gt;</v>
      </c>
      <c r="AD1173" s="2" t="str">
        <f t="shared" ref="AD1173:AI1173" si="4690">CONCATENATE("&lt;/li&gt;&lt;li&gt;&lt;a href=|http://",AD1191,"/revelation/6.htm","| ","title=|",AD1190,"| target=|_top|&gt;",AD1192,"&lt;/a&gt;")</f>
        <v>&lt;/li&gt;&lt;li&gt;&lt;a href=|http://gsb.biblecommenter.com/revelation/6.htm| title=|Geneva Study Bible| target=|_top|&gt;GSB&lt;/a&gt;</v>
      </c>
      <c r="AE1173" s="2" t="str">
        <f t="shared" si="4690"/>
        <v>&lt;/li&gt;&lt;li&gt;&lt;a href=|http://jfb.biblecommenter.com/revelation/6.htm| title=|Jamieson-Fausset-Brown Bible Commentary| target=|_top|&gt;JFB&lt;/a&gt;</v>
      </c>
      <c r="AF1173" s="2" t="str">
        <f t="shared" si="4690"/>
        <v>&lt;/li&gt;&lt;li&gt;&lt;a href=|http://kjt.biblecommenter.com/revelation/6.htm| title=|King James Translators' Notes| target=|_top|&gt;KJT&lt;/a&gt;</v>
      </c>
      <c r="AG1173" s="2" t="str">
        <f t="shared" si="4690"/>
        <v>&lt;/li&gt;&lt;li&gt;&lt;a href=|http://mhc.biblecommenter.com/revelation/6.htm| title=|Matthew Henry's Concise Commentary| target=|_top|&gt;MHC&lt;/a&gt;</v>
      </c>
      <c r="AH1173" s="2" t="str">
        <f t="shared" si="4690"/>
        <v>&lt;/li&gt;&lt;li&gt;&lt;a href=|http://sco.biblecommenter.com/revelation/6.htm| title=|Scofield Reference Notes| target=|_top|&gt;SCO&lt;/a&gt;</v>
      </c>
      <c r="AI1173" s="2" t="str">
        <f t="shared" si="4690"/>
        <v>&lt;/li&gt;&lt;li&gt;&lt;a href=|http://wes.biblecommenter.com/revelation/6.htm| title=|Wesley's Notes on the Bible| target=|_top|&gt;WES&lt;/a&gt;</v>
      </c>
      <c r="AJ1173" t="str">
        <f>CONCATENATE("&lt;/li&gt;&lt;li&gt;&lt;a href=|http://",AJ1191,"/revelation/6.htm","| ","title=|",AJ1190,"| target=|_top|&gt;",AJ1192,"&lt;/a&gt;")</f>
        <v>&lt;/li&gt;&lt;li&gt;&lt;a href=|http://worldebible.com/revelation/6.htm| title=|World English Bible| target=|_top|&gt;WEB&lt;/a&gt;</v>
      </c>
      <c r="AK1173" t="str">
        <f>CONCATENATE("&lt;/li&gt;&lt;li&gt;&lt;a href=|http://",AK1191,"/revelation/6.htm","| ","title=|",AK1190,"| target=|_top|&gt;",AK1192,"&lt;/a&gt;")</f>
        <v>&lt;/li&gt;&lt;li&gt;&lt;a href=|http://yltbible.com/revelation/6.htm| title=|Young's Literal Translation| target=|_top|&gt;YLT&lt;/a&gt;</v>
      </c>
      <c r="AL1173" t="str">
        <f>CONCATENATE("&lt;a href=|http://",AL1191,"/revelation/6.htm","| ","title=|",AL1190,"| target=|_top|&gt;",AL1192,"&lt;/a&gt;")</f>
        <v>&lt;a href=|http://kjv.us/revelation/6.htm| title=|American King James Version| target=|_top|&gt;AKJ&lt;/a&gt;</v>
      </c>
      <c r="AM1173" t="str">
        <f t="shared" ref="AM1173:AS1173" si="4691">CONCATENATE("&lt;/li&gt;&lt;li&gt;&lt;a href=|http://",AM1191,"/revelation/6.htm","| ","title=|",AM1190,"| target=|_top|&gt;",AM1192,"&lt;/a&gt;")</f>
        <v>&lt;/li&gt;&lt;li&gt;&lt;a href=|http://basicenglishbible.com/revelation/6.htm| title=|Bible in Basic English| target=|_top|&gt;BBE&lt;/a&gt;</v>
      </c>
      <c r="AN1173" t="str">
        <f t="shared" si="4691"/>
        <v>&lt;/li&gt;&lt;li&gt;&lt;a href=|http://darbybible.com/revelation/6.htm| title=|Darby Bible Translation| target=|_top|&gt;DBY&lt;/a&gt;</v>
      </c>
      <c r="AO1173" t="str">
        <f t="shared" si="4691"/>
        <v>&lt;/li&gt;&lt;li&gt;&lt;a href=|http://isv.scripturetext.com/revelation/6.htm| title=|International Standard Version| target=|_top|&gt;ISV&lt;/a&gt;</v>
      </c>
      <c r="AP1173" t="str">
        <f t="shared" si="4691"/>
        <v>&lt;/li&gt;&lt;li&gt;&lt;a href=|http://tnt.scripturetext.com/revelation/6.htm| title=|Tyndale New Testament| target=|_top|&gt;TNT&lt;/a&gt;</v>
      </c>
      <c r="AQ1173" s="2" t="str">
        <f t="shared" si="4691"/>
        <v>&lt;/li&gt;&lt;li&gt;&lt;a href=|http://pnt.biblecommenter.com/revelation/6.htm| title=|People's New Testament| target=|_top|&gt;PNT&lt;/a&gt;</v>
      </c>
      <c r="AR1173" t="str">
        <f t="shared" si="4691"/>
        <v>&lt;/li&gt;&lt;li&gt;&lt;a href=|http://websterbible.com/revelation/6.htm| title=|Webster's Bible Translation| target=|_top|&gt;WBS&lt;/a&gt;</v>
      </c>
      <c r="AS1173" t="str">
        <f t="shared" si="4691"/>
        <v>&lt;/li&gt;&lt;li&gt;&lt;a href=|http://weymouthbible.com/revelation/6.htm| title=|Weymouth New Testament| target=|_top|&gt;WEY&lt;/a&gt;</v>
      </c>
      <c r="AT1173" t="str">
        <f>CONCATENATE("&lt;/li&gt;&lt;li&gt;&lt;a href=|http://",AT1191,"/revelation/6-1.htm","| ","title=|",AT1190,"| target=|_top|&gt;",AT1192,"&lt;/a&gt;")</f>
        <v>&lt;/li&gt;&lt;li&gt;&lt;a href=|http://biblebrowser.com/revelation/6-1.htm| title=|Split View| target=|_top|&gt;Split&lt;/a&gt;</v>
      </c>
      <c r="AU1173" s="2" t="s">
        <v>1276</v>
      </c>
      <c r="AV1173" t="s">
        <v>64</v>
      </c>
    </row>
    <row r="1174" spans="1:48">
      <c r="A1174" t="s">
        <v>622</v>
      </c>
      <c r="B1174" t="s">
        <v>605</v>
      </c>
      <c r="C1174" t="s">
        <v>624</v>
      </c>
      <c r="D1174" t="s">
        <v>1268</v>
      </c>
      <c r="E1174" t="s">
        <v>1277</v>
      </c>
      <c r="F1174" t="s">
        <v>1304</v>
      </c>
      <c r="G1174" t="s">
        <v>1266</v>
      </c>
      <c r="H1174" t="s">
        <v>1305</v>
      </c>
      <c r="I1174" t="s">
        <v>1303</v>
      </c>
      <c r="J1174" t="s">
        <v>1267</v>
      </c>
      <c r="K1174" t="s">
        <v>1275</v>
      </c>
      <c r="L1174" s="2" t="s">
        <v>1274</v>
      </c>
      <c r="M1174" t="str">
        <f t="shared" ref="M1174:AB1174" si="4692">CONCATENATE("&lt;/li&gt;&lt;li&gt;&lt;a href=|http://",M1191,"/revelation/7.htm","| ","title=|",M1190,"| target=|_top|&gt;",M1192,"&lt;/a&gt;")</f>
        <v>&lt;/li&gt;&lt;li&gt;&lt;a href=|http://niv.scripturetext.com/revelation/7.htm| title=|New International Version| target=|_top|&gt;NIV&lt;/a&gt;</v>
      </c>
      <c r="N1174" t="str">
        <f t="shared" si="4692"/>
        <v>&lt;/li&gt;&lt;li&gt;&lt;a href=|http://nlt.scripturetext.com/revelation/7.htm| title=|New Living Translation| target=|_top|&gt;NLT&lt;/a&gt;</v>
      </c>
      <c r="O1174" t="str">
        <f t="shared" si="4692"/>
        <v>&lt;/li&gt;&lt;li&gt;&lt;a href=|http://nasb.scripturetext.com/revelation/7.htm| title=|New American Standard Bible| target=|_top|&gt;NAS&lt;/a&gt;</v>
      </c>
      <c r="P1174" t="str">
        <f t="shared" si="4692"/>
        <v>&lt;/li&gt;&lt;li&gt;&lt;a href=|http://gwt.scripturetext.com/revelation/7.htm| title=|God's Word Translation| target=|_top|&gt;GWT&lt;/a&gt;</v>
      </c>
      <c r="Q1174" t="str">
        <f t="shared" si="4692"/>
        <v>&lt;/li&gt;&lt;li&gt;&lt;a href=|http://kingjbible.com/revelation/7.htm| title=|King James Bible| target=|_top|&gt;KJV&lt;/a&gt;</v>
      </c>
      <c r="R1174" t="str">
        <f t="shared" si="4692"/>
        <v>&lt;/li&gt;&lt;li&gt;&lt;a href=|http://asvbible.com/revelation/7.htm| title=|American Standard Version| target=|_top|&gt;ASV&lt;/a&gt;</v>
      </c>
      <c r="S1174" t="str">
        <f t="shared" si="4692"/>
        <v>&lt;/li&gt;&lt;li&gt;&lt;a href=|http://drb.scripturetext.com/revelation/7.htm| title=|Douay-Rheims Bible| target=|_top|&gt;DRB&lt;/a&gt;</v>
      </c>
      <c r="T1174" t="str">
        <f t="shared" si="4692"/>
        <v>&lt;/li&gt;&lt;li&gt;&lt;a href=|http://erv.scripturetext.com/revelation/7.htm| title=|English Revised Version| target=|_top|&gt;ERV&lt;/a&gt;</v>
      </c>
      <c r="U1174" t="str">
        <f>CONCATENATE("&lt;/li&gt;&lt;li&gt;&lt;a href=|http://",U1191,"/revelation/7.htm","| ","title=|",U1190,"| target=|_top|&gt;",U1192,"&lt;/a&gt;")</f>
        <v>&lt;/li&gt;&lt;li&gt;&lt;a href=|http://study.interlinearbible.org/revelation/7.htm| title=|Greek Study Bible| target=|_top|&gt;Grk Study&lt;/a&gt;</v>
      </c>
      <c r="W1174" t="str">
        <f t="shared" si="4692"/>
        <v>&lt;/li&gt;&lt;li&gt;&lt;a href=|http://apostolic.interlinearbible.org/revelation/7.htm| title=|Apostolic Bible Polyglot Interlinear| target=|_top|&gt;Polyglot&lt;/a&gt;</v>
      </c>
      <c r="X1174" t="str">
        <f t="shared" si="4692"/>
        <v>&lt;/li&gt;&lt;li&gt;&lt;a href=|http://interlinearbible.org/revelation/7.htm| title=|Interlinear Bible| target=|_top|&gt;Interlin&lt;/a&gt;</v>
      </c>
      <c r="Y1174" t="str">
        <f t="shared" ref="Y1174" si="4693">CONCATENATE("&lt;/li&gt;&lt;li&gt;&lt;a href=|http://",Y1191,"/revelation/7.htm","| ","title=|",Y1190,"| target=|_top|&gt;",Y1192,"&lt;/a&gt;")</f>
        <v>&lt;/li&gt;&lt;li&gt;&lt;a href=|http://bibleoutline.org/revelation/7.htm| title=|Outline with People and Places List| target=|_top|&gt;Outline&lt;/a&gt;</v>
      </c>
      <c r="Z1174" t="str">
        <f t="shared" si="4692"/>
        <v>&lt;/li&gt;&lt;li&gt;&lt;a href=|http://kjvs.scripturetext.com/revelation/7.htm| title=|King James Bible with Strong's Numbers| target=|_top|&gt;Strong's&lt;/a&gt;</v>
      </c>
      <c r="AA1174" t="str">
        <f t="shared" si="4692"/>
        <v>&lt;/li&gt;&lt;li&gt;&lt;a href=|http://childrensbibleonline.com/revelation/7.htm| title=|The Children's Bible| target=|_top|&gt;Children's&lt;/a&gt;</v>
      </c>
      <c r="AB1174" s="2" t="str">
        <f t="shared" si="4692"/>
        <v>&lt;/li&gt;&lt;li&gt;&lt;a href=|http://tsk.scripturetext.com/revelation/7.htm| title=|Treasury of Scripture Knowledge| target=|_top|&gt;TSK&lt;/a&gt;</v>
      </c>
      <c r="AC1174" t="str">
        <f>CONCATENATE("&lt;a href=|http://",AC1191,"/revelation/7.htm","| ","title=|",AC1190,"| target=|_top|&gt;",AC1192,"&lt;/a&gt;")</f>
        <v>&lt;a href=|http://parallelbible.com/revelation/7.htm| title=|Parallel Chapters| target=|_top|&gt;PAR&lt;/a&gt;</v>
      </c>
      <c r="AD1174" s="2" t="str">
        <f t="shared" ref="AD1174:AI1174" si="4694">CONCATENATE("&lt;/li&gt;&lt;li&gt;&lt;a href=|http://",AD1191,"/revelation/7.htm","| ","title=|",AD1190,"| target=|_top|&gt;",AD1192,"&lt;/a&gt;")</f>
        <v>&lt;/li&gt;&lt;li&gt;&lt;a href=|http://gsb.biblecommenter.com/revelation/7.htm| title=|Geneva Study Bible| target=|_top|&gt;GSB&lt;/a&gt;</v>
      </c>
      <c r="AE1174" s="2" t="str">
        <f t="shared" si="4694"/>
        <v>&lt;/li&gt;&lt;li&gt;&lt;a href=|http://jfb.biblecommenter.com/revelation/7.htm| title=|Jamieson-Fausset-Brown Bible Commentary| target=|_top|&gt;JFB&lt;/a&gt;</v>
      </c>
      <c r="AF1174" s="2" t="str">
        <f t="shared" si="4694"/>
        <v>&lt;/li&gt;&lt;li&gt;&lt;a href=|http://kjt.biblecommenter.com/revelation/7.htm| title=|King James Translators' Notes| target=|_top|&gt;KJT&lt;/a&gt;</v>
      </c>
      <c r="AG1174" s="2" t="str">
        <f t="shared" si="4694"/>
        <v>&lt;/li&gt;&lt;li&gt;&lt;a href=|http://mhc.biblecommenter.com/revelation/7.htm| title=|Matthew Henry's Concise Commentary| target=|_top|&gt;MHC&lt;/a&gt;</v>
      </c>
      <c r="AH1174" s="2" t="str">
        <f t="shared" si="4694"/>
        <v>&lt;/li&gt;&lt;li&gt;&lt;a href=|http://sco.biblecommenter.com/revelation/7.htm| title=|Scofield Reference Notes| target=|_top|&gt;SCO&lt;/a&gt;</v>
      </c>
      <c r="AI1174" s="2" t="str">
        <f t="shared" si="4694"/>
        <v>&lt;/li&gt;&lt;li&gt;&lt;a href=|http://wes.biblecommenter.com/revelation/7.htm| title=|Wesley's Notes on the Bible| target=|_top|&gt;WES&lt;/a&gt;</v>
      </c>
      <c r="AJ1174" t="str">
        <f>CONCATENATE("&lt;/li&gt;&lt;li&gt;&lt;a href=|http://",AJ1191,"/revelation/7.htm","| ","title=|",AJ1190,"| target=|_top|&gt;",AJ1192,"&lt;/a&gt;")</f>
        <v>&lt;/li&gt;&lt;li&gt;&lt;a href=|http://worldebible.com/revelation/7.htm| title=|World English Bible| target=|_top|&gt;WEB&lt;/a&gt;</v>
      </c>
      <c r="AK1174" t="str">
        <f>CONCATENATE("&lt;/li&gt;&lt;li&gt;&lt;a href=|http://",AK1191,"/revelation/7.htm","| ","title=|",AK1190,"| target=|_top|&gt;",AK1192,"&lt;/a&gt;")</f>
        <v>&lt;/li&gt;&lt;li&gt;&lt;a href=|http://yltbible.com/revelation/7.htm| title=|Young's Literal Translation| target=|_top|&gt;YLT&lt;/a&gt;</v>
      </c>
      <c r="AL1174" t="str">
        <f>CONCATENATE("&lt;a href=|http://",AL1191,"/revelation/7.htm","| ","title=|",AL1190,"| target=|_top|&gt;",AL1192,"&lt;/a&gt;")</f>
        <v>&lt;a href=|http://kjv.us/revelation/7.htm| title=|American King James Version| target=|_top|&gt;AKJ&lt;/a&gt;</v>
      </c>
      <c r="AM1174" t="str">
        <f t="shared" ref="AM1174:AS1174" si="4695">CONCATENATE("&lt;/li&gt;&lt;li&gt;&lt;a href=|http://",AM1191,"/revelation/7.htm","| ","title=|",AM1190,"| target=|_top|&gt;",AM1192,"&lt;/a&gt;")</f>
        <v>&lt;/li&gt;&lt;li&gt;&lt;a href=|http://basicenglishbible.com/revelation/7.htm| title=|Bible in Basic English| target=|_top|&gt;BBE&lt;/a&gt;</v>
      </c>
      <c r="AN1174" t="str">
        <f t="shared" si="4695"/>
        <v>&lt;/li&gt;&lt;li&gt;&lt;a href=|http://darbybible.com/revelation/7.htm| title=|Darby Bible Translation| target=|_top|&gt;DBY&lt;/a&gt;</v>
      </c>
      <c r="AO1174" t="str">
        <f t="shared" si="4695"/>
        <v>&lt;/li&gt;&lt;li&gt;&lt;a href=|http://isv.scripturetext.com/revelation/7.htm| title=|International Standard Version| target=|_top|&gt;ISV&lt;/a&gt;</v>
      </c>
      <c r="AP1174" t="str">
        <f t="shared" si="4695"/>
        <v>&lt;/li&gt;&lt;li&gt;&lt;a href=|http://tnt.scripturetext.com/revelation/7.htm| title=|Tyndale New Testament| target=|_top|&gt;TNT&lt;/a&gt;</v>
      </c>
      <c r="AQ1174" s="2" t="str">
        <f t="shared" si="4695"/>
        <v>&lt;/li&gt;&lt;li&gt;&lt;a href=|http://pnt.biblecommenter.com/revelation/7.htm| title=|People's New Testament| target=|_top|&gt;PNT&lt;/a&gt;</v>
      </c>
      <c r="AR1174" t="str">
        <f t="shared" si="4695"/>
        <v>&lt;/li&gt;&lt;li&gt;&lt;a href=|http://websterbible.com/revelation/7.htm| title=|Webster's Bible Translation| target=|_top|&gt;WBS&lt;/a&gt;</v>
      </c>
      <c r="AS1174" t="str">
        <f t="shared" si="4695"/>
        <v>&lt;/li&gt;&lt;li&gt;&lt;a href=|http://weymouthbible.com/revelation/7.htm| title=|Weymouth New Testament| target=|_top|&gt;WEY&lt;/a&gt;</v>
      </c>
      <c r="AT1174" t="str">
        <f>CONCATENATE("&lt;/li&gt;&lt;li&gt;&lt;a href=|http://",AT1191,"/revelation/7-1.htm","| ","title=|",AT1190,"| target=|_top|&gt;",AT1192,"&lt;/a&gt;")</f>
        <v>&lt;/li&gt;&lt;li&gt;&lt;a href=|http://biblebrowser.com/revelation/7-1.htm| title=|Split View| target=|_top|&gt;Split&lt;/a&gt;</v>
      </c>
      <c r="AU1174" s="2" t="s">
        <v>1276</v>
      </c>
      <c r="AV1174" t="s">
        <v>64</v>
      </c>
    </row>
    <row r="1175" spans="1:48">
      <c r="A1175" t="s">
        <v>622</v>
      </c>
      <c r="B1175" t="s">
        <v>606</v>
      </c>
      <c r="C1175" t="s">
        <v>624</v>
      </c>
      <c r="D1175" t="s">
        <v>1268</v>
      </c>
      <c r="E1175" t="s">
        <v>1277</v>
      </c>
      <c r="F1175" t="s">
        <v>1304</v>
      </c>
      <c r="G1175" t="s">
        <v>1266</v>
      </c>
      <c r="H1175" t="s">
        <v>1305</v>
      </c>
      <c r="I1175" t="s">
        <v>1303</v>
      </c>
      <c r="J1175" t="s">
        <v>1267</v>
      </c>
      <c r="K1175" t="s">
        <v>1275</v>
      </c>
      <c r="L1175" s="2" t="s">
        <v>1274</v>
      </c>
      <c r="M1175" t="str">
        <f t="shared" ref="M1175:AB1175" si="4696">CONCATENATE("&lt;/li&gt;&lt;li&gt;&lt;a href=|http://",M1191,"/revelation/8.htm","| ","title=|",M1190,"| target=|_top|&gt;",M1192,"&lt;/a&gt;")</f>
        <v>&lt;/li&gt;&lt;li&gt;&lt;a href=|http://niv.scripturetext.com/revelation/8.htm| title=|New International Version| target=|_top|&gt;NIV&lt;/a&gt;</v>
      </c>
      <c r="N1175" t="str">
        <f t="shared" si="4696"/>
        <v>&lt;/li&gt;&lt;li&gt;&lt;a href=|http://nlt.scripturetext.com/revelation/8.htm| title=|New Living Translation| target=|_top|&gt;NLT&lt;/a&gt;</v>
      </c>
      <c r="O1175" t="str">
        <f t="shared" si="4696"/>
        <v>&lt;/li&gt;&lt;li&gt;&lt;a href=|http://nasb.scripturetext.com/revelation/8.htm| title=|New American Standard Bible| target=|_top|&gt;NAS&lt;/a&gt;</v>
      </c>
      <c r="P1175" t="str">
        <f t="shared" si="4696"/>
        <v>&lt;/li&gt;&lt;li&gt;&lt;a href=|http://gwt.scripturetext.com/revelation/8.htm| title=|God's Word Translation| target=|_top|&gt;GWT&lt;/a&gt;</v>
      </c>
      <c r="Q1175" t="str">
        <f t="shared" si="4696"/>
        <v>&lt;/li&gt;&lt;li&gt;&lt;a href=|http://kingjbible.com/revelation/8.htm| title=|King James Bible| target=|_top|&gt;KJV&lt;/a&gt;</v>
      </c>
      <c r="R1175" t="str">
        <f t="shared" si="4696"/>
        <v>&lt;/li&gt;&lt;li&gt;&lt;a href=|http://asvbible.com/revelation/8.htm| title=|American Standard Version| target=|_top|&gt;ASV&lt;/a&gt;</v>
      </c>
      <c r="S1175" t="str">
        <f t="shared" si="4696"/>
        <v>&lt;/li&gt;&lt;li&gt;&lt;a href=|http://drb.scripturetext.com/revelation/8.htm| title=|Douay-Rheims Bible| target=|_top|&gt;DRB&lt;/a&gt;</v>
      </c>
      <c r="T1175" t="str">
        <f t="shared" si="4696"/>
        <v>&lt;/li&gt;&lt;li&gt;&lt;a href=|http://erv.scripturetext.com/revelation/8.htm| title=|English Revised Version| target=|_top|&gt;ERV&lt;/a&gt;</v>
      </c>
      <c r="U1175" t="str">
        <f>CONCATENATE("&lt;/li&gt;&lt;li&gt;&lt;a href=|http://",U1191,"/revelation/8.htm","| ","title=|",U1190,"| target=|_top|&gt;",U1192,"&lt;/a&gt;")</f>
        <v>&lt;/li&gt;&lt;li&gt;&lt;a href=|http://study.interlinearbible.org/revelation/8.htm| title=|Greek Study Bible| target=|_top|&gt;Grk Study&lt;/a&gt;</v>
      </c>
      <c r="W1175" t="str">
        <f t="shared" si="4696"/>
        <v>&lt;/li&gt;&lt;li&gt;&lt;a href=|http://apostolic.interlinearbible.org/revelation/8.htm| title=|Apostolic Bible Polyglot Interlinear| target=|_top|&gt;Polyglot&lt;/a&gt;</v>
      </c>
      <c r="X1175" t="str">
        <f t="shared" si="4696"/>
        <v>&lt;/li&gt;&lt;li&gt;&lt;a href=|http://interlinearbible.org/revelation/8.htm| title=|Interlinear Bible| target=|_top|&gt;Interlin&lt;/a&gt;</v>
      </c>
      <c r="Y1175" t="str">
        <f t="shared" ref="Y1175" si="4697">CONCATENATE("&lt;/li&gt;&lt;li&gt;&lt;a href=|http://",Y1191,"/revelation/8.htm","| ","title=|",Y1190,"| target=|_top|&gt;",Y1192,"&lt;/a&gt;")</f>
        <v>&lt;/li&gt;&lt;li&gt;&lt;a href=|http://bibleoutline.org/revelation/8.htm| title=|Outline with People and Places List| target=|_top|&gt;Outline&lt;/a&gt;</v>
      </c>
      <c r="Z1175" t="str">
        <f t="shared" si="4696"/>
        <v>&lt;/li&gt;&lt;li&gt;&lt;a href=|http://kjvs.scripturetext.com/revelation/8.htm| title=|King James Bible with Strong's Numbers| target=|_top|&gt;Strong's&lt;/a&gt;</v>
      </c>
      <c r="AA1175" t="str">
        <f t="shared" si="4696"/>
        <v>&lt;/li&gt;&lt;li&gt;&lt;a href=|http://childrensbibleonline.com/revelation/8.htm| title=|The Children's Bible| target=|_top|&gt;Children's&lt;/a&gt;</v>
      </c>
      <c r="AB1175" s="2" t="str">
        <f t="shared" si="4696"/>
        <v>&lt;/li&gt;&lt;li&gt;&lt;a href=|http://tsk.scripturetext.com/revelation/8.htm| title=|Treasury of Scripture Knowledge| target=|_top|&gt;TSK&lt;/a&gt;</v>
      </c>
      <c r="AC1175" t="str">
        <f>CONCATENATE("&lt;a href=|http://",AC1191,"/revelation/8.htm","| ","title=|",AC1190,"| target=|_top|&gt;",AC1192,"&lt;/a&gt;")</f>
        <v>&lt;a href=|http://parallelbible.com/revelation/8.htm| title=|Parallel Chapters| target=|_top|&gt;PAR&lt;/a&gt;</v>
      </c>
      <c r="AD1175" s="2" t="str">
        <f t="shared" ref="AD1175:AI1175" si="4698">CONCATENATE("&lt;/li&gt;&lt;li&gt;&lt;a href=|http://",AD1191,"/revelation/8.htm","| ","title=|",AD1190,"| target=|_top|&gt;",AD1192,"&lt;/a&gt;")</f>
        <v>&lt;/li&gt;&lt;li&gt;&lt;a href=|http://gsb.biblecommenter.com/revelation/8.htm| title=|Geneva Study Bible| target=|_top|&gt;GSB&lt;/a&gt;</v>
      </c>
      <c r="AE1175" s="2" t="str">
        <f t="shared" si="4698"/>
        <v>&lt;/li&gt;&lt;li&gt;&lt;a href=|http://jfb.biblecommenter.com/revelation/8.htm| title=|Jamieson-Fausset-Brown Bible Commentary| target=|_top|&gt;JFB&lt;/a&gt;</v>
      </c>
      <c r="AF1175" s="2" t="str">
        <f t="shared" si="4698"/>
        <v>&lt;/li&gt;&lt;li&gt;&lt;a href=|http://kjt.biblecommenter.com/revelation/8.htm| title=|King James Translators' Notes| target=|_top|&gt;KJT&lt;/a&gt;</v>
      </c>
      <c r="AG1175" s="2" t="str">
        <f t="shared" si="4698"/>
        <v>&lt;/li&gt;&lt;li&gt;&lt;a href=|http://mhc.biblecommenter.com/revelation/8.htm| title=|Matthew Henry's Concise Commentary| target=|_top|&gt;MHC&lt;/a&gt;</v>
      </c>
      <c r="AH1175" s="2" t="str">
        <f t="shared" si="4698"/>
        <v>&lt;/li&gt;&lt;li&gt;&lt;a href=|http://sco.biblecommenter.com/revelation/8.htm| title=|Scofield Reference Notes| target=|_top|&gt;SCO&lt;/a&gt;</v>
      </c>
      <c r="AI1175" s="2" t="str">
        <f t="shared" si="4698"/>
        <v>&lt;/li&gt;&lt;li&gt;&lt;a href=|http://wes.biblecommenter.com/revelation/8.htm| title=|Wesley's Notes on the Bible| target=|_top|&gt;WES&lt;/a&gt;</v>
      </c>
      <c r="AJ1175" t="str">
        <f>CONCATENATE("&lt;/li&gt;&lt;li&gt;&lt;a href=|http://",AJ1191,"/revelation/8.htm","| ","title=|",AJ1190,"| target=|_top|&gt;",AJ1192,"&lt;/a&gt;")</f>
        <v>&lt;/li&gt;&lt;li&gt;&lt;a href=|http://worldebible.com/revelation/8.htm| title=|World English Bible| target=|_top|&gt;WEB&lt;/a&gt;</v>
      </c>
      <c r="AK1175" t="str">
        <f>CONCATENATE("&lt;/li&gt;&lt;li&gt;&lt;a href=|http://",AK1191,"/revelation/8.htm","| ","title=|",AK1190,"| target=|_top|&gt;",AK1192,"&lt;/a&gt;")</f>
        <v>&lt;/li&gt;&lt;li&gt;&lt;a href=|http://yltbible.com/revelation/8.htm| title=|Young's Literal Translation| target=|_top|&gt;YLT&lt;/a&gt;</v>
      </c>
      <c r="AL1175" t="str">
        <f>CONCATENATE("&lt;a href=|http://",AL1191,"/revelation/8.htm","| ","title=|",AL1190,"| target=|_top|&gt;",AL1192,"&lt;/a&gt;")</f>
        <v>&lt;a href=|http://kjv.us/revelation/8.htm| title=|American King James Version| target=|_top|&gt;AKJ&lt;/a&gt;</v>
      </c>
      <c r="AM1175" t="str">
        <f t="shared" ref="AM1175:AS1175" si="4699">CONCATENATE("&lt;/li&gt;&lt;li&gt;&lt;a href=|http://",AM1191,"/revelation/8.htm","| ","title=|",AM1190,"| target=|_top|&gt;",AM1192,"&lt;/a&gt;")</f>
        <v>&lt;/li&gt;&lt;li&gt;&lt;a href=|http://basicenglishbible.com/revelation/8.htm| title=|Bible in Basic English| target=|_top|&gt;BBE&lt;/a&gt;</v>
      </c>
      <c r="AN1175" t="str">
        <f t="shared" si="4699"/>
        <v>&lt;/li&gt;&lt;li&gt;&lt;a href=|http://darbybible.com/revelation/8.htm| title=|Darby Bible Translation| target=|_top|&gt;DBY&lt;/a&gt;</v>
      </c>
      <c r="AO1175" t="str">
        <f t="shared" si="4699"/>
        <v>&lt;/li&gt;&lt;li&gt;&lt;a href=|http://isv.scripturetext.com/revelation/8.htm| title=|International Standard Version| target=|_top|&gt;ISV&lt;/a&gt;</v>
      </c>
      <c r="AP1175" t="str">
        <f t="shared" si="4699"/>
        <v>&lt;/li&gt;&lt;li&gt;&lt;a href=|http://tnt.scripturetext.com/revelation/8.htm| title=|Tyndale New Testament| target=|_top|&gt;TNT&lt;/a&gt;</v>
      </c>
      <c r="AQ1175" s="2" t="str">
        <f t="shared" si="4699"/>
        <v>&lt;/li&gt;&lt;li&gt;&lt;a href=|http://pnt.biblecommenter.com/revelation/8.htm| title=|People's New Testament| target=|_top|&gt;PNT&lt;/a&gt;</v>
      </c>
      <c r="AR1175" t="str">
        <f t="shared" si="4699"/>
        <v>&lt;/li&gt;&lt;li&gt;&lt;a href=|http://websterbible.com/revelation/8.htm| title=|Webster's Bible Translation| target=|_top|&gt;WBS&lt;/a&gt;</v>
      </c>
      <c r="AS1175" t="str">
        <f t="shared" si="4699"/>
        <v>&lt;/li&gt;&lt;li&gt;&lt;a href=|http://weymouthbible.com/revelation/8.htm| title=|Weymouth New Testament| target=|_top|&gt;WEY&lt;/a&gt;</v>
      </c>
      <c r="AT1175" t="str">
        <f>CONCATENATE("&lt;/li&gt;&lt;li&gt;&lt;a href=|http://",AT1191,"/revelation/8-1.htm","| ","title=|",AT1190,"| target=|_top|&gt;",AT1192,"&lt;/a&gt;")</f>
        <v>&lt;/li&gt;&lt;li&gt;&lt;a href=|http://biblebrowser.com/revelation/8-1.htm| title=|Split View| target=|_top|&gt;Split&lt;/a&gt;</v>
      </c>
      <c r="AU1175" s="2" t="s">
        <v>1276</v>
      </c>
      <c r="AV1175" t="s">
        <v>64</v>
      </c>
    </row>
    <row r="1176" spans="1:48">
      <c r="A1176" t="s">
        <v>622</v>
      </c>
      <c r="B1176" t="s">
        <v>607</v>
      </c>
      <c r="C1176" t="s">
        <v>624</v>
      </c>
      <c r="D1176" t="s">
        <v>1268</v>
      </c>
      <c r="E1176" t="s">
        <v>1277</v>
      </c>
      <c r="F1176" t="s">
        <v>1304</v>
      </c>
      <c r="G1176" t="s">
        <v>1266</v>
      </c>
      <c r="H1176" t="s">
        <v>1305</v>
      </c>
      <c r="I1176" t="s">
        <v>1303</v>
      </c>
      <c r="J1176" t="s">
        <v>1267</v>
      </c>
      <c r="K1176" t="s">
        <v>1275</v>
      </c>
      <c r="L1176" s="2" t="s">
        <v>1274</v>
      </c>
      <c r="M1176" t="str">
        <f t="shared" ref="M1176:AB1176" si="4700">CONCATENATE("&lt;/li&gt;&lt;li&gt;&lt;a href=|http://",M1191,"/revelation/9.htm","| ","title=|",M1190,"| target=|_top|&gt;",M1192,"&lt;/a&gt;")</f>
        <v>&lt;/li&gt;&lt;li&gt;&lt;a href=|http://niv.scripturetext.com/revelation/9.htm| title=|New International Version| target=|_top|&gt;NIV&lt;/a&gt;</v>
      </c>
      <c r="N1176" t="str">
        <f t="shared" si="4700"/>
        <v>&lt;/li&gt;&lt;li&gt;&lt;a href=|http://nlt.scripturetext.com/revelation/9.htm| title=|New Living Translation| target=|_top|&gt;NLT&lt;/a&gt;</v>
      </c>
      <c r="O1176" t="str">
        <f t="shared" si="4700"/>
        <v>&lt;/li&gt;&lt;li&gt;&lt;a href=|http://nasb.scripturetext.com/revelation/9.htm| title=|New American Standard Bible| target=|_top|&gt;NAS&lt;/a&gt;</v>
      </c>
      <c r="P1176" t="str">
        <f t="shared" si="4700"/>
        <v>&lt;/li&gt;&lt;li&gt;&lt;a href=|http://gwt.scripturetext.com/revelation/9.htm| title=|God's Word Translation| target=|_top|&gt;GWT&lt;/a&gt;</v>
      </c>
      <c r="Q1176" t="str">
        <f t="shared" si="4700"/>
        <v>&lt;/li&gt;&lt;li&gt;&lt;a href=|http://kingjbible.com/revelation/9.htm| title=|King James Bible| target=|_top|&gt;KJV&lt;/a&gt;</v>
      </c>
      <c r="R1176" t="str">
        <f t="shared" si="4700"/>
        <v>&lt;/li&gt;&lt;li&gt;&lt;a href=|http://asvbible.com/revelation/9.htm| title=|American Standard Version| target=|_top|&gt;ASV&lt;/a&gt;</v>
      </c>
      <c r="S1176" t="str">
        <f t="shared" si="4700"/>
        <v>&lt;/li&gt;&lt;li&gt;&lt;a href=|http://drb.scripturetext.com/revelation/9.htm| title=|Douay-Rheims Bible| target=|_top|&gt;DRB&lt;/a&gt;</v>
      </c>
      <c r="T1176" t="str">
        <f t="shared" si="4700"/>
        <v>&lt;/li&gt;&lt;li&gt;&lt;a href=|http://erv.scripturetext.com/revelation/9.htm| title=|English Revised Version| target=|_top|&gt;ERV&lt;/a&gt;</v>
      </c>
      <c r="U1176" t="str">
        <f>CONCATENATE("&lt;/li&gt;&lt;li&gt;&lt;a href=|http://",U1191,"/revelation/9.htm","| ","title=|",U1190,"| target=|_top|&gt;",U1192,"&lt;/a&gt;")</f>
        <v>&lt;/li&gt;&lt;li&gt;&lt;a href=|http://study.interlinearbible.org/revelation/9.htm| title=|Greek Study Bible| target=|_top|&gt;Grk Study&lt;/a&gt;</v>
      </c>
      <c r="W1176" t="str">
        <f t="shared" si="4700"/>
        <v>&lt;/li&gt;&lt;li&gt;&lt;a href=|http://apostolic.interlinearbible.org/revelation/9.htm| title=|Apostolic Bible Polyglot Interlinear| target=|_top|&gt;Polyglot&lt;/a&gt;</v>
      </c>
      <c r="X1176" t="str">
        <f t="shared" si="4700"/>
        <v>&lt;/li&gt;&lt;li&gt;&lt;a href=|http://interlinearbible.org/revelation/9.htm| title=|Interlinear Bible| target=|_top|&gt;Interlin&lt;/a&gt;</v>
      </c>
      <c r="Y1176" t="str">
        <f t="shared" ref="Y1176" si="4701">CONCATENATE("&lt;/li&gt;&lt;li&gt;&lt;a href=|http://",Y1191,"/revelation/9.htm","| ","title=|",Y1190,"| target=|_top|&gt;",Y1192,"&lt;/a&gt;")</f>
        <v>&lt;/li&gt;&lt;li&gt;&lt;a href=|http://bibleoutline.org/revelation/9.htm| title=|Outline with People and Places List| target=|_top|&gt;Outline&lt;/a&gt;</v>
      </c>
      <c r="Z1176" t="str">
        <f t="shared" si="4700"/>
        <v>&lt;/li&gt;&lt;li&gt;&lt;a href=|http://kjvs.scripturetext.com/revelation/9.htm| title=|King James Bible with Strong's Numbers| target=|_top|&gt;Strong's&lt;/a&gt;</v>
      </c>
      <c r="AA1176" t="str">
        <f t="shared" si="4700"/>
        <v>&lt;/li&gt;&lt;li&gt;&lt;a href=|http://childrensbibleonline.com/revelation/9.htm| title=|The Children's Bible| target=|_top|&gt;Children's&lt;/a&gt;</v>
      </c>
      <c r="AB1176" s="2" t="str">
        <f t="shared" si="4700"/>
        <v>&lt;/li&gt;&lt;li&gt;&lt;a href=|http://tsk.scripturetext.com/revelation/9.htm| title=|Treasury of Scripture Knowledge| target=|_top|&gt;TSK&lt;/a&gt;</v>
      </c>
      <c r="AC1176" t="str">
        <f>CONCATENATE("&lt;a href=|http://",AC1191,"/revelation/9.htm","| ","title=|",AC1190,"| target=|_top|&gt;",AC1192,"&lt;/a&gt;")</f>
        <v>&lt;a href=|http://parallelbible.com/revelation/9.htm| title=|Parallel Chapters| target=|_top|&gt;PAR&lt;/a&gt;</v>
      </c>
      <c r="AD1176" s="2" t="str">
        <f t="shared" ref="AD1176:AI1176" si="4702">CONCATENATE("&lt;/li&gt;&lt;li&gt;&lt;a href=|http://",AD1191,"/revelation/9.htm","| ","title=|",AD1190,"| target=|_top|&gt;",AD1192,"&lt;/a&gt;")</f>
        <v>&lt;/li&gt;&lt;li&gt;&lt;a href=|http://gsb.biblecommenter.com/revelation/9.htm| title=|Geneva Study Bible| target=|_top|&gt;GSB&lt;/a&gt;</v>
      </c>
      <c r="AE1176" s="2" t="str">
        <f t="shared" si="4702"/>
        <v>&lt;/li&gt;&lt;li&gt;&lt;a href=|http://jfb.biblecommenter.com/revelation/9.htm| title=|Jamieson-Fausset-Brown Bible Commentary| target=|_top|&gt;JFB&lt;/a&gt;</v>
      </c>
      <c r="AF1176" s="2" t="str">
        <f t="shared" si="4702"/>
        <v>&lt;/li&gt;&lt;li&gt;&lt;a href=|http://kjt.biblecommenter.com/revelation/9.htm| title=|King James Translators' Notes| target=|_top|&gt;KJT&lt;/a&gt;</v>
      </c>
      <c r="AG1176" s="2" t="str">
        <f t="shared" si="4702"/>
        <v>&lt;/li&gt;&lt;li&gt;&lt;a href=|http://mhc.biblecommenter.com/revelation/9.htm| title=|Matthew Henry's Concise Commentary| target=|_top|&gt;MHC&lt;/a&gt;</v>
      </c>
      <c r="AH1176" s="2" t="str">
        <f t="shared" si="4702"/>
        <v>&lt;/li&gt;&lt;li&gt;&lt;a href=|http://sco.biblecommenter.com/revelation/9.htm| title=|Scofield Reference Notes| target=|_top|&gt;SCO&lt;/a&gt;</v>
      </c>
      <c r="AI1176" s="2" t="str">
        <f t="shared" si="4702"/>
        <v>&lt;/li&gt;&lt;li&gt;&lt;a href=|http://wes.biblecommenter.com/revelation/9.htm| title=|Wesley's Notes on the Bible| target=|_top|&gt;WES&lt;/a&gt;</v>
      </c>
      <c r="AJ1176" t="str">
        <f>CONCATENATE("&lt;/li&gt;&lt;li&gt;&lt;a href=|http://",AJ1191,"/revelation/9.htm","| ","title=|",AJ1190,"| target=|_top|&gt;",AJ1192,"&lt;/a&gt;")</f>
        <v>&lt;/li&gt;&lt;li&gt;&lt;a href=|http://worldebible.com/revelation/9.htm| title=|World English Bible| target=|_top|&gt;WEB&lt;/a&gt;</v>
      </c>
      <c r="AK1176" t="str">
        <f>CONCATENATE("&lt;/li&gt;&lt;li&gt;&lt;a href=|http://",AK1191,"/revelation/9.htm","| ","title=|",AK1190,"| target=|_top|&gt;",AK1192,"&lt;/a&gt;")</f>
        <v>&lt;/li&gt;&lt;li&gt;&lt;a href=|http://yltbible.com/revelation/9.htm| title=|Young's Literal Translation| target=|_top|&gt;YLT&lt;/a&gt;</v>
      </c>
      <c r="AL1176" t="str">
        <f>CONCATENATE("&lt;a href=|http://",AL1191,"/revelation/9.htm","| ","title=|",AL1190,"| target=|_top|&gt;",AL1192,"&lt;/a&gt;")</f>
        <v>&lt;a href=|http://kjv.us/revelation/9.htm| title=|American King James Version| target=|_top|&gt;AKJ&lt;/a&gt;</v>
      </c>
      <c r="AM1176" t="str">
        <f t="shared" ref="AM1176:AS1176" si="4703">CONCATENATE("&lt;/li&gt;&lt;li&gt;&lt;a href=|http://",AM1191,"/revelation/9.htm","| ","title=|",AM1190,"| target=|_top|&gt;",AM1192,"&lt;/a&gt;")</f>
        <v>&lt;/li&gt;&lt;li&gt;&lt;a href=|http://basicenglishbible.com/revelation/9.htm| title=|Bible in Basic English| target=|_top|&gt;BBE&lt;/a&gt;</v>
      </c>
      <c r="AN1176" t="str">
        <f t="shared" si="4703"/>
        <v>&lt;/li&gt;&lt;li&gt;&lt;a href=|http://darbybible.com/revelation/9.htm| title=|Darby Bible Translation| target=|_top|&gt;DBY&lt;/a&gt;</v>
      </c>
      <c r="AO1176" t="str">
        <f t="shared" si="4703"/>
        <v>&lt;/li&gt;&lt;li&gt;&lt;a href=|http://isv.scripturetext.com/revelation/9.htm| title=|International Standard Version| target=|_top|&gt;ISV&lt;/a&gt;</v>
      </c>
      <c r="AP1176" t="str">
        <f t="shared" si="4703"/>
        <v>&lt;/li&gt;&lt;li&gt;&lt;a href=|http://tnt.scripturetext.com/revelation/9.htm| title=|Tyndale New Testament| target=|_top|&gt;TNT&lt;/a&gt;</v>
      </c>
      <c r="AQ1176" s="2" t="str">
        <f t="shared" si="4703"/>
        <v>&lt;/li&gt;&lt;li&gt;&lt;a href=|http://pnt.biblecommenter.com/revelation/9.htm| title=|People's New Testament| target=|_top|&gt;PNT&lt;/a&gt;</v>
      </c>
      <c r="AR1176" t="str">
        <f t="shared" si="4703"/>
        <v>&lt;/li&gt;&lt;li&gt;&lt;a href=|http://websterbible.com/revelation/9.htm| title=|Webster's Bible Translation| target=|_top|&gt;WBS&lt;/a&gt;</v>
      </c>
      <c r="AS1176" t="str">
        <f t="shared" si="4703"/>
        <v>&lt;/li&gt;&lt;li&gt;&lt;a href=|http://weymouthbible.com/revelation/9.htm| title=|Weymouth New Testament| target=|_top|&gt;WEY&lt;/a&gt;</v>
      </c>
      <c r="AT1176" t="str">
        <f>CONCATENATE("&lt;/li&gt;&lt;li&gt;&lt;a href=|http://",AT1191,"/revelation/9-1.htm","| ","title=|",AT1190,"| target=|_top|&gt;",AT1192,"&lt;/a&gt;")</f>
        <v>&lt;/li&gt;&lt;li&gt;&lt;a href=|http://biblebrowser.com/revelation/9-1.htm| title=|Split View| target=|_top|&gt;Split&lt;/a&gt;</v>
      </c>
      <c r="AU1176" s="2" t="s">
        <v>1276</v>
      </c>
      <c r="AV1176" t="s">
        <v>64</v>
      </c>
    </row>
    <row r="1177" spans="1:48">
      <c r="A1177" t="s">
        <v>622</v>
      </c>
      <c r="B1177" t="s">
        <v>608</v>
      </c>
      <c r="C1177" t="s">
        <v>624</v>
      </c>
      <c r="D1177" t="s">
        <v>1268</v>
      </c>
      <c r="E1177" t="s">
        <v>1277</v>
      </c>
      <c r="F1177" t="s">
        <v>1304</v>
      </c>
      <c r="G1177" t="s">
        <v>1266</v>
      </c>
      <c r="H1177" t="s">
        <v>1305</v>
      </c>
      <c r="I1177" t="s">
        <v>1303</v>
      </c>
      <c r="J1177" t="s">
        <v>1267</v>
      </c>
      <c r="K1177" t="s">
        <v>1275</v>
      </c>
      <c r="L1177" s="2" t="s">
        <v>1274</v>
      </c>
      <c r="M1177" t="str">
        <f t="shared" ref="M1177:AB1177" si="4704">CONCATENATE("&lt;/li&gt;&lt;li&gt;&lt;a href=|http://",M1191,"/revelation/10.htm","| ","title=|",M1190,"| target=|_top|&gt;",M1192,"&lt;/a&gt;")</f>
        <v>&lt;/li&gt;&lt;li&gt;&lt;a href=|http://niv.scripturetext.com/revelation/10.htm| title=|New International Version| target=|_top|&gt;NIV&lt;/a&gt;</v>
      </c>
      <c r="N1177" t="str">
        <f t="shared" si="4704"/>
        <v>&lt;/li&gt;&lt;li&gt;&lt;a href=|http://nlt.scripturetext.com/revelation/10.htm| title=|New Living Translation| target=|_top|&gt;NLT&lt;/a&gt;</v>
      </c>
      <c r="O1177" t="str">
        <f t="shared" si="4704"/>
        <v>&lt;/li&gt;&lt;li&gt;&lt;a href=|http://nasb.scripturetext.com/revelation/10.htm| title=|New American Standard Bible| target=|_top|&gt;NAS&lt;/a&gt;</v>
      </c>
      <c r="P1177" t="str">
        <f t="shared" si="4704"/>
        <v>&lt;/li&gt;&lt;li&gt;&lt;a href=|http://gwt.scripturetext.com/revelation/10.htm| title=|God's Word Translation| target=|_top|&gt;GWT&lt;/a&gt;</v>
      </c>
      <c r="Q1177" t="str">
        <f t="shared" si="4704"/>
        <v>&lt;/li&gt;&lt;li&gt;&lt;a href=|http://kingjbible.com/revelation/10.htm| title=|King James Bible| target=|_top|&gt;KJV&lt;/a&gt;</v>
      </c>
      <c r="R1177" t="str">
        <f t="shared" si="4704"/>
        <v>&lt;/li&gt;&lt;li&gt;&lt;a href=|http://asvbible.com/revelation/10.htm| title=|American Standard Version| target=|_top|&gt;ASV&lt;/a&gt;</v>
      </c>
      <c r="S1177" t="str">
        <f t="shared" si="4704"/>
        <v>&lt;/li&gt;&lt;li&gt;&lt;a href=|http://drb.scripturetext.com/revelation/10.htm| title=|Douay-Rheims Bible| target=|_top|&gt;DRB&lt;/a&gt;</v>
      </c>
      <c r="T1177" t="str">
        <f t="shared" si="4704"/>
        <v>&lt;/li&gt;&lt;li&gt;&lt;a href=|http://erv.scripturetext.com/revelation/10.htm| title=|English Revised Version| target=|_top|&gt;ERV&lt;/a&gt;</v>
      </c>
      <c r="U1177" t="str">
        <f>CONCATENATE("&lt;/li&gt;&lt;li&gt;&lt;a href=|http://",U1191,"/revelation/10.htm","| ","title=|",U1190,"| target=|_top|&gt;",U1192,"&lt;/a&gt;")</f>
        <v>&lt;/li&gt;&lt;li&gt;&lt;a href=|http://study.interlinearbible.org/revelation/10.htm| title=|Greek Study Bible| target=|_top|&gt;Grk Study&lt;/a&gt;</v>
      </c>
      <c r="W1177" t="str">
        <f t="shared" si="4704"/>
        <v>&lt;/li&gt;&lt;li&gt;&lt;a href=|http://apostolic.interlinearbible.org/revelation/10.htm| title=|Apostolic Bible Polyglot Interlinear| target=|_top|&gt;Polyglot&lt;/a&gt;</v>
      </c>
      <c r="X1177" t="str">
        <f t="shared" si="4704"/>
        <v>&lt;/li&gt;&lt;li&gt;&lt;a href=|http://interlinearbible.org/revelation/10.htm| title=|Interlinear Bible| target=|_top|&gt;Interlin&lt;/a&gt;</v>
      </c>
      <c r="Y1177" t="str">
        <f t="shared" ref="Y1177" si="4705">CONCATENATE("&lt;/li&gt;&lt;li&gt;&lt;a href=|http://",Y1191,"/revelation/10.htm","| ","title=|",Y1190,"| target=|_top|&gt;",Y1192,"&lt;/a&gt;")</f>
        <v>&lt;/li&gt;&lt;li&gt;&lt;a href=|http://bibleoutline.org/revelation/10.htm| title=|Outline with People and Places List| target=|_top|&gt;Outline&lt;/a&gt;</v>
      </c>
      <c r="Z1177" t="str">
        <f t="shared" si="4704"/>
        <v>&lt;/li&gt;&lt;li&gt;&lt;a href=|http://kjvs.scripturetext.com/revelation/10.htm| title=|King James Bible with Strong's Numbers| target=|_top|&gt;Strong's&lt;/a&gt;</v>
      </c>
      <c r="AA1177" t="str">
        <f t="shared" si="4704"/>
        <v>&lt;/li&gt;&lt;li&gt;&lt;a href=|http://childrensbibleonline.com/revelation/10.htm| title=|The Children's Bible| target=|_top|&gt;Children's&lt;/a&gt;</v>
      </c>
      <c r="AB1177" s="2" t="str">
        <f t="shared" si="4704"/>
        <v>&lt;/li&gt;&lt;li&gt;&lt;a href=|http://tsk.scripturetext.com/revelation/10.htm| title=|Treasury of Scripture Knowledge| target=|_top|&gt;TSK&lt;/a&gt;</v>
      </c>
      <c r="AC1177" t="str">
        <f>CONCATENATE("&lt;a href=|http://",AC1191,"/revelation/10.htm","| ","title=|",AC1190,"| target=|_top|&gt;",AC1192,"&lt;/a&gt;")</f>
        <v>&lt;a href=|http://parallelbible.com/revelation/10.htm| title=|Parallel Chapters| target=|_top|&gt;PAR&lt;/a&gt;</v>
      </c>
      <c r="AD1177" s="2" t="str">
        <f t="shared" ref="AD1177:AI1177" si="4706">CONCATENATE("&lt;/li&gt;&lt;li&gt;&lt;a href=|http://",AD1191,"/revelation/10.htm","| ","title=|",AD1190,"| target=|_top|&gt;",AD1192,"&lt;/a&gt;")</f>
        <v>&lt;/li&gt;&lt;li&gt;&lt;a href=|http://gsb.biblecommenter.com/revelation/10.htm| title=|Geneva Study Bible| target=|_top|&gt;GSB&lt;/a&gt;</v>
      </c>
      <c r="AE1177" s="2" t="str">
        <f t="shared" si="4706"/>
        <v>&lt;/li&gt;&lt;li&gt;&lt;a href=|http://jfb.biblecommenter.com/revelation/10.htm| title=|Jamieson-Fausset-Brown Bible Commentary| target=|_top|&gt;JFB&lt;/a&gt;</v>
      </c>
      <c r="AF1177" s="2" t="str">
        <f t="shared" si="4706"/>
        <v>&lt;/li&gt;&lt;li&gt;&lt;a href=|http://kjt.biblecommenter.com/revelation/10.htm| title=|King James Translators' Notes| target=|_top|&gt;KJT&lt;/a&gt;</v>
      </c>
      <c r="AG1177" s="2" t="str">
        <f t="shared" si="4706"/>
        <v>&lt;/li&gt;&lt;li&gt;&lt;a href=|http://mhc.biblecommenter.com/revelation/10.htm| title=|Matthew Henry's Concise Commentary| target=|_top|&gt;MHC&lt;/a&gt;</v>
      </c>
      <c r="AH1177" s="2" t="str">
        <f t="shared" si="4706"/>
        <v>&lt;/li&gt;&lt;li&gt;&lt;a href=|http://sco.biblecommenter.com/revelation/10.htm| title=|Scofield Reference Notes| target=|_top|&gt;SCO&lt;/a&gt;</v>
      </c>
      <c r="AI1177" s="2" t="str">
        <f t="shared" si="4706"/>
        <v>&lt;/li&gt;&lt;li&gt;&lt;a href=|http://wes.biblecommenter.com/revelation/10.htm| title=|Wesley's Notes on the Bible| target=|_top|&gt;WES&lt;/a&gt;</v>
      </c>
      <c r="AJ1177" t="str">
        <f>CONCATENATE("&lt;/li&gt;&lt;li&gt;&lt;a href=|http://",AJ1191,"/revelation/10.htm","| ","title=|",AJ1190,"| target=|_top|&gt;",AJ1192,"&lt;/a&gt;")</f>
        <v>&lt;/li&gt;&lt;li&gt;&lt;a href=|http://worldebible.com/revelation/10.htm| title=|World English Bible| target=|_top|&gt;WEB&lt;/a&gt;</v>
      </c>
      <c r="AK1177" t="str">
        <f>CONCATENATE("&lt;/li&gt;&lt;li&gt;&lt;a href=|http://",AK1191,"/revelation/10.htm","| ","title=|",AK1190,"| target=|_top|&gt;",AK1192,"&lt;/a&gt;")</f>
        <v>&lt;/li&gt;&lt;li&gt;&lt;a href=|http://yltbible.com/revelation/10.htm| title=|Young's Literal Translation| target=|_top|&gt;YLT&lt;/a&gt;</v>
      </c>
      <c r="AL1177" t="str">
        <f>CONCATENATE("&lt;a href=|http://",AL1191,"/revelation/10.htm","| ","title=|",AL1190,"| target=|_top|&gt;",AL1192,"&lt;/a&gt;")</f>
        <v>&lt;a href=|http://kjv.us/revelation/10.htm| title=|American King James Version| target=|_top|&gt;AKJ&lt;/a&gt;</v>
      </c>
      <c r="AM1177" t="str">
        <f t="shared" ref="AM1177:AS1177" si="4707">CONCATENATE("&lt;/li&gt;&lt;li&gt;&lt;a href=|http://",AM1191,"/revelation/10.htm","| ","title=|",AM1190,"| target=|_top|&gt;",AM1192,"&lt;/a&gt;")</f>
        <v>&lt;/li&gt;&lt;li&gt;&lt;a href=|http://basicenglishbible.com/revelation/10.htm| title=|Bible in Basic English| target=|_top|&gt;BBE&lt;/a&gt;</v>
      </c>
      <c r="AN1177" t="str">
        <f t="shared" si="4707"/>
        <v>&lt;/li&gt;&lt;li&gt;&lt;a href=|http://darbybible.com/revelation/10.htm| title=|Darby Bible Translation| target=|_top|&gt;DBY&lt;/a&gt;</v>
      </c>
      <c r="AO1177" t="str">
        <f t="shared" si="4707"/>
        <v>&lt;/li&gt;&lt;li&gt;&lt;a href=|http://isv.scripturetext.com/revelation/10.htm| title=|International Standard Version| target=|_top|&gt;ISV&lt;/a&gt;</v>
      </c>
      <c r="AP1177" t="str">
        <f t="shared" si="4707"/>
        <v>&lt;/li&gt;&lt;li&gt;&lt;a href=|http://tnt.scripturetext.com/revelation/10.htm| title=|Tyndale New Testament| target=|_top|&gt;TNT&lt;/a&gt;</v>
      </c>
      <c r="AQ1177" s="2" t="str">
        <f t="shared" si="4707"/>
        <v>&lt;/li&gt;&lt;li&gt;&lt;a href=|http://pnt.biblecommenter.com/revelation/10.htm| title=|People's New Testament| target=|_top|&gt;PNT&lt;/a&gt;</v>
      </c>
      <c r="AR1177" t="str">
        <f t="shared" si="4707"/>
        <v>&lt;/li&gt;&lt;li&gt;&lt;a href=|http://websterbible.com/revelation/10.htm| title=|Webster's Bible Translation| target=|_top|&gt;WBS&lt;/a&gt;</v>
      </c>
      <c r="AS1177" t="str">
        <f t="shared" si="4707"/>
        <v>&lt;/li&gt;&lt;li&gt;&lt;a href=|http://weymouthbible.com/revelation/10.htm| title=|Weymouth New Testament| target=|_top|&gt;WEY&lt;/a&gt;</v>
      </c>
      <c r="AT1177" t="str">
        <f>CONCATENATE("&lt;/li&gt;&lt;li&gt;&lt;a href=|http://",AT1191,"/revelation/10-1.htm","| ","title=|",AT1190,"| target=|_top|&gt;",AT1192,"&lt;/a&gt;")</f>
        <v>&lt;/li&gt;&lt;li&gt;&lt;a href=|http://biblebrowser.com/revelation/10-1.htm| title=|Split View| target=|_top|&gt;Split&lt;/a&gt;</v>
      </c>
      <c r="AU1177" s="2" t="s">
        <v>1276</v>
      </c>
      <c r="AV1177" t="s">
        <v>64</v>
      </c>
    </row>
    <row r="1178" spans="1:48">
      <c r="A1178" t="s">
        <v>622</v>
      </c>
      <c r="B1178" t="s">
        <v>609</v>
      </c>
      <c r="C1178" t="s">
        <v>624</v>
      </c>
      <c r="D1178" t="s">
        <v>1268</v>
      </c>
      <c r="E1178" t="s">
        <v>1277</v>
      </c>
      <c r="F1178" t="s">
        <v>1304</v>
      </c>
      <c r="G1178" t="s">
        <v>1266</v>
      </c>
      <c r="H1178" t="s">
        <v>1305</v>
      </c>
      <c r="I1178" t="s">
        <v>1303</v>
      </c>
      <c r="J1178" t="s">
        <v>1267</v>
      </c>
      <c r="K1178" t="s">
        <v>1275</v>
      </c>
      <c r="L1178" s="2" t="s">
        <v>1274</v>
      </c>
      <c r="M1178" t="str">
        <f t="shared" ref="M1178:AB1178" si="4708">CONCATENATE("&lt;/li&gt;&lt;li&gt;&lt;a href=|http://",M1191,"/revelation/11.htm","| ","title=|",M1190,"| target=|_top|&gt;",M1192,"&lt;/a&gt;")</f>
        <v>&lt;/li&gt;&lt;li&gt;&lt;a href=|http://niv.scripturetext.com/revelation/11.htm| title=|New International Version| target=|_top|&gt;NIV&lt;/a&gt;</v>
      </c>
      <c r="N1178" t="str">
        <f t="shared" si="4708"/>
        <v>&lt;/li&gt;&lt;li&gt;&lt;a href=|http://nlt.scripturetext.com/revelation/11.htm| title=|New Living Translation| target=|_top|&gt;NLT&lt;/a&gt;</v>
      </c>
      <c r="O1178" t="str">
        <f t="shared" si="4708"/>
        <v>&lt;/li&gt;&lt;li&gt;&lt;a href=|http://nasb.scripturetext.com/revelation/11.htm| title=|New American Standard Bible| target=|_top|&gt;NAS&lt;/a&gt;</v>
      </c>
      <c r="P1178" t="str">
        <f t="shared" si="4708"/>
        <v>&lt;/li&gt;&lt;li&gt;&lt;a href=|http://gwt.scripturetext.com/revelation/11.htm| title=|God's Word Translation| target=|_top|&gt;GWT&lt;/a&gt;</v>
      </c>
      <c r="Q1178" t="str">
        <f t="shared" si="4708"/>
        <v>&lt;/li&gt;&lt;li&gt;&lt;a href=|http://kingjbible.com/revelation/11.htm| title=|King James Bible| target=|_top|&gt;KJV&lt;/a&gt;</v>
      </c>
      <c r="R1178" t="str">
        <f t="shared" si="4708"/>
        <v>&lt;/li&gt;&lt;li&gt;&lt;a href=|http://asvbible.com/revelation/11.htm| title=|American Standard Version| target=|_top|&gt;ASV&lt;/a&gt;</v>
      </c>
      <c r="S1178" t="str">
        <f t="shared" si="4708"/>
        <v>&lt;/li&gt;&lt;li&gt;&lt;a href=|http://drb.scripturetext.com/revelation/11.htm| title=|Douay-Rheims Bible| target=|_top|&gt;DRB&lt;/a&gt;</v>
      </c>
      <c r="T1178" t="str">
        <f t="shared" si="4708"/>
        <v>&lt;/li&gt;&lt;li&gt;&lt;a href=|http://erv.scripturetext.com/revelation/11.htm| title=|English Revised Version| target=|_top|&gt;ERV&lt;/a&gt;</v>
      </c>
      <c r="U1178" t="str">
        <f>CONCATENATE("&lt;/li&gt;&lt;li&gt;&lt;a href=|http://",U1191,"/revelation/11.htm","| ","title=|",U1190,"| target=|_top|&gt;",U1192,"&lt;/a&gt;")</f>
        <v>&lt;/li&gt;&lt;li&gt;&lt;a href=|http://study.interlinearbible.org/revelation/11.htm| title=|Greek Study Bible| target=|_top|&gt;Grk Study&lt;/a&gt;</v>
      </c>
      <c r="W1178" t="str">
        <f t="shared" si="4708"/>
        <v>&lt;/li&gt;&lt;li&gt;&lt;a href=|http://apostolic.interlinearbible.org/revelation/11.htm| title=|Apostolic Bible Polyglot Interlinear| target=|_top|&gt;Polyglot&lt;/a&gt;</v>
      </c>
      <c r="X1178" t="str">
        <f t="shared" si="4708"/>
        <v>&lt;/li&gt;&lt;li&gt;&lt;a href=|http://interlinearbible.org/revelation/11.htm| title=|Interlinear Bible| target=|_top|&gt;Interlin&lt;/a&gt;</v>
      </c>
      <c r="Y1178" t="str">
        <f t="shared" ref="Y1178" si="4709">CONCATENATE("&lt;/li&gt;&lt;li&gt;&lt;a href=|http://",Y1191,"/revelation/11.htm","| ","title=|",Y1190,"| target=|_top|&gt;",Y1192,"&lt;/a&gt;")</f>
        <v>&lt;/li&gt;&lt;li&gt;&lt;a href=|http://bibleoutline.org/revelation/11.htm| title=|Outline with People and Places List| target=|_top|&gt;Outline&lt;/a&gt;</v>
      </c>
      <c r="Z1178" t="str">
        <f t="shared" si="4708"/>
        <v>&lt;/li&gt;&lt;li&gt;&lt;a href=|http://kjvs.scripturetext.com/revelation/11.htm| title=|King James Bible with Strong's Numbers| target=|_top|&gt;Strong's&lt;/a&gt;</v>
      </c>
      <c r="AA1178" t="str">
        <f t="shared" si="4708"/>
        <v>&lt;/li&gt;&lt;li&gt;&lt;a href=|http://childrensbibleonline.com/revelation/11.htm| title=|The Children's Bible| target=|_top|&gt;Children's&lt;/a&gt;</v>
      </c>
      <c r="AB1178" s="2" t="str">
        <f t="shared" si="4708"/>
        <v>&lt;/li&gt;&lt;li&gt;&lt;a href=|http://tsk.scripturetext.com/revelation/11.htm| title=|Treasury of Scripture Knowledge| target=|_top|&gt;TSK&lt;/a&gt;</v>
      </c>
      <c r="AC1178" t="str">
        <f>CONCATENATE("&lt;a href=|http://",AC1191,"/revelation/11.htm","| ","title=|",AC1190,"| target=|_top|&gt;",AC1192,"&lt;/a&gt;")</f>
        <v>&lt;a href=|http://parallelbible.com/revelation/11.htm| title=|Parallel Chapters| target=|_top|&gt;PAR&lt;/a&gt;</v>
      </c>
      <c r="AD1178" s="2" t="str">
        <f t="shared" ref="AD1178:AI1178" si="4710">CONCATENATE("&lt;/li&gt;&lt;li&gt;&lt;a href=|http://",AD1191,"/revelation/11.htm","| ","title=|",AD1190,"| target=|_top|&gt;",AD1192,"&lt;/a&gt;")</f>
        <v>&lt;/li&gt;&lt;li&gt;&lt;a href=|http://gsb.biblecommenter.com/revelation/11.htm| title=|Geneva Study Bible| target=|_top|&gt;GSB&lt;/a&gt;</v>
      </c>
      <c r="AE1178" s="2" t="str">
        <f t="shared" si="4710"/>
        <v>&lt;/li&gt;&lt;li&gt;&lt;a href=|http://jfb.biblecommenter.com/revelation/11.htm| title=|Jamieson-Fausset-Brown Bible Commentary| target=|_top|&gt;JFB&lt;/a&gt;</v>
      </c>
      <c r="AF1178" s="2" t="str">
        <f t="shared" si="4710"/>
        <v>&lt;/li&gt;&lt;li&gt;&lt;a href=|http://kjt.biblecommenter.com/revelation/11.htm| title=|King James Translators' Notes| target=|_top|&gt;KJT&lt;/a&gt;</v>
      </c>
      <c r="AG1178" s="2" t="str">
        <f t="shared" si="4710"/>
        <v>&lt;/li&gt;&lt;li&gt;&lt;a href=|http://mhc.biblecommenter.com/revelation/11.htm| title=|Matthew Henry's Concise Commentary| target=|_top|&gt;MHC&lt;/a&gt;</v>
      </c>
      <c r="AH1178" s="2" t="str">
        <f t="shared" si="4710"/>
        <v>&lt;/li&gt;&lt;li&gt;&lt;a href=|http://sco.biblecommenter.com/revelation/11.htm| title=|Scofield Reference Notes| target=|_top|&gt;SCO&lt;/a&gt;</v>
      </c>
      <c r="AI1178" s="2" t="str">
        <f t="shared" si="4710"/>
        <v>&lt;/li&gt;&lt;li&gt;&lt;a href=|http://wes.biblecommenter.com/revelation/11.htm| title=|Wesley's Notes on the Bible| target=|_top|&gt;WES&lt;/a&gt;</v>
      </c>
      <c r="AJ1178" t="str">
        <f>CONCATENATE("&lt;/li&gt;&lt;li&gt;&lt;a href=|http://",AJ1191,"/revelation/11.htm","| ","title=|",AJ1190,"| target=|_top|&gt;",AJ1192,"&lt;/a&gt;")</f>
        <v>&lt;/li&gt;&lt;li&gt;&lt;a href=|http://worldebible.com/revelation/11.htm| title=|World English Bible| target=|_top|&gt;WEB&lt;/a&gt;</v>
      </c>
      <c r="AK1178" t="str">
        <f>CONCATENATE("&lt;/li&gt;&lt;li&gt;&lt;a href=|http://",AK1191,"/revelation/11.htm","| ","title=|",AK1190,"| target=|_top|&gt;",AK1192,"&lt;/a&gt;")</f>
        <v>&lt;/li&gt;&lt;li&gt;&lt;a href=|http://yltbible.com/revelation/11.htm| title=|Young's Literal Translation| target=|_top|&gt;YLT&lt;/a&gt;</v>
      </c>
      <c r="AL1178" t="str">
        <f>CONCATENATE("&lt;a href=|http://",AL1191,"/revelation/11.htm","| ","title=|",AL1190,"| target=|_top|&gt;",AL1192,"&lt;/a&gt;")</f>
        <v>&lt;a href=|http://kjv.us/revelation/11.htm| title=|American King James Version| target=|_top|&gt;AKJ&lt;/a&gt;</v>
      </c>
      <c r="AM1178" t="str">
        <f t="shared" ref="AM1178:AS1178" si="4711">CONCATENATE("&lt;/li&gt;&lt;li&gt;&lt;a href=|http://",AM1191,"/revelation/11.htm","| ","title=|",AM1190,"| target=|_top|&gt;",AM1192,"&lt;/a&gt;")</f>
        <v>&lt;/li&gt;&lt;li&gt;&lt;a href=|http://basicenglishbible.com/revelation/11.htm| title=|Bible in Basic English| target=|_top|&gt;BBE&lt;/a&gt;</v>
      </c>
      <c r="AN1178" t="str">
        <f t="shared" si="4711"/>
        <v>&lt;/li&gt;&lt;li&gt;&lt;a href=|http://darbybible.com/revelation/11.htm| title=|Darby Bible Translation| target=|_top|&gt;DBY&lt;/a&gt;</v>
      </c>
      <c r="AO1178" t="str">
        <f t="shared" si="4711"/>
        <v>&lt;/li&gt;&lt;li&gt;&lt;a href=|http://isv.scripturetext.com/revelation/11.htm| title=|International Standard Version| target=|_top|&gt;ISV&lt;/a&gt;</v>
      </c>
      <c r="AP1178" t="str">
        <f t="shared" si="4711"/>
        <v>&lt;/li&gt;&lt;li&gt;&lt;a href=|http://tnt.scripturetext.com/revelation/11.htm| title=|Tyndale New Testament| target=|_top|&gt;TNT&lt;/a&gt;</v>
      </c>
      <c r="AQ1178" s="2" t="str">
        <f t="shared" si="4711"/>
        <v>&lt;/li&gt;&lt;li&gt;&lt;a href=|http://pnt.biblecommenter.com/revelation/11.htm| title=|People's New Testament| target=|_top|&gt;PNT&lt;/a&gt;</v>
      </c>
      <c r="AR1178" t="str">
        <f t="shared" si="4711"/>
        <v>&lt;/li&gt;&lt;li&gt;&lt;a href=|http://websterbible.com/revelation/11.htm| title=|Webster's Bible Translation| target=|_top|&gt;WBS&lt;/a&gt;</v>
      </c>
      <c r="AS1178" t="str">
        <f t="shared" si="4711"/>
        <v>&lt;/li&gt;&lt;li&gt;&lt;a href=|http://weymouthbible.com/revelation/11.htm| title=|Weymouth New Testament| target=|_top|&gt;WEY&lt;/a&gt;</v>
      </c>
      <c r="AT1178" t="str">
        <f>CONCATENATE("&lt;/li&gt;&lt;li&gt;&lt;a href=|http://",AT1191,"/revelation/11-1.htm","| ","title=|",AT1190,"| target=|_top|&gt;",AT1192,"&lt;/a&gt;")</f>
        <v>&lt;/li&gt;&lt;li&gt;&lt;a href=|http://biblebrowser.com/revelation/11-1.htm| title=|Split View| target=|_top|&gt;Split&lt;/a&gt;</v>
      </c>
      <c r="AU1178" s="2" t="s">
        <v>1276</v>
      </c>
      <c r="AV1178" t="s">
        <v>64</v>
      </c>
    </row>
    <row r="1179" spans="1:48">
      <c r="A1179" t="s">
        <v>622</v>
      </c>
      <c r="B1179" t="s">
        <v>610</v>
      </c>
      <c r="C1179" t="s">
        <v>624</v>
      </c>
      <c r="D1179" t="s">
        <v>1268</v>
      </c>
      <c r="E1179" t="s">
        <v>1277</v>
      </c>
      <c r="F1179" t="s">
        <v>1304</v>
      </c>
      <c r="G1179" t="s">
        <v>1266</v>
      </c>
      <c r="H1179" t="s">
        <v>1305</v>
      </c>
      <c r="I1179" t="s">
        <v>1303</v>
      </c>
      <c r="J1179" t="s">
        <v>1267</v>
      </c>
      <c r="K1179" t="s">
        <v>1275</v>
      </c>
      <c r="L1179" s="2" t="s">
        <v>1274</v>
      </c>
      <c r="M1179" t="str">
        <f t="shared" ref="M1179:AB1179" si="4712">CONCATENATE("&lt;/li&gt;&lt;li&gt;&lt;a href=|http://",M1191,"/revelation/12.htm","| ","title=|",M1190,"| target=|_top|&gt;",M1192,"&lt;/a&gt;")</f>
        <v>&lt;/li&gt;&lt;li&gt;&lt;a href=|http://niv.scripturetext.com/revelation/12.htm| title=|New International Version| target=|_top|&gt;NIV&lt;/a&gt;</v>
      </c>
      <c r="N1179" t="str">
        <f t="shared" si="4712"/>
        <v>&lt;/li&gt;&lt;li&gt;&lt;a href=|http://nlt.scripturetext.com/revelation/12.htm| title=|New Living Translation| target=|_top|&gt;NLT&lt;/a&gt;</v>
      </c>
      <c r="O1179" t="str">
        <f t="shared" si="4712"/>
        <v>&lt;/li&gt;&lt;li&gt;&lt;a href=|http://nasb.scripturetext.com/revelation/12.htm| title=|New American Standard Bible| target=|_top|&gt;NAS&lt;/a&gt;</v>
      </c>
      <c r="P1179" t="str">
        <f t="shared" si="4712"/>
        <v>&lt;/li&gt;&lt;li&gt;&lt;a href=|http://gwt.scripturetext.com/revelation/12.htm| title=|God's Word Translation| target=|_top|&gt;GWT&lt;/a&gt;</v>
      </c>
      <c r="Q1179" t="str">
        <f t="shared" si="4712"/>
        <v>&lt;/li&gt;&lt;li&gt;&lt;a href=|http://kingjbible.com/revelation/12.htm| title=|King James Bible| target=|_top|&gt;KJV&lt;/a&gt;</v>
      </c>
      <c r="R1179" t="str">
        <f t="shared" si="4712"/>
        <v>&lt;/li&gt;&lt;li&gt;&lt;a href=|http://asvbible.com/revelation/12.htm| title=|American Standard Version| target=|_top|&gt;ASV&lt;/a&gt;</v>
      </c>
      <c r="S1179" t="str">
        <f t="shared" si="4712"/>
        <v>&lt;/li&gt;&lt;li&gt;&lt;a href=|http://drb.scripturetext.com/revelation/12.htm| title=|Douay-Rheims Bible| target=|_top|&gt;DRB&lt;/a&gt;</v>
      </c>
      <c r="T1179" t="str">
        <f t="shared" si="4712"/>
        <v>&lt;/li&gt;&lt;li&gt;&lt;a href=|http://erv.scripturetext.com/revelation/12.htm| title=|English Revised Version| target=|_top|&gt;ERV&lt;/a&gt;</v>
      </c>
      <c r="U1179" t="str">
        <f>CONCATENATE("&lt;/li&gt;&lt;li&gt;&lt;a href=|http://",U1191,"/revelation/12.htm","| ","title=|",U1190,"| target=|_top|&gt;",U1192,"&lt;/a&gt;")</f>
        <v>&lt;/li&gt;&lt;li&gt;&lt;a href=|http://study.interlinearbible.org/revelation/12.htm| title=|Greek Study Bible| target=|_top|&gt;Grk Study&lt;/a&gt;</v>
      </c>
      <c r="W1179" t="str">
        <f t="shared" si="4712"/>
        <v>&lt;/li&gt;&lt;li&gt;&lt;a href=|http://apostolic.interlinearbible.org/revelation/12.htm| title=|Apostolic Bible Polyglot Interlinear| target=|_top|&gt;Polyglot&lt;/a&gt;</v>
      </c>
      <c r="X1179" t="str">
        <f t="shared" si="4712"/>
        <v>&lt;/li&gt;&lt;li&gt;&lt;a href=|http://interlinearbible.org/revelation/12.htm| title=|Interlinear Bible| target=|_top|&gt;Interlin&lt;/a&gt;</v>
      </c>
      <c r="Y1179" t="str">
        <f t="shared" ref="Y1179" si="4713">CONCATENATE("&lt;/li&gt;&lt;li&gt;&lt;a href=|http://",Y1191,"/revelation/12.htm","| ","title=|",Y1190,"| target=|_top|&gt;",Y1192,"&lt;/a&gt;")</f>
        <v>&lt;/li&gt;&lt;li&gt;&lt;a href=|http://bibleoutline.org/revelation/12.htm| title=|Outline with People and Places List| target=|_top|&gt;Outline&lt;/a&gt;</v>
      </c>
      <c r="Z1179" t="str">
        <f t="shared" si="4712"/>
        <v>&lt;/li&gt;&lt;li&gt;&lt;a href=|http://kjvs.scripturetext.com/revelation/12.htm| title=|King James Bible with Strong's Numbers| target=|_top|&gt;Strong's&lt;/a&gt;</v>
      </c>
      <c r="AA1179" t="str">
        <f t="shared" si="4712"/>
        <v>&lt;/li&gt;&lt;li&gt;&lt;a href=|http://childrensbibleonline.com/revelation/12.htm| title=|The Children's Bible| target=|_top|&gt;Children's&lt;/a&gt;</v>
      </c>
      <c r="AB1179" s="2" t="str">
        <f t="shared" si="4712"/>
        <v>&lt;/li&gt;&lt;li&gt;&lt;a href=|http://tsk.scripturetext.com/revelation/12.htm| title=|Treasury of Scripture Knowledge| target=|_top|&gt;TSK&lt;/a&gt;</v>
      </c>
      <c r="AC1179" t="str">
        <f>CONCATENATE("&lt;a href=|http://",AC1191,"/revelation/12.htm","| ","title=|",AC1190,"| target=|_top|&gt;",AC1192,"&lt;/a&gt;")</f>
        <v>&lt;a href=|http://parallelbible.com/revelation/12.htm| title=|Parallel Chapters| target=|_top|&gt;PAR&lt;/a&gt;</v>
      </c>
      <c r="AD1179" s="2" t="str">
        <f t="shared" ref="AD1179:AI1179" si="4714">CONCATENATE("&lt;/li&gt;&lt;li&gt;&lt;a href=|http://",AD1191,"/revelation/12.htm","| ","title=|",AD1190,"| target=|_top|&gt;",AD1192,"&lt;/a&gt;")</f>
        <v>&lt;/li&gt;&lt;li&gt;&lt;a href=|http://gsb.biblecommenter.com/revelation/12.htm| title=|Geneva Study Bible| target=|_top|&gt;GSB&lt;/a&gt;</v>
      </c>
      <c r="AE1179" s="2" t="str">
        <f t="shared" si="4714"/>
        <v>&lt;/li&gt;&lt;li&gt;&lt;a href=|http://jfb.biblecommenter.com/revelation/12.htm| title=|Jamieson-Fausset-Brown Bible Commentary| target=|_top|&gt;JFB&lt;/a&gt;</v>
      </c>
      <c r="AF1179" s="2" t="str">
        <f t="shared" si="4714"/>
        <v>&lt;/li&gt;&lt;li&gt;&lt;a href=|http://kjt.biblecommenter.com/revelation/12.htm| title=|King James Translators' Notes| target=|_top|&gt;KJT&lt;/a&gt;</v>
      </c>
      <c r="AG1179" s="2" t="str">
        <f t="shared" si="4714"/>
        <v>&lt;/li&gt;&lt;li&gt;&lt;a href=|http://mhc.biblecommenter.com/revelation/12.htm| title=|Matthew Henry's Concise Commentary| target=|_top|&gt;MHC&lt;/a&gt;</v>
      </c>
      <c r="AH1179" s="2" t="str">
        <f t="shared" si="4714"/>
        <v>&lt;/li&gt;&lt;li&gt;&lt;a href=|http://sco.biblecommenter.com/revelation/12.htm| title=|Scofield Reference Notes| target=|_top|&gt;SCO&lt;/a&gt;</v>
      </c>
      <c r="AI1179" s="2" t="str">
        <f t="shared" si="4714"/>
        <v>&lt;/li&gt;&lt;li&gt;&lt;a href=|http://wes.biblecommenter.com/revelation/12.htm| title=|Wesley's Notes on the Bible| target=|_top|&gt;WES&lt;/a&gt;</v>
      </c>
      <c r="AJ1179" t="str">
        <f>CONCATENATE("&lt;/li&gt;&lt;li&gt;&lt;a href=|http://",AJ1191,"/revelation/12.htm","| ","title=|",AJ1190,"| target=|_top|&gt;",AJ1192,"&lt;/a&gt;")</f>
        <v>&lt;/li&gt;&lt;li&gt;&lt;a href=|http://worldebible.com/revelation/12.htm| title=|World English Bible| target=|_top|&gt;WEB&lt;/a&gt;</v>
      </c>
      <c r="AK1179" t="str">
        <f>CONCATENATE("&lt;/li&gt;&lt;li&gt;&lt;a href=|http://",AK1191,"/revelation/12.htm","| ","title=|",AK1190,"| target=|_top|&gt;",AK1192,"&lt;/a&gt;")</f>
        <v>&lt;/li&gt;&lt;li&gt;&lt;a href=|http://yltbible.com/revelation/12.htm| title=|Young's Literal Translation| target=|_top|&gt;YLT&lt;/a&gt;</v>
      </c>
      <c r="AL1179" t="str">
        <f>CONCATENATE("&lt;a href=|http://",AL1191,"/revelation/12.htm","| ","title=|",AL1190,"| target=|_top|&gt;",AL1192,"&lt;/a&gt;")</f>
        <v>&lt;a href=|http://kjv.us/revelation/12.htm| title=|American King James Version| target=|_top|&gt;AKJ&lt;/a&gt;</v>
      </c>
      <c r="AM1179" t="str">
        <f t="shared" ref="AM1179:AS1179" si="4715">CONCATENATE("&lt;/li&gt;&lt;li&gt;&lt;a href=|http://",AM1191,"/revelation/12.htm","| ","title=|",AM1190,"| target=|_top|&gt;",AM1192,"&lt;/a&gt;")</f>
        <v>&lt;/li&gt;&lt;li&gt;&lt;a href=|http://basicenglishbible.com/revelation/12.htm| title=|Bible in Basic English| target=|_top|&gt;BBE&lt;/a&gt;</v>
      </c>
      <c r="AN1179" t="str">
        <f t="shared" si="4715"/>
        <v>&lt;/li&gt;&lt;li&gt;&lt;a href=|http://darbybible.com/revelation/12.htm| title=|Darby Bible Translation| target=|_top|&gt;DBY&lt;/a&gt;</v>
      </c>
      <c r="AO1179" t="str">
        <f t="shared" si="4715"/>
        <v>&lt;/li&gt;&lt;li&gt;&lt;a href=|http://isv.scripturetext.com/revelation/12.htm| title=|International Standard Version| target=|_top|&gt;ISV&lt;/a&gt;</v>
      </c>
      <c r="AP1179" t="str">
        <f t="shared" si="4715"/>
        <v>&lt;/li&gt;&lt;li&gt;&lt;a href=|http://tnt.scripturetext.com/revelation/12.htm| title=|Tyndale New Testament| target=|_top|&gt;TNT&lt;/a&gt;</v>
      </c>
      <c r="AQ1179" s="2" t="str">
        <f t="shared" si="4715"/>
        <v>&lt;/li&gt;&lt;li&gt;&lt;a href=|http://pnt.biblecommenter.com/revelation/12.htm| title=|People's New Testament| target=|_top|&gt;PNT&lt;/a&gt;</v>
      </c>
      <c r="AR1179" t="str">
        <f t="shared" si="4715"/>
        <v>&lt;/li&gt;&lt;li&gt;&lt;a href=|http://websterbible.com/revelation/12.htm| title=|Webster's Bible Translation| target=|_top|&gt;WBS&lt;/a&gt;</v>
      </c>
      <c r="AS1179" t="str">
        <f t="shared" si="4715"/>
        <v>&lt;/li&gt;&lt;li&gt;&lt;a href=|http://weymouthbible.com/revelation/12.htm| title=|Weymouth New Testament| target=|_top|&gt;WEY&lt;/a&gt;</v>
      </c>
      <c r="AT1179" t="str">
        <f>CONCATENATE("&lt;/li&gt;&lt;li&gt;&lt;a href=|http://",AT1191,"/revelation/12-1.htm","| ","title=|",AT1190,"| target=|_top|&gt;",AT1192,"&lt;/a&gt;")</f>
        <v>&lt;/li&gt;&lt;li&gt;&lt;a href=|http://biblebrowser.com/revelation/12-1.htm| title=|Split View| target=|_top|&gt;Split&lt;/a&gt;</v>
      </c>
      <c r="AU1179" s="2" t="s">
        <v>1276</v>
      </c>
      <c r="AV1179" t="s">
        <v>64</v>
      </c>
    </row>
    <row r="1180" spans="1:48">
      <c r="A1180" t="s">
        <v>622</v>
      </c>
      <c r="B1180" t="s">
        <v>611</v>
      </c>
      <c r="C1180" t="s">
        <v>624</v>
      </c>
      <c r="D1180" t="s">
        <v>1268</v>
      </c>
      <c r="E1180" t="s">
        <v>1277</v>
      </c>
      <c r="F1180" t="s">
        <v>1304</v>
      </c>
      <c r="G1180" t="s">
        <v>1266</v>
      </c>
      <c r="H1180" t="s">
        <v>1305</v>
      </c>
      <c r="I1180" t="s">
        <v>1303</v>
      </c>
      <c r="J1180" t="s">
        <v>1267</v>
      </c>
      <c r="K1180" t="s">
        <v>1275</v>
      </c>
      <c r="L1180" s="2" t="s">
        <v>1274</v>
      </c>
      <c r="M1180" t="str">
        <f t="shared" ref="M1180:AB1180" si="4716">CONCATENATE("&lt;/li&gt;&lt;li&gt;&lt;a href=|http://",M1191,"/revelation/13.htm","| ","title=|",M1190,"| target=|_top|&gt;",M1192,"&lt;/a&gt;")</f>
        <v>&lt;/li&gt;&lt;li&gt;&lt;a href=|http://niv.scripturetext.com/revelation/13.htm| title=|New International Version| target=|_top|&gt;NIV&lt;/a&gt;</v>
      </c>
      <c r="N1180" t="str">
        <f t="shared" si="4716"/>
        <v>&lt;/li&gt;&lt;li&gt;&lt;a href=|http://nlt.scripturetext.com/revelation/13.htm| title=|New Living Translation| target=|_top|&gt;NLT&lt;/a&gt;</v>
      </c>
      <c r="O1180" t="str">
        <f t="shared" si="4716"/>
        <v>&lt;/li&gt;&lt;li&gt;&lt;a href=|http://nasb.scripturetext.com/revelation/13.htm| title=|New American Standard Bible| target=|_top|&gt;NAS&lt;/a&gt;</v>
      </c>
      <c r="P1180" t="str">
        <f t="shared" si="4716"/>
        <v>&lt;/li&gt;&lt;li&gt;&lt;a href=|http://gwt.scripturetext.com/revelation/13.htm| title=|God's Word Translation| target=|_top|&gt;GWT&lt;/a&gt;</v>
      </c>
      <c r="Q1180" t="str">
        <f t="shared" si="4716"/>
        <v>&lt;/li&gt;&lt;li&gt;&lt;a href=|http://kingjbible.com/revelation/13.htm| title=|King James Bible| target=|_top|&gt;KJV&lt;/a&gt;</v>
      </c>
      <c r="R1180" t="str">
        <f t="shared" si="4716"/>
        <v>&lt;/li&gt;&lt;li&gt;&lt;a href=|http://asvbible.com/revelation/13.htm| title=|American Standard Version| target=|_top|&gt;ASV&lt;/a&gt;</v>
      </c>
      <c r="S1180" t="str">
        <f t="shared" si="4716"/>
        <v>&lt;/li&gt;&lt;li&gt;&lt;a href=|http://drb.scripturetext.com/revelation/13.htm| title=|Douay-Rheims Bible| target=|_top|&gt;DRB&lt;/a&gt;</v>
      </c>
      <c r="T1180" t="str">
        <f t="shared" si="4716"/>
        <v>&lt;/li&gt;&lt;li&gt;&lt;a href=|http://erv.scripturetext.com/revelation/13.htm| title=|English Revised Version| target=|_top|&gt;ERV&lt;/a&gt;</v>
      </c>
      <c r="U1180" t="str">
        <f>CONCATENATE("&lt;/li&gt;&lt;li&gt;&lt;a href=|http://",U1191,"/revelation/13.htm","| ","title=|",U1190,"| target=|_top|&gt;",U1192,"&lt;/a&gt;")</f>
        <v>&lt;/li&gt;&lt;li&gt;&lt;a href=|http://study.interlinearbible.org/revelation/13.htm| title=|Greek Study Bible| target=|_top|&gt;Grk Study&lt;/a&gt;</v>
      </c>
      <c r="W1180" t="str">
        <f t="shared" si="4716"/>
        <v>&lt;/li&gt;&lt;li&gt;&lt;a href=|http://apostolic.interlinearbible.org/revelation/13.htm| title=|Apostolic Bible Polyglot Interlinear| target=|_top|&gt;Polyglot&lt;/a&gt;</v>
      </c>
      <c r="X1180" t="str">
        <f t="shared" si="4716"/>
        <v>&lt;/li&gt;&lt;li&gt;&lt;a href=|http://interlinearbible.org/revelation/13.htm| title=|Interlinear Bible| target=|_top|&gt;Interlin&lt;/a&gt;</v>
      </c>
      <c r="Y1180" t="str">
        <f t="shared" ref="Y1180" si="4717">CONCATENATE("&lt;/li&gt;&lt;li&gt;&lt;a href=|http://",Y1191,"/revelation/13.htm","| ","title=|",Y1190,"| target=|_top|&gt;",Y1192,"&lt;/a&gt;")</f>
        <v>&lt;/li&gt;&lt;li&gt;&lt;a href=|http://bibleoutline.org/revelation/13.htm| title=|Outline with People and Places List| target=|_top|&gt;Outline&lt;/a&gt;</v>
      </c>
      <c r="Z1180" t="str">
        <f t="shared" si="4716"/>
        <v>&lt;/li&gt;&lt;li&gt;&lt;a href=|http://kjvs.scripturetext.com/revelation/13.htm| title=|King James Bible with Strong's Numbers| target=|_top|&gt;Strong's&lt;/a&gt;</v>
      </c>
      <c r="AA1180" t="str">
        <f t="shared" si="4716"/>
        <v>&lt;/li&gt;&lt;li&gt;&lt;a href=|http://childrensbibleonline.com/revelation/13.htm| title=|The Children's Bible| target=|_top|&gt;Children's&lt;/a&gt;</v>
      </c>
      <c r="AB1180" s="2" t="str">
        <f t="shared" si="4716"/>
        <v>&lt;/li&gt;&lt;li&gt;&lt;a href=|http://tsk.scripturetext.com/revelation/13.htm| title=|Treasury of Scripture Knowledge| target=|_top|&gt;TSK&lt;/a&gt;</v>
      </c>
      <c r="AC1180" t="str">
        <f>CONCATENATE("&lt;a href=|http://",AC1191,"/revelation/13.htm","| ","title=|",AC1190,"| target=|_top|&gt;",AC1192,"&lt;/a&gt;")</f>
        <v>&lt;a href=|http://parallelbible.com/revelation/13.htm| title=|Parallel Chapters| target=|_top|&gt;PAR&lt;/a&gt;</v>
      </c>
      <c r="AD1180" s="2" t="str">
        <f t="shared" ref="AD1180:AI1180" si="4718">CONCATENATE("&lt;/li&gt;&lt;li&gt;&lt;a href=|http://",AD1191,"/revelation/13.htm","| ","title=|",AD1190,"| target=|_top|&gt;",AD1192,"&lt;/a&gt;")</f>
        <v>&lt;/li&gt;&lt;li&gt;&lt;a href=|http://gsb.biblecommenter.com/revelation/13.htm| title=|Geneva Study Bible| target=|_top|&gt;GSB&lt;/a&gt;</v>
      </c>
      <c r="AE1180" s="2" t="str">
        <f t="shared" si="4718"/>
        <v>&lt;/li&gt;&lt;li&gt;&lt;a href=|http://jfb.biblecommenter.com/revelation/13.htm| title=|Jamieson-Fausset-Brown Bible Commentary| target=|_top|&gt;JFB&lt;/a&gt;</v>
      </c>
      <c r="AF1180" s="2" t="str">
        <f t="shared" si="4718"/>
        <v>&lt;/li&gt;&lt;li&gt;&lt;a href=|http://kjt.biblecommenter.com/revelation/13.htm| title=|King James Translators' Notes| target=|_top|&gt;KJT&lt;/a&gt;</v>
      </c>
      <c r="AG1180" s="2" t="str">
        <f t="shared" si="4718"/>
        <v>&lt;/li&gt;&lt;li&gt;&lt;a href=|http://mhc.biblecommenter.com/revelation/13.htm| title=|Matthew Henry's Concise Commentary| target=|_top|&gt;MHC&lt;/a&gt;</v>
      </c>
      <c r="AH1180" s="2" t="str">
        <f t="shared" si="4718"/>
        <v>&lt;/li&gt;&lt;li&gt;&lt;a href=|http://sco.biblecommenter.com/revelation/13.htm| title=|Scofield Reference Notes| target=|_top|&gt;SCO&lt;/a&gt;</v>
      </c>
      <c r="AI1180" s="2" t="str">
        <f t="shared" si="4718"/>
        <v>&lt;/li&gt;&lt;li&gt;&lt;a href=|http://wes.biblecommenter.com/revelation/13.htm| title=|Wesley's Notes on the Bible| target=|_top|&gt;WES&lt;/a&gt;</v>
      </c>
      <c r="AJ1180" t="str">
        <f>CONCATENATE("&lt;/li&gt;&lt;li&gt;&lt;a href=|http://",AJ1191,"/revelation/13.htm","| ","title=|",AJ1190,"| target=|_top|&gt;",AJ1192,"&lt;/a&gt;")</f>
        <v>&lt;/li&gt;&lt;li&gt;&lt;a href=|http://worldebible.com/revelation/13.htm| title=|World English Bible| target=|_top|&gt;WEB&lt;/a&gt;</v>
      </c>
      <c r="AK1180" t="str">
        <f>CONCATENATE("&lt;/li&gt;&lt;li&gt;&lt;a href=|http://",AK1191,"/revelation/13.htm","| ","title=|",AK1190,"| target=|_top|&gt;",AK1192,"&lt;/a&gt;")</f>
        <v>&lt;/li&gt;&lt;li&gt;&lt;a href=|http://yltbible.com/revelation/13.htm| title=|Young's Literal Translation| target=|_top|&gt;YLT&lt;/a&gt;</v>
      </c>
      <c r="AL1180" t="str">
        <f>CONCATENATE("&lt;a href=|http://",AL1191,"/revelation/13.htm","| ","title=|",AL1190,"| target=|_top|&gt;",AL1192,"&lt;/a&gt;")</f>
        <v>&lt;a href=|http://kjv.us/revelation/13.htm| title=|American King James Version| target=|_top|&gt;AKJ&lt;/a&gt;</v>
      </c>
      <c r="AM1180" t="str">
        <f t="shared" ref="AM1180:AS1180" si="4719">CONCATENATE("&lt;/li&gt;&lt;li&gt;&lt;a href=|http://",AM1191,"/revelation/13.htm","| ","title=|",AM1190,"| target=|_top|&gt;",AM1192,"&lt;/a&gt;")</f>
        <v>&lt;/li&gt;&lt;li&gt;&lt;a href=|http://basicenglishbible.com/revelation/13.htm| title=|Bible in Basic English| target=|_top|&gt;BBE&lt;/a&gt;</v>
      </c>
      <c r="AN1180" t="str">
        <f t="shared" si="4719"/>
        <v>&lt;/li&gt;&lt;li&gt;&lt;a href=|http://darbybible.com/revelation/13.htm| title=|Darby Bible Translation| target=|_top|&gt;DBY&lt;/a&gt;</v>
      </c>
      <c r="AO1180" t="str">
        <f t="shared" si="4719"/>
        <v>&lt;/li&gt;&lt;li&gt;&lt;a href=|http://isv.scripturetext.com/revelation/13.htm| title=|International Standard Version| target=|_top|&gt;ISV&lt;/a&gt;</v>
      </c>
      <c r="AP1180" t="str">
        <f t="shared" si="4719"/>
        <v>&lt;/li&gt;&lt;li&gt;&lt;a href=|http://tnt.scripturetext.com/revelation/13.htm| title=|Tyndale New Testament| target=|_top|&gt;TNT&lt;/a&gt;</v>
      </c>
      <c r="AQ1180" s="2" t="str">
        <f t="shared" si="4719"/>
        <v>&lt;/li&gt;&lt;li&gt;&lt;a href=|http://pnt.biblecommenter.com/revelation/13.htm| title=|People's New Testament| target=|_top|&gt;PNT&lt;/a&gt;</v>
      </c>
      <c r="AR1180" t="str">
        <f t="shared" si="4719"/>
        <v>&lt;/li&gt;&lt;li&gt;&lt;a href=|http://websterbible.com/revelation/13.htm| title=|Webster's Bible Translation| target=|_top|&gt;WBS&lt;/a&gt;</v>
      </c>
      <c r="AS1180" t="str">
        <f t="shared" si="4719"/>
        <v>&lt;/li&gt;&lt;li&gt;&lt;a href=|http://weymouthbible.com/revelation/13.htm| title=|Weymouth New Testament| target=|_top|&gt;WEY&lt;/a&gt;</v>
      </c>
      <c r="AT1180" t="str">
        <f>CONCATENATE("&lt;/li&gt;&lt;li&gt;&lt;a href=|http://",AT1191,"/revelation/13-1.htm","| ","title=|",AT1190,"| target=|_top|&gt;",AT1192,"&lt;/a&gt;")</f>
        <v>&lt;/li&gt;&lt;li&gt;&lt;a href=|http://biblebrowser.com/revelation/13-1.htm| title=|Split View| target=|_top|&gt;Split&lt;/a&gt;</v>
      </c>
      <c r="AU1180" s="2" t="s">
        <v>1276</v>
      </c>
      <c r="AV1180" t="s">
        <v>64</v>
      </c>
    </row>
    <row r="1181" spans="1:48">
      <c r="A1181" t="s">
        <v>622</v>
      </c>
      <c r="B1181" t="s">
        <v>612</v>
      </c>
      <c r="C1181" t="s">
        <v>624</v>
      </c>
      <c r="D1181" t="s">
        <v>1268</v>
      </c>
      <c r="E1181" t="s">
        <v>1277</v>
      </c>
      <c r="F1181" t="s">
        <v>1304</v>
      </c>
      <c r="G1181" t="s">
        <v>1266</v>
      </c>
      <c r="H1181" t="s">
        <v>1305</v>
      </c>
      <c r="I1181" t="s">
        <v>1303</v>
      </c>
      <c r="J1181" t="s">
        <v>1267</v>
      </c>
      <c r="K1181" t="s">
        <v>1275</v>
      </c>
      <c r="L1181" s="2" t="s">
        <v>1274</v>
      </c>
      <c r="M1181" t="str">
        <f t="shared" ref="M1181:AB1181" si="4720">CONCATENATE("&lt;/li&gt;&lt;li&gt;&lt;a href=|http://",M1191,"/revelation/14.htm","| ","title=|",M1190,"| target=|_top|&gt;",M1192,"&lt;/a&gt;")</f>
        <v>&lt;/li&gt;&lt;li&gt;&lt;a href=|http://niv.scripturetext.com/revelation/14.htm| title=|New International Version| target=|_top|&gt;NIV&lt;/a&gt;</v>
      </c>
      <c r="N1181" t="str">
        <f t="shared" si="4720"/>
        <v>&lt;/li&gt;&lt;li&gt;&lt;a href=|http://nlt.scripturetext.com/revelation/14.htm| title=|New Living Translation| target=|_top|&gt;NLT&lt;/a&gt;</v>
      </c>
      <c r="O1181" t="str">
        <f t="shared" si="4720"/>
        <v>&lt;/li&gt;&lt;li&gt;&lt;a href=|http://nasb.scripturetext.com/revelation/14.htm| title=|New American Standard Bible| target=|_top|&gt;NAS&lt;/a&gt;</v>
      </c>
      <c r="P1181" t="str">
        <f t="shared" si="4720"/>
        <v>&lt;/li&gt;&lt;li&gt;&lt;a href=|http://gwt.scripturetext.com/revelation/14.htm| title=|God's Word Translation| target=|_top|&gt;GWT&lt;/a&gt;</v>
      </c>
      <c r="Q1181" t="str">
        <f t="shared" si="4720"/>
        <v>&lt;/li&gt;&lt;li&gt;&lt;a href=|http://kingjbible.com/revelation/14.htm| title=|King James Bible| target=|_top|&gt;KJV&lt;/a&gt;</v>
      </c>
      <c r="R1181" t="str">
        <f t="shared" si="4720"/>
        <v>&lt;/li&gt;&lt;li&gt;&lt;a href=|http://asvbible.com/revelation/14.htm| title=|American Standard Version| target=|_top|&gt;ASV&lt;/a&gt;</v>
      </c>
      <c r="S1181" t="str">
        <f t="shared" si="4720"/>
        <v>&lt;/li&gt;&lt;li&gt;&lt;a href=|http://drb.scripturetext.com/revelation/14.htm| title=|Douay-Rheims Bible| target=|_top|&gt;DRB&lt;/a&gt;</v>
      </c>
      <c r="T1181" t="str">
        <f t="shared" si="4720"/>
        <v>&lt;/li&gt;&lt;li&gt;&lt;a href=|http://erv.scripturetext.com/revelation/14.htm| title=|English Revised Version| target=|_top|&gt;ERV&lt;/a&gt;</v>
      </c>
      <c r="U1181" t="str">
        <f>CONCATENATE("&lt;/li&gt;&lt;li&gt;&lt;a href=|http://",U1191,"/revelation/14.htm","| ","title=|",U1190,"| target=|_top|&gt;",U1192,"&lt;/a&gt;")</f>
        <v>&lt;/li&gt;&lt;li&gt;&lt;a href=|http://study.interlinearbible.org/revelation/14.htm| title=|Greek Study Bible| target=|_top|&gt;Grk Study&lt;/a&gt;</v>
      </c>
      <c r="W1181" t="str">
        <f t="shared" si="4720"/>
        <v>&lt;/li&gt;&lt;li&gt;&lt;a href=|http://apostolic.interlinearbible.org/revelation/14.htm| title=|Apostolic Bible Polyglot Interlinear| target=|_top|&gt;Polyglot&lt;/a&gt;</v>
      </c>
      <c r="X1181" t="str">
        <f t="shared" si="4720"/>
        <v>&lt;/li&gt;&lt;li&gt;&lt;a href=|http://interlinearbible.org/revelation/14.htm| title=|Interlinear Bible| target=|_top|&gt;Interlin&lt;/a&gt;</v>
      </c>
      <c r="Y1181" t="str">
        <f t="shared" ref="Y1181" si="4721">CONCATENATE("&lt;/li&gt;&lt;li&gt;&lt;a href=|http://",Y1191,"/revelation/14.htm","| ","title=|",Y1190,"| target=|_top|&gt;",Y1192,"&lt;/a&gt;")</f>
        <v>&lt;/li&gt;&lt;li&gt;&lt;a href=|http://bibleoutline.org/revelation/14.htm| title=|Outline with People and Places List| target=|_top|&gt;Outline&lt;/a&gt;</v>
      </c>
      <c r="Z1181" t="str">
        <f t="shared" si="4720"/>
        <v>&lt;/li&gt;&lt;li&gt;&lt;a href=|http://kjvs.scripturetext.com/revelation/14.htm| title=|King James Bible with Strong's Numbers| target=|_top|&gt;Strong's&lt;/a&gt;</v>
      </c>
      <c r="AA1181" t="str">
        <f t="shared" si="4720"/>
        <v>&lt;/li&gt;&lt;li&gt;&lt;a href=|http://childrensbibleonline.com/revelation/14.htm| title=|The Children's Bible| target=|_top|&gt;Children's&lt;/a&gt;</v>
      </c>
      <c r="AB1181" s="2" t="str">
        <f t="shared" si="4720"/>
        <v>&lt;/li&gt;&lt;li&gt;&lt;a href=|http://tsk.scripturetext.com/revelation/14.htm| title=|Treasury of Scripture Knowledge| target=|_top|&gt;TSK&lt;/a&gt;</v>
      </c>
      <c r="AC1181" t="str">
        <f>CONCATENATE("&lt;a href=|http://",AC1191,"/revelation/14.htm","| ","title=|",AC1190,"| target=|_top|&gt;",AC1192,"&lt;/a&gt;")</f>
        <v>&lt;a href=|http://parallelbible.com/revelation/14.htm| title=|Parallel Chapters| target=|_top|&gt;PAR&lt;/a&gt;</v>
      </c>
      <c r="AD1181" s="2" t="str">
        <f t="shared" ref="AD1181:AI1181" si="4722">CONCATENATE("&lt;/li&gt;&lt;li&gt;&lt;a href=|http://",AD1191,"/revelation/14.htm","| ","title=|",AD1190,"| target=|_top|&gt;",AD1192,"&lt;/a&gt;")</f>
        <v>&lt;/li&gt;&lt;li&gt;&lt;a href=|http://gsb.biblecommenter.com/revelation/14.htm| title=|Geneva Study Bible| target=|_top|&gt;GSB&lt;/a&gt;</v>
      </c>
      <c r="AE1181" s="2" t="str">
        <f t="shared" si="4722"/>
        <v>&lt;/li&gt;&lt;li&gt;&lt;a href=|http://jfb.biblecommenter.com/revelation/14.htm| title=|Jamieson-Fausset-Brown Bible Commentary| target=|_top|&gt;JFB&lt;/a&gt;</v>
      </c>
      <c r="AF1181" s="2" t="str">
        <f t="shared" si="4722"/>
        <v>&lt;/li&gt;&lt;li&gt;&lt;a href=|http://kjt.biblecommenter.com/revelation/14.htm| title=|King James Translators' Notes| target=|_top|&gt;KJT&lt;/a&gt;</v>
      </c>
      <c r="AG1181" s="2" t="str">
        <f t="shared" si="4722"/>
        <v>&lt;/li&gt;&lt;li&gt;&lt;a href=|http://mhc.biblecommenter.com/revelation/14.htm| title=|Matthew Henry's Concise Commentary| target=|_top|&gt;MHC&lt;/a&gt;</v>
      </c>
      <c r="AH1181" s="2" t="str">
        <f t="shared" si="4722"/>
        <v>&lt;/li&gt;&lt;li&gt;&lt;a href=|http://sco.biblecommenter.com/revelation/14.htm| title=|Scofield Reference Notes| target=|_top|&gt;SCO&lt;/a&gt;</v>
      </c>
      <c r="AI1181" s="2" t="str">
        <f t="shared" si="4722"/>
        <v>&lt;/li&gt;&lt;li&gt;&lt;a href=|http://wes.biblecommenter.com/revelation/14.htm| title=|Wesley's Notes on the Bible| target=|_top|&gt;WES&lt;/a&gt;</v>
      </c>
      <c r="AJ1181" t="str">
        <f>CONCATENATE("&lt;/li&gt;&lt;li&gt;&lt;a href=|http://",AJ1191,"/revelation/14.htm","| ","title=|",AJ1190,"| target=|_top|&gt;",AJ1192,"&lt;/a&gt;")</f>
        <v>&lt;/li&gt;&lt;li&gt;&lt;a href=|http://worldebible.com/revelation/14.htm| title=|World English Bible| target=|_top|&gt;WEB&lt;/a&gt;</v>
      </c>
      <c r="AK1181" t="str">
        <f>CONCATENATE("&lt;/li&gt;&lt;li&gt;&lt;a href=|http://",AK1191,"/revelation/14.htm","| ","title=|",AK1190,"| target=|_top|&gt;",AK1192,"&lt;/a&gt;")</f>
        <v>&lt;/li&gt;&lt;li&gt;&lt;a href=|http://yltbible.com/revelation/14.htm| title=|Young's Literal Translation| target=|_top|&gt;YLT&lt;/a&gt;</v>
      </c>
      <c r="AL1181" t="str">
        <f>CONCATENATE("&lt;a href=|http://",AL1191,"/revelation/14.htm","| ","title=|",AL1190,"| target=|_top|&gt;",AL1192,"&lt;/a&gt;")</f>
        <v>&lt;a href=|http://kjv.us/revelation/14.htm| title=|American King James Version| target=|_top|&gt;AKJ&lt;/a&gt;</v>
      </c>
      <c r="AM1181" t="str">
        <f t="shared" ref="AM1181:AS1181" si="4723">CONCATENATE("&lt;/li&gt;&lt;li&gt;&lt;a href=|http://",AM1191,"/revelation/14.htm","| ","title=|",AM1190,"| target=|_top|&gt;",AM1192,"&lt;/a&gt;")</f>
        <v>&lt;/li&gt;&lt;li&gt;&lt;a href=|http://basicenglishbible.com/revelation/14.htm| title=|Bible in Basic English| target=|_top|&gt;BBE&lt;/a&gt;</v>
      </c>
      <c r="AN1181" t="str">
        <f t="shared" si="4723"/>
        <v>&lt;/li&gt;&lt;li&gt;&lt;a href=|http://darbybible.com/revelation/14.htm| title=|Darby Bible Translation| target=|_top|&gt;DBY&lt;/a&gt;</v>
      </c>
      <c r="AO1181" t="str">
        <f t="shared" si="4723"/>
        <v>&lt;/li&gt;&lt;li&gt;&lt;a href=|http://isv.scripturetext.com/revelation/14.htm| title=|International Standard Version| target=|_top|&gt;ISV&lt;/a&gt;</v>
      </c>
      <c r="AP1181" t="str">
        <f t="shared" si="4723"/>
        <v>&lt;/li&gt;&lt;li&gt;&lt;a href=|http://tnt.scripturetext.com/revelation/14.htm| title=|Tyndale New Testament| target=|_top|&gt;TNT&lt;/a&gt;</v>
      </c>
      <c r="AQ1181" s="2" t="str">
        <f t="shared" si="4723"/>
        <v>&lt;/li&gt;&lt;li&gt;&lt;a href=|http://pnt.biblecommenter.com/revelation/14.htm| title=|People's New Testament| target=|_top|&gt;PNT&lt;/a&gt;</v>
      </c>
      <c r="AR1181" t="str">
        <f t="shared" si="4723"/>
        <v>&lt;/li&gt;&lt;li&gt;&lt;a href=|http://websterbible.com/revelation/14.htm| title=|Webster's Bible Translation| target=|_top|&gt;WBS&lt;/a&gt;</v>
      </c>
      <c r="AS1181" t="str">
        <f t="shared" si="4723"/>
        <v>&lt;/li&gt;&lt;li&gt;&lt;a href=|http://weymouthbible.com/revelation/14.htm| title=|Weymouth New Testament| target=|_top|&gt;WEY&lt;/a&gt;</v>
      </c>
      <c r="AT1181" t="str">
        <f>CONCATENATE("&lt;/li&gt;&lt;li&gt;&lt;a href=|http://",AT1191,"/revelation/14-1.htm","| ","title=|",AT1190,"| target=|_top|&gt;",AT1192,"&lt;/a&gt;")</f>
        <v>&lt;/li&gt;&lt;li&gt;&lt;a href=|http://biblebrowser.com/revelation/14-1.htm| title=|Split View| target=|_top|&gt;Split&lt;/a&gt;</v>
      </c>
      <c r="AU1181" s="2" t="s">
        <v>1276</v>
      </c>
      <c r="AV1181" t="s">
        <v>64</v>
      </c>
    </row>
    <row r="1182" spans="1:48">
      <c r="A1182" t="s">
        <v>622</v>
      </c>
      <c r="B1182" t="s">
        <v>613</v>
      </c>
      <c r="C1182" t="s">
        <v>624</v>
      </c>
      <c r="D1182" t="s">
        <v>1268</v>
      </c>
      <c r="E1182" t="s">
        <v>1277</v>
      </c>
      <c r="F1182" t="s">
        <v>1304</v>
      </c>
      <c r="G1182" t="s">
        <v>1266</v>
      </c>
      <c r="H1182" t="s">
        <v>1305</v>
      </c>
      <c r="I1182" t="s">
        <v>1303</v>
      </c>
      <c r="J1182" t="s">
        <v>1267</v>
      </c>
      <c r="K1182" t="s">
        <v>1275</v>
      </c>
      <c r="L1182" s="2" t="s">
        <v>1274</v>
      </c>
      <c r="M1182" t="str">
        <f t="shared" ref="M1182:AB1182" si="4724">CONCATENATE("&lt;/li&gt;&lt;li&gt;&lt;a href=|http://",M1191,"/revelation/15.htm","| ","title=|",M1190,"| target=|_top|&gt;",M1192,"&lt;/a&gt;")</f>
        <v>&lt;/li&gt;&lt;li&gt;&lt;a href=|http://niv.scripturetext.com/revelation/15.htm| title=|New International Version| target=|_top|&gt;NIV&lt;/a&gt;</v>
      </c>
      <c r="N1182" t="str">
        <f t="shared" si="4724"/>
        <v>&lt;/li&gt;&lt;li&gt;&lt;a href=|http://nlt.scripturetext.com/revelation/15.htm| title=|New Living Translation| target=|_top|&gt;NLT&lt;/a&gt;</v>
      </c>
      <c r="O1182" t="str">
        <f t="shared" si="4724"/>
        <v>&lt;/li&gt;&lt;li&gt;&lt;a href=|http://nasb.scripturetext.com/revelation/15.htm| title=|New American Standard Bible| target=|_top|&gt;NAS&lt;/a&gt;</v>
      </c>
      <c r="P1182" t="str">
        <f t="shared" si="4724"/>
        <v>&lt;/li&gt;&lt;li&gt;&lt;a href=|http://gwt.scripturetext.com/revelation/15.htm| title=|God's Word Translation| target=|_top|&gt;GWT&lt;/a&gt;</v>
      </c>
      <c r="Q1182" t="str">
        <f t="shared" si="4724"/>
        <v>&lt;/li&gt;&lt;li&gt;&lt;a href=|http://kingjbible.com/revelation/15.htm| title=|King James Bible| target=|_top|&gt;KJV&lt;/a&gt;</v>
      </c>
      <c r="R1182" t="str">
        <f t="shared" si="4724"/>
        <v>&lt;/li&gt;&lt;li&gt;&lt;a href=|http://asvbible.com/revelation/15.htm| title=|American Standard Version| target=|_top|&gt;ASV&lt;/a&gt;</v>
      </c>
      <c r="S1182" t="str">
        <f t="shared" si="4724"/>
        <v>&lt;/li&gt;&lt;li&gt;&lt;a href=|http://drb.scripturetext.com/revelation/15.htm| title=|Douay-Rheims Bible| target=|_top|&gt;DRB&lt;/a&gt;</v>
      </c>
      <c r="T1182" t="str">
        <f t="shared" si="4724"/>
        <v>&lt;/li&gt;&lt;li&gt;&lt;a href=|http://erv.scripturetext.com/revelation/15.htm| title=|English Revised Version| target=|_top|&gt;ERV&lt;/a&gt;</v>
      </c>
      <c r="U1182" t="str">
        <f>CONCATENATE("&lt;/li&gt;&lt;li&gt;&lt;a href=|http://",U1191,"/revelation/15.htm","| ","title=|",U1190,"| target=|_top|&gt;",U1192,"&lt;/a&gt;")</f>
        <v>&lt;/li&gt;&lt;li&gt;&lt;a href=|http://study.interlinearbible.org/revelation/15.htm| title=|Greek Study Bible| target=|_top|&gt;Grk Study&lt;/a&gt;</v>
      </c>
      <c r="W1182" t="str">
        <f t="shared" si="4724"/>
        <v>&lt;/li&gt;&lt;li&gt;&lt;a href=|http://apostolic.interlinearbible.org/revelation/15.htm| title=|Apostolic Bible Polyglot Interlinear| target=|_top|&gt;Polyglot&lt;/a&gt;</v>
      </c>
      <c r="X1182" t="str">
        <f t="shared" si="4724"/>
        <v>&lt;/li&gt;&lt;li&gt;&lt;a href=|http://interlinearbible.org/revelation/15.htm| title=|Interlinear Bible| target=|_top|&gt;Interlin&lt;/a&gt;</v>
      </c>
      <c r="Y1182" t="str">
        <f t="shared" ref="Y1182" si="4725">CONCATENATE("&lt;/li&gt;&lt;li&gt;&lt;a href=|http://",Y1191,"/revelation/15.htm","| ","title=|",Y1190,"| target=|_top|&gt;",Y1192,"&lt;/a&gt;")</f>
        <v>&lt;/li&gt;&lt;li&gt;&lt;a href=|http://bibleoutline.org/revelation/15.htm| title=|Outline with People and Places List| target=|_top|&gt;Outline&lt;/a&gt;</v>
      </c>
      <c r="Z1182" t="str">
        <f t="shared" si="4724"/>
        <v>&lt;/li&gt;&lt;li&gt;&lt;a href=|http://kjvs.scripturetext.com/revelation/15.htm| title=|King James Bible with Strong's Numbers| target=|_top|&gt;Strong's&lt;/a&gt;</v>
      </c>
      <c r="AA1182" t="str">
        <f t="shared" si="4724"/>
        <v>&lt;/li&gt;&lt;li&gt;&lt;a href=|http://childrensbibleonline.com/revelation/15.htm| title=|The Children's Bible| target=|_top|&gt;Children's&lt;/a&gt;</v>
      </c>
      <c r="AB1182" s="2" t="str">
        <f t="shared" si="4724"/>
        <v>&lt;/li&gt;&lt;li&gt;&lt;a href=|http://tsk.scripturetext.com/revelation/15.htm| title=|Treasury of Scripture Knowledge| target=|_top|&gt;TSK&lt;/a&gt;</v>
      </c>
      <c r="AC1182" t="str">
        <f>CONCATENATE("&lt;a href=|http://",AC1191,"/revelation/15.htm","| ","title=|",AC1190,"| target=|_top|&gt;",AC1192,"&lt;/a&gt;")</f>
        <v>&lt;a href=|http://parallelbible.com/revelation/15.htm| title=|Parallel Chapters| target=|_top|&gt;PAR&lt;/a&gt;</v>
      </c>
      <c r="AD1182" s="2" t="str">
        <f t="shared" ref="AD1182:AI1182" si="4726">CONCATENATE("&lt;/li&gt;&lt;li&gt;&lt;a href=|http://",AD1191,"/revelation/15.htm","| ","title=|",AD1190,"| target=|_top|&gt;",AD1192,"&lt;/a&gt;")</f>
        <v>&lt;/li&gt;&lt;li&gt;&lt;a href=|http://gsb.biblecommenter.com/revelation/15.htm| title=|Geneva Study Bible| target=|_top|&gt;GSB&lt;/a&gt;</v>
      </c>
      <c r="AE1182" s="2" t="str">
        <f t="shared" si="4726"/>
        <v>&lt;/li&gt;&lt;li&gt;&lt;a href=|http://jfb.biblecommenter.com/revelation/15.htm| title=|Jamieson-Fausset-Brown Bible Commentary| target=|_top|&gt;JFB&lt;/a&gt;</v>
      </c>
      <c r="AF1182" s="2" t="str">
        <f t="shared" si="4726"/>
        <v>&lt;/li&gt;&lt;li&gt;&lt;a href=|http://kjt.biblecommenter.com/revelation/15.htm| title=|King James Translators' Notes| target=|_top|&gt;KJT&lt;/a&gt;</v>
      </c>
      <c r="AG1182" s="2" t="str">
        <f t="shared" si="4726"/>
        <v>&lt;/li&gt;&lt;li&gt;&lt;a href=|http://mhc.biblecommenter.com/revelation/15.htm| title=|Matthew Henry's Concise Commentary| target=|_top|&gt;MHC&lt;/a&gt;</v>
      </c>
      <c r="AH1182" s="2" t="str">
        <f t="shared" si="4726"/>
        <v>&lt;/li&gt;&lt;li&gt;&lt;a href=|http://sco.biblecommenter.com/revelation/15.htm| title=|Scofield Reference Notes| target=|_top|&gt;SCO&lt;/a&gt;</v>
      </c>
      <c r="AI1182" s="2" t="str">
        <f t="shared" si="4726"/>
        <v>&lt;/li&gt;&lt;li&gt;&lt;a href=|http://wes.biblecommenter.com/revelation/15.htm| title=|Wesley's Notes on the Bible| target=|_top|&gt;WES&lt;/a&gt;</v>
      </c>
      <c r="AJ1182" t="str">
        <f>CONCATENATE("&lt;/li&gt;&lt;li&gt;&lt;a href=|http://",AJ1191,"/revelation/15.htm","| ","title=|",AJ1190,"| target=|_top|&gt;",AJ1192,"&lt;/a&gt;")</f>
        <v>&lt;/li&gt;&lt;li&gt;&lt;a href=|http://worldebible.com/revelation/15.htm| title=|World English Bible| target=|_top|&gt;WEB&lt;/a&gt;</v>
      </c>
      <c r="AK1182" t="str">
        <f>CONCATENATE("&lt;/li&gt;&lt;li&gt;&lt;a href=|http://",AK1191,"/revelation/15.htm","| ","title=|",AK1190,"| target=|_top|&gt;",AK1192,"&lt;/a&gt;")</f>
        <v>&lt;/li&gt;&lt;li&gt;&lt;a href=|http://yltbible.com/revelation/15.htm| title=|Young's Literal Translation| target=|_top|&gt;YLT&lt;/a&gt;</v>
      </c>
      <c r="AL1182" t="str">
        <f>CONCATENATE("&lt;a href=|http://",AL1191,"/revelation/15.htm","| ","title=|",AL1190,"| target=|_top|&gt;",AL1192,"&lt;/a&gt;")</f>
        <v>&lt;a href=|http://kjv.us/revelation/15.htm| title=|American King James Version| target=|_top|&gt;AKJ&lt;/a&gt;</v>
      </c>
      <c r="AM1182" t="str">
        <f t="shared" ref="AM1182:AS1182" si="4727">CONCATENATE("&lt;/li&gt;&lt;li&gt;&lt;a href=|http://",AM1191,"/revelation/15.htm","| ","title=|",AM1190,"| target=|_top|&gt;",AM1192,"&lt;/a&gt;")</f>
        <v>&lt;/li&gt;&lt;li&gt;&lt;a href=|http://basicenglishbible.com/revelation/15.htm| title=|Bible in Basic English| target=|_top|&gt;BBE&lt;/a&gt;</v>
      </c>
      <c r="AN1182" t="str">
        <f t="shared" si="4727"/>
        <v>&lt;/li&gt;&lt;li&gt;&lt;a href=|http://darbybible.com/revelation/15.htm| title=|Darby Bible Translation| target=|_top|&gt;DBY&lt;/a&gt;</v>
      </c>
      <c r="AO1182" t="str">
        <f t="shared" si="4727"/>
        <v>&lt;/li&gt;&lt;li&gt;&lt;a href=|http://isv.scripturetext.com/revelation/15.htm| title=|International Standard Version| target=|_top|&gt;ISV&lt;/a&gt;</v>
      </c>
      <c r="AP1182" t="str">
        <f t="shared" si="4727"/>
        <v>&lt;/li&gt;&lt;li&gt;&lt;a href=|http://tnt.scripturetext.com/revelation/15.htm| title=|Tyndale New Testament| target=|_top|&gt;TNT&lt;/a&gt;</v>
      </c>
      <c r="AQ1182" s="2" t="str">
        <f t="shared" si="4727"/>
        <v>&lt;/li&gt;&lt;li&gt;&lt;a href=|http://pnt.biblecommenter.com/revelation/15.htm| title=|People's New Testament| target=|_top|&gt;PNT&lt;/a&gt;</v>
      </c>
      <c r="AR1182" t="str">
        <f t="shared" si="4727"/>
        <v>&lt;/li&gt;&lt;li&gt;&lt;a href=|http://websterbible.com/revelation/15.htm| title=|Webster's Bible Translation| target=|_top|&gt;WBS&lt;/a&gt;</v>
      </c>
      <c r="AS1182" t="str">
        <f t="shared" si="4727"/>
        <v>&lt;/li&gt;&lt;li&gt;&lt;a href=|http://weymouthbible.com/revelation/15.htm| title=|Weymouth New Testament| target=|_top|&gt;WEY&lt;/a&gt;</v>
      </c>
      <c r="AT1182" t="str">
        <f>CONCATENATE("&lt;/li&gt;&lt;li&gt;&lt;a href=|http://",AT1191,"/revelation/15-1.htm","| ","title=|",AT1190,"| target=|_top|&gt;",AT1192,"&lt;/a&gt;")</f>
        <v>&lt;/li&gt;&lt;li&gt;&lt;a href=|http://biblebrowser.com/revelation/15-1.htm| title=|Split View| target=|_top|&gt;Split&lt;/a&gt;</v>
      </c>
      <c r="AU1182" s="2" t="s">
        <v>1276</v>
      </c>
      <c r="AV1182" t="s">
        <v>64</v>
      </c>
    </row>
    <row r="1183" spans="1:48">
      <c r="A1183" t="s">
        <v>622</v>
      </c>
      <c r="B1183" t="s">
        <v>614</v>
      </c>
      <c r="C1183" t="s">
        <v>624</v>
      </c>
      <c r="D1183" t="s">
        <v>1268</v>
      </c>
      <c r="E1183" t="s">
        <v>1277</v>
      </c>
      <c r="F1183" t="s">
        <v>1304</v>
      </c>
      <c r="G1183" t="s">
        <v>1266</v>
      </c>
      <c r="H1183" t="s">
        <v>1305</v>
      </c>
      <c r="I1183" t="s">
        <v>1303</v>
      </c>
      <c r="J1183" t="s">
        <v>1267</v>
      </c>
      <c r="K1183" t="s">
        <v>1275</v>
      </c>
      <c r="L1183" s="2" t="s">
        <v>1274</v>
      </c>
      <c r="M1183" t="str">
        <f t="shared" ref="M1183:AB1183" si="4728">CONCATENATE("&lt;/li&gt;&lt;li&gt;&lt;a href=|http://",M1191,"/revelation/16.htm","| ","title=|",M1190,"| target=|_top|&gt;",M1192,"&lt;/a&gt;")</f>
        <v>&lt;/li&gt;&lt;li&gt;&lt;a href=|http://niv.scripturetext.com/revelation/16.htm| title=|New International Version| target=|_top|&gt;NIV&lt;/a&gt;</v>
      </c>
      <c r="N1183" t="str">
        <f t="shared" si="4728"/>
        <v>&lt;/li&gt;&lt;li&gt;&lt;a href=|http://nlt.scripturetext.com/revelation/16.htm| title=|New Living Translation| target=|_top|&gt;NLT&lt;/a&gt;</v>
      </c>
      <c r="O1183" t="str">
        <f t="shared" si="4728"/>
        <v>&lt;/li&gt;&lt;li&gt;&lt;a href=|http://nasb.scripturetext.com/revelation/16.htm| title=|New American Standard Bible| target=|_top|&gt;NAS&lt;/a&gt;</v>
      </c>
      <c r="P1183" t="str">
        <f t="shared" si="4728"/>
        <v>&lt;/li&gt;&lt;li&gt;&lt;a href=|http://gwt.scripturetext.com/revelation/16.htm| title=|God's Word Translation| target=|_top|&gt;GWT&lt;/a&gt;</v>
      </c>
      <c r="Q1183" t="str">
        <f t="shared" si="4728"/>
        <v>&lt;/li&gt;&lt;li&gt;&lt;a href=|http://kingjbible.com/revelation/16.htm| title=|King James Bible| target=|_top|&gt;KJV&lt;/a&gt;</v>
      </c>
      <c r="R1183" t="str">
        <f t="shared" si="4728"/>
        <v>&lt;/li&gt;&lt;li&gt;&lt;a href=|http://asvbible.com/revelation/16.htm| title=|American Standard Version| target=|_top|&gt;ASV&lt;/a&gt;</v>
      </c>
      <c r="S1183" t="str">
        <f t="shared" si="4728"/>
        <v>&lt;/li&gt;&lt;li&gt;&lt;a href=|http://drb.scripturetext.com/revelation/16.htm| title=|Douay-Rheims Bible| target=|_top|&gt;DRB&lt;/a&gt;</v>
      </c>
      <c r="T1183" t="str">
        <f t="shared" si="4728"/>
        <v>&lt;/li&gt;&lt;li&gt;&lt;a href=|http://erv.scripturetext.com/revelation/16.htm| title=|English Revised Version| target=|_top|&gt;ERV&lt;/a&gt;</v>
      </c>
      <c r="U1183" t="str">
        <f>CONCATENATE("&lt;/li&gt;&lt;li&gt;&lt;a href=|http://",U1191,"/revelation/16.htm","| ","title=|",U1190,"| target=|_top|&gt;",U1192,"&lt;/a&gt;")</f>
        <v>&lt;/li&gt;&lt;li&gt;&lt;a href=|http://study.interlinearbible.org/revelation/16.htm| title=|Greek Study Bible| target=|_top|&gt;Grk Study&lt;/a&gt;</v>
      </c>
      <c r="W1183" t="str">
        <f t="shared" si="4728"/>
        <v>&lt;/li&gt;&lt;li&gt;&lt;a href=|http://apostolic.interlinearbible.org/revelation/16.htm| title=|Apostolic Bible Polyglot Interlinear| target=|_top|&gt;Polyglot&lt;/a&gt;</v>
      </c>
      <c r="X1183" t="str">
        <f t="shared" si="4728"/>
        <v>&lt;/li&gt;&lt;li&gt;&lt;a href=|http://interlinearbible.org/revelation/16.htm| title=|Interlinear Bible| target=|_top|&gt;Interlin&lt;/a&gt;</v>
      </c>
      <c r="Y1183" t="str">
        <f t="shared" ref="Y1183" si="4729">CONCATENATE("&lt;/li&gt;&lt;li&gt;&lt;a href=|http://",Y1191,"/revelation/16.htm","| ","title=|",Y1190,"| target=|_top|&gt;",Y1192,"&lt;/a&gt;")</f>
        <v>&lt;/li&gt;&lt;li&gt;&lt;a href=|http://bibleoutline.org/revelation/16.htm| title=|Outline with People and Places List| target=|_top|&gt;Outline&lt;/a&gt;</v>
      </c>
      <c r="Z1183" t="str">
        <f t="shared" si="4728"/>
        <v>&lt;/li&gt;&lt;li&gt;&lt;a href=|http://kjvs.scripturetext.com/revelation/16.htm| title=|King James Bible with Strong's Numbers| target=|_top|&gt;Strong's&lt;/a&gt;</v>
      </c>
      <c r="AA1183" t="str">
        <f t="shared" si="4728"/>
        <v>&lt;/li&gt;&lt;li&gt;&lt;a href=|http://childrensbibleonline.com/revelation/16.htm| title=|The Children's Bible| target=|_top|&gt;Children's&lt;/a&gt;</v>
      </c>
      <c r="AB1183" s="2" t="str">
        <f t="shared" si="4728"/>
        <v>&lt;/li&gt;&lt;li&gt;&lt;a href=|http://tsk.scripturetext.com/revelation/16.htm| title=|Treasury of Scripture Knowledge| target=|_top|&gt;TSK&lt;/a&gt;</v>
      </c>
      <c r="AC1183" t="str">
        <f>CONCATENATE("&lt;a href=|http://",AC1191,"/revelation/16.htm","| ","title=|",AC1190,"| target=|_top|&gt;",AC1192,"&lt;/a&gt;")</f>
        <v>&lt;a href=|http://parallelbible.com/revelation/16.htm| title=|Parallel Chapters| target=|_top|&gt;PAR&lt;/a&gt;</v>
      </c>
      <c r="AD1183" s="2" t="str">
        <f t="shared" ref="AD1183:AI1183" si="4730">CONCATENATE("&lt;/li&gt;&lt;li&gt;&lt;a href=|http://",AD1191,"/revelation/16.htm","| ","title=|",AD1190,"| target=|_top|&gt;",AD1192,"&lt;/a&gt;")</f>
        <v>&lt;/li&gt;&lt;li&gt;&lt;a href=|http://gsb.biblecommenter.com/revelation/16.htm| title=|Geneva Study Bible| target=|_top|&gt;GSB&lt;/a&gt;</v>
      </c>
      <c r="AE1183" s="2" t="str">
        <f t="shared" si="4730"/>
        <v>&lt;/li&gt;&lt;li&gt;&lt;a href=|http://jfb.biblecommenter.com/revelation/16.htm| title=|Jamieson-Fausset-Brown Bible Commentary| target=|_top|&gt;JFB&lt;/a&gt;</v>
      </c>
      <c r="AF1183" s="2" t="str">
        <f t="shared" si="4730"/>
        <v>&lt;/li&gt;&lt;li&gt;&lt;a href=|http://kjt.biblecommenter.com/revelation/16.htm| title=|King James Translators' Notes| target=|_top|&gt;KJT&lt;/a&gt;</v>
      </c>
      <c r="AG1183" s="2" t="str">
        <f t="shared" si="4730"/>
        <v>&lt;/li&gt;&lt;li&gt;&lt;a href=|http://mhc.biblecommenter.com/revelation/16.htm| title=|Matthew Henry's Concise Commentary| target=|_top|&gt;MHC&lt;/a&gt;</v>
      </c>
      <c r="AH1183" s="2" t="str">
        <f t="shared" si="4730"/>
        <v>&lt;/li&gt;&lt;li&gt;&lt;a href=|http://sco.biblecommenter.com/revelation/16.htm| title=|Scofield Reference Notes| target=|_top|&gt;SCO&lt;/a&gt;</v>
      </c>
      <c r="AI1183" s="2" t="str">
        <f t="shared" si="4730"/>
        <v>&lt;/li&gt;&lt;li&gt;&lt;a href=|http://wes.biblecommenter.com/revelation/16.htm| title=|Wesley's Notes on the Bible| target=|_top|&gt;WES&lt;/a&gt;</v>
      </c>
      <c r="AJ1183" t="str">
        <f>CONCATENATE("&lt;/li&gt;&lt;li&gt;&lt;a href=|http://",AJ1191,"/revelation/16.htm","| ","title=|",AJ1190,"| target=|_top|&gt;",AJ1192,"&lt;/a&gt;")</f>
        <v>&lt;/li&gt;&lt;li&gt;&lt;a href=|http://worldebible.com/revelation/16.htm| title=|World English Bible| target=|_top|&gt;WEB&lt;/a&gt;</v>
      </c>
      <c r="AK1183" t="str">
        <f>CONCATENATE("&lt;/li&gt;&lt;li&gt;&lt;a href=|http://",AK1191,"/revelation/16.htm","| ","title=|",AK1190,"| target=|_top|&gt;",AK1192,"&lt;/a&gt;")</f>
        <v>&lt;/li&gt;&lt;li&gt;&lt;a href=|http://yltbible.com/revelation/16.htm| title=|Young's Literal Translation| target=|_top|&gt;YLT&lt;/a&gt;</v>
      </c>
      <c r="AL1183" t="str">
        <f>CONCATENATE("&lt;a href=|http://",AL1191,"/revelation/16.htm","| ","title=|",AL1190,"| target=|_top|&gt;",AL1192,"&lt;/a&gt;")</f>
        <v>&lt;a href=|http://kjv.us/revelation/16.htm| title=|American King James Version| target=|_top|&gt;AKJ&lt;/a&gt;</v>
      </c>
      <c r="AM1183" t="str">
        <f t="shared" ref="AM1183:AS1183" si="4731">CONCATENATE("&lt;/li&gt;&lt;li&gt;&lt;a href=|http://",AM1191,"/revelation/16.htm","| ","title=|",AM1190,"| target=|_top|&gt;",AM1192,"&lt;/a&gt;")</f>
        <v>&lt;/li&gt;&lt;li&gt;&lt;a href=|http://basicenglishbible.com/revelation/16.htm| title=|Bible in Basic English| target=|_top|&gt;BBE&lt;/a&gt;</v>
      </c>
      <c r="AN1183" t="str">
        <f t="shared" si="4731"/>
        <v>&lt;/li&gt;&lt;li&gt;&lt;a href=|http://darbybible.com/revelation/16.htm| title=|Darby Bible Translation| target=|_top|&gt;DBY&lt;/a&gt;</v>
      </c>
      <c r="AO1183" t="str">
        <f t="shared" si="4731"/>
        <v>&lt;/li&gt;&lt;li&gt;&lt;a href=|http://isv.scripturetext.com/revelation/16.htm| title=|International Standard Version| target=|_top|&gt;ISV&lt;/a&gt;</v>
      </c>
      <c r="AP1183" t="str">
        <f t="shared" si="4731"/>
        <v>&lt;/li&gt;&lt;li&gt;&lt;a href=|http://tnt.scripturetext.com/revelation/16.htm| title=|Tyndale New Testament| target=|_top|&gt;TNT&lt;/a&gt;</v>
      </c>
      <c r="AQ1183" s="2" t="str">
        <f t="shared" si="4731"/>
        <v>&lt;/li&gt;&lt;li&gt;&lt;a href=|http://pnt.biblecommenter.com/revelation/16.htm| title=|People's New Testament| target=|_top|&gt;PNT&lt;/a&gt;</v>
      </c>
      <c r="AR1183" t="str">
        <f t="shared" si="4731"/>
        <v>&lt;/li&gt;&lt;li&gt;&lt;a href=|http://websterbible.com/revelation/16.htm| title=|Webster's Bible Translation| target=|_top|&gt;WBS&lt;/a&gt;</v>
      </c>
      <c r="AS1183" t="str">
        <f t="shared" si="4731"/>
        <v>&lt;/li&gt;&lt;li&gt;&lt;a href=|http://weymouthbible.com/revelation/16.htm| title=|Weymouth New Testament| target=|_top|&gt;WEY&lt;/a&gt;</v>
      </c>
      <c r="AT1183" t="str">
        <f>CONCATENATE("&lt;/li&gt;&lt;li&gt;&lt;a href=|http://",AT1191,"/revelation/16-1.htm","| ","title=|",AT1190,"| target=|_top|&gt;",AT1192,"&lt;/a&gt;")</f>
        <v>&lt;/li&gt;&lt;li&gt;&lt;a href=|http://biblebrowser.com/revelation/16-1.htm| title=|Split View| target=|_top|&gt;Split&lt;/a&gt;</v>
      </c>
      <c r="AU1183" s="2" t="s">
        <v>1276</v>
      </c>
      <c r="AV1183" t="s">
        <v>64</v>
      </c>
    </row>
    <row r="1184" spans="1:48">
      <c r="A1184" t="s">
        <v>622</v>
      </c>
      <c r="B1184" t="s">
        <v>615</v>
      </c>
      <c r="C1184" t="s">
        <v>624</v>
      </c>
      <c r="D1184" t="s">
        <v>1268</v>
      </c>
      <c r="E1184" t="s">
        <v>1277</v>
      </c>
      <c r="F1184" t="s">
        <v>1304</v>
      </c>
      <c r="G1184" t="s">
        <v>1266</v>
      </c>
      <c r="H1184" t="s">
        <v>1305</v>
      </c>
      <c r="I1184" t="s">
        <v>1303</v>
      </c>
      <c r="J1184" t="s">
        <v>1267</v>
      </c>
      <c r="K1184" t="s">
        <v>1275</v>
      </c>
      <c r="L1184" s="2" t="s">
        <v>1274</v>
      </c>
      <c r="M1184" t="str">
        <f t="shared" ref="M1184:AB1184" si="4732">CONCATENATE("&lt;/li&gt;&lt;li&gt;&lt;a href=|http://",M1191,"/revelation/17.htm","| ","title=|",M1190,"| target=|_top|&gt;",M1192,"&lt;/a&gt;")</f>
        <v>&lt;/li&gt;&lt;li&gt;&lt;a href=|http://niv.scripturetext.com/revelation/17.htm| title=|New International Version| target=|_top|&gt;NIV&lt;/a&gt;</v>
      </c>
      <c r="N1184" t="str">
        <f t="shared" si="4732"/>
        <v>&lt;/li&gt;&lt;li&gt;&lt;a href=|http://nlt.scripturetext.com/revelation/17.htm| title=|New Living Translation| target=|_top|&gt;NLT&lt;/a&gt;</v>
      </c>
      <c r="O1184" t="str">
        <f t="shared" si="4732"/>
        <v>&lt;/li&gt;&lt;li&gt;&lt;a href=|http://nasb.scripturetext.com/revelation/17.htm| title=|New American Standard Bible| target=|_top|&gt;NAS&lt;/a&gt;</v>
      </c>
      <c r="P1184" t="str">
        <f t="shared" si="4732"/>
        <v>&lt;/li&gt;&lt;li&gt;&lt;a href=|http://gwt.scripturetext.com/revelation/17.htm| title=|God's Word Translation| target=|_top|&gt;GWT&lt;/a&gt;</v>
      </c>
      <c r="Q1184" t="str">
        <f t="shared" si="4732"/>
        <v>&lt;/li&gt;&lt;li&gt;&lt;a href=|http://kingjbible.com/revelation/17.htm| title=|King James Bible| target=|_top|&gt;KJV&lt;/a&gt;</v>
      </c>
      <c r="R1184" t="str">
        <f t="shared" si="4732"/>
        <v>&lt;/li&gt;&lt;li&gt;&lt;a href=|http://asvbible.com/revelation/17.htm| title=|American Standard Version| target=|_top|&gt;ASV&lt;/a&gt;</v>
      </c>
      <c r="S1184" t="str">
        <f t="shared" si="4732"/>
        <v>&lt;/li&gt;&lt;li&gt;&lt;a href=|http://drb.scripturetext.com/revelation/17.htm| title=|Douay-Rheims Bible| target=|_top|&gt;DRB&lt;/a&gt;</v>
      </c>
      <c r="T1184" t="str">
        <f t="shared" si="4732"/>
        <v>&lt;/li&gt;&lt;li&gt;&lt;a href=|http://erv.scripturetext.com/revelation/17.htm| title=|English Revised Version| target=|_top|&gt;ERV&lt;/a&gt;</v>
      </c>
      <c r="U1184" t="str">
        <f>CONCATENATE("&lt;/li&gt;&lt;li&gt;&lt;a href=|http://",U1191,"/revelation/17.htm","| ","title=|",U1190,"| target=|_top|&gt;",U1192,"&lt;/a&gt;")</f>
        <v>&lt;/li&gt;&lt;li&gt;&lt;a href=|http://study.interlinearbible.org/revelation/17.htm| title=|Greek Study Bible| target=|_top|&gt;Grk Study&lt;/a&gt;</v>
      </c>
      <c r="W1184" t="str">
        <f t="shared" si="4732"/>
        <v>&lt;/li&gt;&lt;li&gt;&lt;a href=|http://apostolic.interlinearbible.org/revelation/17.htm| title=|Apostolic Bible Polyglot Interlinear| target=|_top|&gt;Polyglot&lt;/a&gt;</v>
      </c>
      <c r="X1184" t="str">
        <f t="shared" si="4732"/>
        <v>&lt;/li&gt;&lt;li&gt;&lt;a href=|http://interlinearbible.org/revelation/17.htm| title=|Interlinear Bible| target=|_top|&gt;Interlin&lt;/a&gt;</v>
      </c>
      <c r="Y1184" t="str">
        <f t="shared" ref="Y1184" si="4733">CONCATENATE("&lt;/li&gt;&lt;li&gt;&lt;a href=|http://",Y1191,"/revelation/17.htm","| ","title=|",Y1190,"| target=|_top|&gt;",Y1192,"&lt;/a&gt;")</f>
        <v>&lt;/li&gt;&lt;li&gt;&lt;a href=|http://bibleoutline.org/revelation/17.htm| title=|Outline with People and Places List| target=|_top|&gt;Outline&lt;/a&gt;</v>
      </c>
      <c r="Z1184" t="str">
        <f t="shared" si="4732"/>
        <v>&lt;/li&gt;&lt;li&gt;&lt;a href=|http://kjvs.scripturetext.com/revelation/17.htm| title=|King James Bible with Strong's Numbers| target=|_top|&gt;Strong's&lt;/a&gt;</v>
      </c>
      <c r="AA1184" t="str">
        <f t="shared" si="4732"/>
        <v>&lt;/li&gt;&lt;li&gt;&lt;a href=|http://childrensbibleonline.com/revelation/17.htm| title=|The Children's Bible| target=|_top|&gt;Children's&lt;/a&gt;</v>
      </c>
      <c r="AB1184" s="2" t="str">
        <f t="shared" si="4732"/>
        <v>&lt;/li&gt;&lt;li&gt;&lt;a href=|http://tsk.scripturetext.com/revelation/17.htm| title=|Treasury of Scripture Knowledge| target=|_top|&gt;TSK&lt;/a&gt;</v>
      </c>
      <c r="AC1184" t="str">
        <f>CONCATENATE("&lt;a href=|http://",AC1191,"/revelation/17.htm","| ","title=|",AC1190,"| target=|_top|&gt;",AC1192,"&lt;/a&gt;")</f>
        <v>&lt;a href=|http://parallelbible.com/revelation/17.htm| title=|Parallel Chapters| target=|_top|&gt;PAR&lt;/a&gt;</v>
      </c>
      <c r="AD1184" s="2" t="str">
        <f t="shared" ref="AD1184:AI1184" si="4734">CONCATENATE("&lt;/li&gt;&lt;li&gt;&lt;a href=|http://",AD1191,"/revelation/17.htm","| ","title=|",AD1190,"| target=|_top|&gt;",AD1192,"&lt;/a&gt;")</f>
        <v>&lt;/li&gt;&lt;li&gt;&lt;a href=|http://gsb.biblecommenter.com/revelation/17.htm| title=|Geneva Study Bible| target=|_top|&gt;GSB&lt;/a&gt;</v>
      </c>
      <c r="AE1184" s="2" t="str">
        <f t="shared" si="4734"/>
        <v>&lt;/li&gt;&lt;li&gt;&lt;a href=|http://jfb.biblecommenter.com/revelation/17.htm| title=|Jamieson-Fausset-Brown Bible Commentary| target=|_top|&gt;JFB&lt;/a&gt;</v>
      </c>
      <c r="AF1184" s="2" t="str">
        <f t="shared" si="4734"/>
        <v>&lt;/li&gt;&lt;li&gt;&lt;a href=|http://kjt.biblecommenter.com/revelation/17.htm| title=|King James Translators' Notes| target=|_top|&gt;KJT&lt;/a&gt;</v>
      </c>
      <c r="AG1184" s="2" t="str">
        <f t="shared" si="4734"/>
        <v>&lt;/li&gt;&lt;li&gt;&lt;a href=|http://mhc.biblecommenter.com/revelation/17.htm| title=|Matthew Henry's Concise Commentary| target=|_top|&gt;MHC&lt;/a&gt;</v>
      </c>
      <c r="AH1184" s="2" t="str">
        <f t="shared" si="4734"/>
        <v>&lt;/li&gt;&lt;li&gt;&lt;a href=|http://sco.biblecommenter.com/revelation/17.htm| title=|Scofield Reference Notes| target=|_top|&gt;SCO&lt;/a&gt;</v>
      </c>
      <c r="AI1184" s="2" t="str">
        <f t="shared" si="4734"/>
        <v>&lt;/li&gt;&lt;li&gt;&lt;a href=|http://wes.biblecommenter.com/revelation/17.htm| title=|Wesley's Notes on the Bible| target=|_top|&gt;WES&lt;/a&gt;</v>
      </c>
      <c r="AJ1184" t="str">
        <f>CONCATENATE("&lt;/li&gt;&lt;li&gt;&lt;a href=|http://",AJ1191,"/revelation/17.htm","| ","title=|",AJ1190,"| target=|_top|&gt;",AJ1192,"&lt;/a&gt;")</f>
        <v>&lt;/li&gt;&lt;li&gt;&lt;a href=|http://worldebible.com/revelation/17.htm| title=|World English Bible| target=|_top|&gt;WEB&lt;/a&gt;</v>
      </c>
      <c r="AK1184" t="str">
        <f>CONCATENATE("&lt;/li&gt;&lt;li&gt;&lt;a href=|http://",AK1191,"/revelation/17.htm","| ","title=|",AK1190,"| target=|_top|&gt;",AK1192,"&lt;/a&gt;")</f>
        <v>&lt;/li&gt;&lt;li&gt;&lt;a href=|http://yltbible.com/revelation/17.htm| title=|Young's Literal Translation| target=|_top|&gt;YLT&lt;/a&gt;</v>
      </c>
      <c r="AL1184" t="str">
        <f>CONCATENATE("&lt;a href=|http://",AL1191,"/revelation/17.htm","| ","title=|",AL1190,"| target=|_top|&gt;",AL1192,"&lt;/a&gt;")</f>
        <v>&lt;a href=|http://kjv.us/revelation/17.htm| title=|American King James Version| target=|_top|&gt;AKJ&lt;/a&gt;</v>
      </c>
      <c r="AM1184" t="str">
        <f t="shared" ref="AM1184:AS1184" si="4735">CONCATENATE("&lt;/li&gt;&lt;li&gt;&lt;a href=|http://",AM1191,"/revelation/17.htm","| ","title=|",AM1190,"| target=|_top|&gt;",AM1192,"&lt;/a&gt;")</f>
        <v>&lt;/li&gt;&lt;li&gt;&lt;a href=|http://basicenglishbible.com/revelation/17.htm| title=|Bible in Basic English| target=|_top|&gt;BBE&lt;/a&gt;</v>
      </c>
      <c r="AN1184" t="str">
        <f t="shared" si="4735"/>
        <v>&lt;/li&gt;&lt;li&gt;&lt;a href=|http://darbybible.com/revelation/17.htm| title=|Darby Bible Translation| target=|_top|&gt;DBY&lt;/a&gt;</v>
      </c>
      <c r="AO1184" t="str">
        <f t="shared" si="4735"/>
        <v>&lt;/li&gt;&lt;li&gt;&lt;a href=|http://isv.scripturetext.com/revelation/17.htm| title=|International Standard Version| target=|_top|&gt;ISV&lt;/a&gt;</v>
      </c>
      <c r="AP1184" t="str">
        <f t="shared" si="4735"/>
        <v>&lt;/li&gt;&lt;li&gt;&lt;a href=|http://tnt.scripturetext.com/revelation/17.htm| title=|Tyndale New Testament| target=|_top|&gt;TNT&lt;/a&gt;</v>
      </c>
      <c r="AQ1184" s="2" t="str">
        <f t="shared" si="4735"/>
        <v>&lt;/li&gt;&lt;li&gt;&lt;a href=|http://pnt.biblecommenter.com/revelation/17.htm| title=|People's New Testament| target=|_top|&gt;PNT&lt;/a&gt;</v>
      </c>
      <c r="AR1184" t="str">
        <f t="shared" si="4735"/>
        <v>&lt;/li&gt;&lt;li&gt;&lt;a href=|http://websterbible.com/revelation/17.htm| title=|Webster's Bible Translation| target=|_top|&gt;WBS&lt;/a&gt;</v>
      </c>
      <c r="AS1184" t="str">
        <f t="shared" si="4735"/>
        <v>&lt;/li&gt;&lt;li&gt;&lt;a href=|http://weymouthbible.com/revelation/17.htm| title=|Weymouth New Testament| target=|_top|&gt;WEY&lt;/a&gt;</v>
      </c>
      <c r="AT1184" t="str">
        <f>CONCATENATE("&lt;/li&gt;&lt;li&gt;&lt;a href=|http://",AT1191,"/revelation/17-1.htm","| ","title=|",AT1190,"| target=|_top|&gt;",AT1192,"&lt;/a&gt;")</f>
        <v>&lt;/li&gt;&lt;li&gt;&lt;a href=|http://biblebrowser.com/revelation/17-1.htm| title=|Split View| target=|_top|&gt;Split&lt;/a&gt;</v>
      </c>
      <c r="AU1184" s="2" t="s">
        <v>1276</v>
      </c>
      <c r="AV1184" t="s">
        <v>64</v>
      </c>
    </row>
    <row r="1185" spans="1:48">
      <c r="A1185" t="s">
        <v>622</v>
      </c>
      <c r="B1185" t="s">
        <v>616</v>
      </c>
      <c r="C1185" t="s">
        <v>624</v>
      </c>
      <c r="D1185" t="s">
        <v>1268</v>
      </c>
      <c r="E1185" t="s">
        <v>1277</v>
      </c>
      <c r="F1185" t="s">
        <v>1304</v>
      </c>
      <c r="G1185" t="s">
        <v>1266</v>
      </c>
      <c r="H1185" t="s">
        <v>1305</v>
      </c>
      <c r="I1185" t="s">
        <v>1303</v>
      </c>
      <c r="J1185" t="s">
        <v>1267</v>
      </c>
      <c r="K1185" t="s">
        <v>1275</v>
      </c>
      <c r="L1185" s="2" t="s">
        <v>1274</v>
      </c>
      <c r="M1185" t="str">
        <f t="shared" ref="M1185:AB1185" si="4736">CONCATENATE("&lt;/li&gt;&lt;li&gt;&lt;a href=|http://",M1191,"/revelation/18.htm","| ","title=|",M1190,"| target=|_top|&gt;",M1192,"&lt;/a&gt;")</f>
        <v>&lt;/li&gt;&lt;li&gt;&lt;a href=|http://niv.scripturetext.com/revelation/18.htm| title=|New International Version| target=|_top|&gt;NIV&lt;/a&gt;</v>
      </c>
      <c r="N1185" t="str">
        <f t="shared" si="4736"/>
        <v>&lt;/li&gt;&lt;li&gt;&lt;a href=|http://nlt.scripturetext.com/revelation/18.htm| title=|New Living Translation| target=|_top|&gt;NLT&lt;/a&gt;</v>
      </c>
      <c r="O1185" t="str">
        <f t="shared" si="4736"/>
        <v>&lt;/li&gt;&lt;li&gt;&lt;a href=|http://nasb.scripturetext.com/revelation/18.htm| title=|New American Standard Bible| target=|_top|&gt;NAS&lt;/a&gt;</v>
      </c>
      <c r="P1185" t="str">
        <f t="shared" si="4736"/>
        <v>&lt;/li&gt;&lt;li&gt;&lt;a href=|http://gwt.scripturetext.com/revelation/18.htm| title=|God's Word Translation| target=|_top|&gt;GWT&lt;/a&gt;</v>
      </c>
      <c r="Q1185" t="str">
        <f t="shared" si="4736"/>
        <v>&lt;/li&gt;&lt;li&gt;&lt;a href=|http://kingjbible.com/revelation/18.htm| title=|King James Bible| target=|_top|&gt;KJV&lt;/a&gt;</v>
      </c>
      <c r="R1185" t="str">
        <f t="shared" si="4736"/>
        <v>&lt;/li&gt;&lt;li&gt;&lt;a href=|http://asvbible.com/revelation/18.htm| title=|American Standard Version| target=|_top|&gt;ASV&lt;/a&gt;</v>
      </c>
      <c r="S1185" t="str">
        <f t="shared" si="4736"/>
        <v>&lt;/li&gt;&lt;li&gt;&lt;a href=|http://drb.scripturetext.com/revelation/18.htm| title=|Douay-Rheims Bible| target=|_top|&gt;DRB&lt;/a&gt;</v>
      </c>
      <c r="T1185" t="str">
        <f t="shared" si="4736"/>
        <v>&lt;/li&gt;&lt;li&gt;&lt;a href=|http://erv.scripturetext.com/revelation/18.htm| title=|English Revised Version| target=|_top|&gt;ERV&lt;/a&gt;</v>
      </c>
      <c r="U1185" t="str">
        <f>CONCATENATE("&lt;/li&gt;&lt;li&gt;&lt;a href=|http://",U1191,"/revelation/18.htm","| ","title=|",U1190,"| target=|_top|&gt;",U1192,"&lt;/a&gt;")</f>
        <v>&lt;/li&gt;&lt;li&gt;&lt;a href=|http://study.interlinearbible.org/revelation/18.htm| title=|Greek Study Bible| target=|_top|&gt;Grk Study&lt;/a&gt;</v>
      </c>
      <c r="W1185" t="str">
        <f t="shared" si="4736"/>
        <v>&lt;/li&gt;&lt;li&gt;&lt;a href=|http://apostolic.interlinearbible.org/revelation/18.htm| title=|Apostolic Bible Polyglot Interlinear| target=|_top|&gt;Polyglot&lt;/a&gt;</v>
      </c>
      <c r="X1185" t="str">
        <f t="shared" si="4736"/>
        <v>&lt;/li&gt;&lt;li&gt;&lt;a href=|http://interlinearbible.org/revelation/18.htm| title=|Interlinear Bible| target=|_top|&gt;Interlin&lt;/a&gt;</v>
      </c>
      <c r="Y1185" t="str">
        <f t="shared" ref="Y1185" si="4737">CONCATENATE("&lt;/li&gt;&lt;li&gt;&lt;a href=|http://",Y1191,"/revelation/18.htm","| ","title=|",Y1190,"| target=|_top|&gt;",Y1192,"&lt;/a&gt;")</f>
        <v>&lt;/li&gt;&lt;li&gt;&lt;a href=|http://bibleoutline.org/revelation/18.htm| title=|Outline with People and Places List| target=|_top|&gt;Outline&lt;/a&gt;</v>
      </c>
      <c r="Z1185" t="str">
        <f t="shared" si="4736"/>
        <v>&lt;/li&gt;&lt;li&gt;&lt;a href=|http://kjvs.scripturetext.com/revelation/18.htm| title=|King James Bible with Strong's Numbers| target=|_top|&gt;Strong's&lt;/a&gt;</v>
      </c>
      <c r="AA1185" t="str">
        <f t="shared" si="4736"/>
        <v>&lt;/li&gt;&lt;li&gt;&lt;a href=|http://childrensbibleonline.com/revelation/18.htm| title=|The Children's Bible| target=|_top|&gt;Children's&lt;/a&gt;</v>
      </c>
      <c r="AB1185" s="2" t="str">
        <f t="shared" si="4736"/>
        <v>&lt;/li&gt;&lt;li&gt;&lt;a href=|http://tsk.scripturetext.com/revelation/18.htm| title=|Treasury of Scripture Knowledge| target=|_top|&gt;TSK&lt;/a&gt;</v>
      </c>
      <c r="AC1185" t="str">
        <f>CONCATENATE("&lt;a href=|http://",AC1191,"/revelation/18.htm","| ","title=|",AC1190,"| target=|_top|&gt;",AC1192,"&lt;/a&gt;")</f>
        <v>&lt;a href=|http://parallelbible.com/revelation/18.htm| title=|Parallel Chapters| target=|_top|&gt;PAR&lt;/a&gt;</v>
      </c>
      <c r="AD1185" s="2" t="str">
        <f t="shared" ref="AD1185:AI1185" si="4738">CONCATENATE("&lt;/li&gt;&lt;li&gt;&lt;a href=|http://",AD1191,"/revelation/18.htm","| ","title=|",AD1190,"| target=|_top|&gt;",AD1192,"&lt;/a&gt;")</f>
        <v>&lt;/li&gt;&lt;li&gt;&lt;a href=|http://gsb.biblecommenter.com/revelation/18.htm| title=|Geneva Study Bible| target=|_top|&gt;GSB&lt;/a&gt;</v>
      </c>
      <c r="AE1185" s="2" t="str">
        <f t="shared" si="4738"/>
        <v>&lt;/li&gt;&lt;li&gt;&lt;a href=|http://jfb.biblecommenter.com/revelation/18.htm| title=|Jamieson-Fausset-Brown Bible Commentary| target=|_top|&gt;JFB&lt;/a&gt;</v>
      </c>
      <c r="AF1185" s="2" t="str">
        <f t="shared" si="4738"/>
        <v>&lt;/li&gt;&lt;li&gt;&lt;a href=|http://kjt.biblecommenter.com/revelation/18.htm| title=|King James Translators' Notes| target=|_top|&gt;KJT&lt;/a&gt;</v>
      </c>
      <c r="AG1185" s="2" t="str">
        <f t="shared" si="4738"/>
        <v>&lt;/li&gt;&lt;li&gt;&lt;a href=|http://mhc.biblecommenter.com/revelation/18.htm| title=|Matthew Henry's Concise Commentary| target=|_top|&gt;MHC&lt;/a&gt;</v>
      </c>
      <c r="AH1185" s="2" t="str">
        <f t="shared" si="4738"/>
        <v>&lt;/li&gt;&lt;li&gt;&lt;a href=|http://sco.biblecommenter.com/revelation/18.htm| title=|Scofield Reference Notes| target=|_top|&gt;SCO&lt;/a&gt;</v>
      </c>
      <c r="AI1185" s="2" t="str">
        <f t="shared" si="4738"/>
        <v>&lt;/li&gt;&lt;li&gt;&lt;a href=|http://wes.biblecommenter.com/revelation/18.htm| title=|Wesley's Notes on the Bible| target=|_top|&gt;WES&lt;/a&gt;</v>
      </c>
      <c r="AJ1185" t="str">
        <f>CONCATENATE("&lt;/li&gt;&lt;li&gt;&lt;a href=|http://",AJ1191,"/revelation/18.htm","| ","title=|",AJ1190,"| target=|_top|&gt;",AJ1192,"&lt;/a&gt;")</f>
        <v>&lt;/li&gt;&lt;li&gt;&lt;a href=|http://worldebible.com/revelation/18.htm| title=|World English Bible| target=|_top|&gt;WEB&lt;/a&gt;</v>
      </c>
      <c r="AK1185" t="str">
        <f>CONCATENATE("&lt;/li&gt;&lt;li&gt;&lt;a href=|http://",AK1191,"/revelation/18.htm","| ","title=|",AK1190,"| target=|_top|&gt;",AK1192,"&lt;/a&gt;")</f>
        <v>&lt;/li&gt;&lt;li&gt;&lt;a href=|http://yltbible.com/revelation/18.htm| title=|Young's Literal Translation| target=|_top|&gt;YLT&lt;/a&gt;</v>
      </c>
      <c r="AL1185" t="str">
        <f>CONCATENATE("&lt;a href=|http://",AL1191,"/revelation/18.htm","| ","title=|",AL1190,"| target=|_top|&gt;",AL1192,"&lt;/a&gt;")</f>
        <v>&lt;a href=|http://kjv.us/revelation/18.htm| title=|American King James Version| target=|_top|&gt;AKJ&lt;/a&gt;</v>
      </c>
      <c r="AM1185" t="str">
        <f t="shared" ref="AM1185:AS1185" si="4739">CONCATENATE("&lt;/li&gt;&lt;li&gt;&lt;a href=|http://",AM1191,"/revelation/18.htm","| ","title=|",AM1190,"| target=|_top|&gt;",AM1192,"&lt;/a&gt;")</f>
        <v>&lt;/li&gt;&lt;li&gt;&lt;a href=|http://basicenglishbible.com/revelation/18.htm| title=|Bible in Basic English| target=|_top|&gt;BBE&lt;/a&gt;</v>
      </c>
      <c r="AN1185" t="str">
        <f t="shared" si="4739"/>
        <v>&lt;/li&gt;&lt;li&gt;&lt;a href=|http://darbybible.com/revelation/18.htm| title=|Darby Bible Translation| target=|_top|&gt;DBY&lt;/a&gt;</v>
      </c>
      <c r="AO1185" t="str">
        <f t="shared" si="4739"/>
        <v>&lt;/li&gt;&lt;li&gt;&lt;a href=|http://isv.scripturetext.com/revelation/18.htm| title=|International Standard Version| target=|_top|&gt;ISV&lt;/a&gt;</v>
      </c>
      <c r="AP1185" t="str">
        <f t="shared" si="4739"/>
        <v>&lt;/li&gt;&lt;li&gt;&lt;a href=|http://tnt.scripturetext.com/revelation/18.htm| title=|Tyndale New Testament| target=|_top|&gt;TNT&lt;/a&gt;</v>
      </c>
      <c r="AQ1185" s="2" t="str">
        <f t="shared" si="4739"/>
        <v>&lt;/li&gt;&lt;li&gt;&lt;a href=|http://pnt.biblecommenter.com/revelation/18.htm| title=|People's New Testament| target=|_top|&gt;PNT&lt;/a&gt;</v>
      </c>
      <c r="AR1185" t="str">
        <f t="shared" si="4739"/>
        <v>&lt;/li&gt;&lt;li&gt;&lt;a href=|http://websterbible.com/revelation/18.htm| title=|Webster's Bible Translation| target=|_top|&gt;WBS&lt;/a&gt;</v>
      </c>
      <c r="AS1185" t="str">
        <f t="shared" si="4739"/>
        <v>&lt;/li&gt;&lt;li&gt;&lt;a href=|http://weymouthbible.com/revelation/18.htm| title=|Weymouth New Testament| target=|_top|&gt;WEY&lt;/a&gt;</v>
      </c>
      <c r="AT1185" t="str">
        <f>CONCATENATE("&lt;/li&gt;&lt;li&gt;&lt;a href=|http://",AT1191,"/revelation/18-1.htm","| ","title=|",AT1190,"| target=|_top|&gt;",AT1192,"&lt;/a&gt;")</f>
        <v>&lt;/li&gt;&lt;li&gt;&lt;a href=|http://biblebrowser.com/revelation/18-1.htm| title=|Split View| target=|_top|&gt;Split&lt;/a&gt;</v>
      </c>
      <c r="AU1185" s="2" t="s">
        <v>1276</v>
      </c>
      <c r="AV1185" t="s">
        <v>64</v>
      </c>
    </row>
    <row r="1186" spans="1:48">
      <c r="A1186" t="s">
        <v>622</v>
      </c>
      <c r="B1186" t="s">
        <v>617</v>
      </c>
      <c r="C1186" t="s">
        <v>624</v>
      </c>
      <c r="D1186" t="s">
        <v>1268</v>
      </c>
      <c r="E1186" t="s">
        <v>1277</v>
      </c>
      <c r="F1186" t="s">
        <v>1304</v>
      </c>
      <c r="G1186" t="s">
        <v>1266</v>
      </c>
      <c r="H1186" t="s">
        <v>1305</v>
      </c>
      <c r="I1186" t="s">
        <v>1303</v>
      </c>
      <c r="J1186" t="s">
        <v>1267</v>
      </c>
      <c r="K1186" t="s">
        <v>1275</v>
      </c>
      <c r="L1186" s="2" t="s">
        <v>1274</v>
      </c>
      <c r="M1186" t="str">
        <f t="shared" ref="M1186:AB1186" si="4740">CONCATENATE("&lt;/li&gt;&lt;li&gt;&lt;a href=|http://",M1191,"/revelation/19.htm","| ","title=|",M1190,"| target=|_top|&gt;",M1192,"&lt;/a&gt;")</f>
        <v>&lt;/li&gt;&lt;li&gt;&lt;a href=|http://niv.scripturetext.com/revelation/19.htm| title=|New International Version| target=|_top|&gt;NIV&lt;/a&gt;</v>
      </c>
      <c r="N1186" t="str">
        <f t="shared" si="4740"/>
        <v>&lt;/li&gt;&lt;li&gt;&lt;a href=|http://nlt.scripturetext.com/revelation/19.htm| title=|New Living Translation| target=|_top|&gt;NLT&lt;/a&gt;</v>
      </c>
      <c r="O1186" t="str">
        <f t="shared" si="4740"/>
        <v>&lt;/li&gt;&lt;li&gt;&lt;a href=|http://nasb.scripturetext.com/revelation/19.htm| title=|New American Standard Bible| target=|_top|&gt;NAS&lt;/a&gt;</v>
      </c>
      <c r="P1186" t="str">
        <f t="shared" si="4740"/>
        <v>&lt;/li&gt;&lt;li&gt;&lt;a href=|http://gwt.scripturetext.com/revelation/19.htm| title=|God's Word Translation| target=|_top|&gt;GWT&lt;/a&gt;</v>
      </c>
      <c r="Q1186" t="str">
        <f t="shared" si="4740"/>
        <v>&lt;/li&gt;&lt;li&gt;&lt;a href=|http://kingjbible.com/revelation/19.htm| title=|King James Bible| target=|_top|&gt;KJV&lt;/a&gt;</v>
      </c>
      <c r="R1186" t="str">
        <f t="shared" si="4740"/>
        <v>&lt;/li&gt;&lt;li&gt;&lt;a href=|http://asvbible.com/revelation/19.htm| title=|American Standard Version| target=|_top|&gt;ASV&lt;/a&gt;</v>
      </c>
      <c r="S1186" t="str">
        <f t="shared" si="4740"/>
        <v>&lt;/li&gt;&lt;li&gt;&lt;a href=|http://drb.scripturetext.com/revelation/19.htm| title=|Douay-Rheims Bible| target=|_top|&gt;DRB&lt;/a&gt;</v>
      </c>
      <c r="T1186" t="str">
        <f t="shared" si="4740"/>
        <v>&lt;/li&gt;&lt;li&gt;&lt;a href=|http://erv.scripturetext.com/revelation/19.htm| title=|English Revised Version| target=|_top|&gt;ERV&lt;/a&gt;</v>
      </c>
      <c r="U1186" t="str">
        <f>CONCATENATE("&lt;/li&gt;&lt;li&gt;&lt;a href=|http://",U1191,"/revelation/19.htm","| ","title=|",U1190,"| target=|_top|&gt;",U1192,"&lt;/a&gt;")</f>
        <v>&lt;/li&gt;&lt;li&gt;&lt;a href=|http://study.interlinearbible.org/revelation/19.htm| title=|Greek Study Bible| target=|_top|&gt;Grk Study&lt;/a&gt;</v>
      </c>
      <c r="W1186" t="str">
        <f t="shared" si="4740"/>
        <v>&lt;/li&gt;&lt;li&gt;&lt;a href=|http://apostolic.interlinearbible.org/revelation/19.htm| title=|Apostolic Bible Polyglot Interlinear| target=|_top|&gt;Polyglot&lt;/a&gt;</v>
      </c>
      <c r="X1186" t="str">
        <f t="shared" si="4740"/>
        <v>&lt;/li&gt;&lt;li&gt;&lt;a href=|http://interlinearbible.org/revelation/19.htm| title=|Interlinear Bible| target=|_top|&gt;Interlin&lt;/a&gt;</v>
      </c>
      <c r="Y1186" t="str">
        <f t="shared" ref="Y1186" si="4741">CONCATENATE("&lt;/li&gt;&lt;li&gt;&lt;a href=|http://",Y1191,"/revelation/19.htm","| ","title=|",Y1190,"| target=|_top|&gt;",Y1192,"&lt;/a&gt;")</f>
        <v>&lt;/li&gt;&lt;li&gt;&lt;a href=|http://bibleoutline.org/revelation/19.htm| title=|Outline with People and Places List| target=|_top|&gt;Outline&lt;/a&gt;</v>
      </c>
      <c r="Z1186" t="str">
        <f t="shared" si="4740"/>
        <v>&lt;/li&gt;&lt;li&gt;&lt;a href=|http://kjvs.scripturetext.com/revelation/19.htm| title=|King James Bible with Strong's Numbers| target=|_top|&gt;Strong's&lt;/a&gt;</v>
      </c>
      <c r="AA1186" t="str">
        <f t="shared" si="4740"/>
        <v>&lt;/li&gt;&lt;li&gt;&lt;a href=|http://childrensbibleonline.com/revelation/19.htm| title=|The Children's Bible| target=|_top|&gt;Children's&lt;/a&gt;</v>
      </c>
      <c r="AB1186" s="2" t="str">
        <f t="shared" si="4740"/>
        <v>&lt;/li&gt;&lt;li&gt;&lt;a href=|http://tsk.scripturetext.com/revelation/19.htm| title=|Treasury of Scripture Knowledge| target=|_top|&gt;TSK&lt;/a&gt;</v>
      </c>
      <c r="AC1186" t="str">
        <f>CONCATENATE("&lt;a href=|http://",AC1191,"/revelation/19.htm","| ","title=|",AC1190,"| target=|_top|&gt;",AC1192,"&lt;/a&gt;")</f>
        <v>&lt;a href=|http://parallelbible.com/revelation/19.htm| title=|Parallel Chapters| target=|_top|&gt;PAR&lt;/a&gt;</v>
      </c>
      <c r="AD1186" s="2" t="str">
        <f t="shared" ref="AD1186:AI1186" si="4742">CONCATENATE("&lt;/li&gt;&lt;li&gt;&lt;a href=|http://",AD1191,"/revelation/19.htm","| ","title=|",AD1190,"| target=|_top|&gt;",AD1192,"&lt;/a&gt;")</f>
        <v>&lt;/li&gt;&lt;li&gt;&lt;a href=|http://gsb.biblecommenter.com/revelation/19.htm| title=|Geneva Study Bible| target=|_top|&gt;GSB&lt;/a&gt;</v>
      </c>
      <c r="AE1186" s="2" t="str">
        <f t="shared" si="4742"/>
        <v>&lt;/li&gt;&lt;li&gt;&lt;a href=|http://jfb.biblecommenter.com/revelation/19.htm| title=|Jamieson-Fausset-Brown Bible Commentary| target=|_top|&gt;JFB&lt;/a&gt;</v>
      </c>
      <c r="AF1186" s="2" t="str">
        <f t="shared" si="4742"/>
        <v>&lt;/li&gt;&lt;li&gt;&lt;a href=|http://kjt.biblecommenter.com/revelation/19.htm| title=|King James Translators' Notes| target=|_top|&gt;KJT&lt;/a&gt;</v>
      </c>
      <c r="AG1186" s="2" t="str">
        <f t="shared" si="4742"/>
        <v>&lt;/li&gt;&lt;li&gt;&lt;a href=|http://mhc.biblecommenter.com/revelation/19.htm| title=|Matthew Henry's Concise Commentary| target=|_top|&gt;MHC&lt;/a&gt;</v>
      </c>
      <c r="AH1186" s="2" t="str">
        <f t="shared" si="4742"/>
        <v>&lt;/li&gt;&lt;li&gt;&lt;a href=|http://sco.biblecommenter.com/revelation/19.htm| title=|Scofield Reference Notes| target=|_top|&gt;SCO&lt;/a&gt;</v>
      </c>
      <c r="AI1186" s="2" t="str">
        <f t="shared" si="4742"/>
        <v>&lt;/li&gt;&lt;li&gt;&lt;a href=|http://wes.biblecommenter.com/revelation/19.htm| title=|Wesley's Notes on the Bible| target=|_top|&gt;WES&lt;/a&gt;</v>
      </c>
      <c r="AJ1186" t="str">
        <f>CONCATENATE("&lt;/li&gt;&lt;li&gt;&lt;a href=|http://",AJ1191,"/revelation/19.htm","| ","title=|",AJ1190,"| target=|_top|&gt;",AJ1192,"&lt;/a&gt;")</f>
        <v>&lt;/li&gt;&lt;li&gt;&lt;a href=|http://worldebible.com/revelation/19.htm| title=|World English Bible| target=|_top|&gt;WEB&lt;/a&gt;</v>
      </c>
      <c r="AK1186" t="str">
        <f>CONCATENATE("&lt;/li&gt;&lt;li&gt;&lt;a href=|http://",AK1191,"/revelation/19.htm","| ","title=|",AK1190,"| target=|_top|&gt;",AK1192,"&lt;/a&gt;")</f>
        <v>&lt;/li&gt;&lt;li&gt;&lt;a href=|http://yltbible.com/revelation/19.htm| title=|Young's Literal Translation| target=|_top|&gt;YLT&lt;/a&gt;</v>
      </c>
      <c r="AL1186" t="str">
        <f>CONCATENATE("&lt;a href=|http://",AL1191,"/revelation/19.htm","| ","title=|",AL1190,"| target=|_top|&gt;",AL1192,"&lt;/a&gt;")</f>
        <v>&lt;a href=|http://kjv.us/revelation/19.htm| title=|American King James Version| target=|_top|&gt;AKJ&lt;/a&gt;</v>
      </c>
      <c r="AM1186" t="str">
        <f t="shared" ref="AM1186:AS1186" si="4743">CONCATENATE("&lt;/li&gt;&lt;li&gt;&lt;a href=|http://",AM1191,"/revelation/19.htm","| ","title=|",AM1190,"| target=|_top|&gt;",AM1192,"&lt;/a&gt;")</f>
        <v>&lt;/li&gt;&lt;li&gt;&lt;a href=|http://basicenglishbible.com/revelation/19.htm| title=|Bible in Basic English| target=|_top|&gt;BBE&lt;/a&gt;</v>
      </c>
      <c r="AN1186" t="str">
        <f t="shared" si="4743"/>
        <v>&lt;/li&gt;&lt;li&gt;&lt;a href=|http://darbybible.com/revelation/19.htm| title=|Darby Bible Translation| target=|_top|&gt;DBY&lt;/a&gt;</v>
      </c>
      <c r="AO1186" t="str">
        <f t="shared" si="4743"/>
        <v>&lt;/li&gt;&lt;li&gt;&lt;a href=|http://isv.scripturetext.com/revelation/19.htm| title=|International Standard Version| target=|_top|&gt;ISV&lt;/a&gt;</v>
      </c>
      <c r="AP1186" t="str">
        <f t="shared" si="4743"/>
        <v>&lt;/li&gt;&lt;li&gt;&lt;a href=|http://tnt.scripturetext.com/revelation/19.htm| title=|Tyndale New Testament| target=|_top|&gt;TNT&lt;/a&gt;</v>
      </c>
      <c r="AQ1186" s="2" t="str">
        <f t="shared" si="4743"/>
        <v>&lt;/li&gt;&lt;li&gt;&lt;a href=|http://pnt.biblecommenter.com/revelation/19.htm| title=|People's New Testament| target=|_top|&gt;PNT&lt;/a&gt;</v>
      </c>
      <c r="AR1186" t="str">
        <f t="shared" si="4743"/>
        <v>&lt;/li&gt;&lt;li&gt;&lt;a href=|http://websterbible.com/revelation/19.htm| title=|Webster's Bible Translation| target=|_top|&gt;WBS&lt;/a&gt;</v>
      </c>
      <c r="AS1186" t="str">
        <f t="shared" si="4743"/>
        <v>&lt;/li&gt;&lt;li&gt;&lt;a href=|http://weymouthbible.com/revelation/19.htm| title=|Weymouth New Testament| target=|_top|&gt;WEY&lt;/a&gt;</v>
      </c>
      <c r="AT1186" t="str">
        <f>CONCATENATE("&lt;/li&gt;&lt;li&gt;&lt;a href=|http://",AT1191,"/revelation/19-1.htm","| ","title=|",AT1190,"| target=|_top|&gt;",AT1192,"&lt;/a&gt;")</f>
        <v>&lt;/li&gt;&lt;li&gt;&lt;a href=|http://biblebrowser.com/revelation/19-1.htm| title=|Split View| target=|_top|&gt;Split&lt;/a&gt;</v>
      </c>
      <c r="AU1186" s="2" t="s">
        <v>1276</v>
      </c>
      <c r="AV1186" t="s">
        <v>64</v>
      </c>
    </row>
    <row r="1187" spans="1:48">
      <c r="A1187" t="s">
        <v>622</v>
      </c>
      <c r="B1187" t="s">
        <v>618</v>
      </c>
      <c r="C1187" t="s">
        <v>624</v>
      </c>
      <c r="D1187" t="s">
        <v>1268</v>
      </c>
      <c r="E1187" t="s">
        <v>1277</v>
      </c>
      <c r="F1187" t="s">
        <v>1304</v>
      </c>
      <c r="G1187" t="s">
        <v>1266</v>
      </c>
      <c r="H1187" t="s">
        <v>1305</v>
      </c>
      <c r="I1187" t="s">
        <v>1303</v>
      </c>
      <c r="J1187" t="s">
        <v>1267</v>
      </c>
      <c r="K1187" t="s">
        <v>1275</v>
      </c>
      <c r="L1187" s="2" t="s">
        <v>1274</v>
      </c>
      <c r="M1187" t="str">
        <f t="shared" ref="M1187:AB1187" si="4744">CONCATENATE("&lt;/li&gt;&lt;li&gt;&lt;a href=|http://",M1191,"/revelation/20.htm","| ","title=|",M1190,"| target=|_top|&gt;",M1192,"&lt;/a&gt;")</f>
        <v>&lt;/li&gt;&lt;li&gt;&lt;a href=|http://niv.scripturetext.com/revelation/20.htm| title=|New International Version| target=|_top|&gt;NIV&lt;/a&gt;</v>
      </c>
      <c r="N1187" t="str">
        <f t="shared" si="4744"/>
        <v>&lt;/li&gt;&lt;li&gt;&lt;a href=|http://nlt.scripturetext.com/revelation/20.htm| title=|New Living Translation| target=|_top|&gt;NLT&lt;/a&gt;</v>
      </c>
      <c r="O1187" t="str">
        <f t="shared" si="4744"/>
        <v>&lt;/li&gt;&lt;li&gt;&lt;a href=|http://nasb.scripturetext.com/revelation/20.htm| title=|New American Standard Bible| target=|_top|&gt;NAS&lt;/a&gt;</v>
      </c>
      <c r="P1187" t="str">
        <f t="shared" si="4744"/>
        <v>&lt;/li&gt;&lt;li&gt;&lt;a href=|http://gwt.scripturetext.com/revelation/20.htm| title=|God's Word Translation| target=|_top|&gt;GWT&lt;/a&gt;</v>
      </c>
      <c r="Q1187" t="str">
        <f t="shared" si="4744"/>
        <v>&lt;/li&gt;&lt;li&gt;&lt;a href=|http://kingjbible.com/revelation/20.htm| title=|King James Bible| target=|_top|&gt;KJV&lt;/a&gt;</v>
      </c>
      <c r="R1187" t="str">
        <f t="shared" si="4744"/>
        <v>&lt;/li&gt;&lt;li&gt;&lt;a href=|http://asvbible.com/revelation/20.htm| title=|American Standard Version| target=|_top|&gt;ASV&lt;/a&gt;</v>
      </c>
      <c r="S1187" t="str">
        <f t="shared" si="4744"/>
        <v>&lt;/li&gt;&lt;li&gt;&lt;a href=|http://drb.scripturetext.com/revelation/20.htm| title=|Douay-Rheims Bible| target=|_top|&gt;DRB&lt;/a&gt;</v>
      </c>
      <c r="T1187" t="str">
        <f t="shared" si="4744"/>
        <v>&lt;/li&gt;&lt;li&gt;&lt;a href=|http://erv.scripturetext.com/revelation/20.htm| title=|English Revised Version| target=|_top|&gt;ERV&lt;/a&gt;</v>
      </c>
      <c r="U1187" t="str">
        <f>CONCATENATE("&lt;/li&gt;&lt;li&gt;&lt;a href=|http://",U1191,"/revelation/20.htm","| ","title=|",U1190,"| target=|_top|&gt;",U1192,"&lt;/a&gt;")</f>
        <v>&lt;/li&gt;&lt;li&gt;&lt;a href=|http://study.interlinearbible.org/revelation/20.htm| title=|Greek Study Bible| target=|_top|&gt;Grk Study&lt;/a&gt;</v>
      </c>
      <c r="W1187" t="str">
        <f t="shared" si="4744"/>
        <v>&lt;/li&gt;&lt;li&gt;&lt;a href=|http://apostolic.interlinearbible.org/revelation/20.htm| title=|Apostolic Bible Polyglot Interlinear| target=|_top|&gt;Polyglot&lt;/a&gt;</v>
      </c>
      <c r="X1187" t="str">
        <f t="shared" si="4744"/>
        <v>&lt;/li&gt;&lt;li&gt;&lt;a href=|http://interlinearbible.org/revelation/20.htm| title=|Interlinear Bible| target=|_top|&gt;Interlin&lt;/a&gt;</v>
      </c>
      <c r="Y1187" t="str">
        <f t="shared" ref="Y1187" si="4745">CONCATENATE("&lt;/li&gt;&lt;li&gt;&lt;a href=|http://",Y1191,"/revelation/20.htm","| ","title=|",Y1190,"| target=|_top|&gt;",Y1192,"&lt;/a&gt;")</f>
        <v>&lt;/li&gt;&lt;li&gt;&lt;a href=|http://bibleoutline.org/revelation/20.htm| title=|Outline with People and Places List| target=|_top|&gt;Outline&lt;/a&gt;</v>
      </c>
      <c r="Z1187" t="str">
        <f t="shared" si="4744"/>
        <v>&lt;/li&gt;&lt;li&gt;&lt;a href=|http://kjvs.scripturetext.com/revelation/20.htm| title=|King James Bible with Strong's Numbers| target=|_top|&gt;Strong's&lt;/a&gt;</v>
      </c>
      <c r="AA1187" t="str">
        <f t="shared" si="4744"/>
        <v>&lt;/li&gt;&lt;li&gt;&lt;a href=|http://childrensbibleonline.com/revelation/20.htm| title=|The Children's Bible| target=|_top|&gt;Children's&lt;/a&gt;</v>
      </c>
      <c r="AB1187" s="2" t="str">
        <f t="shared" si="4744"/>
        <v>&lt;/li&gt;&lt;li&gt;&lt;a href=|http://tsk.scripturetext.com/revelation/20.htm| title=|Treasury of Scripture Knowledge| target=|_top|&gt;TSK&lt;/a&gt;</v>
      </c>
      <c r="AC1187" t="str">
        <f>CONCATENATE("&lt;a href=|http://",AC1191,"/revelation/20.htm","| ","title=|",AC1190,"| target=|_top|&gt;",AC1192,"&lt;/a&gt;")</f>
        <v>&lt;a href=|http://parallelbible.com/revelation/20.htm| title=|Parallel Chapters| target=|_top|&gt;PAR&lt;/a&gt;</v>
      </c>
      <c r="AD1187" s="2" t="str">
        <f t="shared" ref="AD1187:AI1187" si="4746">CONCATENATE("&lt;/li&gt;&lt;li&gt;&lt;a href=|http://",AD1191,"/revelation/20.htm","| ","title=|",AD1190,"| target=|_top|&gt;",AD1192,"&lt;/a&gt;")</f>
        <v>&lt;/li&gt;&lt;li&gt;&lt;a href=|http://gsb.biblecommenter.com/revelation/20.htm| title=|Geneva Study Bible| target=|_top|&gt;GSB&lt;/a&gt;</v>
      </c>
      <c r="AE1187" s="2" t="str">
        <f t="shared" si="4746"/>
        <v>&lt;/li&gt;&lt;li&gt;&lt;a href=|http://jfb.biblecommenter.com/revelation/20.htm| title=|Jamieson-Fausset-Brown Bible Commentary| target=|_top|&gt;JFB&lt;/a&gt;</v>
      </c>
      <c r="AF1187" s="2" t="str">
        <f t="shared" si="4746"/>
        <v>&lt;/li&gt;&lt;li&gt;&lt;a href=|http://kjt.biblecommenter.com/revelation/20.htm| title=|King James Translators' Notes| target=|_top|&gt;KJT&lt;/a&gt;</v>
      </c>
      <c r="AG1187" s="2" t="str">
        <f t="shared" si="4746"/>
        <v>&lt;/li&gt;&lt;li&gt;&lt;a href=|http://mhc.biblecommenter.com/revelation/20.htm| title=|Matthew Henry's Concise Commentary| target=|_top|&gt;MHC&lt;/a&gt;</v>
      </c>
      <c r="AH1187" s="2" t="str">
        <f t="shared" si="4746"/>
        <v>&lt;/li&gt;&lt;li&gt;&lt;a href=|http://sco.biblecommenter.com/revelation/20.htm| title=|Scofield Reference Notes| target=|_top|&gt;SCO&lt;/a&gt;</v>
      </c>
      <c r="AI1187" s="2" t="str">
        <f t="shared" si="4746"/>
        <v>&lt;/li&gt;&lt;li&gt;&lt;a href=|http://wes.biblecommenter.com/revelation/20.htm| title=|Wesley's Notes on the Bible| target=|_top|&gt;WES&lt;/a&gt;</v>
      </c>
      <c r="AJ1187" t="str">
        <f>CONCATENATE("&lt;/li&gt;&lt;li&gt;&lt;a href=|http://",AJ1191,"/revelation/20.htm","| ","title=|",AJ1190,"| target=|_top|&gt;",AJ1192,"&lt;/a&gt;")</f>
        <v>&lt;/li&gt;&lt;li&gt;&lt;a href=|http://worldebible.com/revelation/20.htm| title=|World English Bible| target=|_top|&gt;WEB&lt;/a&gt;</v>
      </c>
      <c r="AK1187" t="str">
        <f>CONCATENATE("&lt;/li&gt;&lt;li&gt;&lt;a href=|http://",AK1191,"/revelation/20.htm","| ","title=|",AK1190,"| target=|_top|&gt;",AK1192,"&lt;/a&gt;")</f>
        <v>&lt;/li&gt;&lt;li&gt;&lt;a href=|http://yltbible.com/revelation/20.htm| title=|Young's Literal Translation| target=|_top|&gt;YLT&lt;/a&gt;</v>
      </c>
      <c r="AL1187" t="str">
        <f>CONCATENATE("&lt;a href=|http://",AL1191,"/revelation/20.htm","| ","title=|",AL1190,"| target=|_top|&gt;",AL1192,"&lt;/a&gt;")</f>
        <v>&lt;a href=|http://kjv.us/revelation/20.htm| title=|American King James Version| target=|_top|&gt;AKJ&lt;/a&gt;</v>
      </c>
      <c r="AM1187" t="str">
        <f t="shared" ref="AM1187:AS1187" si="4747">CONCATENATE("&lt;/li&gt;&lt;li&gt;&lt;a href=|http://",AM1191,"/revelation/20.htm","| ","title=|",AM1190,"| target=|_top|&gt;",AM1192,"&lt;/a&gt;")</f>
        <v>&lt;/li&gt;&lt;li&gt;&lt;a href=|http://basicenglishbible.com/revelation/20.htm| title=|Bible in Basic English| target=|_top|&gt;BBE&lt;/a&gt;</v>
      </c>
      <c r="AN1187" t="str">
        <f t="shared" si="4747"/>
        <v>&lt;/li&gt;&lt;li&gt;&lt;a href=|http://darbybible.com/revelation/20.htm| title=|Darby Bible Translation| target=|_top|&gt;DBY&lt;/a&gt;</v>
      </c>
      <c r="AO1187" t="str">
        <f t="shared" si="4747"/>
        <v>&lt;/li&gt;&lt;li&gt;&lt;a href=|http://isv.scripturetext.com/revelation/20.htm| title=|International Standard Version| target=|_top|&gt;ISV&lt;/a&gt;</v>
      </c>
      <c r="AP1187" t="str">
        <f t="shared" si="4747"/>
        <v>&lt;/li&gt;&lt;li&gt;&lt;a href=|http://tnt.scripturetext.com/revelation/20.htm| title=|Tyndale New Testament| target=|_top|&gt;TNT&lt;/a&gt;</v>
      </c>
      <c r="AQ1187" s="2" t="str">
        <f t="shared" si="4747"/>
        <v>&lt;/li&gt;&lt;li&gt;&lt;a href=|http://pnt.biblecommenter.com/revelation/20.htm| title=|People's New Testament| target=|_top|&gt;PNT&lt;/a&gt;</v>
      </c>
      <c r="AR1187" t="str">
        <f t="shared" si="4747"/>
        <v>&lt;/li&gt;&lt;li&gt;&lt;a href=|http://websterbible.com/revelation/20.htm| title=|Webster's Bible Translation| target=|_top|&gt;WBS&lt;/a&gt;</v>
      </c>
      <c r="AS1187" t="str">
        <f t="shared" si="4747"/>
        <v>&lt;/li&gt;&lt;li&gt;&lt;a href=|http://weymouthbible.com/revelation/20.htm| title=|Weymouth New Testament| target=|_top|&gt;WEY&lt;/a&gt;</v>
      </c>
      <c r="AT1187" t="str">
        <f>CONCATENATE("&lt;/li&gt;&lt;li&gt;&lt;a href=|http://",AT1191,"/revelation/20-1.htm","| ","title=|",AT1190,"| target=|_top|&gt;",AT1192,"&lt;/a&gt;")</f>
        <v>&lt;/li&gt;&lt;li&gt;&lt;a href=|http://biblebrowser.com/revelation/20-1.htm| title=|Split View| target=|_top|&gt;Split&lt;/a&gt;</v>
      </c>
      <c r="AU1187" s="2" t="s">
        <v>1276</v>
      </c>
      <c r="AV1187" t="s">
        <v>64</v>
      </c>
    </row>
    <row r="1188" spans="1:48">
      <c r="A1188" t="s">
        <v>622</v>
      </c>
      <c r="B1188" t="s">
        <v>619</v>
      </c>
      <c r="C1188" t="s">
        <v>624</v>
      </c>
      <c r="D1188" t="s">
        <v>1268</v>
      </c>
      <c r="E1188" t="s">
        <v>1277</v>
      </c>
      <c r="F1188" t="s">
        <v>1304</v>
      </c>
      <c r="G1188" t="s">
        <v>1266</v>
      </c>
      <c r="H1188" t="s">
        <v>1305</v>
      </c>
      <c r="I1188" t="s">
        <v>1303</v>
      </c>
      <c r="J1188" t="s">
        <v>1267</v>
      </c>
      <c r="K1188" t="s">
        <v>1275</v>
      </c>
      <c r="L1188" s="2" t="s">
        <v>1274</v>
      </c>
      <c r="M1188" t="str">
        <f t="shared" ref="M1188:AB1188" si="4748">CONCATENATE("&lt;/li&gt;&lt;li&gt;&lt;a href=|http://",M1191,"/revelation/21.htm","| ","title=|",M1190,"| target=|_top|&gt;",M1192,"&lt;/a&gt;")</f>
        <v>&lt;/li&gt;&lt;li&gt;&lt;a href=|http://niv.scripturetext.com/revelation/21.htm| title=|New International Version| target=|_top|&gt;NIV&lt;/a&gt;</v>
      </c>
      <c r="N1188" t="str">
        <f t="shared" si="4748"/>
        <v>&lt;/li&gt;&lt;li&gt;&lt;a href=|http://nlt.scripturetext.com/revelation/21.htm| title=|New Living Translation| target=|_top|&gt;NLT&lt;/a&gt;</v>
      </c>
      <c r="O1188" t="str">
        <f t="shared" si="4748"/>
        <v>&lt;/li&gt;&lt;li&gt;&lt;a href=|http://nasb.scripturetext.com/revelation/21.htm| title=|New American Standard Bible| target=|_top|&gt;NAS&lt;/a&gt;</v>
      </c>
      <c r="P1188" t="str">
        <f t="shared" si="4748"/>
        <v>&lt;/li&gt;&lt;li&gt;&lt;a href=|http://gwt.scripturetext.com/revelation/21.htm| title=|God's Word Translation| target=|_top|&gt;GWT&lt;/a&gt;</v>
      </c>
      <c r="Q1188" t="str">
        <f t="shared" si="4748"/>
        <v>&lt;/li&gt;&lt;li&gt;&lt;a href=|http://kingjbible.com/revelation/21.htm| title=|King James Bible| target=|_top|&gt;KJV&lt;/a&gt;</v>
      </c>
      <c r="R1188" t="str">
        <f t="shared" si="4748"/>
        <v>&lt;/li&gt;&lt;li&gt;&lt;a href=|http://asvbible.com/revelation/21.htm| title=|American Standard Version| target=|_top|&gt;ASV&lt;/a&gt;</v>
      </c>
      <c r="S1188" t="str">
        <f t="shared" si="4748"/>
        <v>&lt;/li&gt;&lt;li&gt;&lt;a href=|http://drb.scripturetext.com/revelation/21.htm| title=|Douay-Rheims Bible| target=|_top|&gt;DRB&lt;/a&gt;</v>
      </c>
      <c r="T1188" t="str">
        <f t="shared" si="4748"/>
        <v>&lt;/li&gt;&lt;li&gt;&lt;a href=|http://erv.scripturetext.com/revelation/21.htm| title=|English Revised Version| target=|_top|&gt;ERV&lt;/a&gt;</v>
      </c>
      <c r="U1188" t="str">
        <f>CONCATENATE("&lt;/li&gt;&lt;li&gt;&lt;a href=|http://",U1191,"/revelation/21.htm","| ","title=|",U1190,"| target=|_top|&gt;",U1192,"&lt;/a&gt;")</f>
        <v>&lt;/li&gt;&lt;li&gt;&lt;a href=|http://study.interlinearbible.org/revelation/21.htm| title=|Greek Study Bible| target=|_top|&gt;Grk Study&lt;/a&gt;</v>
      </c>
      <c r="W1188" t="str">
        <f t="shared" si="4748"/>
        <v>&lt;/li&gt;&lt;li&gt;&lt;a href=|http://apostolic.interlinearbible.org/revelation/21.htm| title=|Apostolic Bible Polyglot Interlinear| target=|_top|&gt;Polyglot&lt;/a&gt;</v>
      </c>
      <c r="X1188" t="str">
        <f t="shared" si="4748"/>
        <v>&lt;/li&gt;&lt;li&gt;&lt;a href=|http://interlinearbible.org/revelation/21.htm| title=|Interlinear Bible| target=|_top|&gt;Interlin&lt;/a&gt;</v>
      </c>
      <c r="Y1188" t="str">
        <f t="shared" ref="Y1188" si="4749">CONCATENATE("&lt;/li&gt;&lt;li&gt;&lt;a href=|http://",Y1191,"/revelation/21.htm","| ","title=|",Y1190,"| target=|_top|&gt;",Y1192,"&lt;/a&gt;")</f>
        <v>&lt;/li&gt;&lt;li&gt;&lt;a href=|http://bibleoutline.org/revelation/21.htm| title=|Outline with People and Places List| target=|_top|&gt;Outline&lt;/a&gt;</v>
      </c>
      <c r="Z1188" t="str">
        <f t="shared" si="4748"/>
        <v>&lt;/li&gt;&lt;li&gt;&lt;a href=|http://kjvs.scripturetext.com/revelation/21.htm| title=|King James Bible with Strong's Numbers| target=|_top|&gt;Strong's&lt;/a&gt;</v>
      </c>
      <c r="AA1188" t="str">
        <f t="shared" si="4748"/>
        <v>&lt;/li&gt;&lt;li&gt;&lt;a href=|http://childrensbibleonline.com/revelation/21.htm| title=|The Children's Bible| target=|_top|&gt;Children's&lt;/a&gt;</v>
      </c>
      <c r="AB1188" s="2" t="str">
        <f t="shared" si="4748"/>
        <v>&lt;/li&gt;&lt;li&gt;&lt;a href=|http://tsk.scripturetext.com/revelation/21.htm| title=|Treasury of Scripture Knowledge| target=|_top|&gt;TSK&lt;/a&gt;</v>
      </c>
      <c r="AC1188" t="str">
        <f>CONCATENATE("&lt;a href=|http://",AC1191,"/revelation/21.htm","| ","title=|",AC1190,"| target=|_top|&gt;",AC1192,"&lt;/a&gt;")</f>
        <v>&lt;a href=|http://parallelbible.com/revelation/21.htm| title=|Parallel Chapters| target=|_top|&gt;PAR&lt;/a&gt;</v>
      </c>
      <c r="AD1188" s="2" t="str">
        <f t="shared" ref="AD1188:AI1188" si="4750">CONCATENATE("&lt;/li&gt;&lt;li&gt;&lt;a href=|http://",AD1191,"/revelation/21.htm","| ","title=|",AD1190,"| target=|_top|&gt;",AD1192,"&lt;/a&gt;")</f>
        <v>&lt;/li&gt;&lt;li&gt;&lt;a href=|http://gsb.biblecommenter.com/revelation/21.htm| title=|Geneva Study Bible| target=|_top|&gt;GSB&lt;/a&gt;</v>
      </c>
      <c r="AE1188" s="2" t="str">
        <f t="shared" si="4750"/>
        <v>&lt;/li&gt;&lt;li&gt;&lt;a href=|http://jfb.biblecommenter.com/revelation/21.htm| title=|Jamieson-Fausset-Brown Bible Commentary| target=|_top|&gt;JFB&lt;/a&gt;</v>
      </c>
      <c r="AF1188" s="2" t="str">
        <f t="shared" si="4750"/>
        <v>&lt;/li&gt;&lt;li&gt;&lt;a href=|http://kjt.biblecommenter.com/revelation/21.htm| title=|King James Translators' Notes| target=|_top|&gt;KJT&lt;/a&gt;</v>
      </c>
      <c r="AG1188" s="2" t="str">
        <f t="shared" si="4750"/>
        <v>&lt;/li&gt;&lt;li&gt;&lt;a href=|http://mhc.biblecommenter.com/revelation/21.htm| title=|Matthew Henry's Concise Commentary| target=|_top|&gt;MHC&lt;/a&gt;</v>
      </c>
      <c r="AH1188" s="2" t="str">
        <f t="shared" si="4750"/>
        <v>&lt;/li&gt;&lt;li&gt;&lt;a href=|http://sco.biblecommenter.com/revelation/21.htm| title=|Scofield Reference Notes| target=|_top|&gt;SCO&lt;/a&gt;</v>
      </c>
      <c r="AI1188" s="2" t="str">
        <f t="shared" si="4750"/>
        <v>&lt;/li&gt;&lt;li&gt;&lt;a href=|http://wes.biblecommenter.com/revelation/21.htm| title=|Wesley's Notes on the Bible| target=|_top|&gt;WES&lt;/a&gt;</v>
      </c>
      <c r="AJ1188" t="str">
        <f>CONCATENATE("&lt;/li&gt;&lt;li&gt;&lt;a href=|http://",AJ1191,"/revelation/21.htm","| ","title=|",AJ1190,"| target=|_top|&gt;",AJ1192,"&lt;/a&gt;")</f>
        <v>&lt;/li&gt;&lt;li&gt;&lt;a href=|http://worldebible.com/revelation/21.htm| title=|World English Bible| target=|_top|&gt;WEB&lt;/a&gt;</v>
      </c>
      <c r="AK1188" t="str">
        <f>CONCATENATE("&lt;/li&gt;&lt;li&gt;&lt;a href=|http://",AK1191,"/revelation/21.htm","| ","title=|",AK1190,"| target=|_top|&gt;",AK1192,"&lt;/a&gt;")</f>
        <v>&lt;/li&gt;&lt;li&gt;&lt;a href=|http://yltbible.com/revelation/21.htm| title=|Young's Literal Translation| target=|_top|&gt;YLT&lt;/a&gt;</v>
      </c>
      <c r="AL1188" t="str">
        <f>CONCATENATE("&lt;a href=|http://",AL1191,"/revelation/21.htm","| ","title=|",AL1190,"| target=|_top|&gt;",AL1192,"&lt;/a&gt;")</f>
        <v>&lt;a href=|http://kjv.us/revelation/21.htm| title=|American King James Version| target=|_top|&gt;AKJ&lt;/a&gt;</v>
      </c>
      <c r="AM1188" t="str">
        <f t="shared" ref="AM1188:AS1188" si="4751">CONCATENATE("&lt;/li&gt;&lt;li&gt;&lt;a href=|http://",AM1191,"/revelation/21.htm","| ","title=|",AM1190,"| target=|_top|&gt;",AM1192,"&lt;/a&gt;")</f>
        <v>&lt;/li&gt;&lt;li&gt;&lt;a href=|http://basicenglishbible.com/revelation/21.htm| title=|Bible in Basic English| target=|_top|&gt;BBE&lt;/a&gt;</v>
      </c>
      <c r="AN1188" t="str">
        <f t="shared" si="4751"/>
        <v>&lt;/li&gt;&lt;li&gt;&lt;a href=|http://darbybible.com/revelation/21.htm| title=|Darby Bible Translation| target=|_top|&gt;DBY&lt;/a&gt;</v>
      </c>
      <c r="AO1188" t="str">
        <f t="shared" si="4751"/>
        <v>&lt;/li&gt;&lt;li&gt;&lt;a href=|http://isv.scripturetext.com/revelation/21.htm| title=|International Standard Version| target=|_top|&gt;ISV&lt;/a&gt;</v>
      </c>
      <c r="AP1188" t="str">
        <f t="shared" si="4751"/>
        <v>&lt;/li&gt;&lt;li&gt;&lt;a href=|http://tnt.scripturetext.com/revelation/21.htm| title=|Tyndale New Testament| target=|_top|&gt;TNT&lt;/a&gt;</v>
      </c>
      <c r="AQ1188" s="2" t="str">
        <f t="shared" si="4751"/>
        <v>&lt;/li&gt;&lt;li&gt;&lt;a href=|http://pnt.biblecommenter.com/revelation/21.htm| title=|People's New Testament| target=|_top|&gt;PNT&lt;/a&gt;</v>
      </c>
      <c r="AR1188" t="str">
        <f t="shared" si="4751"/>
        <v>&lt;/li&gt;&lt;li&gt;&lt;a href=|http://websterbible.com/revelation/21.htm| title=|Webster's Bible Translation| target=|_top|&gt;WBS&lt;/a&gt;</v>
      </c>
      <c r="AS1188" t="str">
        <f t="shared" si="4751"/>
        <v>&lt;/li&gt;&lt;li&gt;&lt;a href=|http://weymouthbible.com/revelation/21.htm| title=|Weymouth New Testament| target=|_top|&gt;WEY&lt;/a&gt;</v>
      </c>
      <c r="AT1188" t="str">
        <f>CONCATENATE("&lt;/li&gt;&lt;li&gt;&lt;a href=|http://",AT1191,"/revelation/21-1.htm","| ","title=|",AT1190,"| target=|_top|&gt;",AT1192,"&lt;/a&gt;")</f>
        <v>&lt;/li&gt;&lt;li&gt;&lt;a href=|http://biblebrowser.com/revelation/21-1.htm| title=|Split View| target=|_top|&gt;Split&lt;/a&gt;</v>
      </c>
      <c r="AU1188" s="2" t="s">
        <v>1276</v>
      </c>
      <c r="AV1188" t="s">
        <v>64</v>
      </c>
    </row>
    <row r="1189" spans="1:48">
      <c r="A1189" t="s">
        <v>622</v>
      </c>
      <c r="B1189" t="s">
        <v>620</v>
      </c>
      <c r="C1189" t="s">
        <v>624</v>
      </c>
      <c r="D1189" t="s">
        <v>1268</v>
      </c>
      <c r="E1189" t="s">
        <v>1277</v>
      </c>
      <c r="F1189" t="s">
        <v>1304</v>
      </c>
      <c r="G1189" t="s">
        <v>1266</v>
      </c>
      <c r="H1189" t="s">
        <v>1305</v>
      </c>
      <c r="I1189" t="s">
        <v>1303</v>
      </c>
      <c r="J1189" t="s">
        <v>1267</v>
      </c>
      <c r="K1189" t="s">
        <v>1275</v>
      </c>
      <c r="L1189" s="2" t="s">
        <v>1274</v>
      </c>
      <c r="M1189" t="str">
        <f t="shared" ref="M1189:AB1189" si="4752">CONCATENATE("&lt;/li&gt;&lt;li&gt;&lt;a href=|http://",M1191,"/revelation/22.htm","| ","title=|",M1190,"| target=|_top|&gt;",M1192,"&lt;/a&gt;")</f>
        <v>&lt;/li&gt;&lt;li&gt;&lt;a href=|http://niv.scripturetext.com/revelation/22.htm| title=|New International Version| target=|_top|&gt;NIV&lt;/a&gt;</v>
      </c>
      <c r="N1189" t="str">
        <f t="shared" si="4752"/>
        <v>&lt;/li&gt;&lt;li&gt;&lt;a href=|http://nlt.scripturetext.com/revelation/22.htm| title=|New Living Translation| target=|_top|&gt;NLT&lt;/a&gt;</v>
      </c>
      <c r="O1189" t="str">
        <f t="shared" si="4752"/>
        <v>&lt;/li&gt;&lt;li&gt;&lt;a href=|http://nasb.scripturetext.com/revelation/22.htm| title=|New American Standard Bible| target=|_top|&gt;NAS&lt;/a&gt;</v>
      </c>
      <c r="P1189" t="str">
        <f t="shared" si="4752"/>
        <v>&lt;/li&gt;&lt;li&gt;&lt;a href=|http://gwt.scripturetext.com/revelation/22.htm| title=|God's Word Translation| target=|_top|&gt;GWT&lt;/a&gt;</v>
      </c>
      <c r="Q1189" t="str">
        <f t="shared" si="4752"/>
        <v>&lt;/li&gt;&lt;li&gt;&lt;a href=|http://kingjbible.com/revelation/22.htm| title=|King James Bible| target=|_top|&gt;KJV&lt;/a&gt;</v>
      </c>
      <c r="R1189" t="str">
        <f t="shared" si="4752"/>
        <v>&lt;/li&gt;&lt;li&gt;&lt;a href=|http://asvbible.com/revelation/22.htm| title=|American Standard Version| target=|_top|&gt;ASV&lt;/a&gt;</v>
      </c>
      <c r="S1189" t="str">
        <f t="shared" si="4752"/>
        <v>&lt;/li&gt;&lt;li&gt;&lt;a href=|http://drb.scripturetext.com/revelation/22.htm| title=|Douay-Rheims Bible| target=|_top|&gt;DRB&lt;/a&gt;</v>
      </c>
      <c r="T1189" t="str">
        <f t="shared" si="4752"/>
        <v>&lt;/li&gt;&lt;li&gt;&lt;a href=|http://erv.scripturetext.com/revelation/22.htm| title=|English Revised Version| target=|_top|&gt;ERV&lt;/a&gt;</v>
      </c>
      <c r="U1189" t="str">
        <f>CONCATENATE("&lt;/li&gt;&lt;li&gt;&lt;a href=|http://",U1191,"/revelation/22.htm","| ","title=|",U1190,"| target=|_top|&gt;",U1192,"&lt;/a&gt;")</f>
        <v>&lt;/li&gt;&lt;li&gt;&lt;a href=|http://study.interlinearbible.org/revelation/22.htm| title=|Greek Study Bible| target=|_top|&gt;Grk Study&lt;/a&gt;</v>
      </c>
      <c r="W1189" t="str">
        <f t="shared" si="4752"/>
        <v>&lt;/li&gt;&lt;li&gt;&lt;a href=|http://apostolic.interlinearbible.org/revelation/22.htm| title=|Apostolic Bible Polyglot Interlinear| target=|_top|&gt;Polyglot&lt;/a&gt;</v>
      </c>
      <c r="X1189" t="str">
        <f t="shared" si="4752"/>
        <v>&lt;/li&gt;&lt;li&gt;&lt;a href=|http://interlinearbible.org/revelation/22.htm| title=|Interlinear Bible| target=|_top|&gt;Interlin&lt;/a&gt;</v>
      </c>
      <c r="Y1189" t="str">
        <f t="shared" si="4752"/>
        <v>&lt;/li&gt;&lt;li&gt;&lt;a href=|http://bibleoutline.org/revelation/22.htm| title=|Outline with People and Places List| target=|_top|&gt;Outline&lt;/a&gt;</v>
      </c>
      <c r="Z1189" t="str">
        <f t="shared" si="4752"/>
        <v>&lt;/li&gt;&lt;li&gt;&lt;a href=|http://kjvs.scripturetext.com/revelation/22.htm| title=|King James Bible with Strong's Numbers| target=|_top|&gt;Strong's&lt;/a&gt;</v>
      </c>
      <c r="AA1189" t="str">
        <f t="shared" si="4752"/>
        <v>&lt;/li&gt;&lt;li&gt;&lt;a href=|http://childrensbibleonline.com/revelation/22.htm| title=|The Children's Bible| target=|_top|&gt;Children's&lt;/a&gt;</v>
      </c>
      <c r="AB1189" s="2" t="str">
        <f t="shared" si="4752"/>
        <v>&lt;/li&gt;&lt;li&gt;&lt;a href=|http://tsk.scripturetext.com/revelation/22.htm| title=|Treasury of Scripture Knowledge| target=|_top|&gt;TSK&lt;/a&gt;</v>
      </c>
      <c r="AC1189" t="str">
        <f>CONCATENATE("&lt;a href=|http://",AC1191,"/revelation/22.htm","| ","title=|",AC1190,"| target=|_top|&gt;",AC1192,"&lt;/a&gt;")</f>
        <v>&lt;a href=|http://parallelbible.com/revelation/22.htm| title=|Parallel Chapters| target=|_top|&gt;PAR&lt;/a&gt;</v>
      </c>
      <c r="AD1189" s="2" t="str">
        <f t="shared" ref="AD1189:AI1189" si="4753">CONCATENATE("&lt;/li&gt;&lt;li&gt;&lt;a href=|http://",AD1191,"/revelation/22.htm","| ","title=|",AD1190,"| target=|_top|&gt;",AD1192,"&lt;/a&gt;")</f>
        <v>&lt;/li&gt;&lt;li&gt;&lt;a href=|http://gsb.biblecommenter.com/revelation/22.htm| title=|Geneva Study Bible| target=|_top|&gt;GSB&lt;/a&gt;</v>
      </c>
      <c r="AE1189" s="2" t="str">
        <f t="shared" si="4753"/>
        <v>&lt;/li&gt;&lt;li&gt;&lt;a href=|http://jfb.biblecommenter.com/revelation/22.htm| title=|Jamieson-Fausset-Brown Bible Commentary| target=|_top|&gt;JFB&lt;/a&gt;</v>
      </c>
      <c r="AF1189" s="2" t="str">
        <f t="shared" si="4753"/>
        <v>&lt;/li&gt;&lt;li&gt;&lt;a href=|http://kjt.biblecommenter.com/revelation/22.htm| title=|King James Translators' Notes| target=|_top|&gt;KJT&lt;/a&gt;</v>
      </c>
      <c r="AG1189" s="2" t="str">
        <f t="shared" si="4753"/>
        <v>&lt;/li&gt;&lt;li&gt;&lt;a href=|http://mhc.biblecommenter.com/revelation/22.htm| title=|Matthew Henry's Concise Commentary| target=|_top|&gt;MHC&lt;/a&gt;</v>
      </c>
      <c r="AH1189" s="2" t="str">
        <f t="shared" si="4753"/>
        <v>&lt;/li&gt;&lt;li&gt;&lt;a href=|http://sco.biblecommenter.com/revelation/22.htm| title=|Scofield Reference Notes| target=|_top|&gt;SCO&lt;/a&gt;</v>
      </c>
      <c r="AI1189" s="2" t="str">
        <f t="shared" si="4753"/>
        <v>&lt;/li&gt;&lt;li&gt;&lt;a href=|http://wes.biblecommenter.com/revelation/22.htm| title=|Wesley's Notes on the Bible| target=|_top|&gt;WES&lt;/a&gt;</v>
      </c>
      <c r="AJ1189" t="str">
        <f>CONCATENATE("&lt;/li&gt;&lt;li&gt;&lt;a href=|http://",AJ1191,"/revelation/22.htm","| ","title=|",AJ1190,"| target=|_top|&gt;",AJ1192,"&lt;/a&gt;")</f>
        <v>&lt;/li&gt;&lt;li&gt;&lt;a href=|http://worldebible.com/revelation/22.htm| title=|World English Bible| target=|_top|&gt;WEB&lt;/a&gt;</v>
      </c>
      <c r="AK1189" t="str">
        <f>CONCATENATE("&lt;/li&gt;&lt;li&gt;&lt;a href=|http://",AK1191,"/revelation/22.htm","| ","title=|",AK1190,"| target=|_top|&gt;",AK1192,"&lt;/a&gt;")</f>
        <v>&lt;/li&gt;&lt;li&gt;&lt;a href=|http://yltbible.com/revelation/22.htm| title=|Young's Literal Translation| target=|_top|&gt;YLT&lt;/a&gt;</v>
      </c>
      <c r="AL1189" t="str">
        <f>CONCATENATE("&lt;a href=|http://",AL1191,"/revelation/22.htm","| ","title=|",AL1190,"| target=|_top|&gt;",AL1192,"&lt;/a&gt;")</f>
        <v>&lt;a href=|http://kjv.us/revelation/22.htm| title=|American King James Version| target=|_top|&gt;AKJ&lt;/a&gt;</v>
      </c>
      <c r="AM1189" t="str">
        <f t="shared" ref="AM1189:AS1189" si="4754">CONCATENATE("&lt;/li&gt;&lt;li&gt;&lt;a href=|http://",AM1191,"/revelation/22.htm","| ","title=|",AM1190,"| target=|_top|&gt;",AM1192,"&lt;/a&gt;")</f>
        <v>&lt;/li&gt;&lt;li&gt;&lt;a href=|http://basicenglishbible.com/revelation/22.htm| title=|Bible in Basic English| target=|_top|&gt;BBE&lt;/a&gt;</v>
      </c>
      <c r="AN1189" t="str">
        <f t="shared" si="4754"/>
        <v>&lt;/li&gt;&lt;li&gt;&lt;a href=|http://darbybible.com/revelation/22.htm| title=|Darby Bible Translation| target=|_top|&gt;DBY&lt;/a&gt;</v>
      </c>
      <c r="AO1189" t="str">
        <f t="shared" si="4754"/>
        <v>&lt;/li&gt;&lt;li&gt;&lt;a href=|http://isv.scripturetext.com/revelation/22.htm| title=|International Standard Version| target=|_top|&gt;ISV&lt;/a&gt;</v>
      </c>
      <c r="AP1189" t="str">
        <f t="shared" si="4754"/>
        <v>&lt;/li&gt;&lt;li&gt;&lt;a href=|http://tnt.scripturetext.com/revelation/22.htm| title=|Tyndale New Testament| target=|_top|&gt;TNT&lt;/a&gt;</v>
      </c>
      <c r="AQ1189" s="2" t="str">
        <f t="shared" si="4754"/>
        <v>&lt;/li&gt;&lt;li&gt;&lt;a href=|http://pnt.biblecommenter.com/revelation/22.htm| title=|People's New Testament| target=|_top|&gt;PNT&lt;/a&gt;</v>
      </c>
      <c r="AR1189" t="str">
        <f t="shared" si="4754"/>
        <v>&lt;/li&gt;&lt;li&gt;&lt;a href=|http://websterbible.com/revelation/22.htm| title=|Webster's Bible Translation| target=|_top|&gt;WBS&lt;/a&gt;</v>
      </c>
      <c r="AS1189" t="str">
        <f t="shared" si="4754"/>
        <v>&lt;/li&gt;&lt;li&gt;&lt;a href=|http://weymouthbible.com/revelation/22.htm| title=|Weymouth New Testament| target=|_top|&gt;WEY&lt;/a&gt;</v>
      </c>
      <c r="AT1189" t="str">
        <f>CONCATENATE("&lt;/li&gt;&lt;li&gt;&lt;a href=|http://",AT1191,"/revelation/22-1.htm","| ","title=|",AT1190,"| target=|_top|&gt;",AT1192,"&lt;/a&gt;")</f>
        <v>&lt;/li&gt;&lt;li&gt;&lt;a href=|http://biblebrowser.com/revelation/22-1.htm| title=|Split View| target=|_top|&gt;Split&lt;/a&gt;</v>
      </c>
      <c r="AU1189" s="2" t="s">
        <v>1276</v>
      </c>
      <c r="AV1189" t="s">
        <v>64</v>
      </c>
    </row>
    <row r="1190" spans="1:48">
      <c r="B1190" t="s">
        <v>621</v>
      </c>
      <c r="L1190" s="1">
        <v>1190</v>
      </c>
      <c r="M1190" s="1" t="s">
        <v>1282</v>
      </c>
      <c r="N1190" s="1" t="s">
        <v>1293</v>
      </c>
      <c r="O1190" t="s">
        <v>49</v>
      </c>
      <c r="P1190" t="s">
        <v>54</v>
      </c>
      <c r="Q1190" t="s">
        <v>45</v>
      </c>
      <c r="R1190" t="s">
        <v>35</v>
      </c>
      <c r="S1190" t="s">
        <v>37</v>
      </c>
      <c r="T1190" t="s">
        <v>8</v>
      </c>
      <c r="U1190" s="1" t="s">
        <v>1302</v>
      </c>
      <c r="V1190" s="1" t="s">
        <v>1301</v>
      </c>
      <c r="W1190" s="1" t="s">
        <v>1283</v>
      </c>
      <c r="X1190" s="1" t="s">
        <v>1269</v>
      </c>
      <c r="Y1190" t="s">
        <v>1300</v>
      </c>
      <c r="Z1190" t="s">
        <v>63</v>
      </c>
      <c r="AA1190" s="1" t="s">
        <v>1286</v>
      </c>
      <c r="AB1190" s="2" t="s">
        <v>57</v>
      </c>
      <c r="AC1190" s="1" t="s">
        <v>1271</v>
      </c>
      <c r="AD1190" s="2" t="s">
        <v>30</v>
      </c>
      <c r="AE1190" s="2" t="s">
        <v>24</v>
      </c>
      <c r="AF1190" s="2" t="s">
        <v>27</v>
      </c>
      <c r="AG1190" s="2" t="s">
        <v>21</v>
      </c>
      <c r="AH1190" s="2" t="s">
        <v>60</v>
      </c>
      <c r="AI1190" s="2" t="s">
        <v>29</v>
      </c>
      <c r="AJ1190" t="s">
        <v>51</v>
      </c>
      <c r="AK1190" t="s">
        <v>42</v>
      </c>
      <c r="AL1190" s="1" t="s">
        <v>1259</v>
      </c>
      <c r="AM1190" t="s">
        <v>18</v>
      </c>
      <c r="AN1190" t="s">
        <v>48</v>
      </c>
      <c r="AO1190" t="s">
        <v>1263</v>
      </c>
      <c r="AP1190" t="s">
        <v>15</v>
      </c>
      <c r="AQ1190" s="2" t="s">
        <v>3</v>
      </c>
      <c r="AR1190" t="s">
        <v>4</v>
      </c>
      <c r="AS1190" t="s">
        <v>13</v>
      </c>
      <c r="AT1190" t="s">
        <v>1278</v>
      </c>
    </row>
    <row r="1191" spans="1:48">
      <c r="L1191" s="1">
        <v>1191</v>
      </c>
      <c r="M1191" s="1" t="s">
        <v>1280</v>
      </c>
      <c r="N1191" s="1" t="s">
        <v>1292</v>
      </c>
      <c r="O1191" t="s">
        <v>50</v>
      </c>
      <c r="P1191" t="s">
        <v>55</v>
      </c>
      <c r="Q1191" t="s">
        <v>46</v>
      </c>
      <c r="R1191" t="s">
        <v>36</v>
      </c>
      <c r="S1191" t="s">
        <v>38</v>
      </c>
      <c r="T1191" t="s">
        <v>9</v>
      </c>
      <c r="U1191" s="1" t="s">
        <v>1288</v>
      </c>
      <c r="V1191" s="1" t="s">
        <v>1288</v>
      </c>
      <c r="W1191" s="1" t="s">
        <v>1284</v>
      </c>
      <c r="X1191" s="1" t="s">
        <v>1270</v>
      </c>
      <c r="Y1191" t="s">
        <v>1299</v>
      </c>
      <c r="Z1191" t="s">
        <v>7</v>
      </c>
      <c r="AA1191" s="1" t="s">
        <v>1287</v>
      </c>
      <c r="AB1191" s="2" t="s">
        <v>58</v>
      </c>
      <c r="AC1191" s="1" t="s">
        <v>1272</v>
      </c>
      <c r="AD1191" s="2" t="s">
        <v>31</v>
      </c>
      <c r="AE1191" s="2" t="s">
        <v>22</v>
      </c>
      <c r="AF1191" s="2" t="s">
        <v>26</v>
      </c>
      <c r="AG1191" s="2" t="s">
        <v>20</v>
      </c>
      <c r="AH1191" s="2" t="s">
        <v>1</v>
      </c>
      <c r="AI1191" s="2" t="s">
        <v>28</v>
      </c>
      <c r="AJ1191" t="s">
        <v>52</v>
      </c>
      <c r="AK1191" t="s">
        <v>43</v>
      </c>
      <c r="AL1191" s="1" t="s">
        <v>1261</v>
      </c>
      <c r="AM1191" t="s">
        <v>17</v>
      </c>
      <c r="AN1191" t="s">
        <v>41</v>
      </c>
      <c r="AO1191" t="s">
        <v>1264</v>
      </c>
      <c r="AP1191" t="s">
        <v>16</v>
      </c>
      <c r="AQ1191" s="2" t="s">
        <v>0</v>
      </c>
      <c r="AR1191" t="s">
        <v>5</v>
      </c>
      <c r="AS1191" t="s">
        <v>11</v>
      </c>
      <c r="AT1191" t="s">
        <v>1279</v>
      </c>
    </row>
    <row r="1192" spans="1:48">
      <c r="L1192" s="1">
        <v>1192</v>
      </c>
      <c r="M1192" s="1" t="s">
        <v>1281</v>
      </c>
      <c r="N1192" s="1" t="s">
        <v>1291</v>
      </c>
      <c r="O1192" t="s">
        <v>1262</v>
      </c>
      <c r="P1192" t="s">
        <v>56</v>
      </c>
      <c r="Q1192" t="s">
        <v>47</v>
      </c>
      <c r="R1192" t="s">
        <v>1258</v>
      </c>
      <c r="S1192" t="s">
        <v>39</v>
      </c>
      <c r="T1192" t="s">
        <v>10</v>
      </c>
      <c r="U1192" s="1" t="s">
        <v>1294</v>
      </c>
      <c r="V1192" s="1" t="s">
        <v>1295</v>
      </c>
      <c r="W1192" s="1" t="s">
        <v>1296</v>
      </c>
      <c r="X1192" s="1" t="s">
        <v>1297</v>
      </c>
      <c r="Y1192" t="s">
        <v>1298</v>
      </c>
      <c r="Z1192" t="s">
        <v>1273</v>
      </c>
      <c r="AA1192" s="1" t="s">
        <v>1285</v>
      </c>
      <c r="AB1192" s="2" t="s">
        <v>59</v>
      </c>
      <c r="AC1192" s="1" t="s">
        <v>1290</v>
      </c>
      <c r="AD1192" s="2" t="s">
        <v>32</v>
      </c>
      <c r="AE1192" s="2" t="s">
        <v>23</v>
      </c>
      <c r="AF1192" s="2" t="s">
        <v>25</v>
      </c>
      <c r="AG1192" s="2" t="s">
        <v>19</v>
      </c>
      <c r="AH1192" s="2" t="s">
        <v>61</v>
      </c>
      <c r="AI1192" s="2" t="s">
        <v>2</v>
      </c>
      <c r="AJ1192" t="s">
        <v>53</v>
      </c>
      <c r="AK1192" t="s">
        <v>44</v>
      </c>
      <c r="AL1192" s="1" t="s">
        <v>1260</v>
      </c>
      <c r="AM1192" t="s">
        <v>1257</v>
      </c>
      <c r="AN1192" t="s">
        <v>40</v>
      </c>
      <c r="AO1192" t="s">
        <v>1265</v>
      </c>
      <c r="AP1192" t="s">
        <v>14</v>
      </c>
      <c r="AQ1192" s="2" t="s">
        <v>62</v>
      </c>
      <c r="AR1192" t="s">
        <v>6</v>
      </c>
      <c r="AS1192" t="s">
        <v>12</v>
      </c>
      <c r="AT1192" t="s">
        <v>1289</v>
      </c>
    </row>
    <row r="1193" spans="1:48">
      <c r="L1193"/>
      <c r="M1193" t="s">
        <v>34</v>
      </c>
      <c r="N1193" t="s">
        <v>34</v>
      </c>
      <c r="O1193" t="s">
        <v>34</v>
      </c>
      <c r="P1193" t="s">
        <v>34</v>
      </c>
      <c r="Q1193" t="s">
        <v>34</v>
      </c>
      <c r="R1193" t="s">
        <v>34</v>
      </c>
      <c r="S1193" t="s">
        <v>34</v>
      </c>
      <c r="T1193" t="s">
        <v>34</v>
      </c>
      <c r="U1193" t="s">
        <v>34</v>
      </c>
      <c r="V1193" t="s">
        <v>34</v>
      </c>
      <c r="W1193" t="s">
        <v>34</v>
      </c>
      <c r="X1193" t="s">
        <v>34</v>
      </c>
      <c r="Y1193" t="s">
        <v>34</v>
      </c>
      <c r="Z1193" t="s">
        <v>34</v>
      </c>
      <c r="AA1193" t="s">
        <v>34</v>
      </c>
      <c r="AB1193" s="2" t="s">
        <v>34</v>
      </c>
      <c r="AC1193" t="s">
        <v>34</v>
      </c>
      <c r="AD1193" s="2" t="s">
        <v>34</v>
      </c>
      <c r="AE1193" s="2" t="s">
        <v>34</v>
      </c>
      <c r="AF1193" s="2" t="s">
        <v>34</v>
      </c>
      <c r="AG1193" s="2" t="s">
        <v>34</v>
      </c>
      <c r="AH1193" s="2" t="s">
        <v>34</v>
      </c>
      <c r="AI1193" s="2" t="s">
        <v>34</v>
      </c>
      <c r="AJ1193" t="s">
        <v>34</v>
      </c>
      <c r="AK1193" t="s">
        <v>34</v>
      </c>
      <c r="AL1193" t="s">
        <v>34</v>
      </c>
      <c r="AM1193" t="s">
        <v>34</v>
      </c>
      <c r="AN1193" t="s">
        <v>34</v>
      </c>
      <c r="AO1193" t="s">
        <v>33</v>
      </c>
      <c r="AP1193" t="s">
        <v>33</v>
      </c>
      <c r="AQ1193" s="2" t="s">
        <v>33</v>
      </c>
      <c r="AR1193" t="s">
        <v>34</v>
      </c>
      <c r="AS1193" t="s">
        <v>33</v>
      </c>
      <c r="AT1193" t="s">
        <v>34</v>
      </c>
    </row>
    <row r="1194" spans="1:48">
      <c r="U1194" t="s">
        <v>34</v>
      </c>
      <c r="V1194" t="s">
        <v>34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</dc:creator>
  <cp:lastModifiedBy>John Isett</cp:lastModifiedBy>
  <cp:lastPrinted>2007-10-28T23:10:22Z</cp:lastPrinted>
  <dcterms:created xsi:type="dcterms:W3CDTF">2007-08-12T16:46:50Z</dcterms:created>
  <dcterms:modified xsi:type="dcterms:W3CDTF">2009-12-28T07:00:54Z</dcterms:modified>
</cp:coreProperties>
</file>